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updateLinks="never" codeName="ThisWorkbook" defaultThemeVersion="124226"/>
  <bookViews>
    <workbookView xWindow="-12" yWindow="-12" windowWidth="15600" windowHeight="3732" tabRatio="922" activeTab="4"/>
  </bookViews>
  <sheets>
    <sheet name="الفهرس" sheetId="22" r:id="rId1"/>
    <sheet name="صفحة الدفتـر" sheetId="15" r:id="rId2"/>
    <sheet name="دليل" sheetId="74" r:id="rId3"/>
    <sheet name="الصفحة 1" sheetId="24" r:id="rId4"/>
    <sheet name="الصفحة 2" sheetId="55" r:id="rId5"/>
    <sheet name="الصفحة 3" sheetId="57" r:id="rId6"/>
    <sheet name="الصفحة 3-1" sheetId="75" r:id="rId7"/>
    <sheet name="الصفحة 4" sheetId="38" r:id="rId8"/>
    <sheet name="الصفحة 5" sheetId="58" r:id="rId9"/>
    <sheet name="الصفحة 6" sheetId="43" r:id="rId10"/>
    <sheet name="الصفحة 7" sheetId="44" r:id="rId11"/>
    <sheet name="الصفحة 8" sheetId="46" r:id="rId12"/>
    <sheet name="الصفحة 9" sheetId="47" r:id="rId13"/>
    <sheet name="الصفحة 10" sheetId="27" r:id="rId14"/>
    <sheet name="الصفحة 11" sheetId="41" r:id="rId15"/>
    <sheet name="الصفحة 12" sheetId="31" r:id="rId16"/>
    <sheet name="الصفحة 13" sheetId="1" r:id="rId17"/>
    <sheet name="الصفحة 14" sheetId="71" r:id="rId18"/>
    <sheet name="الصفحة 15" sheetId="54" r:id="rId19"/>
    <sheet name="الصفحة 16" sheetId="60" r:id="rId20"/>
    <sheet name="الصفحة 17" sheetId="61" r:id="rId21"/>
    <sheet name="الصفحة 18" sheetId="62" r:id="rId22"/>
    <sheet name="الصفحة 19" sheetId="63" r:id="rId23"/>
    <sheet name="الصفحة 20" sheetId="64" r:id="rId24"/>
    <sheet name="الصفحة 21" sheetId="65" r:id="rId25"/>
    <sheet name="الصفحة 22" sheetId="66" r:id="rId26"/>
    <sheet name="الصفحة 23" sheetId="67" r:id="rId27"/>
    <sheet name="الصفحة 24" sheetId="68" r:id="rId28"/>
    <sheet name="الصفحة 25" sheetId="69" r:id="rId29"/>
    <sheet name="الصفحة 26" sheetId="70" r:id="rId30"/>
    <sheet name="الصفحة 27" sheetId="33" r:id="rId31"/>
    <sheet name="الصفحة 28" sheetId="40" r:id="rId32"/>
    <sheet name="الصفحة 29" sheetId="17" r:id="rId33"/>
    <sheet name="الصفحة 30" sheetId="18" r:id="rId34"/>
    <sheet name="الصفحة 31" sheetId="19" r:id="rId35"/>
    <sheet name="الصفحة 32" sheetId="20" r:id="rId36"/>
    <sheet name="الصفحة 33" sheetId="72" r:id="rId37"/>
    <sheet name="الصفحة 34" sheetId="21" r:id="rId38"/>
    <sheet name="الصفحة 35" sheetId="35" r:id="rId39"/>
    <sheet name="الصفحة 36" sheetId="37" r:id="rId40"/>
    <sheet name="حوصلة الانتقال والتسرب" sheetId="39" r:id="rId41"/>
    <sheet name="الحوصلة" sheetId="14" state="hidden" r:id="rId42"/>
  </sheets>
  <externalReferences>
    <externalReference r:id="rId43"/>
    <externalReference r:id="rId44"/>
    <externalReference r:id="rId45"/>
    <externalReference r:id="rId46"/>
    <externalReference r:id="rId47"/>
    <externalReference r:id="rId48"/>
    <externalReference r:id="rId49"/>
  </externalReferences>
  <definedNames>
    <definedName name="____ZI10" localSheetId="14">#REF!</definedName>
    <definedName name="____ZI10" localSheetId="17">#REF!</definedName>
    <definedName name="____ZI10" localSheetId="20">#REF!</definedName>
    <definedName name="____ZI10" localSheetId="21">#REF!</definedName>
    <definedName name="____ZI10" localSheetId="22">#REF!</definedName>
    <definedName name="____ZI10" localSheetId="23">#REF!</definedName>
    <definedName name="____ZI10" localSheetId="24">#REF!</definedName>
    <definedName name="____ZI10" localSheetId="25">#REF!</definedName>
    <definedName name="____ZI10" localSheetId="26">#REF!</definedName>
    <definedName name="____ZI10" localSheetId="27">#REF!</definedName>
    <definedName name="____ZI10" localSheetId="28">#REF!</definedName>
    <definedName name="____ZI10" localSheetId="29">#REF!</definedName>
    <definedName name="____ZI10" localSheetId="31">#REF!</definedName>
    <definedName name="____ZI10" localSheetId="6">#REF!</definedName>
    <definedName name="____ZI10" localSheetId="36">#REF!</definedName>
    <definedName name="____ZI10" localSheetId="10">#REF!</definedName>
    <definedName name="____ZI10" localSheetId="11">#REF!</definedName>
    <definedName name="____ZI10" localSheetId="12">#REF!</definedName>
    <definedName name="____ZI10" localSheetId="40">#REF!</definedName>
    <definedName name="____ZI10" localSheetId="2">#REF!</definedName>
    <definedName name="____ZI10">#REF!</definedName>
    <definedName name="____ZI7" localSheetId="14">#REF!</definedName>
    <definedName name="____ZI7" localSheetId="17">#REF!</definedName>
    <definedName name="____ZI7" localSheetId="20">#REF!</definedName>
    <definedName name="____ZI7" localSheetId="21">#REF!</definedName>
    <definedName name="____ZI7" localSheetId="22">#REF!</definedName>
    <definedName name="____ZI7" localSheetId="23">#REF!</definedName>
    <definedName name="____ZI7" localSheetId="24">#REF!</definedName>
    <definedName name="____ZI7" localSheetId="25">#REF!</definedName>
    <definedName name="____ZI7" localSheetId="26">#REF!</definedName>
    <definedName name="____ZI7" localSheetId="27">#REF!</definedName>
    <definedName name="____ZI7" localSheetId="28">#REF!</definedName>
    <definedName name="____ZI7" localSheetId="29">#REF!</definedName>
    <definedName name="____ZI7" localSheetId="31">#REF!</definedName>
    <definedName name="____ZI7" localSheetId="6">#REF!</definedName>
    <definedName name="____ZI7" localSheetId="36">#REF!</definedName>
    <definedName name="____ZI7" localSheetId="10">#REF!</definedName>
    <definedName name="____ZI7" localSheetId="11">#REF!</definedName>
    <definedName name="____ZI7" localSheetId="12">#REF!</definedName>
    <definedName name="____ZI7" localSheetId="40">#REF!</definedName>
    <definedName name="____ZI7" localSheetId="2">#REF!</definedName>
    <definedName name="____ZI7">#REF!</definedName>
    <definedName name="____ZI8" localSheetId="14">#REF!</definedName>
    <definedName name="____ZI8" localSheetId="17">#REF!</definedName>
    <definedName name="____ZI8" localSheetId="20">#REF!</definedName>
    <definedName name="____ZI8" localSheetId="21">#REF!</definedName>
    <definedName name="____ZI8" localSheetId="22">#REF!</definedName>
    <definedName name="____ZI8" localSheetId="23">#REF!</definedName>
    <definedName name="____ZI8" localSheetId="24">#REF!</definedName>
    <definedName name="____ZI8" localSheetId="25">#REF!</definedName>
    <definedName name="____ZI8" localSheetId="26">#REF!</definedName>
    <definedName name="____ZI8" localSheetId="27">#REF!</definedName>
    <definedName name="____ZI8" localSheetId="28">#REF!</definedName>
    <definedName name="____ZI8" localSheetId="29">#REF!</definedName>
    <definedName name="____ZI8" localSheetId="31">#REF!</definedName>
    <definedName name="____ZI8" localSheetId="6">#REF!</definedName>
    <definedName name="____ZI8" localSheetId="36">#REF!</definedName>
    <definedName name="____ZI8" localSheetId="10">#REF!</definedName>
    <definedName name="____ZI8" localSheetId="11">#REF!</definedName>
    <definedName name="____ZI8" localSheetId="12">#REF!</definedName>
    <definedName name="____ZI8" localSheetId="40">#REF!</definedName>
    <definedName name="____ZI8" localSheetId="2">#REF!</definedName>
    <definedName name="____ZI8">#REF!</definedName>
    <definedName name="____ZI9" localSheetId="14">#REF!</definedName>
    <definedName name="____ZI9" localSheetId="17">#REF!</definedName>
    <definedName name="____ZI9" localSheetId="20">#REF!</definedName>
    <definedName name="____ZI9" localSheetId="21">#REF!</definedName>
    <definedName name="____ZI9" localSheetId="22">#REF!</definedName>
    <definedName name="____ZI9" localSheetId="23">#REF!</definedName>
    <definedName name="____ZI9" localSheetId="24">#REF!</definedName>
    <definedName name="____ZI9" localSheetId="25">#REF!</definedName>
    <definedName name="____ZI9" localSheetId="26">#REF!</definedName>
    <definedName name="____ZI9" localSheetId="27">#REF!</definedName>
    <definedName name="____ZI9" localSheetId="28">#REF!</definedName>
    <definedName name="____ZI9" localSheetId="29">#REF!</definedName>
    <definedName name="____ZI9" localSheetId="31">#REF!</definedName>
    <definedName name="____ZI9" localSheetId="6">#REF!</definedName>
    <definedName name="____ZI9" localSheetId="36">#REF!</definedName>
    <definedName name="____ZI9" localSheetId="10">#REF!</definedName>
    <definedName name="____ZI9" localSheetId="11">#REF!</definedName>
    <definedName name="____ZI9" localSheetId="12">#REF!</definedName>
    <definedName name="____ZI9" localSheetId="40">#REF!</definedName>
    <definedName name="____ZI9" localSheetId="2">#REF!</definedName>
    <definedName name="____ZI9">#REF!</definedName>
    <definedName name="___ZI10" localSheetId="14">#REF!</definedName>
    <definedName name="___ZI10" localSheetId="17">#REF!</definedName>
    <definedName name="___ZI10" localSheetId="20">#REF!</definedName>
    <definedName name="___ZI10" localSheetId="21">#REF!</definedName>
    <definedName name="___ZI10" localSheetId="22">#REF!</definedName>
    <definedName name="___ZI10" localSheetId="23">#REF!</definedName>
    <definedName name="___ZI10" localSheetId="24">#REF!</definedName>
    <definedName name="___ZI10" localSheetId="25">#REF!</definedName>
    <definedName name="___ZI10" localSheetId="26">#REF!</definedName>
    <definedName name="___ZI10" localSheetId="27">#REF!</definedName>
    <definedName name="___ZI10" localSheetId="28">#REF!</definedName>
    <definedName name="___ZI10" localSheetId="29">#REF!</definedName>
    <definedName name="___ZI10" localSheetId="31">#REF!</definedName>
    <definedName name="___ZI10" localSheetId="6">#REF!</definedName>
    <definedName name="___ZI10" localSheetId="36">#REF!</definedName>
    <definedName name="___ZI10" localSheetId="10">#REF!</definedName>
    <definedName name="___ZI10" localSheetId="11">#REF!</definedName>
    <definedName name="___ZI10" localSheetId="12">#REF!</definedName>
    <definedName name="___ZI10" localSheetId="40">#REF!</definedName>
    <definedName name="___ZI10" localSheetId="2">#REF!</definedName>
    <definedName name="___ZI10">#REF!</definedName>
    <definedName name="___ZI7" localSheetId="14">#REF!</definedName>
    <definedName name="___ZI7" localSheetId="17">#REF!</definedName>
    <definedName name="___ZI7" localSheetId="20">#REF!</definedName>
    <definedName name="___ZI7" localSheetId="21">#REF!</definedName>
    <definedName name="___ZI7" localSheetId="22">#REF!</definedName>
    <definedName name="___ZI7" localSheetId="23">#REF!</definedName>
    <definedName name="___ZI7" localSheetId="24">#REF!</definedName>
    <definedName name="___ZI7" localSheetId="25">#REF!</definedName>
    <definedName name="___ZI7" localSheetId="26">#REF!</definedName>
    <definedName name="___ZI7" localSheetId="27">#REF!</definedName>
    <definedName name="___ZI7" localSheetId="28">#REF!</definedName>
    <definedName name="___ZI7" localSheetId="29">#REF!</definedName>
    <definedName name="___ZI7" localSheetId="31">#REF!</definedName>
    <definedName name="___ZI7" localSheetId="6">#REF!</definedName>
    <definedName name="___ZI7" localSheetId="36">#REF!</definedName>
    <definedName name="___ZI7" localSheetId="10">#REF!</definedName>
    <definedName name="___ZI7" localSheetId="11">#REF!</definedName>
    <definedName name="___ZI7" localSheetId="12">#REF!</definedName>
    <definedName name="___ZI7" localSheetId="40">#REF!</definedName>
    <definedName name="___ZI7" localSheetId="2">#REF!</definedName>
    <definedName name="___ZI7">#REF!</definedName>
    <definedName name="___ZI8" localSheetId="14">#REF!</definedName>
    <definedName name="___ZI8" localSheetId="17">#REF!</definedName>
    <definedName name="___ZI8" localSheetId="20">#REF!</definedName>
    <definedName name="___ZI8" localSheetId="21">#REF!</definedName>
    <definedName name="___ZI8" localSheetId="22">#REF!</definedName>
    <definedName name="___ZI8" localSheetId="23">#REF!</definedName>
    <definedName name="___ZI8" localSheetId="24">#REF!</definedName>
    <definedName name="___ZI8" localSheetId="25">#REF!</definedName>
    <definedName name="___ZI8" localSheetId="26">#REF!</definedName>
    <definedName name="___ZI8" localSheetId="27">#REF!</definedName>
    <definedName name="___ZI8" localSheetId="28">#REF!</definedName>
    <definedName name="___ZI8" localSheetId="29">#REF!</definedName>
    <definedName name="___ZI8" localSheetId="31">#REF!</definedName>
    <definedName name="___ZI8" localSheetId="6">#REF!</definedName>
    <definedName name="___ZI8" localSheetId="36">#REF!</definedName>
    <definedName name="___ZI8" localSheetId="10">#REF!</definedName>
    <definedName name="___ZI8" localSheetId="11">#REF!</definedName>
    <definedName name="___ZI8" localSheetId="12">#REF!</definedName>
    <definedName name="___ZI8" localSheetId="40">#REF!</definedName>
    <definedName name="___ZI8" localSheetId="2">#REF!</definedName>
    <definedName name="___ZI8">#REF!</definedName>
    <definedName name="___ZI9" localSheetId="14">#REF!</definedName>
    <definedName name="___ZI9" localSheetId="17">#REF!</definedName>
    <definedName name="___ZI9" localSheetId="20">#REF!</definedName>
    <definedName name="___ZI9" localSheetId="21">#REF!</definedName>
    <definedName name="___ZI9" localSheetId="22">#REF!</definedName>
    <definedName name="___ZI9" localSheetId="23">#REF!</definedName>
    <definedName name="___ZI9" localSheetId="24">#REF!</definedName>
    <definedName name="___ZI9" localSheetId="25">#REF!</definedName>
    <definedName name="___ZI9" localSheetId="26">#REF!</definedName>
    <definedName name="___ZI9" localSheetId="27">#REF!</definedName>
    <definedName name="___ZI9" localSheetId="28">#REF!</definedName>
    <definedName name="___ZI9" localSheetId="29">#REF!</definedName>
    <definedName name="___ZI9" localSheetId="31">#REF!</definedName>
    <definedName name="___ZI9" localSheetId="6">#REF!</definedName>
    <definedName name="___ZI9" localSheetId="36">#REF!</definedName>
    <definedName name="___ZI9" localSheetId="10">#REF!</definedName>
    <definedName name="___ZI9" localSheetId="11">#REF!</definedName>
    <definedName name="___ZI9" localSheetId="12">#REF!</definedName>
    <definedName name="___ZI9" localSheetId="40">#REF!</definedName>
    <definedName name="___ZI9" localSheetId="2">#REF!</definedName>
    <definedName name="___ZI9">#REF!</definedName>
    <definedName name="__ZI10" localSheetId="14">#REF!</definedName>
    <definedName name="__ZI10" localSheetId="17">#REF!</definedName>
    <definedName name="__ZI10" localSheetId="20">#REF!</definedName>
    <definedName name="__ZI10" localSheetId="21">#REF!</definedName>
    <definedName name="__ZI10" localSheetId="22">#REF!</definedName>
    <definedName name="__ZI10" localSheetId="23">#REF!</definedName>
    <definedName name="__ZI10" localSheetId="24">#REF!</definedName>
    <definedName name="__ZI10" localSheetId="25">#REF!</definedName>
    <definedName name="__ZI10" localSheetId="26">#REF!</definedName>
    <definedName name="__ZI10" localSheetId="27">#REF!</definedName>
    <definedName name="__ZI10" localSheetId="28">#REF!</definedName>
    <definedName name="__ZI10" localSheetId="29">#REF!</definedName>
    <definedName name="__ZI10" localSheetId="31">#REF!</definedName>
    <definedName name="__ZI10" localSheetId="6">#REF!</definedName>
    <definedName name="__ZI10" localSheetId="36">#REF!</definedName>
    <definedName name="__ZI10" localSheetId="10">#REF!</definedName>
    <definedName name="__ZI10" localSheetId="11">#REF!</definedName>
    <definedName name="__ZI10" localSheetId="12">#REF!</definedName>
    <definedName name="__ZI10" localSheetId="40">#REF!</definedName>
    <definedName name="__ZI10" localSheetId="2">#REF!</definedName>
    <definedName name="__ZI10">#REF!</definedName>
    <definedName name="__ZI100" localSheetId="14">#REF!</definedName>
    <definedName name="__ZI100" localSheetId="17">#REF!</definedName>
    <definedName name="__ZI100" localSheetId="20">#REF!</definedName>
    <definedName name="__ZI100" localSheetId="21">#REF!</definedName>
    <definedName name="__ZI100" localSheetId="22">#REF!</definedName>
    <definedName name="__ZI100" localSheetId="23">#REF!</definedName>
    <definedName name="__ZI100" localSheetId="24">#REF!</definedName>
    <definedName name="__ZI100" localSheetId="25">#REF!</definedName>
    <definedName name="__ZI100" localSheetId="26">#REF!</definedName>
    <definedName name="__ZI100" localSheetId="27">#REF!</definedName>
    <definedName name="__ZI100" localSheetId="28">#REF!</definedName>
    <definedName name="__ZI100" localSheetId="29">#REF!</definedName>
    <definedName name="__ZI100" localSheetId="31">#REF!</definedName>
    <definedName name="__ZI100" localSheetId="6">#REF!</definedName>
    <definedName name="__ZI100" localSheetId="36">#REF!</definedName>
    <definedName name="__ZI100" localSheetId="10">#REF!</definedName>
    <definedName name="__ZI100" localSheetId="11">#REF!</definedName>
    <definedName name="__ZI100" localSheetId="12">#REF!</definedName>
    <definedName name="__ZI100" localSheetId="40">#REF!</definedName>
    <definedName name="__ZI100" localSheetId="2">#REF!</definedName>
    <definedName name="__ZI100">#REF!</definedName>
    <definedName name="__ZI7" localSheetId="14">#REF!</definedName>
    <definedName name="__ZI7" localSheetId="17">#REF!</definedName>
    <definedName name="__ZI7" localSheetId="20">#REF!</definedName>
    <definedName name="__ZI7" localSheetId="21">#REF!</definedName>
    <definedName name="__ZI7" localSheetId="22">#REF!</definedName>
    <definedName name="__ZI7" localSheetId="23">#REF!</definedName>
    <definedName name="__ZI7" localSheetId="24">#REF!</definedName>
    <definedName name="__ZI7" localSheetId="25">#REF!</definedName>
    <definedName name="__ZI7" localSheetId="26">#REF!</definedName>
    <definedName name="__ZI7" localSheetId="27">#REF!</definedName>
    <definedName name="__ZI7" localSheetId="28">#REF!</definedName>
    <definedName name="__ZI7" localSheetId="29">#REF!</definedName>
    <definedName name="__ZI7" localSheetId="31">#REF!</definedName>
    <definedName name="__ZI7" localSheetId="6">#REF!</definedName>
    <definedName name="__ZI7" localSheetId="36">#REF!</definedName>
    <definedName name="__ZI7" localSheetId="10">#REF!</definedName>
    <definedName name="__ZI7" localSheetId="11">#REF!</definedName>
    <definedName name="__ZI7" localSheetId="12">#REF!</definedName>
    <definedName name="__ZI7" localSheetId="40">#REF!</definedName>
    <definedName name="__ZI7" localSheetId="2">#REF!</definedName>
    <definedName name="__ZI7">#REF!</definedName>
    <definedName name="__ZI8" localSheetId="14">#REF!</definedName>
    <definedName name="__ZI8" localSheetId="17">#REF!</definedName>
    <definedName name="__ZI8" localSheetId="20">#REF!</definedName>
    <definedName name="__ZI8" localSheetId="21">#REF!</definedName>
    <definedName name="__ZI8" localSheetId="22">#REF!</definedName>
    <definedName name="__ZI8" localSheetId="23">#REF!</definedName>
    <definedName name="__ZI8" localSheetId="24">#REF!</definedName>
    <definedName name="__ZI8" localSheetId="25">#REF!</definedName>
    <definedName name="__ZI8" localSheetId="26">#REF!</definedName>
    <definedName name="__ZI8" localSheetId="27">#REF!</definedName>
    <definedName name="__ZI8" localSheetId="28">#REF!</definedName>
    <definedName name="__ZI8" localSheetId="29">#REF!</definedName>
    <definedName name="__ZI8" localSheetId="31">#REF!</definedName>
    <definedName name="__ZI8" localSheetId="6">#REF!</definedName>
    <definedName name="__ZI8" localSheetId="36">#REF!</definedName>
    <definedName name="__ZI8" localSheetId="10">#REF!</definedName>
    <definedName name="__ZI8" localSheetId="11">#REF!</definedName>
    <definedName name="__ZI8" localSheetId="12">#REF!</definedName>
    <definedName name="__ZI8" localSheetId="40">#REF!</definedName>
    <definedName name="__ZI8" localSheetId="2">#REF!</definedName>
    <definedName name="__ZI8">#REF!</definedName>
    <definedName name="__ZI9" localSheetId="14">#REF!</definedName>
    <definedName name="__ZI9" localSheetId="17">#REF!</definedName>
    <definedName name="__ZI9" localSheetId="20">#REF!</definedName>
    <definedName name="__ZI9" localSheetId="21">#REF!</definedName>
    <definedName name="__ZI9" localSheetId="22">#REF!</definedName>
    <definedName name="__ZI9" localSheetId="23">#REF!</definedName>
    <definedName name="__ZI9" localSheetId="24">#REF!</definedName>
    <definedName name="__ZI9" localSheetId="25">#REF!</definedName>
    <definedName name="__ZI9" localSheetId="26">#REF!</definedName>
    <definedName name="__ZI9" localSheetId="27">#REF!</definedName>
    <definedName name="__ZI9" localSheetId="28">#REF!</definedName>
    <definedName name="__ZI9" localSheetId="29">#REF!</definedName>
    <definedName name="__ZI9" localSheetId="31">#REF!</definedName>
    <definedName name="__ZI9" localSheetId="6">#REF!</definedName>
    <definedName name="__ZI9" localSheetId="36">#REF!</definedName>
    <definedName name="__ZI9" localSheetId="10">#REF!</definedName>
    <definedName name="__ZI9" localSheetId="11">#REF!</definedName>
    <definedName name="__ZI9" localSheetId="12">#REF!</definedName>
    <definedName name="__ZI9" localSheetId="40">#REF!</definedName>
    <definedName name="__ZI9" localSheetId="2">#REF!</definedName>
    <definedName name="__ZI9">#REF!</definedName>
    <definedName name="_Order1" hidden="1">255</definedName>
    <definedName name="_ZI10" localSheetId="17">الحوصلة!$BA$569:$BL$650</definedName>
    <definedName name="_ZI10" localSheetId="18">الحوصلة!$BA$569:$BL$650</definedName>
    <definedName name="_ZI10" localSheetId="19">'الصفحة 16'!$BA$569:$BL$650</definedName>
    <definedName name="_ZI10" localSheetId="20">'الصفحة 17'!$BA$569:$BL$650</definedName>
    <definedName name="_ZI10" localSheetId="21">'الصفحة 18'!$BA$569:$BL$650</definedName>
    <definedName name="_ZI10" localSheetId="22">'الصفحة 19'!$BA$569:$BL$650</definedName>
    <definedName name="_ZI10" localSheetId="4">'الصفحة 2'!$BA$569:$BL$650</definedName>
    <definedName name="_ZI10" localSheetId="23">الحوصلة!$BA$569:$BL$650</definedName>
    <definedName name="_ZI10" localSheetId="24">الحوصلة!$BA$569:$BL$650</definedName>
    <definedName name="_ZI10" localSheetId="25">الحوصلة!$BA$569:$BL$650</definedName>
    <definedName name="_ZI10" localSheetId="26">الحوصلة!$BA$569:$BL$650</definedName>
    <definedName name="_ZI10" localSheetId="27">الحوصلة!$BA$569:$BL$650</definedName>
    <definedName name="_ZI10" localSheetId="28">الحوصلة!$BA$569:$BL$650</definedName>
    <definedName name="_ZI10" localSheetId="29">الحوصلة!$BA$569:$BL$650</definedName>
    <definedName name="_ZI10" localSheetId="5">'الصفحة 3'!$BA$555:$BL$636</definedName>
    <definedName name="_ZI10" localSheetId="6">'الصفحة 3-1'!$BA$557:$BL$638</definedName>
    <definedName name="_ZI10" localSheetId="36">#REF!</definedName>
    <definedName name="_ZI10" localSheetId="8">'الصفحة 5'!$BA$569:$BL$650</definedName>
    <definedName name="_ZI10" localSheetId="10">#REF!</definedName>
    <definedName name="_ZI10" localSheetId="11">#REF!</definedName>
    <definedName name="_ZI10" localSheetId="12">#REF!</definedName>
    <definedName name="_ZI10" localSheetId="40">#REF!</definedName>
    <definedName name="_ZI10" localSheetId="2">#REF!</definedName>
    <definedName name="_ZI10">#REF!</definedName>
    <definedName name="_ZI100000" localSheetId="14">#REF!</definedName>
    <definedName name="_ZI100000" localSheetId="17">#REF!</definedName>
    <definedName name="_ZI100000" localSheetId="20">#REF!</definedName>
    <definedName name="_ZI100000" localSheetId="21">#REF!</definedName>
    <definedName name="_ZI100000" localSheetId="22">#REF!</definedName>
    <definedName name="_ZI100000" localSheetId="23">#REF!</definedName>
    <definedName name="_ZI100000" localSheetId="24">#REF!</definedName>
    <definedName name="_ZI100000" localSheetId="25">#REF!</definedName>
    <definedName name="_ZI100000" localSheetId="26">#REF!</definedName>
    <definedName name="_ZI100000" localSheetId="27">#REF!</definedName>
    <definedName name="_ZI100000" localSheetId="28">#REF!</definedName>
    <definedName name="_ZI100000" localSheetId="29">#REF!</definedName>
    <definedName name="_ZI100000" localSheetId="31">#REF!</definedName>
    <definedName name="_ZI100000" localSheetId="6">#REF!</definedName>
    <definedName name="_ZI100000" localSheetId="36">#REF!</definedName>
    <definedName name="_ZI100000" localSheetId="10">#REF!</definedName>
    <definedName name="_ZI100000" localSheetId="11">#REF!</definedName>
    <definedName name="_ZI100000" localSheetId="12">#REF!</definedName>
    <definedName name="_ZI100000" localSheetId="40">#REF!</definedName>
    <definedName name="_ZI100000" localSheetId="2">#REF!</definedName>
    <definedName name="_ZI100000">#REF!</definedName>
    <definedName name="_ZI7" localSheetId="17">الحوصلة!$AD$365:$AN$446</definedName>
    <definedName name="_ZI7" localSheetId="18">الحوصلة!$AD$365:$AN$446</definedName>
    <definedName name="_ZI7" localSheetId="19">'الصفحة 16'!$AD$365:$AN$446</definedName>
    <definedName name="_ZI7" localSheetId="20">'الصفحة 17'!$AD$365:$AN$446</definedName>
    <definedName name="_ZI7" localSheetId="21">'الصفحة 18'!$AD$365:$AN$446</definedName>
    <definedName name="_ZI7" localSheetId="22">'الصفحة 19'!$AD$365:$AN$446</definedName>
    <definedName name="_ZI7" localSheetId="4">'الصفحة 2'!$AD$365:$AN$446</definedName>
    <definedName name="_ZI7" localSheetId="23">الحوصلة!$AD$365:$AN$446</definedName>
    <definedName name="_ZI7" localSheetId="24">الحوصلة!$AD$365:$AN$446</definedName>
    <definedName name="_ZI7" localSheetId="25">الحوصلة!$AD$365:$AN$446</definedName>
    <definedName name="_ZI7" localSheetId="26">الحوصلة!$AD$365:$AN$446</definedName>
    <definedName name="_ZI7" localSheetId="27">الحوصلة!$AD$365:$AN$446</definedName>
    <definedName name="_ZI7" localSheetId="28">الحوصلة!$AD$365:$AN$446</definedName>
    <definedName name="_ZI7" localSheetId="29">الحوصلة!$AD$365:$AN$446</definedName>
    <definedName name="_ZI7" localSheetId="5">'الصفحة 3'!$AD$351:$AN$432</definedName>
    <definedName name="_ZI7" localSheetId="6">'الصفحة 3-1'!$AD$353:$AN$434</definedName>
    <definedName name="_ZI7" localSheetId="36">#REF!</definedName>
    <definedName name="_ZI7" localSheetId="8">'الصفحة 5'!$AD$365:$AN$446</definedName>
    <definedName name="_ZI7" localSheetId="10">#REF!</definedName>
    <definedName name="_ZI7" localSheetId="11">#REF!</definedName>
    <definedName name="_ZI7" localSheetId="12">#REF!</definedName>
    <definedName name="_ZI7" localSheetId="40">#REF!</definedName>
    <definedName name="_ZI7" localSheetId="2">#REF!</definedName>
    <definedName name="_ZI7">#REF!</definedName>
    <definedName name="_ZI8" localSheetId="17">الحوصلة!$AD$447:$AN$520</definedName>
    <definedName name="_ZI8" localSheetId="18">الحوصلة!$AD$447:$AN$520</definedName>
    <definedName name="_ZI8" localSheetId="19">'الصفحة 16'!$AD$447:$AN$520</definedName>
    <definedName name="_ZI8" localSheetId="20">'الصفحة 17'!$AD$447:$AN$520</definedName>
    <definedName name="_ZI8" localSheetId="21">'الصفحة 18'!$AD$447:$AN$520</definedName>
    <definedName name="_ZI8" localSheetId="22">'الصفحة 19'!$AD$447:$AN$520</definedName>
    <definedName name="_ZI8" localSheetId="4">'الصفحة 2'!$AD$447:$AN$520</definedName>
    <definedName name="_ZI8" localSheetId="23">الحوصلة!$AD$447:$AN$520</definedName>
    <definedName name="_ZI8" localSheetId="24">الحوصلة!$AD$447:$AN$520</definedName>
    <definedName name="_ZI8" localSheetId="25">الحوصلة!$AD$447:$AN$520</definedName>
    <definedName name="_ZI8" localSheetId="26">الحوصلة!$AD$447:$AN$520</definedName>
    <definedName name="_ZI8" localSheetId="27">الحوصلة!$AD$447:$AN$520</definedName>
    <definedName name="_ZI8" localSheetId="28">الحوصلة!$AD$447:$AN$520</definedName>
    <definedName name="_ZI8" localSheetId="29">الحوصلة!$AD$447:$AN$520</definedName>
    <definedName name="_ZI8" localSheetId="5">'الصفحة 3'!$AD$433:$AN$506</definedName>
    <definedName name="_ZI8" localSheetId="6">'الصفحة 3-1'!$AD$435:$AN$508</definedName>
    <definedName name="_ZI8" localSheetId="36">#REF!</definedName>
    <definedName name="_ZI8" localSheetId="8">'الصفحة 5'!$AD$447:$AN$520</definedName>
    <definedName name="_ZI8" localSheetId="10">#REF!</definedName>
    <definedName name="_ZI8" localSheetId="11">#REF!</definedName>
    <definedName name="_ZI8" localSheetId="12">#REF!</definedName>
    <definedName name="_ZI8" localSheetId="40">#REF!</definedName>
    <definedName name="_ZI8" localSheetId="2">#REF!</definedName>
    <definedName name="_ZI8">#REF!</definedName>
    <definedName name="_ZI9" localSheetId="17">الحوصلة!$BA$487:$BL$568</definedName>
    <definedName name="_ZI9" localSheetId="18">الحوصلة!$BA$487:$BL$568</definedName>
    <definedName name="_ZI9" localSheetId="19">'الصفحة 16'!$BA$487:$BL$568</definedName>
    <definedName name="_ZI9" localSheetId="20">'الصفحة 17'!$BA$487:$BL$568</definedName>
    <definedName name="_ZI9" localSheetId="21">'الصفحة 18'!$BA$487:$BL$568</definedName>
    <definedName name="_ZI9" localSheetId="22">'الصفحة 19'!$BA$487:$BL$568</definedName>
    <definedName name="_ZI9" localSheetId="4">'الصفحة 2'!$BA$487:$BL$568</definedName>
    <definedName name="_ZI9" localSheetId="23">الحوصلة!$BA$487:$BL$568</definedName>
    <definedName name="_ZI9" localSheetId="24">الحوصلة!$BA$487:$BL$568</definedName>
    <definedName name="_ZI9" localSheetId="25">الحوصلة!$BA$487:$BL$568</definedName>
    <definedName name="_ZI9" localSheetId="26">الحوصلة!$BA$487:$BL$568</definedName>
    <definedName name="_ZI9" localSheetId="27">الحوصلة!$BA$487:$BL$568</definedName>
    <definedName name="_ZI9" localSheetId="28">الحوصلة!$BA$487:$BL$568</definedName>
    <definedName name="_ZI9" localSheetId="29">الحوصلة!$BA$487:$BL$568</definedName>
    <definedName name="_ZI9" localSheetId="5">'الصفحة 3'!$BA$473:$BL$554</definedName>
    <definedName name="_ZI9" localSheetId="6">'الصفحة 3-1'!$BA$475:$BL$556</definedName>
    <definedName name="_ZI9" localSheetId="36">#REF!</definedName>
    <definedName name="_ZI9" localSheetId="8">'الصفحة 5'!$BA$487:$BL$568</definedName>
    <definedName name="_ZI9" localSheetId="10">#REF!</definedName>
    <definedName name="_ZI9" localSheetId="11">#REF!</definedName>
    <definedName name="_ZI9" localSheetId="12">#REF!</definedName>
    <definedName name="_ZI9" localSheetId="40">#REF!</definedName>
    <definedName name="_ZI9" localSheetId="2">#REF!</definedName>
    <definedName name="_ZI9">#REF!</definedName>
    <definedName name="AnnéeBase">"Modification 28"</definedName>
    <definedName name="_xlnm.Database" localSheetId="14">#REF!</definedName>
    <definedName name="_xlnm.Database" localSheetId="17">#REF!</definedName>
    <definedName name="_xlnm.Database" localSheetId="20">#REF!</definedName>
    <definedName name="_xlnm.Database" localSheetId="21">#REF!</definedName>
    <definedName name="_xlnm.Database" localSheetId="22">#REF!</definedName>
    <definedName name="_xlnm.Database" localSheetId="23">#REF!</definedName>
    <definedName name="_xlnm.Database" localSheetId="24">#REF!</definedName>
    <definedName name="_xlnm.Database" localSheetId="25">#REF!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 localSheetId="31">#REF!</definedName>
    <definedName name="_xlnm.Database" localSheetId="6">#REF!</definedName>
    <definedName name="_xlnm.Database" localSheetId="36">#REF!</definedName>
    <definedName name="_xlnm.Database" localSheetId="10">#REF!</definedName>
    <definedName name="_xlnm.Database" localSheetId="11">#REF!</definedName>
    <definedName name="_xlnm.Database" localSheetId="12">#REF!</definedName>
    <definedName name="_xlnm.Database" localSheetId="40">#REF!</definedName>
    <definedName name="_xlnm.Database" localSheetId="2">#REF!</definedName>
    <definedName name="_xlnm.Database">#REF!</definedName>
    <definedName name="BASE2" localSheetId="14">'[1]B5 - PROJECTION'!#REF!</definedName>
    <definedName name="BASE2" localSheetId="17">'[1]B5 - PROJECTION'!#REF!</definedName>
    <definedName name="BASE2" localSheetId="20">'[1]B5 - PROJECTION'!#REF!</definedName>
    <definedName name="BASE2" localSheetId="21">'[1]B5 - PROJECTION'!#REF!</definedName>
    <definedName name="BASE2" localSheetId="22">'[1]B5 - PROJECTION'!#REF!</definedName>
    <definedName name="BASE2" localSheetId="23">'[1]B5 - PROJECTION'!#REF!</definedName>
    <definedName name="BASE2" localSheetId="24">'[1]B5 - PROJECTION'!#REF!</definedName>
    <definedName name="BASE2" localSheetId="25">'[1]B5 - PROJECTION'!#REF!</definedName>
    <definedName name="BASE2" localSheetId="26">'[1]B5 - PROJECTION'!#REF!</definedName>
    <definedName name="BASE2" localSheetId="27">'[1]B5 - PROJECTION'!#REF!</definedName>
    <definedName name="BASE2" localSheetId="28">'[1]B5 - PROJECTION'!#REF!</definedName>
    <definedName name="BASE2" localSheetId="29">'[1]B5 - PROJECTION'!#REF!</definedName>
    <definedName name="BASE2" localSheetId="31">'[1]B5 - PROJECTION'!#REF!</definedName>
    <definedName name="BASE2" localSheetId="6">'[2]B5 - PROJECTION'!#REF!</definedName>
    <definedName name="BASE2" localSheetId="36">'[1]B5 - PROJECTION'!#REF!</definedName>
    <definedName name="BASE2" localSheetId="10">'[1]B5 - PROJECTION'!#REF!</definedName>
    <definedName name="BASE2" localSheetId="11">'[1]B5 - PROJECTION'!#REF!</definedName>
    <definedName name="BASE2" localSheetId="12">'[1]B5 - PROJECTION'!#REF!</definedName>
    <definedName name="BASE2" localSheetId="40">'[1]B5 - PROJECTION'!#REF!</definedName>
    <definedName name="BASE2" localSheetId="2">'[2]B5 - PROJECTION'!#REF!</definedName>
    <definedName name="BASE2">'[2]B5 - PROJECTION'!#REF!</definedName>
    <definedName name="BEEffectif">"Bouton 21"</definedName>
    <definedName name="gbeg" localSheetId="14">'الصفحة 11'!____ZI7,'الصفحة 11'!____ZI8,'الصفحة 11'!____ZI9,'الصفحة 11'!____ZI10</definedName>
    <definedName name="gbeg" localSheetId="17">'الصفحة 14'!____ZI7,'الصفحة 14'!____ZI8,'الصفحة 14'!____ZI9,'الصفحة 14'!____ZI10</definedName>
    <definedName name="gbeg" localSheetId="20">'الصفحة 17'!____ZI7,'الصفحة 17'!____ZI8,'الصفحة 17'!____ZI9,'الصفحة 17'!____ZI10</definedName>
    <definedName name="gbeg" localSheetId="21">'الصفحة 18'!____ZI7,'الصفحة 18'!____ZI8,'الصفحة 18'!____ZI9,'الصفحة 18'!____ZI10</definedName>
    <definedName name="gbeg" localSheetId="22">'الصفحة 19'!____ZI7,'الصفحة 19'!____ZI8,'الصفحة 19'!____ZI9,'الصفحة 19'!____ZI10</definedName>
    <definedName name="gbeg" localSheetId="23">'الصفحة 20'!____ZI7,'الصفحة 20'!____ZI8,'الصفحة 20'!____ZI9,'الصفحة 20'!____ZI10</definedName>
    <definedName name="gbeg" localSheetId="24">'الصفحة 21'!____ZI7,'الصفحة 21'!____ZI8,'الصفحة 21'!____ZI9,'الصفحة 21'!____ZI10</definedName>
    <definedName name="gbeg" localSheetId="25">'الصفحة 22'!____ZI7,'الصفحة 22'!____ZI8,'الصفحة 22'!____ZI9,'الصفحة 22'!____ZI10</definedName>
    <definedName name="gbeg" localSheetId="26">'الصفحة 23'!____ZI7,'الصفحة 23'!____ZI8,'الصفحة 23'!____ZI9,'الصفحة 23'!____ZI10</definedName>
    <definedName name="gbeg" localSheetId="27">'الصفحة 24'!____ZI7,'الصفحة 24'!____ZI8,'الصفحة 24'!____ZI9,'الصفحة 24'!____ZI10</definedName>
    <definedName name="gbeg" localSheetId="28">'الصفحة 25'!____ZI7,'الصفحة 25'!____ZI8,'الصفحة 25'!____ZI9,'الصفحة 25'!____ZI10</definedName>
    <definedName name="gbeg" localSheetId="29">'الصفحة 26'!____ZI7,'الصفحة 26'!____ZI8,'الصفحة 26'!____ZI9,'الصفحة 26'!____ZI10</definedName>
    <definedName name="gbeg" localSheetId="31">'الصفحة 28'!____ZI7,'الصفحة 28'!____ZI8,'الصفحة 28'!____ZI9,'الصفحة 28'!____ZI10</definedName>
    <definedName name="gbeg" localSheetId="6">'الصفحة 3-1'!____ZI7,'الصفحة 3-1'!____ZI8,'الصفحة 3-1'!____ZI9,'الصفحة 3-1'!____ZI10</definedName>
    <definedName name="gbeg" localSheetId="36">'الصفحة 33'!____ZI7,'الصفحة 33'!____ZI8,'الصفحة 33'!____ZI9,'الصفحة 33'!____ZI10</definedName>
    <definedName name="gbeg" localSheetId="10">'الصفحة 7'!____ZI7,'الصفحة 7'!____ZI8,'الصفحة 7'!____ZI9,'الصفحة 7'!____ZI10</definedName>
    <definedName name="gbeg" localSheetId="11">'الصفحة 8'!____ZI7,'الصفحة 8'!____ZI8,'الصفحة 8'!____ZI9,'الصفحة 8'!____ZI10</definedName>
    <definedName name="gbeg" localSheetId="12">'الصفحة 9'!____ZI7,'الصفحة 9'!____ZI8,'الصفحة 9'!____ZI9,'الصفحة 9'!____ZI10</definedName>
    <definedName name="gbeg" localSheetId="40">'حوصلة الانتقال والتسرب'!____ZI7,'حوصلة الانتقال والتسرب'!____ZI8,'حوصلة الانتقال والتسرب'!____ZI9,'حوصلة الانتقال والتسرب'!____ZI10</definedName>
    <definedName name="gbeg" localSheetId="2">دليل!____ZI7,دليل!____ZI8,دليل!____ZI9,دليل!____ZI10</definedName>
    <definedName name="gbeg">____ZI7,____ZI8,____ZI9,____ZI10</definedName>
    <definedName name="GO_TO" localSheetId="13">#REF!</definedName>
    <definedName name="GO_TO" localSheetId="14">#REF!</definedName>
    <definedName name="GO_TO" localSheetId="15">#REF!</definedName>
    <definedName name="GO_TO" localSheetId="17">[3]Effectif!#REF!</definedName>
    <definedName name="GO_TO" localSheetId="18">[3]Effectif!#REF!</definedName>
    <definedName name="GO_TO" localSheetId="19">[3]Effectif!#REF!</definedName>
    <definedName name="GO_TO" localSheetId="20">[3]Effectif!#REF!</definedName>
    <definedName name="GO_TO" localSheetId="21">[3]Effectif!#REF!</definedName>
    <definedName name="GO_TO" localSheetId="22">[3]Effectif!#REF!</definedName>
    <definedName name="GO_TO" localSheetId="4">[3]Effectif!#REF!</definedName>
    <definedName name="GO_TO" localSheetId="23">[3]Effectif!#REF!</definedName>
    <definedName name="GO_TO" localSheetId="24">[3]Effectif!#REF!</definedName>
    <definedName name="GO_TO" localSheetId="25">[3]Effectif!#REF!</definedName>
    <definedName name="GO_TO" localSheetId="26">[3]Effectif!#REF!</definedName>
    <definedName name="GO_TO" localSheetId="27">[3]Effectif!#REF!</definedName>
    <definedName name="GO_TO" localSheetId="28">[3]Effectif!#REF!</definedName>
    <definedName name="GO_TO" localSheetId="29">[3]Effectif!#REF!</definedName>
    <definedName name="GO_TO" localSheetId="30">#REF!</definedName>
    <definedName name="GO_TO" localSheetId="31">#REF!</definedName>
    <definedName name="GO_TO" localSheetId="32">#REF!</definedName>
    <definedName name="GO_TO" localSheetId="5">[3]Effectif!#REF!</definedName>
    <definedName name="GO_TO" localSheetId="33">#REF!</definedName>
    <definedName name="GO_TO" localSheetId="34">#REF!</definedName>
    <definedName name="GO_TO" localSheetId="6">[3]Effectif!#REF!</definedName>
    <definedName name="GO_TO" localSheetId="35">#REF!</definedName>
    <definedName name="GO_TO" localSheetId="36">#REF!</definedName>
    <definedName name="GO_TO" localSheetId="37">#REF!</definedName>
    <definedName name="GO_TO" localSheetId="38">#REF!</definedName>
    <definedName name="GO_TO" localSheetId="39">#REF!</definedName>
    <definedName name="GO_TO" localSheetId="7">#REF!</definedName>
    <definedName name="GO_TO" localSheetId="8">[3]Effectif!#REF!</definedName>
    <definedName name="GO_TO" localSheetId="10">'[4]الصفحة 1'!#REF!</definedName>
    <definedName name="GO_TO" localSheetId="11">'[4]الصفحة 1'!#REF!</definedName>
    <definedName name="GO_TO" localSheetId="12">'[4]الصفحة 1'!#REF!</definedName>
    <definedName name="GO_TO" localSheetId="40">#REF!</definedName>
    <definedName name="GO_TO" localSheetId="2">#REF!</definedName>
    <definedName name="GO_TO" localSheetId="1">#REF!</definedName>
    <definedName name="GO_TO">'[5]صفحة الدفتر'!#REF!</definedName>
    <definedName name="GRAPH" localSheetId="13">#REF!</definedName>
    <definedName name="GRAPH" localSheetId="14">#REF!</definedName>
    <definedName name="GRAPH" localSheetId="15">#REF!</definedName>
    <definedName name="GRAPH" localSheetId="17">[3]Effectif!#REF!</definedName>
    <definedName name="GRAPH" localSheetId="18">[3]Effectif!#REF!</definedName>
    <definedName name="GRAPH" localSheetId="19">[3]Effectif!#REF!</definedName>
    <definedName name="GRAPH" localSheetId="20">[3]Effectif!#REF!</definedName>
    <definedName name="GRAPH" localSheetId="21">[3]Effectif!#REF!</definedName>
    <definedName name="GRAPH" localSheetId="22">[3]Effectif!#REF!</definedName>
    <definedName name="GRAPH" localSheetId="4">[3]Effectif!#REF!</definedName>
    <definedName name="GRAPH" localSheetId="23">[3]Effectif!#REF!</definedName>
    <definedName name="GRAPH" localSheetId="24">[3]Effectif!#REF!</definedName>
    <definedName name="GRAPH" localSheetId="25">[3]Effectif!#REF!</definedName>
    <definedName name="GRAPH" localSheetId="26">[3]Effectif!#REF!</definedName>
    <definedName name="GRAPH" localSheetId="27">[3]Effectif!#REF!</definedName>
    <definedName name="GRAPH" localSheetId="28">[3]Effectif!#REF!</definedName>
    <definedName name="GRAPH" localSheetId="29">[3]Effectif!#REF!</definedName>
    <definedName name="GRAPH" localSheetId="30">#REF!</definedName>
    <definedName name="GRAPH" localSheetId="31">#REF!</definedName>
    <definedName name="GRAPH" localSheetId="32">#REF!</definedName>
    <definedName name="GRAPH" localSheetId="5">[3]Effectif!#REF!</definedName>
    <definedName name="GRAPH" localSheetId="33">#REF!</definedName>
    <definedName name="GRAPH" localSheetId="34">#REF!</definedName>
    <definedName name="GRAPH" localSheetId="6">[3]Effectif!#REF!</definedName>
    <definedName name="GRAPH" localSheetId="35">#REF!</definedName>
    <definedName name="GRAPH" localSheetId="36">#REF!</definedName>
    <definedName name="GRAPH" localSheetId="37">#REF!</definedName>
    <definedName name="GRAPH" localSheetId="38">#REF!</definedName>
    <definedName name="GRAPH" localSheetId="39">#REF!</definedName>
    <definedName name="GRAPH" localSheetId="7">#REF!</definedName>
    <definedName name="GRAPH" localSheetId="8">[3]Effectif!#REF!</definedName>
    <definedName name="GRAPH" localSheetId="10">'[4]الصفحة 1'!#REF!</definedName>
    <definedName name="GRAPH" localSheetId="11">'[4]الصفحة 1'!#REF!</definedName>
    <definedName name="GRAPH" localSheetId="12">'[4]الصفحة 1'!#REF!</definedName>
    <definedName name="GRAPH" localSheetId="40">#REF!</definedName>
    <definedName name="GRAPH" localSheetId="2">#REF!</definedName>
    <definedName name="GRAPH" localSheetId="1">#REF!</definedName>
    <definedName name="GRAPH">'[5]صفحة الدفتر'!#REF!</definedName>
    <definedName name="j" localSheetId="13">#REF!</definedName>
    <definedName name="j" localSheetId="14">#REF!</definedName>
    <definedName name="j" localSheetId="15">#REF!</definedName>
    <definedName name="j" localSheetId="17">#REF!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4">#REF!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28">#REF!</definedName>
    <definedName name="j" localSheetId="29">#REF!</definedName>
    <definedName name="j" localSheetId="30">#REF!</definedName>
    <definedName name="j" localSheetId="31">#REF!</definedName>
    <definedName name="j" localSheetId="32">#REF!</definedName>
    <definedName name="j" localSheetId="5">#REF!</definedName>
    <definedName name="j" localSheetId="33">#REF!</definedName>
    <definedName name="j" localSheetId="34">#REF!</definedName>
    <definedName name="j" localSheetId="6">#REF!</definedName>
    <definedName name="j" localSheetId="35">#REF!</definedName>
    <definedName name="j" localSheetId="36">#REF!</definedName>
    <definedName name="j" localSheetId="37">#REF!</definedName>
    <definedName name="j" localSheetId="38">#REF!</definedName>
    <definedName name="j" localSheetId="39">#REF!</definedName>
    <definedName name="j" localSheetId="7">#REF!</definedName>
    <definedName name="j" localSheetId="8">#REF!</definedName>
    <definedName name="j" localSheetId="10">#REF!</definedName>
    <definedName name="j" localSheetId="11">#REF!</definedName>
    <definedName name="j" localSheetId="12">#REF!</definedName>
    <definedName name="j" localSheetId="40">#REF!</definedName>
    <definedName name="j" localSheetId="2">#REF!</definedName>
    <definedName name="j" localSheetId="1">#REF!</definedName>
    <definedName name="j">#REF!</definedName>
    <definedName name="Langue" localSheetId="13">#REF!</definedName>
    <definedName name="Langue" localSheetId="14">#REF!</definedName>
    <definedName name="Langue" localSheetId="15">#REF!</definedName>
    <definedName name="Langue" localSheetId="17">[3]Base!#REF!</definedName>
    <definedName name="Langue" localSheetId="18">[3]Base!#REF!</definedName>
    <definedName name="Langue" localSheetId="19">[3]Base!#REF!</definedName>
    <definedName name="Langue" localSheetId="20">[3]Base!#REF!</definedName>
    <definedName name="Langue" localSheetId="21">[3]Base!#REF!</definedName>
    <definedName name="Langue" localSheetId="22">[3]Base!#REF!</definedName>
    <definedName name="Langue" localSheetId="4">[3]Base!#REF!</definedName>
    <definedName name="Langue" localSheetId="23">[3]Base!#REF!</definedName>
    <definedName name="Langue" localSheetId="24">[3]Base!#REF!</definedName>
    <definedName name="Langue" localSheetId="25">[3]Base!#REF!</definedName>
    <definedName name="Langue" localSheetId="26">[3]Base!#REF!</definedName>
    <definedName name="Langue" localSheetId="27">[3]Base!#REF!</definedName>
    <definedName name="Langue" localSheetId="28">[3]Base!#REF!</definedName>
    <definedName name="Langue" localSheetId="29">[3]Base!#REF!</definedName>
    <definedName name="Langue" localSheetId="30">#REF!</definedName>
    <definedName name="Langue" localSheetId="31">#REF!</definedName>
    <definedName name="Langue" localSheetId="32">#REF!</definedName>
    <definedName name="Langue" localSheetId="5">[3]Base!#REF!</definedName>
    <definedName name="Langue" localSheetId="33">#REF!</definedName>
    <definedName name="Langue" localSheetId="34">#REF!</definedName>
    <definedName name="Langue" localSheetId="6">[3]Base!#REF!</definedName>
    <definedName name="Langue" localSheetId="35">#REF!</definedName>
    <definedName name="Langue" localSheetId="36">#REF!</definedName>
    <definedName name="Langue" localSheetId="37">#REF!</definedName>
    <definedName name="Langue" localSheetId="38">#REF!</definedName>
    <definedName name="Langue" localSheetId="39">#REF!</definedName>
    <definedName name="Langue" localSheetId="7">#REF!</definedName>
    <definedName name="Langue" localSheetId="8">[3]Base!#REF!</definedName>
    <definedName name="Langue" localSheetId="10">'[4]الصفحة 1'!#REF!</definedName>
    <definedName name="Langue" localSheetId="11">'[4]الصفحة 1'!#REF!</definedName>
    <definedName name="Langue" localSheetId="12">'[4]الصفحة 1'!#REF!</definedName>
    <definedName name="Langue" localSheetId="40">#REF!</definedName>
    <definedName name="Langue" localSheetId="2">#REF!</definedName>
    <definedName name="Langue" localSheetId="1">#REF!</definedName>
    <definedName name="Langue">'[5]صفحة الدفتر'!#REF!</definedName>
    <definedName name="page7" localSheetId="14">'الصفحة 11'!____ZI7,'الصفحة 11'!____ZI8,'الصفحة 11'!____ZI9,'الصفحة 11'!____ZI10</definedName>
    <definedName name="page7" localSheetId="17">'الصفحة 14'!____ZI7,'الصفحة 14'!____ZI8,'الصفحة 14'!____ZI9,'الصفحة 14'!____ZI10</definedName>
    <definedName name="page7" localSheetId="20">'الصفحة 17'!____ZI7,'الصفحة 17'!____ZI8,'الصفحة 17'!____ZI9,'الصفحة 17'!____ZI10</definedName>
    <definedName name="page7" localSheetId="21">'الصفحة 18'!____ZI7,'الصفحة 18'!____ZI8,'الصفحة 18'!____ZI9,'الصفحة 18'!____ZI10</definedName>
    <definedName name="page7" localSheetId="22">'الصفحة 19'!____ZI7,'الصفحة 19'!____ZI8,'الصفحة 19'!____ZI9,'الصفحة 19'!____ZI10</definedName>
    <definedName name="page7" localSheetId="23">'الصفحة 20'!____ZI7,'الصفحة 20'!____ZI8,'الصفحة 20'!____ZI9,'الصفحة 20'!____ZI10</definedName>
    <definedName name="page7" localSheetId="24">'الصفحة 21'!____ZI7,'الصفحة 21'!____ZI8,'الصفحة 21'!____ZI9,'الصفحة 21'!____ZI10</definedName>
    <definedName name="page7" localSheetId="25">'الصفحة 22'!____ZI7,'الصفحة 22'!____ZI8,'الصفحة 22'!____ZI9,'الصفحة 22'!____ZI10</definedName>
    <definedName name="page7" localSheetId="26">'الصفحة 23'!____ZI7,'الصفحة 23'!____ZI8,'الصفحة 23'!____ZI9,'الصفحة 23'!____ZI10</definedName>
    <definedName name="page7" localSheetId="27">'الصفحة 24'!____ZI7,'الصفحة 24'!____ZI8,'الصفحة 24'!____ZI9,'الصفحة 24'!____ZI10</definedName>
    <definedName name="page7" localSheetId="28">'الصفحة 25'!____ZI7,'الصفحة 25'!____ZI8,'الصفحة 25'!____ZI9,'الصفحة 25'!____ZI10</definedName>
    <definedName name="page7" localSheetId="29">'الصفحة 26'!____ZI7,'الصفحة 26'!____ZI8,'الصفحة 26'!____ZI9,'الصفحة 26'!____ZI10</definedName>
    <definedName name="page7" localSheetId="31">'الصفحة 28'!____ZI7,'الصفحة 28'!____ZI8,'الصفحة 28'!____ZI9,'الصفحة 28'!____ZI10</definedName>
    <definedName name="page7" localSheetId="6">'الصفحة 3-1'!____ZI7,'الصفحة 3-1'!____ZI8,'الصفحة 3-1'!____ZI9,'الصفحة 3-1'!____ZI10</definedName>
    <definedName name="page7" localSheetId="36">'الصفحة 33'!____ZI7,'الصفحة 33'!____ZI8,'الصفحة 33'!____ZI9,'الصفحة 33'!____ZI10</definedName>
    <definedName name="page7" localSheetId="10">'الصفحة 7'!____ZI7,'الصفحة 7'!____ZI8,'الصفحة 7'!____ZI9,'الصفحة 7'!____ZI10</definedName>
    <definedName name="page7" localSheetId="11">'الصفحة 8'!____ZI7,'الصفحة 8'!____ZI8,'الصفحة 8'!____ZI9,'الصفحة 8'!____ZI10</definedName>
    <definedName name="page7" localSheetId="12">'الصفحة 9'!____ZI7,'الصفحة 9'!____ZI8,'الصفحة 9'!____ZI9,'الصفحة 9'!____ZI10</definedName>
    <definedName name="page7" localSheetId="40">'حوصلة الانتقال والتسرب'!____ZI7,'حوصلة الانتقال والتسرب'!____ZI8,'حوصلة الانتقال والتسرب'!____ZI9,'حوصلة الانتقال والتسرب'!____ZI10</definedName>
    <definedName name="page7" localSheetId="2">دليل!____ZI7,دليل!____ZI8,دليل!____ZI9,دليل!____ZI10</definedName>
    <definedName name="page7">____ZI7,____ZI8,____ZI9,____ZI10</definedName>
    <definedName name="TAUX" localSheetId="41">_ZI7,_ZI8,_ZI9,_ZI10</definedName>
    <definedName name="TAUX" localSheetId="17">'الصفحة 14'!_ZI7,'الصفحة 14'!_ZI8,'الصفحة 14'!_ZI9,'الصفحة 14'!_ZI10</definedName>
    <definedName name="TAUX" localSheetId="18">'الصفحة 15'!_ZI7,'الصفحة 15'!_ZI8,'الصفحة 15'!_ZI9,'الصفحة 15'!_ZI10</definedName>
    <definedName name="TAUX" localSheetId="19">'الصفحة 16'!_ZI7,'الصفحة 16'!_ZI8,'الصفحة 16'!_ZI9,'الصفحة 16'!_ZI10</definedName>
    <definedName name="TAUX" localSheetId="20">'الصفحة 17'!_ZI7,'الصفحة 17'!_ZI8,'الصفحة 17'!_ZI9,'الصفحة 17'!_ZI10</definedName>
    <definedName name="TAUX" localSheetId="21">'الصفحة 18'!_ZI7,'الصفحة 18'!_ZI8,'الصفحة 18'!_ZI9,'الصفحة 18'!_ZI10</definedName>
    <definedName name="TAUX" localSheetId="22">'الصفحة 19'!_ZI7,'الصفحة 19'!_ZI8,'الصفحة 19'!_ZI9,'الصفحة 19'!_ZI10</definedName>
    <definedName name="TAUX" localSheetId="4">'الصفحة 2'!_ZI7,'الصفحة 2'!_ZI8,'الصفحة 2'!_ZI9,'الصفحة 2'!_ZI10</definedName>
    <definedName name="TAUX" localSheetId="23">'الصفحة 20'!_ZI7,'الصفحة 20'!_ZI8,'الصفحة 20'!_ZI9,'الصفحة 20'!_ZI10</definedName>
    <definedName name="TAUX" localSheetId="24">'الصفحة 21'!_ZI7,'الصفحة 21'!_ZI8,'الصفحة 21'!_ZI9,'الصفحة 21'!_ZI10</definedName>
    <definedName name="TAUX" localSheetId="25">'الصفحة 22'!_ZI7,'الصفحة 22'!_ZI8,'الصفحة 22'!_ZI9,'الصفحة 22'!_ZI10</definedName>
    <definedName name="TAUX" localSheetId="26">'الصفحة 23'!_ZI7,'الصفحة 23'!_ZI8,'الصفحة 23'!_ZI9,'الصفحة 23'!_ZI10</definedName>
    <definedName name="TAUX" localSheetId="27">'الصفحة 24'!_ZI7,'الصفحة 24'!_ZI8,'الصفحة 24'!_ZI9,'الصفحة 24'!_ZI10</definedName>
    <definedName name="TAUX" localSheetId="28">'الصفحة 25'!_ZI7,'الصفحة 25'!_ZI8,'الصفحة 25'!_ZI9,'الصفحة 25'!_ZI10</definedName>
    <definedName name="TAUX" localSheetId="29">'الصفحة 26'!_ZI7,'الصفحة 26'!_ZI8,'الصفحة 26'!_ZI9,'الصفحة 26'!_ZI10</definedName>
    <definedName name="TAUX" localSheetId="5">'الصفحة 3'!_ZI7,'الصفحة 3'!_ZI8,'الصفحة 3'!_ZI9,'الصفحة 3'!_ZI10</definedName>
    <definedName name="TAUX" localSheetId="6">'الصفحة 3-1'!_ZI7,'الصفحة 3-1'!_ZI8,'الصفحة 3-1'!_ZI9,'الصفحة 3-1'!_ZI10</definedName>
    <definedName name="TAUX" localSheetId="36">'الصفحة 33'!_ZI7,'الصفحة 33'!_ZI8,'الصفحة 33'!_ZI9,'الصفحة 33'!_ZI10</definedName>
    <definedName name="TAUX" localSheetId="8">'الصفحة 5'!_ZI7,'الصفحة 5'!_ZI8,'الصفحة 5'!_ZI9,'الصفحة 5'!_ZI10</definedName>
    <definedName name="TAUX" localSheetId="10">'الصفحة 7'!_ZI7,'الصفحة 7'!_ZI8,'الصفحة 7'!_ZI9,'الصفحة 7'!_ZI10</definedName>
    <definedName name="TAUX" localSheetId="11">'الصفحة 8'!_ZI7,'الصفحة 8'!_ZI8,'الصفحة 8'!_ZI9,'الصفحة 8'!_ZI10</definedName>
    <definedName name="TAUX" localSheetId="12">'الصفحة 9'!_ZI7,'الصفحة 9'!_ZI8,'الصفحة 9'!_ZI9,'الصفحة 9'!_ZI10</definedName>
    <definedName name="TAUX" localSheetId="40">'حوصلة الانتقال والتسرب'!_ZI7,'حوصلة الانتقال والتسرب'!_ZI8,'حوصلة الانتقال والتسرب'!_ZI9,'حوصلة الانتقال والتسرب'!_ZI10</definedName>
    <definedName name="TAUX" localSheetId="2">دليل!_ZI7,دليل!_ZI8,دليل!_ZI9,دليل!_ZI10</definedName>
    <definedName name="TAUX">_ZI7,_ZI8,_ZI9,_ZI10</definedName>
    <definedName name="_xlnm.Print_Area" localSheetId="41">_ZI7,_ZI8,_ZI9,_ZI10</definedName>
    <definedName name="_xlnm.Print_Area" localSheetId="17">'الصفحة 14'!_ZI7,'الصفحة 14'!_ZI8,'الصفحة 14'!_ZI9,'الصفحة 14'!_ZI10</definedName>
    <definedName name="_xlnm.Print_Area" localSheetId="18">'الصفحة 15'!_ZI7,'الصفحة 15'!_ZI8,'الصفحة 15'!_ZI9,'الصفحة 15'!_ZI10</definedName>
    <definedName name="_xlnm.Print_Area" localSheetId="19">'الصفحة 16'!$AD$365:$AN$520,'الصفحة 16'!$BA$487:$BL$650</definedName>
    <definedName name="_xlnm.Print_Area" localSheetId="20">'الصفحة 17'!$AD$365:$AN$520,'الصفحة 17'!$BA$487:$BL$650</definedName>
    <definedName name="_xlnm.Print_Area" localSheetId="21">'الصفحة 18'!$AD$365:$AN$520,'الصفحة 18'!$BA$487:$BL$650</definedName>
    <definedName name="_xlnm.Print_Area" localSheetId="22">'الصفحة 19'!$AD$365:$AN$520,'الصفحة 19'!$BA$487:$BL$650</definedName>
    <definedName name="_xlnm.Print_Area" localSheetId="4">'الصفحة 2'!$AD$365:$AN$520,'الصفحة 2'!$BA$487:$BL$650</definedName>
    <definedName name="_xlnm.Print_Area" localSheetId="23">'الصفحة 20'!_ZI7,'الصفحة 20'!_ZI8,'الصفحة 20'!_ZI9,'الصفحة 20'!_ZI10</definedName>
    <definedName name="_xlnm.Print_Area" localSheetId="24">'الصفحة 21'!_ZI7,'الصفحة 21'!_ZI8,'الصفحة 21'!_ZI9,'الصفحة 21'!_ZI10</definedName>
    <definedName name="_xlnm.Print_Area" localSheetId="25">'الصفحة 22'!_ZI7,'الصفحة 22'!_ZI8,'الصفحة 22'!_ZI9,'الصفحة 22'!_ZI10</definedName>
    <definedName name="_xlnm.Print_Area" localSheetId="26">'الصفحة 23'!_ZI7,'الصفحة 23'!_ZI8,'الصفحة 23'!_ZI9,'الصفحة 23'!_ZI10</definedName>
    <definedName name="_xlnm.Print_Area" localSheetId="27">'الصفحة 24'!_ZI7,'الصفحة 24'!_ZI8,'الصفحة 24'!_ZI9,'الصفحة 24'!_ZI10</definedName>
    <definedName name="_xlnm.Print_Area" localSheetId="28">'الصفحة 25'!_ZI7,'الصفحة 25'!_ZI8,'الصفحة 25'!_ZI9,'الصفحة 25'!_ZI10</definedName>
    <definedName name="_xlnm.Print_Area" localSheetId="29">'الصفحة 26'!_ZI7,'الصفحة 26'!_ZI8,'الصفحة 26'!_ZI9,'الصفحة 26'!_ZI10</definedName>
    <definedName name="_xlnm.Print_Area" localSheetId="5">'الصفحة 3'!$AD$351:$AN$506,'الصفحة 3'!$BA$473:$BL$636</definedName>
    <definedName name="_xlnm.Print_Area" localSheetId="6">'الصفحة 3-1'!$AD$353:$AN$508,'الصفحة 3-1'!$BA$475:$BL$638</definedName>
    <definedName name="_xlnm.Print_Area" localSheetId="36">'الصفحة 33'!_ZI7,'الصفحة 33'!_ZI8,'الصفحة 33'!_ZI9,'الصفحة 33'!_ZI10</definedName>
    <definedName name="_xlnm.Print_Area" localSheetId="8">'الصفحة 5'!$AD$365:$AN$520,'الصفحة 5'!$BA$487:$BL$650</definedName>
    <definedName name="_xlnm.Print_Area" localSheetId="10">'الصفحة 7'!_ZI7,'الصفحة 7'!_ZI8,'الصفحة 7'!_ZI9,'الصفحة 7'!_ZI10</definedName>
    <definedName name="_xlnm.Print_Area" localSheetId="11">'الصفحة 8'!_ZI7,'الصفحة 8'!_ZI8,'الصفحة 8'!_ZI9,'الصفحة 8'!_ZI10</definedName>
    <definedName name="_xlnm.Print_Area" localSheetId="12">'الصفحة 9'!_ZI7,'الصفحة 9'!_ZI8,'الصفحة 9'!_ZI9,'الصفحة 9'!_ZI10</definedName>
    <definedName name="_xlnm.Print_Area" localSheetId="40">'حوصلة الانتقال والتسرب'!$F$3:$AB$22</definedName>
    <definedName name="_xlnm.Print_Area" localSheetId="2">دليل!_ZI7,دليل!_ZI8,دليل!_ZI9,دليل!_ZI10</definedName>
    <definedName name="_xlnm.Print_Area">_ZI7,_ZI8,_ZI9,_ZI10</definedName>
  </definedNames>
  <calcPr calcId="144525"/>
</workbook>
</file>

<file path=xl/calcChain.xml><?xml version="1.0" encoding="utf-8"?>
<calcChain xmlns="http://schemas.openxmlformats.org/spreadsheetml/2006/main">
  <c r="F78" i="55" l="1"/>
  <c r="O52" i="55"/>
  <c r="O66" i="55"/>
  <c r="AA64" i="55"/>
  <c r="F18" i="57" l="1"/>
  <c r="D11" i="57" l="1"/>
  <c r="D11" i="75"/>
  <c r="AH1" i="57" l="1"/>
  <c r="AH1" i="75"/>
  <c r="Y26" i="57" l="1"/>
  <c r="Y24" i="57"/>
  <c r="AA26" i="55"/>
  <c r="Y68" i="55"/>
  <c r="O68" i="55"/>
  <c r="F49" i="75" l="1"/>
  <c r="J14" i="1" l="1"/>
  <c r="I14" i="1"/>
  <c r="AA35" i="58" l="1"/>
  <c r="F20" i="75" l="1"/>
  <c r="F46" i="75"/>
  <c r="K14" i="75"/>
  <c r="AI1" i="75"/>
  <c r="AD1" i="75"/>
  <c r="X28" i="75" l="1"/>
  <c r="X26" i="75"/>
  <c r="Y28" i="75"/>
  <c r="Y26" i="75"/>
  <c r="K60" i="55"/>
  <c r="D61" i="74" l="1"/>
  <c r="B68" i="74" l="1"/>
  <c r="AA56" i="55"/>
  <c r="AA58" i="55" l="1"/>
  <c r="AA62" i="55"/>
  <c r="AA60" i="55"/>
  <c r="Y30" i="24"/>
  <c r="Y28" i="24"/>
  <c r="Y26" i="24"/>
  <c r="Q14" i="24"/>
  <c r="I36" i="24"/>
  <c r="I34" i="24"/>
  <c r="I32" i="24"/>
  <c r="I30" i="24"/>
  <c r="I28" i="24"/>
  <c r="I26" i="24"/>
  <c r="Y38" i="24"/>
  <c r="Y36" i="24"/>
  <c r="Y34" i="24"/>
  <c r="AD46" i="47"/>
  <c r="AC46" i="47"/>
  <c r="AB46" i="47"/>
  <c r="AA46" i="47"/>
  <c r="Z46" i="47"/>
  <c r="Y46" i="47"/>
  <c r="X46" i="47"/>
  <c r="W46" i="47"/>
  <c r="AD43" i="47"/>
  <c r="AD45" i="47" s="1"/>
  <c r="AC43" i="47"/>
  <c r="AC45" i="47" s="1"/>
  <c r="AB43" i="47"/>
  <c r="AB45" i="47" s="1"/>
  <c r="AA43" i="47"/>
  <c r="AA45" i="47" s="1"/>
  <c r="Z43" i="47"/>
  <c r="Z45" i="47" s="1"/>
  <c r="Y43" i="47"/>
  <c r="Y45" i="47" s="1"/>
  <c r="X43" i="47"/>
  <c r="X45" i="47" s="1"/>
  <c r="W43" i="47"/>
  <c r="W45" i="47" s="1"/>
  <c r="V46" i="47"/>
  <c r="V43" i="47"/>
  <c r="AD46" i="46"/>
  <c r="AC46" i="46"/>
  <c r="AB46" i="46"/>
  <c r="AA46" i="46"/>
  <c r="Z46" i="46"/>
  <c r="Y46" i="46"/>
  <c r="X46" i="46"/>
  <c r="W46" i="46"/>
  <c r="AD43" i="46"/>
  <c r="AD45" i="46" s="1"/>
  <c r="AC43" i="46"/>
  <c r="AC45" i="46" s="1"/>
  <c r="AB43" i="46"/>
  <c r="AB45" i="46" s="1"/>
  <c r="AA43" i="46"/>
  <c r="AA45" i="46" s="1"/>
  <c r="Z43" i="46"/>
  <c r="Z45" i="46" s="1"/>
  <c r="Y43" i="46"/>
  <c r="Y45" i="46" s="1"/>
  <c r="X43" i="46"/>
  <c r="X45" i="46" s="1"/>
  <c r="W43" i="46"/>
  <c r="W45" i="46" s="1"/>
  <c r="V46" i="46"/>
  <c r="V43" i="46"/>
  <c r="AD46" i="44"/>
  <c r="AC46" i="44"/>
  <c r="AB46" i="44"/>
  <c r="AA46" i="44"/>
  <c r="Z46" i="44"/>
  <c r="Y46" i="44"/>
  <c r="X46" i="44"/>
  <c r="W46" i="44"/>
  <c r="AD43" i="44"/>
  <c r="AD45" i="44" s="1"/>
  <c r="AC43" i="44"/>
  <c r="AC45" i="44" s="1"/>
  <c r="AB43" i="44"/>
  <c r="AB45" i="44" s="1"/>
  <c r="AA43" i="44"/>
  <c r="AA45" i="44" s="1"/>
  <c r="Z43" i="44"/>
  <c r="Z45" i="44" s="1"/>
  <c r="Y43" i="44"/>
  <c r="Y45" i="44" s="1"/>
  <c r="X43" i="44"/>
  <c r="X45" i="44" s="1"/>
  <c r="W43" i="44"/>
  <c r="W45" i="44" s="1"/>
  <c r="V46" i="44"/>
  <c r="V43" i="44"/>
  <c r="I85" i="24"/>
  <c r="I83" i="24"/>
  <c r="H79" i="24"/>
  <c r="W37" i="1"/>
  <c r="W33" i="1"/>
  <c r="T16" i="1"/>
  <c r="I49" i="31"/>
  <c r="I46" i="31"/>
  <c r="C74" i="55"/>
  <c r="W84" i="55"/>
  <c r="AK70" i="55"/>
  <c r="S40" i="55"/>
  <c r="W34" i="1" l="1"/>
  <c r="Q85" i="24"/>
  <c r="H64" i="55"/>
  <c r="R78" i="55"/>
  <c r="AH56" i="55"/>
  <c r="E46" i="31"/>
  <c r="E49" i="31"/>
  <c r="Z16" i="1"/>
  <c r="AC33" i="1"/>
  <c r="AC34" i="1"/>
  <c r="AC37" i="1"/>
  <c r="Q44" i="75"/>
  <c r="D30" i="75"/>
  <c r="E20" i="75"/>
  <c r="D60" i="57"/>
  <c r="D65" i="75"/>
  <c r="D44" i="75"/>
  <c r="P20" i="75"/>
  <c r="P60" i="57"/>
  <c r="D46" i="57"/>
  <c r="E18" i="57"/>
  <c r="E36" i="75"/>
  <c r="D30" i="57"/>
  <c r="D28" i="57"/>
  <c r="D62" i="57"/>
  <c r="E32" i="75"/>
  <c r="Q56" i="58"/>
  <c r="H51" i="57"/>
  <c r="U32" i="57"/>
  <c r="V32" i="75"/>
  <c r="W69" i="75"/>
  <c r="C61" i="75"/>
  <c r="H53" i="57"/>
  <c r="V32" i="57"/>
  <c r="V69" i="75"/>
  <c r="U32" i="75"/>
  <c r="U69" i="75"/>
  <c r="C63" i="75"/>
  <c r="T30" i="57"/>
  <c r="T81" i="75"/>
  <c r="T77" i="75"/>
  <c r="T73" i="75"/>
  <c r="T42" i="75"/>
  <c r="V38" i="75"/>
  <c r="T34" i="75"/>
  <c r="T69" i="75"/>
  <c r="E67" i="75"/>
  <c r="D34" i="57"/>
  <c r="T44" i="57"/>
  <c r="T40" i="57"/>
  <c r="T36" i="57"/>
  <c r="T32" i="57"/>
  <c r="O66" i="57"/>
  <c r="AB66" i="57"/>
  <c r="E75" i="75"/>
  <c r="E40" i="75"/>
  <c r="S66" i="57"/>
  <c r="U81" i="75"/>
  <c r="U77" i="75"/>
  <c r="U73" i="75"/>
  <c r="V42" i="75"/>
  <c r="T38" i="75"/>
  <c r="V34" i="75"/>
  <c r="T32" i="75"/>
  <c r="T67" i="75"/>
  <c r="E71" i="75"/>
  <c r="R44" i="57"/>
  <c r="R40" i="57"/>
  <c r="R36" i="57"/>
  <c r="R32" i="57"/>
  <c r="AB68" i="57"/>
  <c r="AB63" i="57"/>
  <c r="E79" i="75"/>
  <c r="W46" i="75"/>
  <c r="K66" i="57"/>
  <c r="Q62" i="57"/>
  <c r="K30" i="57"/>
  <c r="E24" i="57"/>
  <c r="E68" i="57"/>
  <c r="V51" i="75"/>
  <c r="J68" i="57"/>
  <c r="D63" i="57"/>
  <c r="V49" i="75"/>
  <c r="E26" i="57"/>
  <c r="P44" i="75"/>
  <c r="W28" i="57"/>
  <c r="N44" i="57"/>
  <c r="K32" i="57"/>
  <c r="AB53" i="57"/>
  <c r="AD32" i="57"/>
  <c r="AD36" i="57"/>
  <c r="K44" i="57"/>
  <c r="N32" i="57"/>
  <c r="AB51" i="57"/>
  <c r="AD30" i="57"/>
  <c r="AB34" i="57"/>
  <c r="AD34" i="57"/>
  <c r="K40" i="57"/>
  <c r="N36" i="57"/>
  <c r="AB57" i="57"/>
  <c r="AB49" i="57"/>
  <c r="AB30" i="57"/>
  <c r="AD44" i="57"/>
  <c r="K36" i="57"/>
  <c r="N40" i="57"/>
  <c r="AB55" i="57"/>
  <c r="AD42" i="57"/>
  <c r="AD27" i="57"/>
  <c r="Q81" i="75"/>
  <c r="Q73" i="75"/>
  <c r="N67" i="75"/>
  <c r="AB67" i="75"/>
  <c r="N77" i="75"/>
  <c r="N69" i="75"/>
  <c r="AB75" i="75"/>
  <c r="AB81" i="75"/>
  <c r="AB40" i="75"/>
  <c r="AB61" i="75"/>
  <c r="AB53" i="75"/>
  <c r="AD57" i="75"/>
  <c r="AD24" i="75"/>
  <c r="AB36" i="75"/>
  <c r="AB71" i="75"/>
  <c r="AB32" i="75"/>
  <c r="AB63" i="75"/>
  <c r="AB55" i="75"/>
  <c r="AB46" i="75"/>
  <c r="AD49" i="75"/>
  <c r="N81" i="75"/>
  <c r="Q77" i="75"/>
  <c r="Q69" i="75"/>
  <c r="AB38" i="75"/>
  <c r="N32" i="75"/>
  <c r="N73" i="75"/>
  <c r="AB69" i="75"/>
  <c r="AB73" i="75"/>
  <c r="AB34" i="75"/>
  <c r="AD55" i="75"/>
  <c r="AB57" i="75"/>
  <c r="AB49" i="75"/>
  <c r="AD51" i="75"/>
  <c r="AD26" i="75"/>
  <c r="AB77" i="75"/>
  <c r="AB79" i="75"/>
  <c r="AB42" i="75"/>
  <c r="AB59" i="75"/>
  <c r="AB51" i="75"/>
  <c r="AD53" i="75"/>
  <c r="AD28" i="75"/>
  <c r="L50" i="58"/>
  <c r="W49" i="57"/>
  <c r="D66" i="57"/>
  <c r="O63" i="57"/>
  <c r="M63" i="57"/>
  <c r="K63" i="57"/>
  <c r="I63" i="57"/>
  <c r="G63" i="57"/>
  <c r="E63" i="57"/>
  <c r="W57" i="57"/>
  <c r="I66" i="57"/>
  <c r="N63" i="57"/>
  <c r="L63" i="57"/>
  <c r="J63" i="57"/>
  <c r="H63" i="57"/>
  <c r="F63" i="57"/>
  <c r="E55" i="57"/>
  <c r="E51" i="57"/>
  <c r="I44" i="57"/>
  <c r="I36" i="57"/>
  <c r="D44" i="57"/>
  <c r="D36" i="57"/>
  <c r="E57" i="57"/>
  <c r="E53" i="57"/>
  <c r="E49" i="57"/>
  <c r="I40" i="57"/>
  <c r="I32" i="57"/>
  <c r="D40" i="57"/>
  <c r="D32" i="57"/>
  <c r="D38" i="57"/>
  <c r="D42" i="57"/>
  <c r="E22" i="57"/>
  <c r="V55" i="75"/>
  <c r="E63" i="75"/>
  <c r="E59" i="75"/>
  <c r="E55" i="75"/>
  <c r="E51" i="75"/>
  <c r="E49" i="75"/>
  <c r="E81" i="75"/>
  <c r="E73" i="75"/>
  <c r="J81" i="75"/>
  <c r="J73" i="75"/>
  <c r="J42" i="75"/>
  <c r="J34" i="75"/>
  <c r="E38" i="75"/>
  <c r="T26" i="75"/>
  <c r="E28" i="75"/>
  <c r="E24" i="75"/>
  <c r="E20" i="57"/>
  <c r="W30" i="75"/>
  <c r="W65" i="75"/>
  <c r="V57" i="75"/>
  <c r="V53" i="75"/>
  <c r="E61" i="75"/>
  <c r="E57" i="75"/>
  <c r="E53" i="75"/>
  <c r="E46" i="75"/>
  <c r="E77" i="75"/>
  <c r="E69" i="75"/>
  <c r="J77" i="75"/>
  <c r="J69" i="75"/>
  <c r="J38" i="75"/>
  <c r="E42" i="75"/>
  <c r="E34" i="75"/>
  <c r="T28" i="75"/>
  <c r="T24" i="75"/>
  <c r="E26" i="75"/>
  <c r="E22" i="75"/>
  <c r="Q63" i="75"/>
  <c r="N59" i="75"/>
  <c r="Q61" i="75"/>
  <c r="C32" i="75"/>
  <c r="Q59" i="75"/>
  <c r="H36" i="55"/>
  <c r="G68" i="55"/>
  <c r="AK48" i="58"/>
  <c r="AK46" i="58"/>
  <c r="U48" i="24"/>
  <c r="K46" i="57"/>
  <c r="H22" i="75"/>
  <c r="H26" i="75"/>
  <c r="H61" i="75"/>
  <c r="H57" i="75"/>
  <c r="H53" i="75"/>
  <c r="P30" i="75"/>
  <c r="H55" i="57"/>
  <c r="W26" i="24"/>
  <c r="H24" i="75"/>
  <c r="H28" i="75"/>
  <c r="H63" i="75"/>
  <c r="H59" i="75"/>
  <c r="H55" i="75"/>
  <c r="H51" i="75"/>
  <c r="H57" i="57"/>
  <c r="H84" i="55"/>
  <c r="Q84" i="55"/>
  <c r="Y64" i="55"/>
  <c r="R64" i="55"/>
  <c r="R28" i="55"/>
  <c r="AB26" i="75"/>
  <c r="K20" i="75"/>
  <c r="P46" i="72"/>
  <c r="N46" i="72"/>
  <c r="L46" i="72"/>
  <c r="P45" i="72"/>
  <c r="N45" i="72"/>
  <c r="L45" i="72"/>
  <c r="V28" i="70"/>
  <c r="V22" i="70"/>
  <c r="V16" i="70"/>
  <c r="V22" i="69"/>
  <c r="V28" i="68"/>
  <c r="V22" i="68"/>
  <c r="V16" i="68"/>
  <c r="V28" i="67"/>
  <c r="V22" i="67"/>
  <c r="V16" i="67"/>
  <c r="V22" i="66"/>
  <c r="V16" i="66"/>
  <c r="V22" i="65"/>
  <c r="V16" i="64"/>
  <c r="V16" i="63"/>
  <c r="V22" i="61"/>
  <c r="V28" i="60"/>
  <c r="V22" i="60"/>
  <c r="V16" i="60"/>
  <c r="Q46" i="72"/>
  <c r="O46" i="72"/>
  <c r="M46" i="72"/>
  <c r="G46" i="72"/>
  <c r="Q45" i="72"/>
  <c r="O45" i="72"/>
  <c r="M45" i="72"/>
  <c r="G45" i="72"/>
  <c r="V25" i="70"/>
  <c r="V19" i="70"/>
  <c r="V13" i="70"/>
  <c r="V25" i="69"/>
  <c r="V19" i="69"/>
  <c r="V25" i="68"/>
  <c r="V19" i="68"/>
  <c r="V13" i="68"/>
  <c r="V25" i="67"/>
  <c r="V19" i="67"/>
  <c r="V13" i="67"/>
  <c r="V25" i="66"/>
  <c r="V19" i="66"/>
  <c r="V25" i="65"/>
  <c r="V19" i="65"/>
  <c r="V25" i="64"/>
  <c r="V19" i="64"/>
  <c r="V25" i="63"/>
  <c r="V19" i="63"/>
  <c r="V13" i="63"/>
  <c r="V25" i="62"/>
  <c r="V19" i="62"/>
  <c r="V25" i="61"/>
  <c r="V19" i="61"/>
  <c r="V25" i="60"/>
  <c r="V19" i="60"/>
  <c r="V13" i="60"/>
  <c r="V25" i="54"/>
  <c r="V19" i="54"/>
  <c r="V12" i="54"/>
  <c r="Q35" i="58"/>
  <c r="T50" i="58"/>
  <c r="T54" i="58"/>
  <c r="J41" i="58"/>
  <c r="T48" i="58"/>
  <c r="AB20" i="75"/>
  <c r="AH82" i="57"/>
  <c r="AB22" i="75"/>
  <c r="AD32" i="75"/>
  <c r="AD40" i="75"/>
  <c r="Q42" i="75"/>
  <c r="Q34" i="75"/>
  <c r="N38" i="75"/>
  <c r="N34" i="75"/>
  <c r="D48" i="75"/>
  <c r="H20" i="75"/>
  <c r="AD34" i="75"/>
  <c r="AD38" i="75"/>
  <c r="AD36" i="75"/>
  <c r="AK58" i="55"/>
  <c r="Q38" i="75"/>
  <c r="N42" i="75"/>
  <c r="AD42" i="75"/>
  <c r="AB28" i="75"/>
  <c r="AB24" i="75"/>
  <c r="N64" i="55"/>
  <c r="AK60" i="55"/>
  <c r="W34" i="24"/>
  <c r="I95" i="24"/>
  <c r="W48" i="55"/>
  <c r="R82" i="55"/>
  <c r="W78" i="55"/>
  <c r="AH58" i="55"/>
  <c r="Y70" i="55"/>
  <c r="H58" i="55"/>
  <c r="G46" i="31"/>
  <c r="K46" i="31"/>
  <c r="G49" i="31"/>
  <c r="K49" i="31"/>
  <c r="T12" i="1"/>
  <c r="Z12" i="1"/>
  <c r="T33" i="1"/>
  <c r="Z33" i="1"/>
  <c r="T34" i="1"/>
  <c r="Z34" i="1"/>
  <c r="T37" i="1"/>
  <c r="Z37" i="1"/>
  <c r="V72" i="55"/>
  <c r="J39" i="58"/>
  <c r="Q83" i="24"/>
  <c r="Q79" i="24"/>
  <c r="I97" i="24"/>
  <c r="S42" i="55"/>
  <c r="W50" i="55"/>
  <c r="C80" i="55"/>
  <c r="R84" i="55"/>
  <c r="R80" i="55"/>
  <c r="W80" i="55"/>
  <c r="W82" i="55"/>
  <c r="AH60" i="55"/>
  <c r="C72" i="55"/>
  <c r="U47" i="31"/>
  <c r="F46" i="31"/>
  <c r="H46" i="31"/>
  <c r="J46" i="31"/>
  <c r="L46" i="31"/>
  <c r="F49" i="31"/>
  <c r="H49" i="31"/>
  <c r="J49" i="31"/>
  <c r="L49" i="31"/>
  <c r="T14" i="1"/>
  <c r="T17" i="1"/>
  <c r="Z14" i="1"/>
  <c r="Z17" i="1"/>
  <c r="U33" i="1"/>
  <c r="X33" i="1"/>
  <c r="AA33" i="1"/>
  <c r="AD33" i="1"/>
  <c r="U34" i="1"/>
  <c r="X34" i="1"/>
  <c r="AA34" i="1"/>
  <c r="AD34" i="1"/>
  <c r="U37" i="1"/>
  <c r="X37" i="1"/>
  <c r="AA37" i="1"/>
  <c r="AD37" i="1"/>
  <c r="V74" i="55"/>
  <c r="G26" i="58"/>
  <c r="W8" i="31"/>
  <c r="J57" i="33"/>
  <c r="I57" i="33"/>
  <c r="H57" i="33"/>
  <c r="G57" i="33"/>
  <c r="J56" i="33"/>
  <c r="I56" i="33"/>
  <c r="H56" i="33"/>
  <c r="G56" i="33"/>
  <c r="J55" i="33"/>
  <c r="I55" i="33"/>
  <c r="H55" i="33"/>
  <c r="G55" i="33"/>
  <c r="J54" i="33"/>
  <c r="I54" i="33"/>
  <c r="H54" i="33"/>
  <c r="G54" i="33"/>
  <c r="J53" i="33"/>
  <c r="I53" i="33"/>
  <c r="H53" i="33"/>
  <c r="G53" i="33"/>
  <c r="J52" i="33"/>
  <c r="I52" i="33"/>
  <c r="H52" i="33"/>
  <c r="G52" i="33"/>
  <c r="J51" i="33"/>
  <c r="I51" i="33"/>
  <c r="H51" i="33"/>
  <c r="G51" i="33"/>
  <c r="J50" i="33"/>
  <c r="I50" i="33"/>
  <c r="H50" i="33"/>
  <c r="G50" i="33"/>
  <c r="J49" i="33"/>
  <c r="I49" i="33"/>
  <c r="H49" i="33"/>
  <c r="G49" i="33"/>
  <c r="J48" i="33"/>
  <c r="I48" i="33"/>
  <c r="H48" i="33"/>
  <c r="G48" i="33"/>
  <c r="J47" i="33"/>
  <c r="I47" i="33"/>
  <c r="H47" i="33"/>
  <c r="G47" i="33"/>
  <c r="J46" i="33"/>
  <c r="I46" i="33"/>
  <c r="H46" i="33"/>
  <c r="G46" i="33"/>
  <c r="J56" i="40"/>
  <c r="I56" i="40"/>
  <c r="H56" i="40"/>
  <c r="G56" i="40"/>
  <c r="G5" i="1"/>
  <c r="J6" i="31"/>
  <c r="H4" i="27"/>
  <c r="I16" i="1"/>
  <c r="K18" i="24"/>
  <c r="U19" i="31" l="1"/>
  <c r="U6" i="31"/>
  <c r="X8" i="31"/>
  <c r="X7" i="31" s="1"/>
  <c r="W7" i="31"/>
  <c r="U8" i="31"/>
  <c r="U7" i="31" s="1"/>
  <c r="X93" i="24" l="1"/>
  <c r="Y93" i="24" s="1"/>
  <c r="M16" i="1" l="1"/>
  <c r="K16" i="1"/>
  <c r="Y6" i="31"/>
  <c r="X6" i="31"/>
  <c r="W6" i="31"/>
  <c r="Y23" i="31" l="1"/>
  <c r="X23" i="31"/>
  <c r="W23" i="31"/>
  <c r="U23" i="31"/>
  <c r="X47" i="31"/>
  <c r="W47" i="31"/>
  <c r="Y42" i="31"/>
  <c r="X42" i="31"/>
  <c r="W42" i="31"/>
  <c r="U42" i="31"/>
  <c r="Y43" i="31"/>
  <c r="X43" i="31"/>
  <c r="W43" i="31"/>
  <c r="U43" i="31"/>
  <c r="Y41" i="31"/>
  <c r="X41" i="31"/>
  <c r="W41" i="31"/>
  <c r="U41" i="31"/>
  <c r="U40" i="31"/>
  <c r="Y40" i="31"/>
  <c r="X40" i="31"/>
  <c r="W40" i="31"/>
  <c r="M40" i="31"/>
  <c r="U45" i="31" s="1"/>
  <c r="Y39" i="31"/>
  <c r="X39" i="31"/>
  <c r="W39" i="31"/>
  <c r="U39" i="31"/>
  <c r="Y38" i="31"/>
  <c r="X38" i="31"/>
  <c r="W38" i="31"/>
  <c r="U38" i="31"/>
  <c r="Y37" i="31"/>
  <c r="X37" i="31"/>
  <c r="W37" i="31"/>
  <c r="Y27" i="31"/>
  <c r="Y28" i="31"/>
  <c r="X28" i="31"/>
  <c r="W28" i="31"/>
  <c r="U28" i="31"/>
  <c r="X27" i="31"/>
  <c r="W27" i="31"/>
  <c r="U27" i="31"/>
  <c r="Y19" i="31"/>
  <c r="Y21" i="31"/>
  <c r="X21" i="31"/>
  <c r="W21" i="31"/>
  <c r="U21" i="31"/>
  <c r="W20" i="31"/>
  <c r="X20" i="31"/>
  <c r="Y20" i="31"/>
  <c r="U20" i="31"/>
  <c r="X19" i="31"/>
  <c r="W19" i="31"/>
  <c r="AJ61" i="27"/>
  <c r="AI61" i="27"/>
  <c r="AF61" i="27"/>
  <c r="AE61" i="27"/>
  <c r="AB61" i="27"/>
  <c r="AA61" i="27"/>
  <c r="X61" i="27"/>
  <c r="W61" i="27"/>
  <c r="AJ60" i="27"/>
  <c r="AI60" i="27"/>
  <c r="AF60" i="27"/>
  <c r="AE60" i="27"/>
  <c r="AB60" i="27"/>
  <c r="AA60" i="27"/>
  <c r="X60" i="27"/>
  <c r="W60" i="27"/>
  <c r="AC47" i="46"/>
  <c r="AA47" i="46"/>
  <c r="Y47" i="46"/>
  <c r="W47" i="46"/>
  <c r="V45" i="46"/>
  <c r="AD47" i="47"/>
  <c r="AC47" i="47"/>
  <c r="AB47" i="47"/>
  <c r="AA47" i="47"/>
  <c r="Z47" i="47"/>
  <c r="Y47" i="47"/>
  <c r="X47" i="47"/>
  <c r="W47" i="47"/>
  <c r="V47" i="47"/>
  <c r="V45" i="47"/>
  <c r="AD39" i="47"/>
  <c r="AD41" i="47" s="1"/>
  <c r="AC39" i="47"/>
  <c r="AC41" i="47" s="1"/>
  <c r="AB39" i="47"/>
  <c r="AB41" i="47" s="1"/>
  <c r="AA39" i="47"/>
  <c r="AA41" i="47" s="1"/>
  <c r="Z39" i="47"/>
  <c r="Z41" i="47" s="1"/>
  <c r="Y39" i="47"/>
  <c r="Y41" i="47" s="1"/>
  <c r="X39" i="47"/>
  <c r="X41" i="47" s="1"/>
  <c r="W39" i="47"/>
  <c r="W41" i="47" s="1"/>
  <c r="V39" i="47"/>
  <c r="V41" i="47" s="1"/>
  <c r="AD47" i="46"/>
  <c r="AB47" i="46"/>
  <c r="Z47" i="46"/>
  <c r="X47" i="46"/>
  <c r="V47" i="46"/>
  <c r="AD39" i="46"/>
  <c r="AD41" i="46" s="1"/>
  <c r="AB39" i="46"/>
  <c r="AB41" i="46" s="1"/>
  <c r="Z39" i="46"/>
  <c r="Z41" i="46" s="1"/>
  <c r="X39" i="46"/>
  <c r="X41" i="46" s="1"/>
  <c r="V39" i="46"/>
  <c r="V41" i="46" s="1"/>
  <c r="V47" i="44"/>
  <c r="AD47" i="44"/>
  <c r="AC47" i="44"/>
  <c r="AB47" i="44"/>
  <c r="AA47" i="44"/>
  <c r="Z47" i="44"/>
  <c r="Y47" i="44"/>
  <c r="X47" i="44"/>
  <c r="W47" i="44"/>
  <c r="V45" i="44"/>
  <c r="AD39" i="44"/>
  <c r="AD41" i="44" s="1"/>
  <c r="AC39" i="44"/>
  <c r="AC41" i="44" s="1"/>
  <c r="AB39" i="44"/>
  <c r="AB41" i="44" s="1"/>
  <c r="AA39" i="44"/>
  <c r="AA41" i="44" s="1"/>
  <c r="Z39" i="44"/>
  <c r="Z41" i="44" s="1"/>
  <c r="Y39" i="44"/>
  <c r="Y41" i="44" s="1"/>
  <c r="X39" i="44"/>
  <c r="X41" i="44" s="1"/>
  <c r="W39" i="44"/>
  <c r="W41" i="44" s="1"/>
  <c r="Q20" i="58"/>
  <c r="W39" i="46" l="1"/>
  <c r="W41" i="46" s="1"/>
  <c r="Y39" i="46"/>
  <c r="Y41" i="46" s="1"/>
  <c r="AA39" i="46"/>
  <c r="AA41" i="46" s="1"/>
  <c r="AC39" i="46"/>
  <c r="AC41" i="46" s="1"/>
  <c r="V39" i="44"/>
  <c r="V41" i="44" s="1"/>
  <c r="AB22" i="57" l="1"/>
  <c r="AK48" i="55"/>
  <c r="AK50" i="55"/>
  <c r="AF48" i="55"/>
  <c r="R30" i="55" l="1"/>
  <c r="P95" i="24"/>
  <c r="AB28" i="24"/>
  <c r="K24" i="24"/>
  <c r="K20" i="24"/>
  <c r="K16" i="24"/>
  <c r="AD89" i="24"/>
  <c r="AF28" i="24" l="1"/>
  <c r="AH28" i="24"/>
  <c r="AB66" i="24"/>
  <c r="Q44" i="72"/>
  <c r="P44" i="72"/>
  <c r="O44" i="72"/>
  <c r="N44" i="72"/>
  <c r="M44" i="72"/>
  <c r="L44" i="72"/>
  <c r="K44" i="72"/>
  <c r="J44" i="72"/>
  <c r="I44" i="72"/>
  <c r="H44" i="72"/>
  <c r="G44" i="72"/>
  <c r="F44" i="72"/>
  <c r="Q43" i="72"/>
  <c r="P43" i="72"/>
  <c r="O43" i="72"/>
  <c r="N43" i="72"/>
  <c r="M43" i="72"/>
  <c r="L43" i="72"/>
  <c r="K43" i="72"/>
  <c r="J43" i="72"/>
  <c r="I43" i="72"/>
  <c r="H43" i="72"/>
  <c r="G43" i="72"/>
  <c r="F43" i="72"/>
  <c r="R42" i="72"/>
  <c r="R41" i="72"/>
  <c r="R40" i="72"/>
  <c r="R39" i="72"/>
  <c r="R38" i="72"/>
  <c r="R37" i="72"/>
  <c r="R36" i="72"/>
  <c r="R35" i="72"/>
  <c r="R34" i="72"/>
  <c r="R33" i="72"/>
  <c r="P25" i="37"/>
  <c r="O25" i="37"/>
  <c r="P24" i="37"/>
  <c r="O24" i="37"/>
  <c r="P23" i="37"/>
  <c r="O23" i="37"/>
  <c r="P22" i="37"/>
  <c r="O22" i="37"/>
  <c r="P21" i="37"/>
  <c r="O21" i="37"/>
  <c r="E27" i="54"/>
  <c r="R43" i="72" l="1"/>
  <c r="R44" i="72"/>
  <c r="N74" i="37"/>
  <c r="M74" i="37"/>
  <c r="L74" i="37"/>
  <c r="K74" i="37"/>
  <c r="J74" i="37"/>
  <c r="I74" i="37"/>
  <c r="H74" i="37"/>
  <c r="G74" i="37"/>
  <c r="F74" i="37"/>
  <c r="E74" i="37"/>
  <c r="P74" i="35"/>
  <c r="O74" i="35"/>
  <c r="N74" i="35"/>
  <c r="M74" i="35"/>
  <c r="L74" i="35"/>
  <c r="K74" i="35"/>
  <c r="J74" i="35"/>
  <c r="I74" i="35"/>
  <c r="H74" i="35"/>
  <c r="G74" i="35"/>
  <c r="F74" i="35"/>
  <c r="E74" i="35"/>
  <c r="K74" i="21"/>
  <c r="J74" i="21"/>
  <c r="I74" i="21"/>
  <c r="H74" i="21"/>
  <c r="G74" i="21"/>
  <c r="F74" i="21"/>
  <c r="E74" i="21"/>
  <c r="P62" i="37"/>
  <c r="O62" i="37"/>
  <c r="P61" i="37"/>
  <c r="O61" i="37"/>
  <c r="P60" i="37"/>
  <c r="O60" i="37"/>
  <c r="P73" i="37"/>
  <c r="O73" i="37"/>
  <c r="P72" i="37"/>
  <c r="O72" i="37"/>
  <c r="P71" i="37"/>
  <c r="O71" i="37"/>
  <c r="P70" i="37"/>
  <c r="O70" i="37"/>
  <c r="P69" i="37"/>
  <c r="O69" i="37"/>
  <c r="P68" i="37"/>
  <c r="O68" i="37"/>
  <c r="P67" i="37"/>
  <c r="O67" i="37"/>
  <c r="P66" i="37"/>
  <c r="O66" i="37"/>
  <c r="P64" i="37"/>
  <c r="O64" i="37"/>
  <c r="S67" i="21"/>
  <c r="S66" i="21"/>
  <c r="S41" i="21"/>
  <c r="S37" i="21"/>
  <c r="S36" i="21"/>
  <c r="S34" i="21"/>
  <c r="S33" i="21"/>
  <c r="S21" i="21"/>
  <c r="S19" i="21"/>
  <c r="N34" i="21"/>
  <c r="M34" i="21"/>
  <c r="L34" i="21"/>
  <c r="U34" i="21" s="1"/>
  <c r="N33" i="21"/>
  <c r="M33" i="21"/>
  <c r="L33" i="21"/>
  <c r="U33" i="21" s="1"/>
  <c r="N32" i="21"/>
  <c r="M32" i="21"/>
  <c r="L32" i="21"/>
  <c r="U32" i="21" s="1"/>
  <c r="N31" i="21"/>
  <c r="M31" i="21"/>
  <c r="L31" i="21"/>
  <c r="U31" i="21" s="1"/>
  <c r="N55" i="21"/>
  <c r="M55" i="21"/>
  <c r="L55" i="21"/>
  <c r="U55" i="21" s="1"/>
  <c r="N54" i="21"/>
  <c r="M54" i="21"/>
  <c r="L54" i="21"/>
  <c r="U54" i="21" s="1"/>
  <c r="N53" i="21"/>
  <c r="M53" i="21"/>
  <c r="L53" i="21"/>
  <c r="U53" i="21" s="1"/>
  <c r="N52" i="21"/>
  <c r="M52" i="21"/>
  <c r="L52" i="21"/>
  <c r="U52" i="21" s="1"/>
  <c r="N51" i="21"/>
  <c r="M51" i="21"/>
  <c r="L51" i="21"/>
  <c r="U51" i="21" s="1"/>
  <c r="N50" i="21"/>
  <c r="M50" i="21"/>
  <c r="L50" i="21"/>
  <c r="U50" i="21" s="1"/>
  <c r="N49" i="21"/>
  <c r="M49" i="21"/>
  <c r="L49" i="21"/>
  <c r="U49" i="21" s="1"/>
  <c r="N48" i="21"/>
  <c r="M48" i="21"/>
  <c r="L48" i="21"/>
  <c r="U48" i="21" s="1"/>
  <c r="N47" i="21"/>
  <c r="M47" i="21"/>
  <c r="L47" i="21"/>
  <c r="U47" i="21" s="1"/>
  <c r="N46" i="21"/>
  <c r="M46" i="21"/>
  <c r="L46" i="21"/>
  <c r="U46" i="21" s="1"/>
  <c r="N45" i="21"/>
  <c r="M45" i="21"/>
  <c r="L45" i="21"/>
  <c r="U45" i="21" s="1"/>
  <c r="N44" i="21"/>
  <c r="M44" i="21"/>
  <c r="L44" i="21"/>
  <c r="U44" i="21" s="1"/>
  <c r="N73" i="21"/>
  <c r="M73" i="21"/>
  <c r="V73" i="37" s="1"/>
  <c r="L73" i="21"/>
  <c r="U73" i="21" s="1"/>
  <c r="N72" i="21"/>
  <c r="M72" i="21"/>
  <c r="V72" i="37" s="1"/>
  <c r="L72" i="21"/>
  <c r="U72" i="21" s="1"/>
  <c r="N71" i="21"/>
  <c r="M71" i="21"/>
  <c r="V71" i="37" s="1"/>
  <c r="L71" i="21"/>
  <c r="N70" i="21"/>
  <c r="M70" i="21"/>
  <c r="V70" i="37" s="1"/>
  <c r="L70" i="21"/>
  <c r="U70" i="21" s="1"/>
  <c r="N69" i="21"/>
  <c r="M69" i="21"/>
  <c r="V69" i="37" s="1"/>
  <c r="L69" i="21"/>
  <c r="N68" i="21"/>
  <c r="M68" i="21"/>
  <c r="V68" i="37" s="1"/>
  <c r="L68" i="21"/>
  <c r="U68" i="21" s="1"/>
  <c r="N67" i="21"/>
  <c r="M67" i="21"/>
  <c r="V67" i="37" s="1"/>
  <c r="L67" i="21"/>
  <c r="N66" i="21"/>
  <c r="M66" i="21"/>
  <c r="V66" i="37" s="1"/>
  <c r="L66" i="21"/>
  <c r="U66" i="21" s="1"/>
  <c r="N65" i="21"/>
  <c r="M65" i="21"/>
  <c r="L65" i="21"/>
  <c r="U65" i="21" s="1"/>
  <c r="P41" i="37"/>
  <c r="O41" i="37"/>
  <c r="N41" i="21"/>
  <c r="M41" i="21"/>
  <c r="L41" i="21"/>
  <c r="U41" i="21" s="1"/>
  <c r="N36" i="21"/>
  <c r="M36" i="21"/>
  <c r="L36" i="21"/>
  <c r="U36" i="21" s="1"/>
  <c r="P36" i="37"/>
  <c r="V36" i="37" s="1"/>
  <c r="O36" i="37"/>
  <c r="U36" i="37" s="1"/>
  <c r="P37" i="37"/>
  <c r="O37" i="37"/>
  <c r="N37" i="21"/>
  <c r="M37" i="21"/>
  <c r="L37" i="21"/>
  <c r="U37" i="21" s="1"/>
  <c r="N19" i="21"/>
  <c r="M19" i="21"/>
  <c r="L19" i="21"/>
  <c r="U19" i="21" s="1"/>
  <c r="P19" i="37"/>
  <c r="V19" i="37" s="1"/>
  <c r="O19" i="37"/>
  <c r="U19" i="37" s="1"/>
  <c r="N21" i="21"/>
  <c r="M21" i="21"/>
  <c r="V21" i="37" s="1"/>
  <c r="L21" i="21"/>
  <c r="U21" i="21" s="1"/>
  <c r="I44" i="24"/>
  <c r="O44" i="24"/>
  <c r="U67" i="37" l="1"/>
  <c r="U67" i="21"/>
  <c r="U69" i="37"/>
  <c r="U69" i="21"/>
  <c r="U71" i="37"/>
  <c r="U71" i="21"/>
  <c r="U66" i="37"/>
  <c r="U68" i="37"/>
  <c r="U70" i="37"/>
  <c r="U72" i="37"/>
  <c r="U21" i="37"/>
  <c r="U37" i="37"/>
  <c r="U41" i="37"/>
  <c r="U73" i="37"/>
  <c r="V37" i="37"/>
  <c r="V41" i="37"/>
  <c r="K13" i="27"/>
  <c r="K48" i="27"/>
  <c r="L42" i="1"/>
  <c r="K42" i="1"/>
  <c r="J42" i="1"/>
  <c r="I42" i="1"/>
  <c r="H42" i="1"/>
  <c r="G42" i="1"/>
  <c r="F42" i="1"/>
  <c r="E42" i="1"/>
  <c r="N41" i="1"/>
  <c r="N42" i="1" s="1"/>
  <c r="M41" i="1"/>
  <c r="M42" i="1" s="1"/>
  <c r="L35" i="1"/>
  <c r="K35" i="1"/>
  <c r="J35" i="1"/>
  <c r="I35" i="1"/>
  <c r="H35" i="1"/>
  <c r="G35" i="1"/>
  <c r="F35" i="1"/>
  <c r="E35" i="1"/>
  <c r="N34" i="1"/>
  <c r="M34" i="1"/>
  <c r="N33" i="1"/>
  <c r="M33" i="1"/>
  <c r="M35" i="1" s="1"/>
  <c r="N41" i="31"/>
  <c r="M41" i="31"/>
  <c r="U46" i="31" s="1"/>
  <c r="N40" i="31"/>
  <c r="N39" i="31"/>
  <c r="M39" i="31"/>
  <c r="M37" i="31"/>
  <c r="N28" i="31"/>
  <c r="M28" i="31"/>
  <c r="N21" i="31"/>
  <c r="M21" i="31"/>
  <c r="M19" i="31"/>
  <c r="M9" i="31"/>
  <c r="AA43" i="1" s="1"/>
  <c r="N76" i="27"/>
  <c r="O76" i="27"/>
  <c r="N77" i="27"/>
  <c r="O77" i="27"/>
  <c r="N78" i="27"/>
  <c r="O78" i="27"/>
  <c r="F79" i="27"/>
  <c r="G79" i="27"/>
  <c r="H79" i="27"/>
  <c r="I79" i="27"/>
  <c r="J79" i="27"/>
  <c r="K79" i="27"/>
  <c r="L79" i="27"/>
  <c r="M79" i="27"/>
  <c r="N79" i="27"/>
  <c r="O79" i="27"/>
  <c r="P79" i="27"/>
  <c r="Q79" i="27"/>
  <c r="N59" i="27"/>
  <c r="O59" i="27"/>
  <c r="N60" i="27"/>
  <c r="O60" i="27"/>
  <c r="N61" i="27"/>
  <c r="O61" i="27"/>
  <c r="N62" i="27"/>
  <c r="O62" i="27"/>
  <c r="N63" i="27"/>
  <c r="O63" i="27"/>
  <c r="N64" i="27"/>
  <c r="O64" i="27"/>
  <c r="N65" i="27"/>
  <c r="O65" i="27"/>
  <c r="N66" i="27"/>
  <c r="O66" i="27"/>
  <c r="N67" i="27"/>
  <c r="O67" i="27"/>
  <c r="N68" i="27"/>
  <c r="O68" i="27"/>
  <c r="F69" i="27"/>
  <c r="G69" i="27"/>
  <c r="H69" i="27"/>
  <c r="I69" i="27"/>
  <c r="J69" i="27"/>
  <c r="K69" i="27"/>
  <c r="L69" i="27"/>
  <c r="M69" i="27"/>
  <c r="N69" i="27"/>
  <c r="O69" i="27"/>
  <c r="N70" i="27"/>
  <c r="O70" i="27"/>
  <c r="N45" i="27"/>
  <c r="AE50" i="27" s="1"/>
  <c r="O45" i="27"/>
  <c r="AF50" i="27" s="1"/>
  <c r="N46" i="27"/>
  <c r="W50" i="27" s="1"/>
  <c r="O46" i="27"/>
  <c r="X50" i="27" s="1"/>
  <c r="N47" i="27"/>
  <c r="O47" i="27"/>
  <c r="O48" i="27" s="1"/>
  <c r="F48" i="27"/>
  <c r="G48" i="27"/>
  <c r="H48" i="27"/>
  <c r="I48" i="27"/>
  <c r="J48" i="27"/>
  <c r="L48" i="27"/>
  <c r="M48" i="27"/>
  <c r="N49" i="27"/>
  <c r="O49" i="27"/>
  <c r="N50" i="27"/>
  <c r="O50" i="27"/>
  <c r="F51" i="27"/>
  <c r="G51" i="27"/>
  <c r="H51" i="27"/>
  <c r="I51" i="27"/>
  <c r="J51" i="27"/>
  <c r="K51" i="27"/>
  <c r="L51" i="27"/>
  <c r="M51" i="27"/>
  <c r="N51" i="27"/>
  <c r="O51" i="27"/>
  <c r="Q42" i="17"/>
  <c r="P42" i="17"/>
  <c r="O42" i="17"/>
  <c r="N42" i="17"/>
  <c r="M42" i="17"/>
  <c r="L42" i="17"/>
  <c r="K42" i="17"/>
  <c r="J42" i="17"/>
  <c r="I42" i="17"/>
  <c r="H42" i="17"/>
  <c r="G42" i="17"/>
  <c r="Q38" i="17"/>
  <c r="P38" i="17"/>
  <c r="O38" i="17"/>
  <c r="N38" i="17"/>
  <c r="M38" i="17"/>
  <c r="L38" i="17"/>
  <c r="K38" i="17"/>
  <c r="J38" i="17"/>
  <c r="I38" i="17"/>
  <c r="H38" i="17"/>
  <c r="G38" i="17"/>
  <c r="Q36" i="17"/>
  <c r="P36" i="17"/>
  <c r="O36" i="17"/>
  <c r="N36" i="17"/>
  <c r="M36" i="17"/>
  <c r="L36" i="17"/>
  <c r="K36" i="17"/>
  <c r="J36" i="17"/>
  <c r="I36" i="17"/>
  <c r="H36" i="17"/>
  <c r="G36" i="17"/>
  <c r="Q34" i="17"/>
  <c r="P34" i="17"/>
  <c r="O34" i="17"/>
  <c r="N34" i="17"/>
  <c r="M34" i="17"/>
  <c r="L34" i="17"/>
  <c r="K34" i="17"/>
  <c r="J34" i="17"/>
  <c r="I34" i="17"/>
  <c r="H34" i="17"/>
  <c r="G34" i="17"/>
  <c r="Q32" i="17"/>
  <c r="P32" i="17"/>
  <c r="O32" i="17"/>
  <c r="N32" i="17"/>
  <c r="M32" i="17"/>
  <c r="L32" i="17"/>
  <c r="K32" i="17"/>
  <c r="J32" i="17"/>
  <c r="I32" i="17"/>
  <c r="H32" i="17"/>
  <c r="G32" i="17"/>
  <c r="Q30" i="17"/>
  <c r="P30" i="17"/>
  <c r="O30" i="17"/>
  <c r="N30" i="17"/>
  <c r="M30" i="17"/>
  <c r="L30" i="17"/>
  <c r="K30" i="17"/>
  <c r="J30" i="17"/>
  <c r="I30" i="17"/>
  <c r="H30" i="17"/>
  <c r="G30" i="17"/>
  <c r="Q41" i="17"/>
  <c r="P41" i="17"/>
  <c r="O41" i="17"/>
  <c r="N41" i="17"/>
  <c r="M41" i="17"/>
  <c r="L41" i="17"/>
  <c r="K41" i="17"/>
  <c r="J41" i="17"/>
  <c r="I41" i="17"/>
  <c r="H41" i="17"/>
  <c r="G41" i="17"/>
  <c r="Q37" i="17"/>
  <c r="P37" i="17"/>
  <c r="O37" i="17"/>
  <c r="N37" i="17"/>
  <c r="M37" i="17"/>
  <c r="L37" i="17"/>
  <c r="K37" i="17"/>
  <c r="J37" i="17"/>
  <c r="I37" i="17"/>
  <c r="H37" i="17"/>
  <c r="G37" i="17"/>
  <c r="Q35" i="17"/>
  <c r="P35" i="17"/>
  <c r="O35" i="17"/>
  <c r="N35" i="17"/>
  <c r="M35" i="17"/>
  <c r="L35" i="17"/>
  <c r="K35" i="17"/>
  <c r="J35" i="17"/>
  <c r="I35" i="17"/>
  <c r="H35" i="17"/>
  <c r="G35" i="17"/>
  <c r="Q33" i="17"/>
  <c r="P33" i="17"/>
  <c r="O33" i="17"/>
  <c r="N33" i="17"/>
  <c r="M33" i="17"/>
  <c r="L33" i="17"/>
  <c r="K33" i="17"/>
  <c r="J33" i="17"/>
  <c r="I33" i="17"/>
  <c r="H33" i="17"/>
  <c r="G33" i="17"/>
  <c r="Q31" i="17"/>
  <c r="P31" i="17"/>
  <c r="O31" i="17"/>
  <c r="N31" i="17"/>
  <c r="M31" i="17"/>
  <c r="L31" i="17"/>
  <c r="K31" i="17"/>
  <c r="J31" i="17"/>
  <c r="I31" i="17"/>
  <c r="H31" i="17"/>
  <c r="G31" i="17"/>
  <c r="Q29" i="17"/>
  <c r="P29" i="17"/>
  <c r="O29" i="17"/>
  <c r="N29" i="17"/>
  <c r="M29" i="17"/>
  <c r="L29" i="17"/>
  <c r="K29" i="17"/>
  <c r="J29" i="17"/>
  <c r="I29" i="17"/>
  <c r="H29" i="17"/>
  <c r="G29" i="17"/>
  <c r="R23" i="72"/>
  <c r="R22" i="72"/>
  <c r="R21" i="72"/>
  <c r="R20" i="72"/>
  <c r="R19" i="72"/>
  <c r="R18" i="72"/>
  <c r="R17" i="72"/>
  <c r="R16" i="72"/>
  <c r="R15" i="72"/>
  <c r="R14" i="72"/>
  <c r="R13" i="72"/>
  <c r="R12" i="72"/>
  <c r="R11" i="72"/>
  <c r="R10" i="72"/>
  <c r="K14" i="57"/>
  <c r="AD1" i="57"/>
  <c r="AH78" i="55"/>
  <c r="H6" i="71"/>
  <c r="P23" i="71"/>
  <c r="F55" i="40" s="1"/>
  <c r="O23" i="71"/>
  <c r="F54" i="40" s="1"/>
  <c r="N23" i="71"/>
  <c r="F53" i="40" s="1"/>
  <c r="M23" i="71"/>
  <c r="F52" i="40" s="1"/>
  <c r="L23" i="71"/>
  <c r="F51" i="40" s="1"/>
  <c r="K23" i="71"/>
  <c r="F50" i="40" s="1"/>
  <c r="J23" i="71"/>
  <c r="F49" i="40" s="1"/>
  <c r="I23" i="71"/>
  <c r="F48" i="40" s="1"/>
  <c r="H23" i="71"/>
  <c r="F47" i="40" s="1"/>
  <c r="G23" i="71"/>
  <c r="F46" i="40" s="1"/>
  <c r="F23" i="71"/>
  <c r="F45" i="40" s="1"/>
  <c r="E23" i="71"/>
  <c r="F44" i="40" s="1"/>
  <c r="Q21" i="71"/>
  <c r="Q19" i="71"/>
  <c r="Q17" i="71"/>
  <c r="Q15" i="71"/>
  <c r="Q13" i="71"/>
  <c r="P10" i="71"/>
  <c r="O10" i="71"/>
  <c r="N10" i="71"/>
  <c r="M10" i="71"/>
  <c r="L10" i="71"/>
  <c r="K10" i="71"/>
  <c r="J10" i="71"/>
  <c r="I10" i="71"/>
  <c r="H10" i="71"/>
  <c r="G10" i="71"/>
  <c r="F10" i="71"/>
  <c r="E10" i="71"/>
  <c r="B27" i="71"/>
  <c r="N35" i="1" l="1"/>
  <c r="T45" i="40"/>
  <c r="T47" i="40"/>
  <c r="T49" i="40"/>
  <c r="T51" i="40"/>
  <c r="T53" i="40"/>
  <c r="T55" i="40"/>
  <c r="T44" i="40"/>
  <c r="T46" i="40"/>
  <c r="T48" i="40"/>
  <c r="T50" i="40"/>
  <c r="T52" i="40"/>
  <c r="T54" i="40"/>
  <c r="F46" i="33"/>
  <c r="N48" i="27"/>
  <c r="S45" i="31"/>
  <c r="F49" i="33"/>
  <c r="F51" i="33"/>
  <c r="F53" i="33"/>
  <c r="F50" i="33"/>
  <c r="F52" i="33"/>
  <c r="F54" i="33"/>
  <c r="F56" i="33"/>
  <c r="F47" i="33"/>
  <c r="F55" i="33"/>
  <c r="F57" i="33"/>
  <c r="S46" i="31"/>
  <c r="U37" i="31"/>
  <c r="W22" i="31"/>
  <c r="M22" i="31"/>
  <c r="W51" i="27"/>
  <c r="Q23" i="71"/>
  <c r="R29" i="17"/>
  <c r="W29" i="31"/>
  <c r="F26" i="72"/>
  <c r="H26" i="72"/>
  <c r="J26" i="72"/>
  <c r="L26" i="72"/>
  <c r="L28" i="72" s="1"/>
  <c r="N26" i="72"/>
  <c r="N28" i="72" s="1"/>
  <c r="P26" i="72"/>
  <c r="P28" i="72" s="1"/>
  <c r="F27" i="72"/>
  <c r="F46" i="72" s="1"/>
  <c r="H27" i="72"/>
  <c r="H46" i="72" s="1"/>
  <c r="J27" i="72"/>
  <c r="J46" i="72" s="1"/>
  <c r="L27" i="72"/>
  <c r="N27" i="72"/>
  <c r="P27" i="72"/>
  <c r="G26" i="72"/>
  <c r="G28" i="72" s="1"/>
  <c r="I26" i="72"/>
  <c r="K26" i="72"/>
  <c r="M26" i="72"/>
  <c r="M28" i="72" s="1"/>
  <c r="O26" i="72"/>
  <c r="O28" i="72" s="1"/>
  <c r="Q26" i="72"/>
  <c r="Q28" i="72" s="1"/>
  <c r="G27" i="72"/>
  <c r="I27" i="72"/>
  <c r="I46" i="72" s="1"/>
  <c r="K27" i="72"/>
  <c r="K46" i="72" s="1"/>
  <c r="M27" i="72"/>
  <c r="O27" i="72"/>
  <c r="Q27" i="72"/>
  <c r="R24" i="72"/>
  <c r="R25" i="72"/>
  <c r="F48" i="33"/>
  <c r="K28" i="72" l="1"/>
  <c r="K45" i="72"/>
  <c r="J28" i="72"/>
  <c r="J45" i="72"/>
  <c r="I28" i="72"/>
  <c r="I45" i="72"/>
  <c r="F58" i="33"/>
  <c r="H28" i="72"/>
  <c r="H45" i="72"/>
  <c r="F28" i="72"/>
  <c r="F45" i="72"/>
  <c r="F56" i="40"/>
  <c r="R26" i="72"/>
  <c r="R45" i="72" s="1"/>
  <c r="R27" i="72"/>
  <c r="R46" i="72" s="1"/>
  <c r="AH28" i="55"/>
  <c r="AF93" i="24"/>
  <c r="AD93" i="24"/>
  <c r="AB97" i="24"/>
  <c r="AB95" i="24"/>
  <c r="Q72" i="55"/>
  <c r="AB93" i="24"/>
  <c r="P97" i="24" l="1"/>
  <c r="Q45" i="20"/>
  <c r="Q44" i="20"/>
  <c r="Q43" i="20"/>
  <c r="Q42" i="20"/>
  <c r="Q41" i="20"/>
  <c r="Q40" i="20"/>
  <c r="Q39" i="20"/>
  <c r="Q38" i="20"/>
  <c r="Q37" i="20"/>
  <c r="Q36" i="20"/>
  <c r="Q35" i="20"/>
  <c r="Q34" i="20"/>
  <c r="Q33" i="20"/>
  <c r="Q32" i="20"/>
  <c r="Q31" i="20"/>
  <c r="Q30" i="20"/>
  <c r="P45" i="20"/>
  <c r="P44" i="20"/>
  <c r="P43" i="20"/>
  <c r="P42" i="20"/>
  <c r="P41" i="20"/>
  <c r="P40" i="20"/>
  <c r="P39" i="20"/>
  <c r="P38" i="20"/>
  <c r="P37" i="20"/>
  <c r="P36" i="20"/>
  <c r="P35" i="20"/>
  <c r="P34" i="20"/>
  <c r="P33" i="20"/>
  <c r="P32" i="20"/>
  <c r="P31" i="20"/>
  <c r="P30" i="20"/>
  <c r="O45" i="20"/>
  <c r="O44" i="20"/>
  <c r="O43" i="20"/>
  <c r="O42" i="20"/>
  <c r="O41" i="20"/>
  <c r="O40" i="20"/>
  <c r="O39" i="20"/>
  <c r="O38" i="20"/>
  <c r="O37" i="20"/>
  <c r="O36" i="20"/>
  <c r="O35" i="20"/>
  <c r="O34" i="20"/>
  <c r="O33" i="20"/>
  <c r="O32" i="20"/>
  <c r="O31" i="20"/>
  <c r="O30" i="20"/>
  <c r="N45" i="20"/>
  <c r="N44" i="20"/>
  <c r="N43" i="20"/>
  <c r="N42" i="20"/>
  <c r="N41" i="20"/>
  <c r="N40" i="20"/>
  <c r="N39" i="20"/>
  <c r="N38" i="20"/>
  <c r="N37" i="20"/>
  <c r="N36" i="20"/>
  <c r="N35" i="20"/>
  <c r="N34" i="20"/>
  <c r="N33" i="20"/>
  <c r="N32" i="20"/>
  <c r="N31" i="20"/>
  <c r="N30" i="20"/>
  <c r="M45" i="20"/>
  <c r="M44" i="20"/>
  <c r="M43" i="20"/>
  <c r="M42" i="20"/>
  <c r="M41" i="20"/>
  <c r="M40" i="20"/>
  <c r="M39" i="20"/>
  <c r="M38" i="20"/>
  <c r="M37" i="20"/>
  <c r="M36" i="20"/>
  <c r="M35" i="20"/>
  <c r="M34" i="20"/>
  <c r="M33" i="20"/>
  <c r="M32" i="20"/>
  <c r="M31" i="20"/>
  <c r="M30" i="20"/>
  <c r="L45" i="20"/>
  <c r="L44" i="20"/>
  <c r="L43" i="20"/>
  <c r="L42" i="20"/>
  <c r="L41" i="20"/>
  <c r="L40" i="20"/>
  <c r="L39" i="20"/>
  <c r="L38" i="20"/>
  <c r="L37" i="20"/>
  <c r="L36" i="20"/>
  <c r="L35" i="20"/>
  <c r="L34" i="20"/>
  <c r="L33" i="20"/>
  <c r="L32" i="20"/>
  <c r="L31" i="20"/>
  <c r="L30" i="20"/>
  <c r="K45" i="20"/>
  <c r="F45" i="20"/>
  <c r="F44" i="20"/>
  <c r="F43" i="20"/>
  <c r="F42" i="20"/>
  <c r="F41" i="20"/>
  <c r="F40" i="20"/>
  <c r="F39" i="20"/>
  <c r="F38" i="20"/>
  <c r="F37" i="20"/>
  <c r="F36" i="20"/>
  <c r="F35" i="20"/>
  <c r="F34" i="20"/>
  <c r="F33" i="20"/>
  <c r="F32" i="20"/>
  <c r="K44" i="20"/>
  <c r="K43" i="20"/>
  <c r="K42" i="20"/>
  <c r="K41" i="20"/>
  <c r="K40" i="20"/>
  <c r="K39" i="20"/>
  <c r="K38" i="20"/>
  <c r="K37" i="20"/>
  <c r="K36" i="20"/>
  <c r="K35" i="20"/>
  <c r="K34" i="20"/>
  <c r="K33" i="20"/>
  <c r="K32" i="20"/>
  <c r="K31" i="20"/>
  <c r="K30" i="20"/>
  <c r="J45" i="20"/>
  <c r="J44" i="20"/>
  <c r="J43" i="20"/>
  <c r="J42" i="20"/>
  <c r="J41" i="20"/>
  <c r="J40" i="20"/>
  <c r="J39" i="20"/>
  <c r="J38" i="20"/>
  <c r="J37" i="20"/>
  <c r="J36" i="20"/>
  <c r="J35" i="20"/>
  <c r="J34" i="20"/>
  <c r="J33" i="20"/>
  <c r="J32" i="20"/>
  <c r="J31" i="20"/>
  <c r="J30" i="20"/>
  <c r="I45" i="20"/>
  <c r="I44" i="20"/>
  <c r="I43" i="20"/>
  <c r="I42" i="20"/>
  <c r="I41" i="20"/>
  <c r="I40" i="20"/>
  <c r="I39" i="20"/>
  <c r="I38" i="20"/>
  <c r="I37" i="20"/>
  <c r="I36" i="20"/>
  <c r="I35" i="20"/>
  <c r="I34" i="20"/>
  <c r="I33" i="20"/>
  <c r="I32" i="20"/>
  <c r="I31" i="20"/>
  <c r="I30" i="20"/>
  <c r="H45" i="20"/>
  <c r="H44" i="20"/>
  <c r="H43" i="20"/>
  <c r="H42" i="20"/>
  <c r="H41" i="20"/>
  <c r="H40" i="20"/>
  <c r="H39" i="20"/>
  <c r="H38" i="20"/>
  <c r="H37" i="20"/>
  <c r="H36" i="20"/>
  <c r="H35" i="20"/>
  <c r="H34" i="20"/>
  <c r="H33" i="20"/>
  <c r="H32" i="20"/>
  <c r="H31" i="20"/>
  <c r="H30" i="20"/>
  <c r="G45" i="20"/>
  <c r="G44" i="20"/>
  <c r="G43" i="20"/>
  <c r="G42" i="20"/>
  <c r="G41" i="20"/>
  <c r="G40" i="20"/>
  <c r="G39" i="20"/>
  <c r="G38" i="20"/>
  <c r="G37" i="20"/>
  <c r="G36" i="20"/>
  <c r="G35" i="20"/>
  <c r="G34" i="20"/>
  <c r="G33" i="20"/>
  <c r="G32" i="20"/>
  <c r="G31" i="20"/>
  <c r="G30" i="20"/>
  <c r="O56" i="19"/>
  <c r="N56" i="19"/>
  <c r="M56" i="19"/>
  <c r="L56" i="19"/>
  <c r="K56" i="19"/>
  <c r="J56" i="19"/>
  <c r="I56" i="19"/>
  <c r="H56" i="19"/>
  <c r="G56" i="19"/>
  <c r="F56" i="19"/>
  <c r="O55" i="19"/>
  <c r="N55" i="19"/>
  <c r="M55" i="19"/>
  <c r="L55" i="19"/>
  <c r="K55" i="19"/>
  <c r="J55" i="19"/>
  <c r="I55" i="19"/>
  <c r="H55" i="19"/>
  <c r="G55" i="19"/>
  <c r="F55" i="19"/>
  <c r="O54" i="19"/>
  <c r="N54" i="19"/>
  <c r="M54" i="19"/>
  <c r="L54" i="19"/>
  <c r="K54" i="19"/>
  <c r="J54" i="19"/>
  <c r="I54" i="19"/>
  <c r="H54" i="19"/>
  <c r="G54" i="19"/>
  <c r="F54" i="19"/>
  <c r="O53" i="19"/>
  <c r="N53" i="19"/>
  <c r="M53" i="19"/>
  <c r="L53" i="19"/>
  <c r="K53" i="19"/>
  <c r="J53" i="19"/>
  <c r="I53" i="19"/>
  <c r="H53" i="19"/>
  <c r="G53" i="19"/>
  <c r="F53" i="19"/>
  <c r="O52" i="19"/>
  <c r="N52" i="19"/>
  <c r="M52" i="19"/>
  <c r="L52" i="19"/>
  <c r="K52" i="19"/>
  <c r="J52" i="19"/>
  <c r="I52" i="19"/>
  <c r="H52" i="19"/>
  <c r="G52" i="19"/>
  <c r="F52" i="19"/>
  <c r="O51" i="19"/>
  <c r="N51" i="19"/>
  <c r="M51" i="19"/>
  <c r="L51" i="19"/>
  <c r="K51" i="19"/>
  <c r="J51" i="19"/>
  <c r="I51" i="19"/>
  <c r="H51" i="19"/>
  <c r="G51" i="19"/>
  <c r="F51" i="19"/>
  <c r="O50" i="19"/>
  <c r="N50" i="19"/>
  <c r="M50" i="19"/>
  <c r="L50" i="19"/>
  <c r="K50" i="19"/>
  <c r="J50" i="19"/>
  <c r="I50" i="19"/>
  <c r="H50" i="19"/>
  <c r="G50" i="19"/>
  <c r="F50" i="19"/>
  <c r="O49" i="19"/>
  <c r="N49" i="19"/>
  <c r="M49" i="19"/>
  <c r="L49" i="19"/>
  <c r="K49" i="19"/>
  <c r="J49" i="19"/>
  <c r="I49" i="19"/>
  <c r="H49" i="19"/>
  <c r="G49" i="19"/>
  <c r="F49" i="19"/>
  <c r="O48" i="19"/>
  <c r="N48" i="19"/>
  <c r="M48" i="19"/>
  <c r="L48" i="19"/>
  <c r="K48" i="19"/>
  <c r="J48" i="19"/>
  <c r="I48" i="19"/>
  <c r="H48" i="19"/>
  <c r="G48" i="19"/>
  <c r="F48" i="19"/>
  <c r="O47" i="19"/>
  <c r="N47" i="19"/>
  <c r="M47" i="19"/>
  <c r="L47" i="19"/>
  <c r="K47" i="19"/>
  <c r="J47" i="19"/>
  <c r="I47" i="19"/>
  <c r="H47" i="19"/>
  <c r="G47" i="19"/>
  <c r="F47" i="19"/>
  <c r="O46" i="19"/>
  <c r="N46" i="19"/>
  <c r="M46" i="19"/>
  <c r="L46" i="19"/>
  <c r="K46" i="19"/>
  <c r="J46" i="19"/>
  <c r="I46" i="19"/>
  <c r="H46" i="19"/>
  <c r="G46" i="19"/>
  <c r="F46" i="19"/>
  <c r="O45" i="19"/>
  <c r="N45" i="19"/>
  <c r="M45" i="19"/>
  <c r="L45" i="19"/>
  <c r="K45" i="19"/>
  <c r="J45" i="19"/>
  <c r="I45" i="19"/>
  <c r="H45" i="19"/>
  <c r="G45" i="19"/>
  <c r="F45" i="19"/>
  <c r="O57" i="19"/>
  <c r="N57" i="19"/>
  <c r="Z23" i="18"/>
  <c r="Y23" i="18"/>
  <c r="X23" i="18"/>
  <c r="W23" i="18"/>
  <c r="V23" i="18"/>
  <c r="U23" i="18"/>
  <c r="T23" i="18"/>
  <c r="S23" i="18"/>
  <c r="R23" i="18"/>
  <c r="Q23" i="18"/>
  <c r="P23" i="18"/>
  <c r="O23" i="18"/>
  <c r="N23" i="18"/>
  <c r="M23" i="18"/>
  <c r="L23" i="18"/>
  <c r="K23" i="18"/>
  <c r="J23" i="18"/>
  <c r="I23" i="18"/>
  <c r="H23" i="18"/>
  <c r="G23" i="18"/>
  <c r="F23" i="18"/>
  <c r="E23" i="18"/>
  <c r="Z40" i="18"/>
  <c r="Y40" i="18"/>
  <c r="X40" i="18"/>
  <c r="W40" i="18"/>
  <c r="V40" i="18"/>
  <c r="U40" i="18"/>
  <c r="T40" i="18"/>
  <c r="S40" i="18"/>
  <c r="R40" i="18"/>
  <c r="Q40" i="18"/>
  <c r="P40" i="18"/>
  <c r="O40" i="18"/>
  <c r="N40" i="18"/>
  <c r="M40" i="18"/>
  <c r="L40" i="18"/>
  <c r="K40" i="18"/>
  <c r="J40" i="18"/>
  <c r="I40" i="18"/>
  <c r="H40" i="18"/>
  <c r="G40" i="18"/>
  <c r="F40" i="18"/>
  <c r="E40" i="18"/>
  <c r="Z39" i="18"/>
  <c r="Y39" i="18"/>
  <c r="X39" i="18"/>
  <c r="W39" i="18"/>
  <c r="V39" i="18"/>
  <c r="U39" i="18"/>
  <c r="T39" i="18"/>
  <c r="S39" i="18"/>
  <c r="R39" i="18"/>
  <c r="Q39" i="18"/>
  <c r="P39" i="18"/>
  <c r="O39" i="18"/>
  <c r="N39" i="18"/>
  <c r="M39" i="18"/>
  <c r="L39" i="18"/>
  <c r="K39" i="18"/>
  <c r="J39" i="18"/>
  <c r="I39" i="18"/>
  <c r="H39" i="18"/>
  <c r="G39" i="18"/>
  <c r="F39" i="18"/>
  <c r="E39" i="18"/>
  <c r="Z38" i="18"/>
  <c r="Y38" i="18"/>
  <c r="X38" i="18"/>
  <c r="W38" i="18"/>
  <c r="V38" i="18"/>
  <c r="U38" i="18"/>
  <c r="T38" i="18"/>
  <c r="S38" i="18"/>
  <c r="R38" i="18"/>
  <c r="Q38" i="18"/>
  <c r="P38" i="18"/>
  <c r="O38" i="18"/>
  <c r="N38" i="18"/>
  <c r="M38" i="18"/>
  <c r="L38" i="18"/>
  <c r="K38" i="18"/>
  <c r="J38" i="18"/>
  <c r="I38" i="18"/>
  <c r="H38" i="18"/>
  <c r="G38" i="18"/>
  <c r="F38" i="18"/>
  <c r="E38" i="18"/>
  <c r="Z37" i="18"/>
  <c r="Y37" i="18"/>
  <c r="X37" i="18"/>
  <c r="W37" i="18"/>
  <c r="V37" i="18"/>
  <c r="U37" i="18"/>
  <c r="T37" i="18"/>
  <c r="S37" i="18"/>
  <c r="R37" i="18"/>
  <c r="Q37" i="18"/>
  <c r="P37" i="18"/>
  <c r="O37" i="18"/>
  <c r="N37" i="18"/>
  <c r="M37" i="18"/>
  <c r="L37" i="18"/>
  <c r="K37" i="18"/>
  <c r="J37" i="18"/>
  <c r="I37" i="18"/>
  <c r="H37" i="18"/>
  <c r="G37" i="18"/>
  <c r="F37" i="18"/>
  <c r="E37" i="18"/>
  <c r="Z36" i="18"/>
  <c r="Y36" i="18"/>
  <c r="X36" i="18"/>
  <c r="W36" i="18"/>
  <c r="V36" i="18"/>
  <c r="U36" i="18"/>
  <c r="T36" i="18"/>
  <c r="S36" i="18"/>
  <c r="R36" i="18"/>
  <c r="Q36" i="18"/>
  <c r="P36" i="18"/>
  <c r="O36" i="18"/>
  <c r="N36" i="18"/>
  <c r="M36" i="18"/>
  <c r="L36" i="18"/>
  <c r="K36" i="18"/>
  <c r="J36" i="18"/>
  <c r="I36" i="18"/>
  <c r="H36" i="18"/>
  <c r="G36" i="18"/>
  <c r="F36" i="18"/>
  <c r="E36" i="18"/>
  <c r="Z35" i="18"/>
  <c r="Y35" i="18"/>
  <c r="X35" i="18"/>
  <c r="W35" i="18"/>
  <c r="V35" i="18"/>
  <c r="U35" i="18"/>
  <c r="T35" i="18"/>
  <c r="S35" i="18"/>
  <c r="R35" i="18"/>
  <c r="Q35" i="18"/>
  <c r="P35" i="18"/>
  <c r="O35" i="18"/>
  <c r="N35" i="18"/>
  <c r="M35" i="18"/>
  <c r="L35" i="18"/>
  <c r="K35" i="18"/>
  <c r="J35" i="18"/>
  <c r="I35" i="18"/>
  <c r="H35" i="18"/>
  <c r="G35" i="18"/>
  <c r="F35" i="18"/>
  <c r="E35" i="18"/>
  <c r="Z34" i="18"/>
  <c r="Y34" i="18"/>
  <c r="X34" i="18"/>
  <c r="W34" i="18"/>
  <c r="V34" i="18"/>
  <c r="U34" i="18"/>
  <c r="T34" i="18"/>
  <c r="S34" i="18"/>
  <c r="R34" i="18"/>
  <c r="Q34" i="18"/>
  <c r="P34" i="18"/>
  <c r="O34" i="18"/>
  <c r="N34" i="18"/>
  <c r="M34" i="18"/>
  <c r="L34" i="18"/>
  <c r="K34" i="18"/>
  <c r="J34" i="18"/>
  <c r="I34" i="18"/>
  <c r="H34" i="18"/>
  <c r="G34" i="18"/>
  <c r="F34" i="18"/>
  <c r="E34" i="18"/>
  <c r="Z33" i="18"/>
  <c r="Y33" i="18"/>
  <c r="X33" i="18"/>
  <c r="W33" i="18"/>
  <c r="V33" i="18"/>
  <c r="U33" i="18"/>
  <c r="T33" i="18"/>
  <c r="S33" i="18"/>
  <c r="R33" i="18"/>
  <c r="Q33" i="18"/>
  <c r="P33" i="18"/>
  <c r="O33" i="18"/>
  <c r="N33" i="18"/>
  <c r="M33" i="18"/>
  <c r="L33" i="18"/>
  <c r="K33" i="18"/>
  <c r="J33" i="18"/>
  <c r="I33" i="18"/>
  <c r="H33" i="18"/>
  <c r="G33" i="18"/>
  <c r="F33" i="18"/>
  <c r="E33" i="18"/>
  <c r="Z32" i="18"/>
  <c r="Y32" i="18"/>
  <c r="X32" i="18"/>
  <c r="W32" i="18"/>
  <c r="V32" i="18"/>
  <c r="U32" i="18"/>
  <c r="T32" i="18"/>
  <c r="S32" i="18"/>
  <c r="R32" i="18"/>
  <c r="Q32" i="18"/>
  <c r="P32" i="18"/>
  <c r="O32" i="18"/>
  <c r="N32" i="18"/>
  <c r="M32" i="18"/>
  <c r="L32" i="18"/>
  <c r="K32" i="18"/>
  <c r="J32" i="18"/>
  <c r="I32" i="18"/>
  <c r="H32" i="18"/>
  <c r="G32" i="18"/>
  <c r="F32" i="18"/>
  <c r="E32" i="18"/>
  <c r="Z31" i="18"/>
  <c r="Y31" i="18"/>
  <c r="X31" i="18"/>
  <c r="W31" i="18"/>
  <c r="V31" i="18"/>
  <c r="U31" i="18"/>
  <c r="T31" i="18"/>
  <c r="S31" i="18"/>
  <c r="R31" i="18"/>
  <c r="Q31" i="18"/>
  <c r="P31" i="18"/>
  <c r="O31" i="18"/>
  <c r="N31" i="18"/>
  <c r="M31" i="18"/>
  <c r="L31" i="18"/>
  <c r="K31" i="18"/>
  <c r="J31" i="18"/>
  <c r="I31" i="18"/>
  <c r="H31" i="18"/>
  <c r="G31" i="18"/>
  <c r="F31" i="18"/>
  <c r="E31" i="18"/>
  <c r="Z30" i="18"/>
  <c r="Y30" i="18"/>
  <c r="X30" i="18"/>
  <c r="W30" i="18"/>
  <c r="V30" i="18"/>
  <c r="U30" i="18"/>
  <c r="T30" i="18"/>
  <c r="S30" i="18"/>
  <c r="R30" i="18"/>
  <c r="Q30" i="18"/>
  <c r="P30" i="18"/>
  <c r="O30" i="18"/>
  <c r="N30" i="18"/>
  <c r="M30" i="18"/>
  <c r="L30" i="18"/>
  <c r="K30" i="18"/>
  <c r="J30" i="18"/>
  <c r="I30" i="18"/>
  <c r="H30" i="18"/>
  <c r="G30" i="18"/>
  <c r="F30" i="18"/>
  <c r="E30" i="18"/>
  <c r="Z29" i="18"/>
  <c r="X29" i="18"/>
  <c r="V29" i="18"/>
  <c r="T29" i="18"/>
  <c r="R29" i="18"/>
  <c r="P29" i="18"/>
  <c r="N29" i="18"/>
  <c r="L29" i="18"/>
  <c r="J29" i="18"/>
  <c r="H29" i="18"/>
  <c r="F29" i="18"/>
  <c r="Y29" i="18"/>
  <c r="W29" i="18"/>
  <c r="U29" i="18"/>
  <c r="S29" i="18"/>
  <c r="Q29" i="18"/>
  <c r="O29" i="18"/>
  <c r="M29" i="18"/>
  <c r="K29" i="18"/>
  <c r="I29" i="18"/>
  <c r="G29" i="18"/>
  <c r="E29" i="18"/>
  <c r="Q40" i="17"/>
  <c r="P40" i="17"/>
  <c r="O40" i="17"/>
  <c r="N40" i="17"/>
  <c r="M40" i="17"/>
  <c r="L40" i="17"/>
  <c r="K40" i="17"/>
  <c r="J40" i="17"/>
  <c r="I40" i="17"/>
  <c r="H40" i="17"/>
  <c r="G40" i="17"/>
  <c r="Q39" i="17"/>
  <c r="P39" i="17"/>
  <c r="O39" i="17"/>
  <c r="N39" i="17"/>
  <c r="M39" i="17"/>
  <c r="L39" i="17"/>
  <c r="K39" i="17"/>
  <c r="J39" i="17"/>
  <c r="I39" i="17"/>
  <c r="H39" i="17"/>
  <c r="G39" i="17"/>
  <c r="R21" i="17"/>
  <c r="N21" i="17"/>
  <c r="J21" i="17"/>
  <c r="H21" i="17"/>
  <c r="R20" i="17"/>
  <c r="N20" i="17"/>
  <c r="J20" i="17"/>
  <c r="H20" i="17"/>
  <c r="M46" i="20" l="1"/>
  <c r="P45" i="19"/>
  <c r="R30" i="20"/>
  <c r="F35" i="40"/>
  <c r="K34" i="40"/>
  <c r="K33" i="40"/>
  <c r="K32" i="40"/>
  <c r="K31" i="40"/>
  <c r="K30" i="40"/>
  <c r="K29" i="40"/>
  <c r="K28" i="40"/>
  <c r="K27" i="40"/>
  <c r="K26" i="40"/>
  <c r="K25" i="40"/>
  <c r="K24" i="40"/>
  <c r="K23" i="40"/>
  <c r="K22" i="40"/>
  <c r="K21" i="40"/>
  <c r="K20" i="40"/>
  <c r="K19" i="40"/>
  <c r="K18" i="40"/>
  <c r="K17" i="40"/>
  <c r="K16" i="40"/>
  <c r="K15" i="40"/>
  <c r="K14" i="40"/>
  <c r="K13" i="40"/>
  <c r="K12" i="40"/>
  <c r="K11" i="40"/>
  <c r="P34" i="70"/>
  <c r="L34" i="33" s="1"/>
  <c r="P33" i="70"/>
  <c r="P31" i="70"/>
  <c r="P30" i="70"/>
  <c r="P25" i="70"/>
  <c r="P24" i="70"/>
  <c r="V24" i="70" s="1"/>
  <c r="P22" i="70"/>
  <c r="I34" i="33" s="1"/>
  <c r="P21" i="70"/>
  <c r="V21" i="70" s="1"/>
  <c r="P19" i="70"/>
  <c r="P18" i="70"/>
  <c r="V18" i="70" s="1"/>
  <c r="P16" i="70"/>
  <c r="G34" i="33" s="1"/>
  <c r="P15" i="70"/>
  <c r="V15" i="70" s="1"/>
  <c r="P13" i="70"/>
  <c r="P12" i="70"/>
  <c r="V12" i="70" s="1"/>
  <c r="P34" i="69"/>
  <c r="L32" i="33" s="1"/>
  <c r="P33" i="69"/>
  <c r="K54" i="40" s="1"/>
  <c r="P31" i="69"/>
  <c r="P30" i="69"/>
  <c r="P25" i="69"/>
  <c r="P24" i="69"/>
  <c r="V24" i="69" s="1"/>
  <c r="P22" i="69"/>
  <c r="I32" i="33" s="1"/>
  <c r="P21" i="69"/>
  <c r="V21" i="69" s="1"/>
  <c r="P19" i="69"/>
  <c r="P18" i="69"/>
  <c r="V18" i="69" s="1"/>
  <c r="P16" i="69"/>
  <c r="G32" i="33" s="1"/>
  <c r="P15" i="69"/>
  <c r="P13" i="69"/>
  <c r="P12" i="69"/>
  <c r="P34" i="68"/>
  <c r="P33" i="68"/>
  <c r="P31" i="68"/>
  <c r="N30" i="33" s="1"/>
  <c r="P30" i="68"/>
  <c r="P25" i="68"/>
  <c r="J30" i="33" s="1"/>
  <c r="P24" i="68"/>
  <c r="V24" i="68" s="1"/>
  <c r="P22" i="68"/>
  <c r="P21" i="68"/>
  <c r="V21" i="68" s="1"/>
  <c r="P19" i="68"/>
  <c r="H30" i="33" s="1"/>
  <c r="P18" i="68"/>
  <c r="V18" i="68" s="1"/>
  <c r="P16" i="68"/>
  <c r="P15" i="68"/>
  <c r="V15" i="68" s="1"/>
  <c r="P13" i="68"/>
  <c r="F30" i="33" s="1"/>
  <c r="P12" i="68"/>
  <c r="V12" i="68" s="1"/>
  <c r="P34" i="67"/>
  <c r="P33" i="67"/>
  <c r="P31" i="67"/>
  <c r="N28" i="33" s="1"/>
  <c r="P30" i="67"/>
  <c r="P25" i="67"/>
  <c r="J28" i="33" s="1"/>
  <c r="P24" i="67"/>
  <c r="V24" i="67" s="1"/>
  <c r="P22" i="67"/>
  <c r="P21" i="67"/>
  <c r="V21" i="67" s="1"/>
  <c r="P19" i="67"/>
  <c r="H28" i="33" s="1"/>
  <c r="P18" i="67"/>
  <c r="V18" i="67" s="1"/>
  <c r="P16" i="67"/>
  <c r="P15" i="67"/>
  <c r="V15" i="67" s="1"/>
  <c r="P13" i="67"/>
  <c r="F28" i="33" s="1"/>
  <c r="P12" i="67"/>
  <c r="V12" i="67" s="1"/>
  <c r="P34" i="66"/>
  <c r="P33" i="66"/>
  <c r="P31" i="66"/>
  <c r="N26" i="33" s="1"/>
  <c r="P30" i="66"/>
  <c r="P25" i="66"/>
  <c r="J26" i="33" s="1"/>
  <c r="P24" i="66"/>
  <c r="V24" i="66" s="1"/>
  <c r="P22" i="66"/>
  <c r="P21" i="66"/>
  <c r="V21" i="66" s="1"/>
  <c r="P19" i="66"/>
  <c r="H26" i="33" s="1"/>
  <c r="P18" i="66"/>
  <c r="V18" i="66" s="1"/>
  <c r="P16" i="66"/>
  <c r="P15" i="66"/>
  <c r="V15" i="66" s="1"/>
  <c r="P13" i="66"/>
  <c r="P12" i="66"/>
  <c r="V12" i="66" s="1"/>
  <c r="P34" i="65"/>
  <c r="L24" i="33" s="1"/>
  <c r="P33" i="65"/>
  <c r="P31" i="65"/>
  <c r="P30" i="65"/>
  <c r="P25" i="65"/>
  <c r="P24" i="65"/>
  <c r="V24" i="65" s="1"/>
  <c r="P22" i="65"/>
  <c r="I24" i="33" s="1"/>
  <c r="P21" i="65"/>
  <c r="V21" i="65" s="1"/>
  <c r="P19" i="65"/>
  <c r="P18" i="65"/>
  <c r="V18" i="65" s="1"/>
  <c r="P16" i="65"/>
  <c r="G24" i="33" s="1"/>
  <c r="P15" i="65"/>
  <c r="P13" i="65"/>
  <c r="P12" i="65"/>
  <c r="P34" i="64"/>
  <c r="L22" i="33" s="1"/>
  <c r="P33" i="64"/>
  <c r="P31" i="64"/>
  <c r="P30" i="64"/>
  <c r="P25" i="64"/>
  <c r="P24" i="64"/>
  <c r="V24" i="64" s="1"/>
  <c r="P22" i="64"/>
  <c r="I22" i="33" s="1"/>
  <c r="P21" i="64"/>
  <c r="P19" i="64"/>
  <c r="P18" i="64"/>
  <c r="V18" i="64" s="1"/>
  <c r="P16" i="64"/>
  <c r="G22" i="33" s="1"/>
  <c r="P15" i="64"/>
  <c r="V15" i="64" s="1"/>
  <c r="P13" i="64"/>
  <c r="P12" i="64"/>
  <c r="P34" i="63"/>
  <c r="L20" i="33" s="1"/>
  <c r="P33" i="63"/>
  <c r="P31" i="63"/>
  <c r="P30" i="63"/>
  <c r="P25" i="63"/>
  <c r="P24" i="63"/>
  <c r="V24" i="63" s="1"/>
  <c r="P22" i="63"/>
  <c r="I20" i="33" s="1"/>
  <c r="P21" i="63"/>
  <c r="P19" i="63"/>
  <c r="P18" i="63"/>
  <c r="V18" i="63" s="1"/>
  <c r="P16" i="63"/>
  <c r="G20" i="33" s="1"/>
  <c r="P15" i="63"/>
  <c r="V15" i="63" s="1"/>
  <c r="P13" i="63"/>
  <c r="P12" i="63"/>
  <c r="V12" i="63" s="1"/>
  <c r="P34" i="62"/>
  <c r="L18" i="33" s="1"/>
  <c r="P33" i="62"/>
  <c r="K47" i="40" s="1"/>
  <c r="P31" i="62"/>
  <c r="P30" i="62"/>
  <c r="P25" i="62"/>
  <c r="P24" i="62"/>
  <c r="V24" i="62" s="1"/>
  <c r="P22" i="62"/>
  <c r="I18" i="33" s="1"/>
  <c r="P21" i="62"/>
  <c r="P19" i="62"/>
  <c r="P18" i="62"/>
  <c r="V18" i="62" s="1"/>
  <c r="P16" i="62"/>
  <c r="G18" i="33" s="1"/>
  <c r="P15" i="62"/>
  <c r="P13" i="62"/>
  <c r="P12" i="62"/>
  <c r="P34" i="61"/>
  <c r="L16" i="33" s="1"/>
  <c r="P33" i="61"/>
  <c r="K46" i="40" s="1"/>
  <c r="P31" i="61"/>
  <c r="P30" i="61"/>
  <c r="N15" i="33" s="1"/>
  <c r="P25" i="61"/>
  <c r="P24" i="61"/>
  <c r="V24" i="61" s="1"/>
  <c r="P22" i="61"/>
  <c r="I16" i="33" s="1"/>
  <c r="P21" i="61"/>
  <c r="V21" i="61" s="1"/>
  <c r="P19" i="61"/>
  <c r="P18" i="61"/>
  <c r="V18" i="61" s="1"/>
  <c r="P16" i="61"/>
  <c r="G16" i="33" s="1"/>
  <c r="P15" i="61"/>
  <c r="P13" i="61"/>
  <c r="F16" i="33" s="1"/>
  <c r="P12" i="61"/>
  <c r="P34" i="60"/>
  <c r="L14" i="33" s="1"/>
  <c r="P33" i="60"/>
  <c r="L13" i="33" s="1"/>
  <c r="P31" i="60"/>
  <c r="P30" i="60"/>
  <c r="N13" i="33" s="1"/>
  <c r="P25" i="60"/>
  <c r="P24" i="60"/>
  <c r="V24" i="60" s="1"/>
  <c r="P22" i="60"/>
  <c r="P21" i="60"/>
  <c r="V21" i="60" s="1"/>
  <c r="P19" i="60"/>
  <c r="P18" i="60"/>
  <c r="V18" i="60" s="1"/>
  <c r="P16" i="60"/>
  <c r="G14" i="33" s="1"/>
  <c r="P15" i="60"/>
  <c r="V15" i="60" s="1"/>
  <c r="P13" i="60"/>
  <c r="P12" i="60"/>
  <c r="N34" i="33"/>
  <c r="J34" i="33"/>
  <c r="H34" i="33"/>
  <c r="F34" i="33"/>
  <c r="N33" i="33"/>
  <c r="L33" i="33"/>
  <c r="J33" i="33"/>
  <c r="I33" i="33"/>
  <c r="H33" i="33"/>
  <c r="G33" i="33"/>
  <c r="F33" i="33"/>
  <c r="N32" i="33"/>
  <c r="J32" i="33"/>
  <c r="H32" i="33"/>
  <c r="F32" i="33"/>
  <c r="N31" i="33"/>
  <c r="J31" i="33"/>
  <c r="H31" i="33"/>
  <c r="L30" i="33"/>
  <c r="I30" i="33"/>
  <c r="G30" i="33"/>
  <c r="N29" i="33"/>
  <c r="L29" i="33"/>
  <c r="J29" i="33"/>
  <c r="I29" i="33"/>
  <c r="H29" i="33"/>
  <c r="G29" i="33"/>
  <c r="F29" i="33"/>
  <c r="L28" i="33"/>
  <c r="I28" i="33"/>
  <c r="G28" i="33"/>
  <c r="N27" i="33"/>
  <c r="L27" i="33"/>
  <c r="J27" i="33"/>
  <c r="I27" i="33"/>
  <c r="H27" i="33"/>
  <c r="G27" i="33"/>
  <c r="F27" i="33"/>
  <c r="L26" i="33"/>
  <c r="I26" i="33"/>
  <c r="G26" i="33"/>
  <c r="N25" i="33"/>
  <c r="L25" i="33"/>
  <c r="I25" i="33"/>
  <c r="H25" i="33"/>
  <c r="G25" i="33"/>
  <c r="F25" i="33"/>
  <c r="N24" i="33"/>
  <c r="J24" i="33"/>
  <c r="H24" i="33"/>
  <c r="F24" i="33"/>
  <c r="N23" i="33"/>
  <c r="L23" i="33"/>
  <c r="J23" i="33"/>
  <c r="I23" i="33"/>
  <c r="H23" i="33"/>
  <c r="G23" i="33"/>
  <c r="F23" i="33"/>
  <c r="N22" i="33"/>
  <c r="J22" i="33"/>
  <c r="H22" i="33"/>
  <c r="F22" i="33"/>
  <c r="N21" i="33"/>
  <c r="L21" i="33"/>
  <c r="J21" i="33"/>
  <c r="I21" i="33"/>
  <c r="H21" i="33"/>
  <c r="G21" i="33"/>
  <c r="F21" i="33"/>
  <c r="N20" i="33"/>
  <c r="J20" i="33"/>
  <c r="H20" i="33"/>
  <c r="F20" i="33"/>
  <c r="N19" i="33"/>
  <c r="L19" i="33"/>
  <c r="J19" i="33"/>
  <c r="I19" i="33"/>
  <c r="H19" i="33"/>
  <c r="G19" i="33"/>
  <c r="F19" i="33"/>
  <c r="N18" i="33"/>
  <c r="J18" i="33"/>
  <c r="H18" i="33"/>
  <c r="N17" i="33"/>
  <c r="J17" i="33"/>
  <c r="N16" i="33"/>
  <c r="J16" i="33"/>
  <c r="H16" i="33"/>
  <c r="H15" i="33"/>
  <c r="N14" i="33"/>
  <c r="I14" i="33"/>
  <c r="J13" i="33"/>
  <c r="B54" i="70"/>
  <c r="O50" i="70"/>
  <c r="V50" i="70" s="1"/>
  <c r="O49" i="70"/>
  <c r="V49" i="70" s="1"/>
  <c r="M43" i="70"/>
  <c r="M42" i="70"/>
  <c r="O28" i="70"/>
  <c r="N28" i="70"/>
  <c r="M28" i="70"/>
  <c r="L28" i="70"/>
  <c r="K28" i="70"/>
  <c r="J28" i="70"/>
  <c r="I28" i="70"/>
  <c r="H28" i="70"/>
  <c r="G28" i="70"/>
  <c r="F28" i="70"/>
  <c r="E28" i="70"/>
  <c r="F21" i="18" s="1"/>
  <c r="O27" i="70"/>
  <c r="N27" i="70"/>
  <c r="M27" i="70"/>
  <c r="L27" i="70"/>
  <c r="K27" i="70"/>
  <c r="J27" i="70"/>
  <c r="I27" i="70"/>
  <c r="H27" i="70"/>
  <c r="G27" i="70"/>
  <c r="F27" i="70"/>
  <c r="E27" i="70"/>
  <c r="E21" i="18" s="1"/>
  <c r="B54" i="69"/>
  <c r="O50" i="69"/>
  <c r="V50" i="69" s="1"/>
  <c r="O49" i="69"/>
  <c r="V49" i="69" s="1"/>
  <c r="M43" i="69"/>
  <c r="M42" i="69"/>
  <c r="O28" i="69"/>
  <c r="N28" i="69"/>
  <c r="M28" i="69"/>
  <c r="L28" i="69"/>
  <c r="K28" i="69"/>
  <c r="J28" i="69"/>
  <c r="I28" i="69"/>
  <c r="H28" i="69"/>
  <c r="G28" i="69"/>
  <c r="F28" i="69"/>
  <c r="E28" i="69"/>
  <c r="F20" i="18" s="1"/>
  <c r="O27" i="69"/>
  <c r="N27" i="69"/>
  <c r="M27" i="69"/>
  <c r="L27" i="69"/>
  <c r="K27" i="69"/>
  <c r="J27" i="69"/>
  <c r="I27" i="69"/>
  <c r="H27" i="69"/>
  <c r="G27" i="69"/>
  <c r="F27" i="69"/>
  <c r="E27" i="69"/>
  <c r="E20" i="18" s="1"/>
  <c r="B54" i="68"/>
  <c r="O50" i="68"/>
  <c r="V50" i="68" s="1"/>
  <c r="O49" i="68"/>
  <c r="V49" i="68" s="1"/>
  <c r="M43" i="68"/>
  <c r="M42" i="68"/>
  <c r="O28" i="68"/>
  <c r="N28" i="68"/>
  <c r="M28" i="68"/>
  <c r="L28" i="68"/>
  <c r="K28" i="68"/>
  <c r="J28" i="68"/>
  <c r="I28" i="68"/>
  <c r="H28" i="68"/>
  <c r="G28" i="68"/>
  <c r="F28" i="68"/>
  <c r="E28" i="68"/>
  <c r="F19" i="18" s="1"/>
  <c r="O27" i="68"/>
  <c r="N27" i="68"/>
  <c r="M27" i="68"/>
  <c r="L27" i="68"/>
  <c r="K27" i="68"/>
  <c r="J27" i="68"/>
  <c r="I27" i="68"/>
  <c r="H27" i="68"/>
  <c r="G27" i="68"/>
  <c r="F27" i="68"/>
  <c r="E27" i="68"/>
  <c r="E19" i="18" s="1"/>
  <c r="B54" i="67"/>
  <c r="O50" i="67"/>
  <c r="V50" i="67" s="1"/>
  <c r="O49" i="67"/>
  <c r="V49" i="67" s="1"/>
  <c r="M43" i="67"/>
  <c r="M42" i="67"/>
  <c r="O28" i="67"/>
  <c r="N28" i="67"/>
  <c r="M28" i="67"/>
  <c r="L28" i="67"/>
  <c r="K28" i="67"/>
  <c r="J28" i="67"/>
  <c r="I28" i="67"/>
  <c r="H28" i="67"/>
  <c r="G28" i="67"/>
  <c r="F28" i="67"/>
  <c r="E28" i="67"/>
  <c r="F18" i="18" s="1"/>
  <c r="O27" i="67"/>
  <c r="N27" i="67"/>
  <c r="M27" i="67"/>
  <c r="L27" i="67"/>
  <c r="K27" i="67"/>
  <c r="J27" i="67"/>
  <c r="I27" i="67"/>
  <c r="H27" i="67"/>
  <c r="G27" i="67"/>
  <c r="F27" i="67"/>
  <c r="E27" i="67"/>
  <c r="E18" i="18" s="1"/>
  <c r="B54" i="66"/>
  <c r="O50" i="66"/>
  <c r="V50" i="66" s="1"/>
  <c r="O49" i="66"/>
  <c r="V49" i="66" s="1"/>
  <c r="M43" i="66"/>
  <c r="M42" i="66"/>
  <c r="O28" i="66"/>
  <c r="N28" i="66"/>
  <c r="M28" i="66"/>
  <c r="L28" i="66"/>
  <c r="K28" i="66"/>
  <c r="J28" i="66"/>
  <c r="I28" i="66"/>
  <c r="H28" i="66"/>
  <c r="G28" i="66"/>
  <c r="F28" i="66"/>
  <c r="E28" i="66"/>
  <c r="F17" i="18" s="1"/>
  <c r="O27" i="66"/>
  <c r="N27" i="66"/>
  <c r="M27" i="66"/>
  <c r="L27" i="66"/>
  <c r="K27" i="66"/>
  <c r="J27" i="66"/>
  <c r="I27" i="66"/>
  <c r="H27" i="66"/>
  <c r="G27" i="66"/>
  <c r="F27" i="66"/>
  <c r="E27" i="66"/>
  <c r="E17" i="18" s="1"/>
  <c r="B54" i="65"/>
  <c r="O50" i="65"/>
  <c r="V50" i="65" s="1"/>
  <c r="O49" i="65"/>
  <c r="V49" i="65" s="1"/>
  <c r="M43" i="65"/>
  <c r="M42" i="65"/>
  <c r="O28" i="65"/>
  <c r="N28" i="65"/>
  <c r="M28" i="65"/>
  <c r="L28" i="65"/>
  <c r="K28" i="65"/>
  <c r="J28" i="65"/>
  <c r="I28" i="65"/>
  <c r="H28" i="65"/>
  <c r="G28" i="65"/>
  <c r="F28" i="65"/>
  <c r="E28" i="65"/>
  <c r="F16" i="18" s="1"/>
  <c r="O27" i="65"/>
  <c r="N27" i="65"/>
  <c r="M27" i="65"/>
  <c r="L27" i="65"/>
  <c r="K27" i="65"/>
  <c r="J27" i="65"/>
  <c r="I27" i="65"/>
  <c r="H27" i="65"/>
  <c r="G27" i="65"/>
  <c r="F27" i="65"/>
  <c r="E27" i="65"/>
  <c r="E16" i="18" s="1"/>
  <c r="B54" i="64"/>
  <c r="O50" i="64"/>
  <c r="V50" i="64" s="1"/>
  <c r="O49" i="64"/>
  <c r="V49" i="64" s="1"/>
  <c r="M43" i="64"/>
  <c r="M42" i="64"/>
  <c r="O28" i="64"/>
  <c r="N28" i="64"/>
  <c r="M28" i="64"/>
  <c r="L28" i="64"/>
  <c r="K28" i="64"/>
  <c r="J28" i="64"/>
  <c r="I28" i="64"/>
  <c r="H28" i="64"/>
  <c r="G28" i="64"/>
  <c r="F28" i="64"/>
  <c r="E28" i="64"/>
  <c r="F15" i="18" s="1"/>
  <c r="O27" i="64"/>
  <c r="N27" i="64"/>
  <c r="M27" i="64"/>
  <c r="L27" i="64"/>
  <c r="K27" i="64"/>
  <c r="J27" i="64"/>
  <c r="I27" i="64"/>
  <c r="H27" i="64"/>
  <c r="G27" i="64"/>
  <c r="F27" i="64"/>
  <c r="E27" i="64"/>
  <c r="E15" i="18" s="1"/>
  <c r="B54" i="63"/>
  <c r="O50" i="63"/>
  <c r="V50" i="63" s="1"/>
  <c r="O49" i="63"/>
  <c r="V49" i="63" s="1"/>
  <c r="M43" i="63"/>
  <c r="M42" i="63"/>
  <c r="O28" i="63"/>
  <c r="N28" i="63"/>
  <c r="M28" i="63"/>
  <c r="L28" i="63"/>
  <c r="K28" i="63"/>
  <c r="J28" i="63"/>
  <c r="I28" i="63"/>
  <c r="H28" i="63"/>
  <c r="G28" i="63"/>
  <c r="F28" i="63"/>
  <c r="E28" i="63"/>
  <c r="F14" i="18" s="1"/>
  <c r="O27" i="63"/>
  <c r="N27" i="63"/>
  <c r="M27" i="63"/>
  <c r="L27" i="63"/>
  <c r="K27" i="63"/>
  <c r="J27" i="63"/>
  <c r="I27" i="63"/>
  <c r="H27" i="63"/>
  <c r="G27" i="63"/>
  <c r="F27" i="63"/>
  <c r="E27" i="63"/>
  <c r="E14" i="18" s="1"/>
  <c r="B54" i="62"/>
  <c r="O50" i="62"/>
  <c r="V50" i="62" s="1"/>
  <c r="O49" i="62"/>
  <c r="V49" i="62" s="1"/>
  <c r="M43" i="62"/>
  <c r="M42" i="62"/>
  <c r="O28" i="62"/>
  <c r="N28" i="62"/>
  <c r="M28" i="62"/>
  <c r="L28" i="62"/>
  <c r="K28" i="62"/>
  <c r="J28" i="62"/>
  <c r="I28" i="62"/>
  <c r="H28" i="62"/>
  <c r="G28" i="62"/>
  <c r="F28" i="62"/>
  <c r="E28" i="62"/>
  <c r="F13" i="18" s="1"/>
  <c r="O27" i="62"/>
  <c r="N27" i="62"/>
  <c r="M27" i="62"/>
  <c r="L27" i="62"/>
  <c r="K27" i="62"/>
  <c r="J27" i="62"/>
  <c r="I27" i="62"/>
  <c r="H27" i="62"/>
  <c r="G27" i="62"/>
  <c r="F27" i="62"/>
  <c r="E27" i="62"/>
  <c r="E13" i="18" s="1"/>
  <c r="B54" i="61"/>
  <c r="O50" i="61"/>
  <c r="V50" i="61" s="1"/>
  <c r="O49" i="61"/>
  <c r="V49" i="61" s="1"/>
  <c r="M43" i="61"/>
  <c r="M42" i="61"/>
  <c r="O28" i="61"/>
  <c r="N28" i="61"/>
  <c r="M28" i="61"/>
  <c r="L28" i="61"/>
  <c r="K28" i="61"/>
  <c r="J28" i="61"/>
  <c r="I28" i="61"/>
  <c r="H28" i="61"/>
  <c r="G28" i="61"/>
  <c r="F28" i="61"/>
  <c r="E28" i="61"/>
  <c r="F12" i="18" s="1"/>
  <c r="O27" i="61"/>
  <c r="N27" i="61"/>
  <c r="M27" i="61"/>
  <c r="L27" i="61"/>
  <c r="K27" i="61"/>
  <c r="J27" i="61"/>
  <c r="I27" i="61"/>
  <c r="H27" i="61"/>
  <c r="G27" i="61"/>
  <c r="F27" i="61"/>
  <c r="E27" i="61"/>
  <c r="E12" i="18" s="1"/>
  <c r="E27" i="60"/>
  <c r="E11" i="18" s="1"/>
  <c r="F27" i="60"/>
  <c r="G11" i="18" s="1"/>
  <c r="G27" i="60"/>
  <c r="I11" i="18" s="1"/>
  <c r="H27" i="60"/>
  <c r="K11" i="18" s="1"/>
  <c r="I27" i="60"/>
  <c r="M11" i="18" s="1"/>
  <c r="J27" i="60"/>
  <c r="O11" i="18" s="1"/>
  <c r="K27" i="60"/>
  <c r="Q11" i="18" s="1"/>
  <c r="L27" i="60"/>
  <c r="S11" i="18" s="1"/>
  <c r="M27" i="60"/>
  <c r="U11" i="18" s="1"/>
  <c r="N27" i="60"/>
  <c r="W11" i="18" s="1"/>
  <c r="O27" i="60"/>
  <c r="Y11" i="18" s="1"/>
  <c r="E28" i="60"/>
  <c r="F11" i="18" s="1"/>
  <c r="F28" i="60"/>
  <c r="H11" i="18" s="1"/>
  <c r="G28" i="60"/>
  <c r="J11" i="18" s="1"/>
  <c r="H28" i="60"/>
  <c r="L11" i="18" s="1"/>
  <c r="I28" i="60"/>
  <c r="N11" i="18" s="1"/>
  <c r="J28" i="60"/>
  <c r="P11" i="18" s="1"/>
  <c r="K28" i="60"/>
  <c r="R11" i="18" s="1"/>
  <c r="L28" i="60"/>
  <c r="T11" i="18" s="1"/>
  <c r="M28" i="60"/>
  <c r="V11" i="18" s="1"/>
  <c r="N28" i="60"/>
  <c r="X11" i="18" s="1"/>
  <c r="O28" i="60"/>
  <c r="Z11" i="18" s="1"/>
  <c r="E36" i="60"/>
  <c r="F36" i="60"/>
  <c r="G36" i="60"/>
  <c r="H36" i="60"/>
  <c r="I36" i="60"/>
  <c r="J36" i="60"/>
  <c r="K36" i="60"/>
  <c r="L36" i="60"/>
  <c r="M36" i="60"/>
  <c r="N36" i="60"/>
  <c r="O36" i="60"/>
  <c r="E37" i="60"/>
  <c r="F37" i="60"/>
  <c r="G37" i="60"/>
  <c r="H37" i="60"/>
  <c r="I37" i="60"/>
  <c r="J37" i="60"/>
  <c r="K37" i="60"/>
  <c r="L37" i="60"/>
  <c r="M37" i="60"/>
  <c r="N37" i="60"/>
  <c r="O37" i="60"/>
  <c r="M42" i="60"/>
  <c r="V42" i="60" s="1"/>
  <c r="M43" i="60"/>
  <c r="O49" i="60"/>
  <c r="V49" i="60" s="1"/>
  <c r="O50" i="60"/>
  <c r="V50" i="60" s="1"/>
  <c r="B54" i="60"/>
  <c r="P34" i="54"/>
  <c r="O28" i="54"/>
  <c r="Z10" i="18" s="1"/>
  <c r="N28" i="54"/>
  <c r="X10" i="18" s="1"/>
  <c r="M28" i="54"/>
  <c r="V10" i="18" s="1"/>
  <c r="L28" i="54"/>
  <c r="T10" i="18" s="1"/>
  <c r="K28" i="54"/>
  <c r="R10" i="18" s="1"/>
  <c r="J28" i="54"/>
  <c r="P10" i="18" s="1"/>
  <c r="I28" i="54"/>
  <c r="N10" i="18" s="1"/>
  <c r="H28" i="54"/>
  <c r="L10" i="18" s="1"/>
  <c r="G28" i="54"/>
  <c r="J10" i="18" s="1"/>
  <c r="F28" i="54"/>
  <c r="H10" i="18" s="1"/>
  <c r="E28" i="54"/>
  <c r="F10" i="18" s="1"/>
  <c r="O27" i="54"/>
  <c r="Y10" i="18" s="1"/>
  <c r="N27" i="54"/>
  <c r="W10" i="18" s="1"/>
  <c r="M27" i="54"/>
  <c r="U10" i="18" s="1"/>
  <c r="L27" i="54"/>
  <c r="S10" i="18" s="1"/>
  <c r="K27" i="54"/>
  <c r="Q10" i="18" s="1"/>
  <c r="J27" i="54"/>
  <c r="O10" i="18" s="1"/>
  <c r="I27" i="54"/>
  <c r="M10" i="18" s="1"/>
  <c r="H27" i="54"/>
  <c r="K10" i="18" s="1"/>
  <c r="G27" i="54"/>
  <c r="I10" i="18" s="1"/>
  <c r="F27" i="54"/>
  <c r="G10" i="18" s="1"/>
  <c r="E10" i="18"/>
  <c r="P25" i="54"/>
  <c r="P24" i="54"/>
  <c r="V24" i="54" s="1"/>
  <c r="AH42" i="24"/>
  <c r="W14" i="55"/>
  <c r="AF14" i="55"/>
  <c r="AD14" i="55"/>
  <c r="AH72" i="58"/>
  <c r="H72" i="58"/>
  <c r="AH70" i="58"/>
  <c r="H70" i="58"/>
  <c r="AH68" i="58"/>
  <c r="AH66" i="58"/>
  <c r="H66" i="58"/>
  <c r="AH64" i="58"/>
  <c r="H64" i="58"/>
  <c r="AH62" i="58"/>
  <c r="G62" i="58"/>
  <c r="AH60" i="58"/>
  <c r="AH56" i="58"/>
  <c r="AH54" i="58"/>
  <c r="T52" i="58"/>
  <c r="AH52" i="58"/>
  <c r="AH50" i="58"/>
  <c r="AH48" i="58"/>
  <c r="AH46" i="58"/>
  <c r="AH43" i="58"/>
  <c r="AH41" i="58"/>
  <c r="AH39" i="58"/>
  <c r="AH37" i="58"/>
  <c r="AH35" i="58"/>
  <c r="J35" i="58"/>
  <c r="AH33" i="58"/>
  <c r="AH31" i="58"/>
  <c r="AH26" i="58"/>
  <c r="Q26" i="58"/>
  <c r="AK24" i="58"/>
  <c r="AH24" i="58"/>
  <c r="Q24" i="58"/>
  <c r="AH22" i="58"/>
  <c r="AK20" i="58"/>
  <c r="AI20" i="58"/>
  <c r="AH20" i="58"/>
  <c r="AH1" i="58"/>
  <c r="AC1" i="58"/>
  <c r="AI1" i="57"/>
  <c r="AH84" i="55"/>
  <c r="AF84" i="55"/>
  <c r="AH82" i="55"/>
  <c r="AF82" i="55"/>
  <c r="AH80" i="55"/>
  <c r="AF80" i="55"/>
  <c r="AF78" i="55"/>
  <c r="AH74" i="55"/>
  <c r="AF74" i="55"/>
  <c r="AH72" i="55"/>
  <c r="AF72" i="55"/>
  <c r="AF70" i="55"/>
  <c r="AF68" i="55"/>
  <c r="AF66" i="55"/>
  <c r="AF64" i="55"/>
  <c r="AF62" i="55"/>
  <c r="AF60" i="55"/>
  <c r="AF58" i="55"/>
  <c r="AF56" i="55"/>
  <c r="AH54" i="55"/>
  <c r="AF54" i="55"/>
  <c r="AF52" i="55"/>
  <c r="AF50" i="55"/>
  <c r="AH46" i="55"/>
  <c r="AF46" i="55"/>
  <c r="N46" i="55"/>
  <c r="AK44" i="55"/>
  <c r="AF44" i="55"/>
  <c r="AK42" i="55"/>
  <c r="AF42" i="55"/>
  <c r="AH38" i="55"/>
  <c r="AD38" i="55"/>
  <c r="AH36" i="55"/>
  <c r="AF36" i="55"/>
  <c r="AH34" i="55"/>
  <c r="AF34" i="55"/>
  <c r="H34" i="55"/>
  <c r="AH32" i="55"/>
  <c r="AF32" i="55"/>
  <c r="H32" i="55"/>
  <c r="AK30" i="55"/>
  <c r="AH30" i="55"/>
  <c r="AF30" i="55"/>
  <c r="H30" i="55"/>
  <c r="AK28" i="55"/>
  <c r="AF28" i="55"/>
  <c r="AK26" i="55"/>
  <c r="AF26" i="55"/>
  <c r="AF24" i="55"/>
  <c r="Q24" i="55"/>
  <c r="AF20" i="55"/>
  <c r="AF18" i="55"/>
  <c r="AE14" i="55"/>
  <c r="C11" i="55"/>
  <c r="B54" i="54"/>
  <c r="O50" i="54"/>
  <c r="V50" i="54" s="1"/>
  <c r="O49" i="54"/>
  <c r="V49" i="54" s="1"/>
  <c r="M43" i="54"/>
  <c r="V43" i="54" s="1"/>
  <c r="M42" i="54"/>
  <c r="V42" i="54" s="1"/>
  <c r="P31" i="54"/>
  <c r="N12" i="33" s="1"/>
  <c r="P30" i="54"/>
  <c r="N11" i="33" s="1"/>
  <c r="P22" i="54"/>
  <c r="P21" i="54"/>
  <c r="P19" i="54"/>
  <c r="P18" i="54"/>
  <c r="V18" i="54" s="1"/>
  <c r="P16" i="54"/>
  <c r="P15" i="54"/>
  <c r="P13" i="54"/>
  <c r="V13" i="54" s="1"/>
  <c r="P12" i="54"/>
  <c r="V12" i="69" l="1"/>
  <c r="V13" i="69"/>
  <c r="F31" i="33"/>
  <c r="V15" i="69"/>
  <c r="V16" i="69"/>
  <c r="F26" i="33"/>
  <c r="V13" i="66"/>
  <c r="V12" i="65"/>
  <c r="V13" i="65"/>
  <c r="V15" i="65"/>
  <c r="V16" i="65"/>
  <c r="V12" i="64"/>
  <c r="V13" i="64"/>
  <c r="V21" i="64"/>
  <c r="V22" i="64"/>
  <c r="V21" i="63"/>
  <c r="V22" i="63"/>
  <c r="V15" i="62"/>
  <c r="V16" i="62"/>
  <c r="V12" i="62"/>
  <c r="V13" i="62"/>
  <c r="V21" i="62"/>
  <c r="V22" i="62"/>
  <c r="V15" i="61"/>
  <c r="V16" i="61"/>
  <c r="V12" i="61"/>
  <c r="V13" i="61"/>
  <c r="V21" i="54"/>
  <c r="V22" i="54"/>
  <c r="V15" i="54"/>
  <c r="V16" i="54"/>
  <c r="H13" i="33"/>
  <c r="F17" i="33"/>
  <c r="L22" i="57"/>
  <c r="L24" i="57"/>
  <c r="H49" i="57"/>
  <c r="L26" i="57"/>
  <c r="L20" i="57"/>
  <c r="AD26" i="57"/>
  <c r="G13" i="33"/>
  <c r="K13" i="33" s="1"/>
  <c r="M13" i="33" s="1"/>
  <c r="I13" i="33"/>
  <c r="F15" i="33"/>
  <c r="J15" i="33"/>
  <c r="H17" i="33"/>
  <c r="AB42" i="57"/>
  <c r="AB44" i="57"/>
  <c r="AD38" i="57"/>
  <c r="AB40" i="57"/>
  <c r="AB38" i="57"/>
  <c r="AB36" i="57"/>
  <c r="F11" i="33"/>
  <c r="AD24" i="57"/>
  <c r="X44" i="20"/>
  <c r="M50" i="20"/>
  <c r="F13" i="33"/>
  <c r="V12" i="60"/>
  <c r="W45" i="19"/>
  <c r="F49" i="20"/>
  <c r="L46" i="33"/>
  <c r="X9" i="72" s="1"/>
  <c r="L44" i="40"/>
  <c r="L47" i="33"/>
  <c r="X11" i="72" s="1"/>
  <c r="L45" i="40"/>
  <c r="N45" i="40" s="1"/>
  <c r="L48" i="33"/>
  <c r="X13" i="72" s="1"/>
  <c r="L46" i="40"/>
  <c r="N46" i="40" s="1"/>
  <c r="L49" i="33"/>
  <c r="X15" i="72" s="1"/>
  <c r="L47" i="40"/>
  <c r="N47" i="40" s="1"/>
  <c r="L50" i="33"/>
  <c r="X17" i="72" s="1"/>
  <c r="L48" i="40"/>
  <c r="N48" i="40" s="1"/>
  <c r="L51" i="33"/>
  <c r="X19" i="72" s="1"/>
  <c r="L49" i="40"/>
  <c r="N49" i="40" s="1"/>
  <c r="L52" i="33"/>
  <c r="X21" i="72" s="1"/>
  <c r="L50" i="40"/>
  <c r="N50" i="40" s="1"/>
  <c r="L53" i="33"/>
  <c r="X23" i="72" s="1"/>
  <c r="L51" i="40"/>
  <c r="N51" i="40" s="1"/>
  <c r="L54" i="33"/>
  <c r="X25" i="72" s="1"/>
  <c r="L52" i="40"/>
  <c r="N52" i="40" s="1"/>
  <c r="L55" i="33"/>
  <c r="X27" i="72" s="1"/>
  <c r="L53" i="40"/>
  <c r="N53" i="40" s="1"/>
  <c r="L56" i="33"/>
  <c r="X29" i="72" s="1"/>
  <c r="L54" i="40"/>
  <c r="N54" i="40" s="1"/>
  <c r="L57" i="33"/>
  <c r="X32" i="72" s="1"/>
  <c r="L55" i="40"/>
  <c r="N55" i="40" s="1"/>
  <c r="K47" i="33"/>
  <c r="X10" i="72" s="1"/>
  <c r="K45" i="40"/>
  <c r="M46" i="40"/>
  <c r="V46" i="40" s="1"/>
  <c r="O46" i="40"/>
  <c r="O47" i="40"/>
  <c r="M47" i="40"/>
  <c r="V47" i="40" s="1"/>
  <c r="K50" i="33"/>
  <c r="X16" i="72" s="1"/>
  <c r="K48" i="40"/>
  <c r="K51" i="33"/>
  <c r="X18" i="72" s="1"/>
  <c r="K49" i="40"/>
  <c r="K52" i="33"/>
  <c r="X20" i="72" s="1"/>
  <c r="K50" i="40"/>
  <c r="K53" i="33"/>
  <c r="X22" i="72" s="1"/>
  <c r="K51" i="40"/>
  <c r="K54" i="33"/>
  <c r="X24" i="72" s="1"/>
  <c r="K52" i="40"/>
  <c r="K55" i="33"/>
  <c r="X26" i="72" s="1"/>
  <c r="K53" i="40"/>
  <c r="O54" i="40"/>
  <c r="M54" i="40"/>
  <c r="V54" i="40" s="1"/>
  <c r="K57" i="33"/>
  <c r="X31" i="72" s="1"/>
  <c r="K55" i="40"/>
  <c r="H12" i="33"/>
  <c r="J11" i="33"/>
  <c r="V43" i="60"/>
  <c r="V42" i="61"/>
  <c r="V43" i="62"/>
  <c r="V42" i="63"/>
  <c r="V43" i="64"/>
  <c r="V42" i="65"/>
  <c r="V43" i="66"/>
  <c r="V42" i="67"/>
  <c r="V43" i="68"/>
  <c r="V42" i="69"/>
  <c r="V43" i="70"/>
  <c r="F18" i="33"/>
  <c r="G12" i="33"/>
  <c r="I12" i="33"/>
  <c r="G11" i="33"/>
  <c r="H11" i="33"/>
  <c r="I11" i="33"/>
  <c r="J12" i="33"/>
  <c r="V43" i="61"/>
  <c r="V42" i="62"/>
  <c r="V43" i="63"/>
  <c r="V42" i="64"/>
  <c r="V43" i="65"/>
  <c r="V42" i="66"/>
  <c r="V43" i="67"/>
  <c r="V42" i="68"/>
  <c r="V43" i="69"/>
  <c r="V42" i="70"/>
  <c r="G15" i="33"/>
  <c r="I15" i="33"/>
  <c r="G17" i="33"/>
  <c r="I17" i="33"/>
  <c r="J25" i="33"/>
  <c r="G31" i="33"/>
  <c r="K31" i="33" s="1"/>
  <c r="M31" i="33" s="1"/>
  <c r="I31" i="33"/>
  <c r="F14" i="33"/>
  <c r="H14" i="33"/>
  <c r="J14" i="33"/>
  <c r="AA10" i="18"/>
  <c r="F12" i="33"/>
  <c r="P37" i="60"/>
  <c r="AD40" i="57"/>
  <c r="P36" i="60"/>
  <c r="F36" i="61"/>
  <c r="G12" i="18"/>
  <c r="H36" i="61"/>
  <c r="K12" i="18"/>
  <c r="J36" i="61"/>
  <c r="O12" i="18"/>
  <c r="L36" i="61"/>
  <c r="S12" i="18"/>
  <c r="N36" i="61"/>
  <c r="W12" i="18"/>
  <c r="G37" i="61"/>
  <c r="J12" i="18"/>
  <c r="I37" i="61"/>
  <c r="N12" i="18"/>
  <c r="K37" i="61"/>
  <c r="R12" i="18"/>
  <c r="M37" i="61"/>
  <c r="V12" i="18"/>
  <c r="O37" i="61"/>
  <c r="Z12" i="18"/>
  <c r="G36" i="62"/>
  <c r="I13" i="18"/>
  <c r="I36" i="62"/>
  <c r="M13" i="18"/>
  <c r="K36" i="62"/>
  <c r="Q13" i="18"/>
  <c r="M36" i="62"/>
  <c r="U13" i="18"/>
  <c r="O36" i="62"/>
  <c r="Y13" i="18"/>
  <c r="F37" i="62"/>
  <c r="H13" i="18"/>
  <c r="H37" i="62"/>
  <c r="L13" i="18"/>
  <c r="J37" i="62"/>
  <c r="P13" i="18"/>
  <c r="L37" i="62"/>
  <c r="T13" i="18"/>
  <c r="N37" i="62"/>
  <c r="X13" i="18"/>
  <c r="F36" i="63"/>
  <c r="G14" i="18"/>
  <c r="H36" i="63"/>
  <c r="K14" i="18"/>
  <c r="J36" i="63"/>
  <c r="O14" i="18"/>
  <c r="L36" i="63"/>
  <c r="S14" i="18"/>
  <c r="N36" i="63"/>
  <c r="W14" i="18"/>
  <c r="G37" i="63"/>
  <c r="J14" i="18"/>
  <c r="I37" i="63"/>
  <c r="N14" i="18"/>
  <c r="K37" i="63"/>
  <c r="R14" i="18"/>
  <c r="M37" i="63"/>
  <c r="V14" i="18"/>
  <c r="O37" i="63"/>
  <c r="Z14" i="18"/>
  <c r="G36" i="64"/>
  <c r="I15" i="18"/>
  <c r="I36" i="64"/>
  <c r="M15" i="18"/>
  <c r="K36" i="64"/>
  <c r="Q15" i="18"/>
  <c r="M36" i="64"/>
  <c r="U15" i="18"/>
  <c r="O36" i="64"/>
  <c r="Y15" i="18"/>
  <c r="F37" i="64"/>
  <c r="H15" i="18"/>
  <c r="H37" i="64"/>
  <c r="L15" i="18"/>
  <c r="J37" i="64"/>
  <c r="P15" i="18"/>
  <c r="L37" i="64"/>
  <c r="T15" i="18"/>
  <c r="N37" i="64"/>
  <c r="X15" i="18"/>
  <c r="F36" i="65"/>
  <c r="G16" i="18"/>
  <c r="H36" i="65"/>
  <c r="K16" i="18"/>
  <c r="J36" i="65"/>
  <c r="O16" i="18"/>
  <c r="L36" i="65"/>
  <c r="S16" i="18"/>
  <c r="N36" i="65"/>
  <c r="W16" i="18"/>
  <c r="G37" i="65"/>
  <c r="J16" i="18"/>
  <c r="I37" i="65"/>
  <c r="N16" i="18"/>
  <c r="K37" i="65"/>
  <c r="R16" i="18"/>
  <c r="M37" i="65"/>
  <c r="V16" i="18"/>
  <c r="O37" i="65"/>
  <c r="Z16" i="18"/>
  <c r="G36" i="66"/>
  <c r="I17" i="18"/>
  <c r="I36" i="66"/>
  <c r="M17" i="18"/>
  <c r="K36" i="66"/>
  <c r="Q17" i="18"/>
  <c r="M36" i="66"/>
  <c r="U17" i="18"/>
  <c r="O36" i="66"/>
  <c r="Y17" i="18"/>
  <c r="F37" i="66"/>
  <c r="H17" i="18"/>
  <c r="H37" i="66"/>
  <c r="L17" i="18"/>
  <c r="J37" i="66"/>
  <c r="P17" i="18"/>
  <c r="L37" i="66"/>
  <c r="T17" i="18"/>
  <c r="N37" i="66"/>
  <c r="X17" i="18"/>
  <c r="F36" i="67"/>
  <c r="G18" i="18"/>
  <c r="H36" i="67"/>
  <c r="K18" i="18"/>
  <c r="J36" i="67"/>
  <c r="O18" i="18"/>
  <c r="L36" i="67"/>
  <c r="S18" i="18"/>
  <c r="N36" i="67"/>
  <c r="W18" i="18"/>
  <c r="G37" i="67"/>
  <c r="J18" i="18"/>
  <c r="I37" i="67"/>
  <c r="N18" i="18"/>
  <c r="K37" i="67"/>
  <c r="R18" i="18"/>
  <c r="M37" i="67"/>
  <c r="V18" i="18"/>
  <c r="O37" i="67"/>
  <c r="Z18" i="18"/>
  <c r="G36" i="68"/>
  <c r="I19" i="18"/>
  <c r="I36" i="68"/>
  <c r="M19" i="18"/>
  <c r="K36" i="68"/>
  <c r="Q19" i="18"/>
  <c r="M36" i="68"/>
  <c r="U19" i="18"/>
  <c r="O36" i="68"/>
  <c r="Y19" i="18"/>
  <c r="F37" i="68"/>
  <c r="H19" i="18"/>
  <c r="H37" i="68"/>
  <c r="L19" i="18"/>
  <c r="J37" i="68"/>
  <c r="P19" i="18"/>
  <c r="L37" i="68"/>
  <c r="T19" i="18"/>
  <c r="N37" i="68"/>
  <c r="X19" i="18"/>
  <c r="F36" i="69"/>
  <c r="G20" i="18"/>
  <c r="H36" i="69"/>
  <c r="K20" i="18"/>
  <c r="J36" i="69"/>
  <c r="O20" i="18"/>
  <c r="L36" i="69"/>
  <c r="S20" i="18"/>
  <c r="N36" i="69"/>
  <c r="W20" i="18"/>
  <c r="G37" i="69"/>
  <c r="J20" i="18"/>
  <c r="I37" i="69"/>
  <c r="N20" i="18"/>
  <c r="K37" i="69"/>
  <c r="R20" i="18"/>
  <c r="M37" i="69"/>
  <c r="V20" i="18"/>
  <c r="O37" i="69"/>
  <c r="Z20" i="18"/>
  <c r="G36" i="70"/>
  <c r="I21" i="18"/>
  <c r="I36" i="70"/>
  <c r="M21" i="18"/>
  <c r="K36" i="70"/>
  <c r="Q21" i="18"/>
  <c r="M36" i="70"/>
  <c r="U21" i="18"/>
  <c r="O36" i="70"/>
  <c r="Y21" i="18"/>
  <c r="F37" i="70"/>
  <c r="H21" i="18"/>
  <c r="H37" i="70"/>
  <c r="L21" i="18"/>
  <c r="J37" i="70"/>
  <c r="P21" i="18"/>
  <c r="L37" i="70"/>
  <c r="T21" i="18"/>
  <c r="N37" i="70"/>
  <c r="X21" i="18"/>
  <c r="E36" i="54"/>
  <c r="G36" i="54"/>
  <c r="I36" i="54"/>
  <c r="K36" i="54"/>
  <c r="M36" i="54"/>
  <c r="O36" i="54"/>
  <c r="F37" i="54"/>
  <c r="H37" i="54"/>
  <c r="J37" i="54"/>
  <c r="L37" i="54"/>
  <c r="N37" i="54"/>
  <c r="L12" i="33"/>
  <c r="K21" i="33"/>
  <c r="M21" i="33" s="1"/>
  <c r="K23" i="33"/>
  <c r="M23" i="33" s="1"/>
  <c r="K25" i="33"/>
  <c r="M25" i="33" s="1"/>
  <c r="K27" i="33"/>
  <c r="M27" i="33" s="1"/>
  <c r="L27" i="40" s="1"/>
  <c r="K29" i="33"/>
  <c r="M29" i="33" s="1"/>
  <c r="L29" i="40" s="1"/>
  <c r="K32" i="33"/>
  <c r="K34" i="33"/>
  <c r="P28" i="60"/>
  <c r="P28" i="61"/>
  <c r="P28" i="62"/>
  <c r="P28" i="63"/>
  <c r="P28" i="64"/>
  <c r="P28" i="65"/>
  <c r="P28" i="66"/>
  <c r="P28" i="67"/>
  <c r="P28" i="68"/>
  <c r="P28" i="69"/>
  <c r="P28" i="70"/>
  <c r="G36" i="61"/>
  <c r="I12" i="18"/>
  <c r="I36" i="61"/>
  <c r="M12" i="18"/>
  <c r="K36" i="61"/>
  <c r="Q12" i="18"/>
  <c r="M36" i="61"/>
  <c r="U12" i="18"/>
  <c r="O36" i="61"/>
  <c r="Y12" i="18"/>
  <c r="F37" i="61"/>
  <c r="H12" i="18"/>
  <c r="H37" i="61"/>
  <c r="L12" i="18"/>
  <c r="J37" i="61"/>
  <c r="P12" i="18"/>
  <c r="L37" i="61"/>
  <c r="T12" i="18"/>
  <c r="N37" i="61"/>
  <c r="X12" i="18"/>
  <c r="F36" i="62"/>
  <c r="G13" i="18"/>
  <c r="H36" i="62"/>
  <c r="K13" i="18"/>
  <c r="J36" i="62"/>
  <c r="O13" i="18"/>
  <c r="L36" i="62"/>
  <c r="S13" i="18"/>
  <c r="N36" i="62"/>
  <c r="W13" i="18"/>
  <c r="G37" i="62"/>
  <c r="J13" i="18"/>
  <c r="I37" i="62"/>
  <c r="N13" i="18"/>
  <c r="K37" i="62"/>
  <c r="R13" i="18"/>
  <c r="M37" i="62"/>
  <c r="V13" i="18"/>
  <c r="O37" i="62"/>
  <c r="Z13" i="18"/>
  <c r="G36" i="63"/>
  <c r="I14" i="18"/>
  <c r="I36" i="63"/>
  <c r="M14" i="18"/>
  <c r="K36" i="63"/>
  <c r="Q14" i="18"/>
  <c r="M36" i="63"/>
  <c r="U14" i="18"/>
  <c r="O36" i="63"/>
  <c r="Y14" i="18"/>
  <c r="F37" i="63"/>
  <c r="H14" i="18"/>
  <c r="H37" i="63"/>
  <c r="L14" i="18"/>
  <c r="J37" i="63"/>
  <c r="P14" i="18"/>
  <c r="L37" i="63"/>
  <c r="T14" i="18"/>
  <c r="N37" i="63"/>
  <c r="X14" i="18"/>
  <c r="F36" i="64"/>
  <c r="G15" i="18"/>
  <c r="H36" i="64"/>
  <c r="K15" i="18"/>
  <c r="J36" i="64"/>
  <c r="O15" i="18"/>
  <c r="L36" i="64"/>
  <c r="S15" i="18"/>
  <c r="N36" i="64"/>
  <c r="W15" i="18"/>
  <c r="G37" i="64"/>
  <c r="J15" i="18"/>
  <c r="I37" i="64"/>
  <c r="N15" i="18"/>
  <c r="K37" i="64"/>
  <c r="R15" i="18"/>
  <c r="M37" i="64"/>
  <c r="V15" i="18"/>
  <c r="O37" i="64"/>
  <c r="Z15" i="18"/>
  <c r="G36" i="65"/>
  <c r="I16" i="18"/>
  <c r="I36" i="65"/>
  <c r="M16" i="18"/>
  <c r="K36" i="65"/>
  <c r="Q16" i="18"/>
  <c r="M36" i="65"/>
  <c r="U16" i="18"/>
  <c r="O36" i="65"/>
  <c r="Y16" i="18"/>
  <c r="F37" i="65"/>
  <c r="H16" i="18"/>
  <c r="H37" i="65"/>
  <c r="L16" i="18"/>
  <c r="J37" i="65"/>
  <c r="P16" i="18"/>
  <c r="L37" i="65"/>
  <c r="T16" i="18"/>
  <c r="N37" i="65"/>
  <c r="X16" i="18"/>
  <c r="F36" i="66"/>
  <c r="G17" i="18"/>
  <c r="H36" i="66"/>
  <c r="K17" i="18"/>
  <c r="J36" i="66"/>
  <c r="O17" i="18"/>
  <c r="L36" i="66"/>
  <c r="S17" i="18"/>
  <c r="N36" i="66"/>
  <c r="W17" i="18"/>
  <c r="G37" i="66"/>
  <c r="J17" i="18"/>
  <c r="I37" i="66"/>
  <c r="N17" i="18"/>
  <c r="K37" i="66"/>
  <c r="R17" i="18"/>
  <c r="M37" i="66"/>
  <c r="V17" i="18"/>
  <c r="O37" i="66"/>
  <c r="Z17" i="18"/>
  <c r="G36" i="67"/>
  <c r="I18" i="18"/>
  <c r="I36" i="67"/>
  <c r="M18" i="18"/>
  <c r="K36" i="67"/>
  <c r="Q18" i="18"/>
  <c r="M36" i="67"/>
  <c r="U18" i="18"/>
  <c r="O36" i="67"/>
  <c r="Y18" i="18"/>
  <c r="F37" i="67"/>
  <c r="H18" i="18"/>
  <c r="H37" i="67"/>
  <c r="L18" i="18"/>
  <c r="J37" i="67"/>
  <c r="P18" i="18"/>
  <c r="L37" i="67"/>
  <c r="T18" i="18"/>
  <c r="N37" i="67"/>
  <c r="X18" i="18"/>
  <c r="F36" i="68"/>
  <c r="G19" i="18"/>
  <c r="H36" i="68"/>
  <c r="K19" i="18"/>
  <c r="J36" i="68"/>
  <c r="O19" i="18"/>
  <c r="L36" i="68"/>
  <c r="S19" i="18"/>
  <c r="N36" i="68"/>
  <c r="W19" i="18"/>
  <c r="G37" i="68"/>
  <c r="J19" i="18"/>
  <c r="I37" i="68"/>
  <c r="N19" i="18"/>
  <c r="K37" i="68"/>
  <c r="R19" i="18"/>
  <c r="M37" i="68"/>
  <c r="V19" i="18"/>
  <c r="O37" i="68"/>
  <c r="Z19" i="18"/>
  <c r="G36" i="69"/>
  <c r="I20" i="18"/>
  <c r="I36" i="69"/>
  <c r="M20" i="18"/>
  <c r="K36" i="69"/>
  <c r="Q20" i="18"/>
  <c r="M36" i="69"/>
  <c r="U20" i="18"/>
  <c r="O36" i="69"/>
  <c r="Y20" i="18"/>
  <c r="F37" i="69"/>
  <c r="H20" i="18"/>
  <c r="H37" i="69"/>
  <c r="L20" i="18"/>
  <c r="J37" i="69"/>
  <c r="P20" i="18"/>
  <c r="L37" i="69"/>
  <c r="T20" i="18"/>
  <c r="N37" i="69"/>
  <c r="X20" i="18"/>
  <c r="F36" i="70"/>
  <c r="G21" i="18"/>
  <c r="H36" i="70"/>
  <c r="K21" i="18"/>
  <c r="J36" i="70"/>
  <c r="O21" i="18"/>
  <c r="L36" i="70"/>
  <c r="S21" i="18"/>
  <c r="N36" i="70"/>
  <c r="W21" i="18"/>
  <c r="G37" i="70"/>
  <c r="J21" i="18"/>
  <c r="I37" i="70"/>
  <c r="N21" i="18"/>
  <c r="K37" i="70"/>
  <c r="R21" i="18"/>
  <c r="M37" i="70"/>
  <c r="V21" i="18"/>
  <c r="O37" i="70"/>
  <c r="Z21" i="18"/>
  <c r="L15" i="33"/>
  <c r="K48" i="33"/>
  <c r="X12" i="72" s="1"/>
  <c r="L17" i="33"/>
  <c r="K49" i="33"/>
  <c r="X14" i="72" s="1"/>
  <c r="L31" i="33"/>
  <c r="K56" i="33"/>
  <c r="X28" i="72" s="1"/>
  <c r="F36" i="54"/>
  <c r="H36" i="54"/>
  <c r="J36" i="54"/>
  <c r="L36" i="54"/>
  <c r="N36" i="54"/>
  <c r="E37" i="54"/>
  <c r="G37" i="54"/>
  <c r="I37" i="54"/>
  <c r="K37" i="54"/>
  <c r="M37" i="54"/>
  <c r="O37" i="54"/>
  <c r="P27" i="60"/>
  <c r="V27" i="60" s="1"/>
  <c r="P27" i="61"/>
  <c r="V28" i="61" s="1"/>
  <c r="P27" i="62"/>
  <c r="P27" i="63"/>
  <c r="V28" i="63" s="1"/>
  <c r="P27" i="64"/>
  <c r="P27" i="65"/>
  <c r="V28" i="65" s="1"/>
  <c r="P27" i="66"/>
  <c r="V27" i="66" s="1"/>
  <c r="P27" i="67"/>
  <c r="P27" i="68"/>
  <c r="V27" i="68" s="1"/>
  <c r="P27" i="69"/>
  <c r="V28" i="69" s="1"/>
  <c r="P27" i="70"/>
  <c r="V27" i="70" s="1"/>
  <c r="M23" i="40"/>
  <c r="M27" i="40"/>
  <c r="K14" i="33"/>
  <c r="K18" i="33"/>
  <c r="K20" i="33"/>
  <c r="K22" i="33"/>
  <c r="K15" i="33"/>
  <c r="K16" i="33"/>
  <c r="K19" i="33"/>
  <c r="M19" i="33" s="1"/>
  <c r="K24" i="33"/>
  <c r="K26" i="33"/>
  <c r="K28" i="33"/>
  <c r="K30" i="33"/>
  <c r="K33" i="33"/>
  <c r="M33" i="33" s="1"/>
  <c r="E36" i="70"/>
  <c r="E37" i="70"/>
  <c r="E36" i="69"/>
  <c r="E37" i="69"/>
  <c r="P37" i="69" s="1"/>
  <c r="E36" i="68"/>
  <c r="E37" i="68"/>
  <c r="P37" i="68" s="1"/>
  <c r="E36" i="67"/>
  <c r="E37" i="67"/>
  <c r="P37" i="67" s="1"/>
  <c r="E36" i="66"/>
  <c r="E37" i="66"/>
  <c r="P37" i="66" s="1"/>
  <c r="E36" i="65"/>
  <c r="E37" i="65"/>
  <c r="P37" i="65" s="1"/>
  <c r="E36" i="64"/>
  <c r="E37" i="64"/>
  <c r="P37" i="64" s="1"/>
  <c r="E36" i="63"/>
  <c r="E37" i="63"/>
  <c r="P37" i="63" s="1"/>
  <c r="E36" i="62"/>
  <c r="E37" i="62"/>
  <c r="P37" i="62" s="1"/>
  <c r="E36" i="61"/>
  <c r="E37" i="61"/>
  <c r="P37" i="61" s="1"/>
  <c r="P33" i="54"/>
  <c r="K44" i="40" s="1"/>
  <c r="P27" i="54"/>
  <c r="P28" i="54"/>
  <c r="AB26" i="57"/>
  <c r="AB32" i="57"/>
  <c r="AB24" i="57"/>
  <c r="H20" i="57"/>
  <c r="V28" i="66" l="1"/>
  <c r="V27" i="64"/>
  <c r="V28" i="64"/>
  <c r="V27" i="62"/>
  <c r="V28" i="62"/>
  <c r="K17" i="33"/>
  <c r="M17" i="33" s="1"/>
  <c r="V28" i="54"/>
  <c r="P36" i="61"/>
  <c r="P36" i="63"/>
  <c r="P36" i="64"/>
  <c r="P36" i="65"/>
  <c r="P36" i="66"/>
  <c r="P36" i="67"/>
  <c r="P36" i="68"/>
  <c r="P36" i="69"/>
  <c r="P36" i="70"/>
  <c r="M29" i="40"/>
  <c r="M25" i="40"/>
  <c r="M21" i="40"/>
  <c r="M15" i="33"/>
  <c r="K12" i="33"/>
  <c r="X50" i="54"/>
  <c r="X43" i="54"/>
  <c r="X42" i="69"/>
  <c r="V27" i="69"/>
  <c r="X42" i="67"/>
  <c r="V27" i="67"/>
  <c r="X42" i="65"/>
  <c r="V27" i="65"/>
  <c r="X42" i="63"/>
  <c r="V27" i="63"/>
  <c r="X42" i="61"/>
  <c r="V27" i="61"/>
  <c r="K11" i="33"/>
  <c r="X49" i="54"/>
  <c r="V27" i="54"/>
  <c r="K56" i="40"/>
  <c r="M44" i="40"/>
  <c r="V44" i="40" s="1"/>
  <c r="O44" i="40"/>
  <c r="O55" i="40"/>
  <c r="M55" i="40"/>
  <c r="V55" i="40" s="1"/>
  <c r="O53" i="40"/>
  <c r="M53" i="40"/>
  <c r="V53" i="40" s="1"/>
  <c r="O52" i="40"/>
  <c r="M52" i="40"/>
  <c r="V52" i="40" s="1"/>
  <c r="O51" i="40"/>
  <c r="M51" i="40"/>
  <c r="V51" i="40" s="1"/>
  <c r="O50" i="40"/>
  <c r="M50" i="40"/>
  <c r="V50" i="40" s="1"/>
  <c r="O49" i="40"/>
  <c r="M49" i="40"/>
  <c r="V49" i="40" s="1"/>
  <c r="O48" i="40"/>
  <c r="M48" i="40"/>
  <c r="V48" i="40" s="1"/>
  <c r="M45" i="40"/>
  <c r="V45" i="40" s="1"/>
  <c r="O45" i="40"/>
  <c r="L56" i="40"/>
  <c r="N44" i="40"/>
  <c r="N56" i="40" s="1"/>
  <c r="X49" i="70"/>
  <c r="X49" i="68"/>
  <c r="X49" i="66"/>
  <c r="X49" i="64"/>
  <c r="X49" i="62"/>
  <c r="X49" i="69"/>
  <c r="X49" i="67"/>
  <c r="X49" i="65"/>
  <c r="X49" i="63"/>
  <c r="X49" i="61"/>
  <c r="X43" i="70"/>
  <c r="X43" i="68"/>
  <c r="X43" i="66"/>
  <c r="X43" i="64"/>
  <c r="X43" i="62"/>
  <c r="X43" i="60"/>
  <c r="AC10" i="18"/>
  <c r="X50" i="69"/>
  <c r="X50" i="67"/>
  <c r="X50" i="65"/>
  <c r="X50" i="63"/>
  <c r="X50" i="61"/>
  <c r="X42" i="70"/>
  <c r="X43" i="69"/>
  <c r="X42" i="68"/>
  <c r="X43" i="67"/>
  <c r="X42" i="66"/>
  <c r="X43" i="65"/>
  <c r="X42" i="64"/>
  <c r="X43" i="63"/>
  <c r="X42" i="62"/>
  <c r="X43" i="61"/>
  <c r="X50" i="70"/>
  <c r="X50" i="68"/>
  <c r="X50" i="66"/>
  <c r="X50" i="64"/>
  <c r="X50" i="62"/>
  <c r="X50" i="60"/>
  <c r="P36" i="62"/>
  <c r="X49" i="60"/>
  <c r="X42" i="60"/>
  <c r="L11" i="33"/>
  <c r="M11" i="33" s="1"/>
  <c r="K46" i="33"/>
  <c r="X8" i="72" s="1"/>
  <c r="P37" i="70"/>
  <c r="P37" i="54"/>
  <c r="P36" i="54"/>
  <c r="M13" i="40"/>
  <c r="L13" i="40"/>
  <c r="M15" i="40"/>
  <c r="M19" i="40"/>
  <c r="M31" i="40"/>
  <c r="L33" i="40"/>
  <c r="M33" i="40"/>
  <c r="X42" i="54"/>
  <c r="M36" i="27"/>
  <c r="K36" i="27"/>
  <c r="I36" i="27"/>
  <c r="G36" i="27"/>
  <c r="M35" i="27"/>
  <c r="K35" i="27"/>
  <c r="I35" i="27"/>
  <c r="G35" i="27"/>
  <c r="M34" i="27"/>
  <c r="K34" i="27"/>
  <c r="I34" i="27"/>
  <c r="G34" i="27"/>
  <c r="M33" i="27"/>
  <c r="K33" i="27"/>
  <c r="I33" i="27"/>
  <c r="G33" i="27"/>
  <c r="M32" i="27"/>
  <c r="K32" i="27"/>
  <c r="I32" i="27"/>
  <c r="G32" i="27"/>
  <c r="M31" i="27"/>
  <c r="K31" i="27"/>
  <c r="I31" i="27"/>
  <c r="G31" i="27"/>
  <c r="M30" i="27"/>
  <c r="K30" i="27"/>
  <c r="I30" i="27"/>
  <c r="G30" i="27"/>
  <c r="M29" i="27"/>
  <c r="K29" i="27"/>
  <c r="I29" i="27"/>
  <c r="G29" i="27"/>
  <c r="M28" i="27"/>
  <c r="K28" i="27"/>
  <c r="I28" i="27"/>
  <c r="G28" i="27"/>
  <c r="M27" i="27"/>
  <c r="K27" i="27"/>
  <c r="I27" i="27"/>
  <c r="G27" i="27"/>
  <c r="L36" i="27"/>
  <c r="J36" i="27"/>
  <c r="H36" i="27"/>
  <c r="F36" i="27"/>
  <c r="L35" i="27"/>
  <c r="J35" i="27"/>
  <c r="H35" i="27"/>
  <c r="F35" i="27"/>
  <c r="L34" i="27"/>
  <c r="J34" i="27"/>
  <c r="H34" i="27"/>
  <c r="F34" i="27"/>
  <c r="L33" i="27"/>
  <c r="J33" i="27"/>
  <c r="H33" i="27"/>
  <c r="F33" i="27"/>
  <c r="L32" i="27"/>
  <c r="J32" i="27"/>
  <c r="H32" i="27"/>
  <c r="F32" i="27"/>
  <c r="L31" i="27"/>
  <c r="J31" i="27"/>
  <c r="H31" i="27"/>
  <c r="F31" i="27"/>
  <c r="L30" i="27"/>
  <c r="J30" i="27"/>
  <c r="H30" i="27"/>
  <c r="F30" i="27"/>
  <c r="L29" i="27"/>
  <c r="J29" i="27"/>
  <c r="H29" i="27"/>
  <c r="F29" i="27"/>
  <c r="L28" i="27"/>
  <c r="J28" i="27"/>
  <c r="H28" i="27"/>
  <c r="F28" i="27"/>
  <c r="L27" i="27"/>
  <c r="J27" i="27"/>
  <c r="H27" i="27"/>
  <c r="F27" i="27"/>
  <c r="Q19" i="27"/>
  <c r="Q18" i="27"/>
  <c r="Q17" i="27"/>
  <c r="Q16" i="27"/>
  <c r="Q15" i="27"/>
  <c r="Q14" i="27"/>
  <c r="Q13" i="27"/>
  <c r="Q12" i="27"/>
  <c r="Q11" i="27"/>
  <c r="Q10" i="27"/>
  <c r="P19" i="27"/>
  <c r="P18" i="27"/>
  <c r="P17" i="27"/>
  <c r="P16" i="27"/>
  <c r="P15" i="27"/>
  <c r="P14" i="27"/>
  <c r="P13" i="27"/>
  <c r="P12" i="27"/>
  <c r="P11" i="27"/>
  <c r="P10" i="27"/>
  <c r="M10" i="27"/>
  <c r="L10" i="27"/>
  <c r="K10" i="27"/>
  <c r="J10" i="27"/>
  <c r="I10" i="27"/>
  <c r="H10" i="27"/>
  <c r="G10" i="27"/>
  <c r="F10" i="27"/>
  <c r="M19" i="27"/>
  <c r="L19" i="27"/>
  <c r="M18" i="27"/>
  <c r="L18" i="27"/>
  <c r="M17" i="27"/>
  <c r="L17" i="27"/>
  <c r="M16" i="27"/>
  <c r="L16" i="27"/>
  <c r="M15" i="27"/>
  <c r="L15" i="27"/>
  <c r="M14" i="27"/>
  <c r="L14" i="27"/>
  <c r="M13" i="27"/>
  <c r="L13" i="27"/>
  <c r="M12" i="27"/>
  <c r="L12" i="27"/>
  <c r="M11" i="27"/>
  <c r="L11" i="27"/>
  <c r="K19" i="27"/>
  <c r="J19" i="27"/>
  <c r="K18" i="27"/>
  <c r="J18" i="27"/>
  <c r="K17" i="27"/>
  <c r="J17" i="27"/>
  <c r="K16" i="27"/>
  <c r="J16" i="27"/>
  <c r="K15" i="27"/>
  <c r="J15" i="27"/>
  <c r="K14" i="27"/>
  <c r="J14" i="27"/>
  <c r="J13" i="27"/>
  <c r="K12" i="27"/>
  <c r="J12" i="27"/>
  <c r="K11" i="27"/>
  <c r="J11" i="27"/>
  <c r="I19" i="27"/>
  <c r="H19" i="27"/>
  <c r="I18" i="27"/>
  <c r="H18" i="27"/>
  <c r="I17" i="27"/>
  <c r="H17" i="27"/>
  <c r="I16" i="27"/>
  <c r="H16" i="27"/>
  <c r="I15" i="27"/>
  <c r="H15" i="27"/>
  <c r="I14" i="27"/>
  <c r="H14" i="27"/>
  <c r="I13" i="27"/>
  <c r="H13" i="27"/>
  <c r="I12" i="27"/>
  <c r="H12" i="27"/>
  <c r="I11" i="27"/>
  <c r="H11" i="27"/>
  <c r="G19" i="27"/>
  <c r="G18" i="27"/>
  <c r="G17" i="27"/>
  <c r="G16" i="27"/>
  <c r="G15" i="27"/>
  <c r="G14" i="27"/>
  <c r="G13" i="27"/>
  <c r="G12" i="27"/>
  <c r="G11" i="27"/>
  <c r="F19" i="27"/>
  <c r="F18" i="27"/>
  <c r="F17" i="27"/>
  <c r="F16" i="27"/>
  <c r="F15" i="27"/>
  <c r="F14" i="27"/>
  <c r="F13" i="27"/>
  <c r="F12" i="27"/>
  <c r="F11" i="27"/>
  <c r="M17" i="40" l="1"/>
  <c r="M11" i="40"/>
  <c r="M35" i="33"/>
  <c r="O56" i="40"/>
  <c r="M56" i="40"/>
  <c r="B50" i="47"/>
  <c r="O47" i="47"/>
  <c r="M31" i="41" s="1"/>
  <c r="O46" i="47"/>
  <c r="L31" i="41" s="1"/>
  <c r="O43" i="47"/>
  <c r="O42" i="47"/>
  <c r="AE35" i="47"/>
  <c r="AD35" i="47"/>
  <c r="AC35" i="47"/>
  <c r="AB35" i="47"/>
  <c r="AA35" i="47"/>
  <c r="Z35" i="47"/>
  <c r="Y35" i="47"/>
  <c r="X35" i="47"/>
  <c r="W35" i="47"/>
  <c r="V35" i="47"/>
  <c r="AE34" i="47"/>
  <c r="AD34" i="47"/>
  <c r="AC34" i="47"/>
  <c r="AB34" i="47"/>
  <c r="AA34" i="47"/>
  <c r="Z34" i="47"/>
  <c r="Y34" i="47"/>
  <c r="X34" i="47"/>
  <c r="W34" i="47"/>
  <c r="V34" i="47"/>
  <c r="O35" i="47"/>
  <c r="M21" i="27" s="1"/>
  <c r="O34" i="47"/>
  <c r="L21" i="27" s="1"/>
  <c r="O31" i="47"/>
  <c r="M12" i="41" s="1"/>
  <c r="O30" i="47"/>
  <c r="L12" i="41" s="1"/>
  <c r="O27" i="47"/>
  <c r="AE26" i="47"/>
  <c r="AD26" i="47"/>
  <c r="AC26" i="47"/>
  <c r="AB26" i="47"/>
  <c r="AA26" i="47"/>
  <c r="Z26" i="47"/>
  <c r="Y26" i="47"/>
  <c r="X26" i="47"/>
  <c r="W26" i="47"/>
  <c r="V26" i="47"/>
  <c r="O26" i="47"/>
  <c r="Y8" i="31" s="1"/>
  <c r="Y7" i="31" s="1"/>
  <c r="AE25" i="47"/>
  <c r="AD25" i="47"/>
  <c r="AC25" i="47"/>
  <c r="AB25" i="47"/>
  <c r="AA25" i="47"/>
  <c r="Z25" i="47"/>
  <c r="Y25" i="47"/>
  <c r="X25" i="47"/>
  <c r="W25" i="47"/>
  <c r="V25" i="47"/>
  <c r="O18" i="47"/>
  <c r="O17" i="47"/>
  <c r="AE14" i="47"/>
  <c r="AD14" i="47"/>
  <c r="AC14" i="47"/>
  <c r="AB14" i="47"/>
  <c r="AA14" i="47"/>
  <c r="Z14" i="47"/>
  <c r="Y14" i="47"/>
  <c r="X14" i="47"/>
  <c r="W14" i="47"/>
  <c r="V14" i="47"/>
  <c r="O14" i="47"/>
  <c r="F13" i="1" s="1"/>
  <c r="J13" i="1" s="1"/>
  <c r="AE13" i="47"/>
  <c r="AD13" i="47"/>
  <c r="AC13" i="47"/>
  <c r="AB13" i="47"/>
  <c r="AA13" i="47"/>
  <c r="Z13" i="47"/>
  <c r="Y13" i="47"/>
  <c r="X13" i="47"/>
  <c r="W13" i="47"/>
  <c r="V13" i="47"/>
  <c r="O13" i="47"/>
  <c r="E13" i="1" s="1"/>
  <c r="I13" i="1" s="1"/>
  <c r="B50" i="46"/>
  <c r="O47" i="46"/>
  <c r="K31" i="41" s="1"/>
  <c r="O46" i="46"/>
  <c r="J31" i="41" s="1"/>
  <c r="O43" i="46"/>
  <c r="J36" i="1" s="1"/>
  <c r="O42" i="46"/>
  <c r="AE35" i="46"/>
  <c r="AD35" i="46"/>
  <c r="AC35" i="46"/>
  <c r="AB35" i="46"/>
  <c r="AA35" i="46"/>
  <c r="Z35" i="46"/>
  <c r="Y35" i="46"/>
  <c r="X35" i="46"/>
  <c r="W35" i="46"/>
  <c r="V35" i="46"/>
  <c r="AE34" i="46"/>
  <c r="AD34" i="46"/>
  <c r="AC34" i="46"/>
  <c r="AB34" i="46"/>
  <c r="AA34" i="46"/>
  <c r="Z34" i="46"/>
  <c r="Y34" i="46"/>
  <c r="X34" i="46"/>
  <c r="W34" i="46"/>
  <c r="V34" i="46"/>
  <c r="O35" i="46"/>
  <c r="K21" i="27" s="1"/>
  <c r="O34" i="46"/>
  <c r="J21" i="27" s="1"/>
  <c r="O31" i="46"/>
  <c r="K12" i="41" s="1"/>
  <c r="O30" i="46"/>
  <c r="J12" i="41" s="1"/>
  <c r="O27" i="46"/>
  <c r="K52" i="27" s="1"/>
  <c r="AE26" i="46"/>
  <c r="AD26" i="46"/>
  <c r="AC26" i="46"/>
  <c r="AB26" i="46"/>
  <c r="AA26" i="46"/>
  <c r="Z26" i="46"/>
  <c r="Y26" i="46"/>
  <c r="X26" i="46"/>
  <c r="W26" i="46"/>
  <c r="V26" i="46"/>
  <c r="O26" i="46"/>
  <c r="J52" i="27" s="1"/>
  <c r="AE25" i="46"/>
  <c r="AD25" i="46"/>
  <c r="AC25" i="46"/>
  <c r="AB25" i="46"/>
  <c r="AA25" i="46"/>
  <c r="Z25" i="46"/>
  <c r="Y25" i="46"/>
  <c r="X25" i="46"/>
  <c r="W25" i="46"/>
  <c r="V25" i="46"/>
  <c r="O18" i="46"/>
  <c r="O17" i="46"/>
  <c r="AE14" i="46"/>
  <c r="AD14" i="46"/>
  <c r="AC14" i="46"/>
  <c r="AB14" i="46"/>
  <c r="AA14" i="46"/>
  <c r="Z14" i="46"/>
  <c r="Y14" i="46"/>
  <c r="X14" i="46"/>
  <c r="W14" i="46"/>
  <c r="V14" i="46"/>
  <c r="O14" i="46"/>
  <c r="AE13" i="46"/>
  <c r="AD13" i="46"/>
  <c r="AC13" i="46"/>
  <c r="AB13" i="46"/>
  <c r="AA13" i="46"/>
  <c r="Z13" i="46"/>
  <c r="Y13" i="46"/>
  <c r="X13" i="46"/>
  <c r="W13" i="46"/>
  <c r="V13" i="46"/>
  <c r="O13" i="46"/>
  <c r="I36" i="1" l="1"/>
  <c r="W10" i="1"/>
  <c r="T10" i="1"/>
  <c r="W9" i="1"/>
  <c r="T9" i="1"/>
  <c r="R18" i="1"/>
  <c r="G16" i="1"/>
  <c r="L52" i="27"/>
  <c r="M52" i="27"/>
  <c r="B50" i="44"/>
  <c r="O47" i="44"/>
  <c r="I31" i="41" s="1"/>
  <c r="O46" i="44"/>
  <c r="H31" i="41" s="1"/>
  <c r="O43" i="44"/>
  <c r="H36" i="1" s="1"/>
  <c r="O42" i="44"/>
  <c r="G36" i="1" s="1"/>
  <c r="AE35" i="44"/>
  <c r="AD35" i="44"/>
  <c r="AC35" i="44"/>
  <c r="AB35" i="44"/>
  <c r="AA35" i="44"/>
  <c r="Z35" i="44"/>
  <c r="Y35" i="44"/>
  <c r="X35" i="44"/>
  <c r="W35" i="44"/>
  <c r="V35" i="44"/>
  <c r="AE34" i="44"/>
  <c r="AD34" i="44"/>
  <c r="AC34" i="44"/>
  <c r="AB34" i="44"/>
  <c r="AA34" i="44"/>
  <c r="Z34" i="44"/>
  <c r="Y34" i="44"/>
  <c r="X34" i="44"/>
  <c r="W34" i="44"/>
  <c r="V34" i="44"/>
  <c r="O35" i="44"/>
  <c r="I21" i="27" s="1"/>
  <c r="O34" i="44"/>
  <c r="H21" i="27" s="1"/>
  <c r="O31" i="44"/>
  <c r="I12" i="41" s="1"/>
  <c r="O30" i="44"/>
  <c r="H12" i="41" s="1"/>
  <c r="O27" i="44"/>
  <c r="I52" i="27" s="1"/>
  <c r="AE26" i="44"/>
  <c r="AD26" i="44"/>
  <c r="AC26" i="44"/>
  <c r="AB26" i="44"/>
  <c r="AA26" i="44"/>
  <c r="Z26" i="44"/>
  <c r="Y26" i="44"/>
  <c r="X26" i="44"/>
  <c r="W26" i="44"/>
  <c r="V26" i="44"/>
  <c r="O26" i="44"/>
  <c r="H52" i="27" s="1"/>
  <c r="AE25" i="44"/>
  <c r="AD25" i="44"/>
  <c r="AC25" i="44"/>
  <c r="AB25" i="44"/>
  <c r="AA25" i="44"/>
  <c r="Z25" i="44"/>
  <c r="Y25" i="44"/>
  <c r="X25" i="44"/>
  <c r="W25" i="44"/>
  <c r="V25" i="44"/>
  <c r="O18" i="44"/>
  <c r="O17" i="44"/>
  <c r="AE14" i="44"/>
  <c r="AD14" i="44"/>
  <c r="AC14" i="44"/>
  <c r="AB14" i="44"/>
  <c r="AA14" i="44"/>
  <c r="Z14" i="44"/>
  <c r="Y14" i="44"/>
  <c r="X14" i="44"/>
  <c r="W14" i="44"/>
  <c r="V14" i="44"/>
  <c r="O14" i="44"/>
  <c r="AE13" i="44"/>
  <c r="AD13" i="44"/>
  <c r="AC13" i="44"/>
  <c r="AB13" i="44"/>
  <c r="AA13" i="44"/>
  <c r="Z13" i="44"/>
  <c r="Y13" i="44"/>
  <c r="X13" i="44"/>
  <c r="W13" i="44"/>
  <c r="V13" i="44"/>
  <c r="O13" i="44"/>
  <c r="O47" i="43"/>
  <c r="G31" i="41" s="1"/>
  <c r="O46" i="43"/>
  <c r="F31" i="41" s="1"/>
  <c r="O43" i="43"/>
  <c r="F36" i="1" s="1"/>
  <c r="O42" i="43"/>
  <c r="E36" i="1" s="1"/>
  <c r="O35" i="43"/>
  <c r="G21" i="27" s="1"/>
  <c r="O34" i="43"/>
  <c r="F21" i="27" s="1"/>
  <c r="O31" i="43"/>
  <c r="G12" i="41" s="1"/>
  <c r="O30" i="43"/>
  <c r="F12" i="41" s="1"/>
  <c r="O27" i="43"/>
  <c r="G52" i="27" s="1"/>
  <c r="O26" i="43"/>
  <c r="F52" i="27" s="1"/>
  <c r="O18" i="43"/>
  <c r="O17" i="43"/>
  <c r="O14" i="43"/>
  <c r="O13" i="43"/>
  <c r="B50" i="43"/>
  <c r="B68" i="15"/>
  <c r="AB1" i="75" s="1"/>
  <c r="AE36" i="43"/>
  <c r="AD36" i="43"/>
  <c r="AC36" i="43"/>
  <c r="AB36" i="43"/>
  <c r="AA36" i="43"/>
  <c r="Z36" i="43"/>
  <c r="Y36" i="43"/>
  <c r="X36" i="43"/>
  <c r="W36" i="43"/>
  <c r="V36" i="43"/>
  <c r="AE34" i="43"/>
  <c r="AD34" i="43"/>
  <c r="AC34" i="43"/>
  <c r="AB34" i="43"/>
  <c r="AA34" i="43"/>
  <c r="Z34" i="43"/>
  <c r="Y34" i="43"/>
  <c r="X34" i="43"/>
  <c r="W34" i="43"/>
  <c r="V34" i="43"/>
  <c r="AE26" i="43"/>
  <c r="AD26" i="43"/>
  <c r="AC26" i="43"/>
  <c r="AB26" i="43"/>
  <c r="AA26" i="43"/>
  <c r="Z26" i="43"/>
  <c r="Y26" i="43"/>
  <c r="X26" i="43"/>
  <c r="W26" i="43"/>
  <c r="V26" i="43"/>
  <c r="AE25" i="43"/>
  <c r="AD25" i="43"/>
  <c r="AC25" i="43"/>
  <c r="AB25" i="43"/>
  <c r="AA25" i="43"/>
  <c r="Z25" i="43"/>
  <c r="Y25" i="43"/>
  <c r="X25" i="43"/>
  <c r="W25" i="43"/>
  <c r="V25" i="43"/>
  <c r="AE14" i="43"/>
  <c r="AD14" i="43"/>
  <c r="AC14" i="43"/>
  <c r="AB14" i="43"/>
  <c r="AA14" i="43"/>
  <c r="Z14" i="43"/>
  <c r="Y14" i="43"/>
  <c r="X14" i="43"/>
  <c r="W14" i="43"/>
  <c r="V14" i="43"/>
  <c r="AE13" i="43"/>
  <c r="AD13" i="43"/>
  <c r="AC13" i="43"/>
  <c r="AB13" i="43"/>
  <c r="AA13" i="43"/>
  <c r="Z13" i="43"/>
  <c r="Y13" i="43"/>
  <c r="X13" i="43"/>
  <c r="W13" i="43"/>
  <c r="V13" i="43"/>
  <c r="B67" i="72" l="1"/>
  <c r="AB1" i="57"/>
  <c r="AD1" i="55"/>
  <c r="AB91" i="24"/>
  <c r="AB89" i="24"/>
  <c r="AB85" i="24"/>
  <c r="AB83" i="24"/>
  <c r="AB79" i="24"/>
  <c r="AB77" i="24"/>
  <c r="AB75" i="24"/>
  <c r="AB73" i="24"/>
  <c r="U18" i="1"/>
  <c r="Z18" i="1"/>
  <c r="AC18" i="1"/>
  <c r="W18" i="1"/>
  <c r="T18" i="1"/>
  <c r="AY185" i="14"/>
  <c r="BA185" i="14"/>
  <c r="BT185" i="14"/>
  <c r="BV185" i="14"/>
  <c r="B66" i="41"/>
  <c r="O45" i="41"/>
  <c r="N45" i="41"/>
  <c r="Q44" i="41"/>
  <c r="Q45" i="41" s="1"/>
  <c r="P44" i="41"/>
  <c r="P45" i="41" s="1"/>
  <c r="M44" i="41"/>
  <c r="L47" i="41" s="1"/>
  <c r="L44" i="41"/>
  <c r="L46" i="41" s="1"/>
  <c r="K44" i="41"/>
  <c r="J47" i="41" s="1"/>
  <c r="J44" i="41"/>
  <c r="J46" i="41" s="1"/>
  <c r="I44" i="41"/>
  <c r="H47" i="41" s="1"/>
  <c r="H44" i="41"/>
  <c r="H46" i="41" s="1"/>
  <c r="G44" i="41"/>
  <c r="F47" i="41" s="1"/>
  <c r="F44" i="41"/>
  <c r="F46" i="41" s="1"/>
  <c r="O43" i="41"/>
  <c r="N43" i="41"/>
  <c r="O42" i="41"/>
  <c r="N42" i="41"/>
  <c r="O41" i="41"/>
  <c r="N41" i="41"/>
  <c r="O40" i="41"/>
  <c r="N40" i="41"/>
  <c r="O39" i="41"/>
  <c r="N39" i="41"/>
  <c r="O38" i="41"/>
  <c r="N38" i="41"/>
  <c r="O37" i="41"/>
  <c r="N37" i="41"/>
  <c r="O36" i="41"/>
  <c r="N36" i="41"/>
  <c r="O35" i="41"/>
  <c r="N35" i="41"/>
  <c r="O34" i="41"/>
  <c r="O44" i="41" s="1"/>
  <c r="N34" i="41"/>
  <c r="O26" i="41"/>
  <c r="N26" i="41"/>
  <c r="Q25" i="41"/>
  <c r="Q26" i="41" s="1"/>
  <c r="P25" i="41"/>
  <c r="P26" i="41" s="1"/>
  <c r="M25" i="41"/>
  <c r="M27" i="41" s="1"/>
  <c r="L25" i="41"/>
  <c r="L27" i="41" s="1"/>
  <c r="K25" i="41"/>
  <c r="K27" i="41" s="1"/>
  <c r="J25" i="41"/>
  <c r="J27" i="41" s="1"/>
  <c r="I25" i="41"/>
  <c r="I27" i="41" s="1"/>
  <c r="H25" i="41"/>
  <c r="H27" i="41" s="1"/>
  <c r="G25" i="41"/>
  <c r="G27" i="41" s="1"/>
  <c r="F25" i="41"/>
  <c r="O24" i="41"/>
  <c r="N24" i="41"/>
  <c r="O23" i="41"/>
  <c r="N23" i="41"/>
  <c r="O22" i="41"/>
  <c r="N22" i="41"/>
  <c r="O21" i="41"/>
  <c r="N21" i="41"/>
  <c r="O20" i="41"/>
  <c r="N20" i="41"/>
  <c r="O19" i="41"/>
  <c r="N19" i="41"/>
  <c r="O18" i="41"/>
  <c r="N18" i="41"/>
  <c r="O17" i="41"/>
  <c r="N17" i="41"/>
  <c r="O16" i="41"/>
  <c r="N16" i="41"/>
  <c r="O15" i="41"/>
  <c r="O25" i="41" s="1"/>
  <c r="N15" i="41"/>
  <c r="N25" i="41" s="1"/>
  <c r="B61" i="40"/>
  <c r="J36" i="40"/>
  <c r="I36" i="40"/>
  <c r="H36" i="40"/>
  <c r="G36" i="40"/>
  <c r="F36" i="40"/>
  <c r="J35" i="40"/>
  <c r="I35" i="40"/>
  <c r="H35" i="40"/>
  <c r="G35" i="40"/>
  <c r="T3" i="39"/>
  <c r="K4" i="39" s="1"/>
  <c r="AG1" i="24"/>
  <c r="AC31" i="39"/>
  <c r="E4" i="39"/>
  <c r="AE27" i="39" s="1"/>
  <c r="DG23" i="14"/>
  <c r="AD15" i="14"/>
  <c r="AF15" i="14" s="1"/>
  <c r="AI19" i="27"/>
  <c r="AE19" i="27"/>
  <c r="AA19" i="27"/>
  <c r="W19" i="27"/>
  <c r="AI18" i="27"/>
  <c r="AE18" i="27"/>
  <c r="AA18" i="27"/>
  <c r="W18" i="27"/>
  <c r="AI17" i="27"/>
  <c r="AE17" i="27"/>
  <c r="W17" i="27"/>
  <c r="AI16" i="27"/>
  <c r="AE16" i="27"/>
  <c r="W16" i="27"/>
  <c r="AI15" i="27"/>
  <c r="AE15" i="27"/>
  <c r="AA15" i="27"/>
  <c r="W15" i="27"/>
  <c r="AI14" i="27"/>
  <c r="AE14" i="27"/>
  <c r="W14" i="27"/>
  <c r="AI13" i="27"/>
  <c r="AE13" i="27"/>
  <c r="W13" i="27"/>
  <c r="AI12" i="27"/>
  <c r="AE12" i="27"/>
  <c r="AA12" i="27"/>
  <c r="W12" i="27"/>
  <c r="AI11" i="27"/>
  <c r="AE11" i="27"/>
  <c r="AA11" i="27"/>
  <c r="W11" i="27"/>
  <c r="AA10" i="27"/>
  <c r="W10" i="27"/>
  <c r="AA14" i="27"/>
  <c r="V1" i="27"/>
  <c r="P28" i="24"/>
  <c r="X24" i="33"/>
  <c r="W24" i="33"/>
  <c r="X23" i="33"/>
  <c r="W23" i="33"/>
  <c r="X22" i="33"/>
  <c r="W22" i="33"/>
  <c r="X21" i="33"/>
  <c r="W21" i="33"/>
  <c r="X20" i="33"/>
  <c r="W20" i="33"/>
  <c r="X19" i="33"/>
  <c r="W19" i="33"/>
  <c r="X18" i="33"/>
  <c r="W18" i="33"/>
  <c r="X17" i="33"/>
  <c r="W17" i="33"/>
  <c r="X16" i="33"/>
  <c r="W16" i="33"/>
  <c r="X15" i="33"/>
  <c r="W15" i="33"/>
  <c r="X14" i="33"/>
  <c r="W13" i="33"/>
  <c r="W14" i="33"/>
  <c r="X13" i="33"/>
  <c r="AD66" i="24"/>
  <c r="AD64" i="24"/>
  <c r="AD62" i="24"/>
  <c r="AB46" i="24"/>
  <c r="AB48" i="24"/>
  <c r="AF46" i="24"/>
  <c r="AF40" i="24"/>
  <c r="AF44" i="24"/>
  <c r="AF42" i="24"/>
  <c r="W27" i="27"/>
  <c r="AH26" i="24"/>
  <c r="AH24" i="24"/>
  <c r="AH30" i="24"/>
  <c r="AB52" i="24"/>
  <c r="AB40" i="24"/>
  <c r="AE24" i="24"/>
  <c r="AB24" i="24" s="1"/>
  <c r="S11" i="21"/>
  <c r="AE44" i="24"/>
  <c r="AE26" i="24"/>
  <c r="AB26" i="24" s="1"/>
  <c r="F38" i="24"/>
  <c r="S23" i="21"/>
  <c r="S22" i="21"/>
  <c r="S18" i="21"/>
  <c r="S17" i="21"/>
  <c r="S16" i="21"/>
  <c r="S15" i="21"/>
  <c r="S14" i="21"/>
  <c r="S13" i="21"/>
  <c r="S73" i="21"/>
  <c r="S72" i="21"/>
  <c r="S71" i="21"/>
  <c r="S70" i="21"/>
  <c r="S69" i="21"/>
  <c r="S68" i="21"/>
  <c r="S65" i="21"/>
  <c r="S64" i="21"/>
  <c r="S62" i="21"/>
  <c r="S61" i="21"/>
  <c r="S60" i="21"/>
  <c r="S58" i="21"/>
  <c r="S57" i="21"/>
  <c r="S55" i="21"/>
  <c r="S54" i="21"/>
  <c r="S53" i="21"/>
  <c r="S52" i="21"/>
  <c r="S51" i="21"/>
  <c r="S50" i="21"/>
  <c r="S49" i="21"/>
  <c r="S48" i="21"/>
  <c r="S47" i="21"/>
  <c r="S44" i="21"/>
  <c r="S45" i="21"/>
  <c r="S46" i="21"/>
  <c r="S42" i="21"/>
  <c r="S39" i="21"/>
  <c r="S38" i="21"/>
  <c r="S32" i="21"/>
  <c r="S31" i="21"/>
  <c r="S29" i="21"/>
  <c r="S28" i="21"/>
  <c r="S27" i="21"/>
  <c r="S25" i="21"/>
  <c r="S24" i="21"/>
  <c r="P17" i="37"/>
  <c r="O17" i="37"/>
  <c r="P16" i="37"/>
  <c r="O16" i="37"/>
  <c r="DT242" i="14" s="1"/>
  <c r="N18" i="21"/>
  <c r="M18" i="21"/>
  <c r="L18" i="21"/>
  <c r="U18" i="21" s="1"/>
  <c r="N17" i="21"/>
  <c r="M17" i="21"/>
  <c r="L17" i="21"/>
  <c r="U17" i="21" s="1"/>
  <c r="M22" i="27"/>
  <c r="L22" i="27"/>
  <c r="K22" i="27"/>
  <c r="J22" i="27"/>
  <c r="I22" i="27"/>
  <c r="H22" i="27"/>
  <c r="G22" i="27"/>
  <c r="F22" i="27"/>
  <c r="AA16" i="27"/>
  <c r="AA13" i="27"/>
  <c r="AA17" i="27"/>
  <c r="AB34" i="24"/>
  <c r="AB64" i="24"/>
  <c r="AB62" i="24"/>
  <c r="AB44" i="24"/>
  <c r="AB42" i="24"/>
  <c r="AB38" i="24"/>
  <c r="AB36" i="24"/>
  <c r="AB32" i="24"/>
  <c r="AD30" i="24"/>
  <c r="AF26" i="24"/>
  <c r="AF24" i="24"/>
  <c r="U156" i="14"/>
  <c r="X18" i="1"/>
  <c r="AA18" i="1"/>
  <c r="G46" i="24"/>
  <c r="AY157" i="14" s="1"/>
  <c r="F4" i="38"/>
  <c r="AD14" i="24"/>
  <c r="AD16" i="24"/>
  <c r="EG87" i="14"/>
  <c r="BA87" i="14"/>
  <c r="AT87" i="14"/>
  <c r="AM87" i="14"/>
  <c r="AF87" i="14"/>
  <c r="Y87" i="14"/>
  <c r="R87" i="14"/>
  <c r="BG87" i="14"/>
  <c r="CZ87" i="14"/>
  <c r="DH87" i="14"/>
  <c r="EP7" i="14"/>
  <c r="EM7" i="14"/>
  <c r="EJ7" i="14"/>
  <c r="EG7" i="14"/>
  <c r="AD18" i="24"/>
  <c r="N64" i="21"/>
  <c r="N62" i="21"/>
  <c r="N61" i="21"/>
  <c r="CI232" i="14" s="1"/>
  <c r="N60" i="21"/>
  <c r="N58" i="21"/>
  <c r="CG232" i="14" s="1"/>
  <c r="N57" i="21"/>
  <c r="N42" i="21"/>
  <c r="BR232" i="14" s="1"/>
  <c r="N39" i="21"/>
  <c r="BQ232" i="14" s="1"/>
  <c r="N38" i="21"/>
  <c r="BP232" i="14" s="1"/>
  <c r="BO232" i="14"/>
  <c r="BM232" i="14"/>
  <c r="N29" i="21"/>
  <c r="BK232" i="14" s="1"/>
  <c r="N28" i="21"/>
  <c r="BJ232" i="14" s="1"/>
  <c r="N27" i="21"/>
  <c r="BI232" i="14" s="1"/>
  <c r="N25" i="21"/>
  <c r="BH232" i="14" s="1"/>
  <c r="N24" i="21"/>
  <c r="BG232" i="14" s="1"/>
  <c r="N23" i="21"/>
  <c r="BF232" i="14" s="1"/>
  <c r="N22" i="21"/>
  <c r="N16" i="21"/>
  <c r="BB232" i="14" s="1"/>
  <c r="N15" i="21"/>
  <c r="BA232" i="14" s="1"/>
  <c r="N14" i="21"/>
  <c r="AZ232" i="14" s="1"/>
  <c r="N13" i="21"/>
  <c r="N11" i="21"/>
  <c r="AX232" i="14" s="1"/>
  <c r="EH227" i="14"/>
  <c r="EG227" i="14"/>
  <c r="AN227" i="14"/>
  <c r="AM227" i="14"/>
  <c r="IA227" i="14"/>
  <c r="IB227" i="14"/>
  <c r="BT222" i="14"/>
  <c r="BT221" i="14"/>
  <c r="BR221" i="14"/>
  <c r="BP221" i="14"/>
  <c r="BN221" i="14"/>
  <c r="BL221" i="14"/>
  <c r="BJ221" i="14"/>
  <c r="BH221" i="14"/>
  <c r="BF221" i="14"/>
  <c r="BD221" i="14"/>
  <c r="BB221" i="14"/>
  <c r="AZ221" i="14"/>
  <c r="AV206" i="14"/>
  <c r="AU206" i="14"/>
  <c r="AT206" i="14"/>
  <c r="AS206" i="14"/>
  <c r="AR206" i="14"/>
  <c r="AQ206" i="14"/>
  <c r="AP206" i="14"/>
  <c r="AO206" i="14"/>
  <c r="AN206" i="14"/>
  <c r="AM206" i="14"/>
  <c r="AL206" i="14"/>
  <c r="AK206" i="14"/>
  <c r="AJ206" i="14"/>
  <c r="AI206" i="14"/>
  <c r="AH206" i="14"/>
  <c r="AG206" i="14"/>
  <c r="AF206" i="14"/>
  <c r="AE206" i="14"/>
  <c r="AD206" i="14"/>
  <c r="AC206" i="14"/>
  <c r="AB206" i="14"/>
  <c r="AA206" i="14"/>
  <c r="DF191" i="14"/>
  <c r="DD191" i="14"/>
  <c r="DB191" i="14"/>
  <c r="CZ191" i="14"/>
  <c r="CX191" i="14"/>
  <c r="CV191" i="14"/>
  <c r="CT191" i="14"/>
  <c r="CR191" i="14"/>
  <c r="CP191" i="14"/>
  <c r="CN191" i="14"/>
  <c r="CL191" i="14"/>
  <c r="L10" i="17"/>
  <c r="DQ186" i="14"/>
  <c r="DO186" i="14"/>
  <c r="DK186" i="14"/>
  <c r="DI186" i="14"/>
  <c r="DG186" i="14"/>
  <c r="DE186" i="14"/>
  <c r="DC186" i="14"/>
  <c r="DA186" i="14"/>
  <c r="CY186" i="14"/>
  <c r="GY157" i="14"/>
  <c r="GX157" i="14"/>
  <c r="GZ157" i="14"/>
  <c r="HA157" i="14"/>
  <c r="HB157" i="14"/>
  <c r="HC157" i="14"/>
  <c r="HD157" i="14"/>
  <c r="HE157" i="14"/>
  <c r="HF157" i="14"/>
  <c r="HG157" i="14"/>
  <c r="HH157" i="14"/>
  <c r="HI157" i="14"/>
  <c r="HJ157" i="14"/>
  <c r="HK157" i="14"/>
  <c r="HL157" i="14"/>
  <c r="HM157" i="14"/>
  <c r="HN157" i="14"/>
  <c r="HO157" i="14"/>
  <c r="HP157" i="14"/>
  <c r="HQ157" i="14"/>
  <c r="FZ157" i="14"/>
  <c r="FY157" i="14"/>
  <c r="GA157" i="14"/>
  <c r="GB157" i="14"/>
  <c r="GC157" i="14"/>
  <c r="GD157" i="14"/>
  <c r="GE157" i="14"/>
  <c r="GF157" i="14"/>
  <c r="GG157" i="14"/>
  <c r="GH157" i="14"/>
  <c r="GI157" i="14"/>
  <c r="GJ157" i="14"/>
  <c r="GK157" i="14"/>
  <c r="GL157" i="14"/>
  <c r="GM157" i="14"/>
  <c r="GN157" i="14"/>
  <c r="GO157" i="14"/>
  <c r="GP157" i="14"/>
  <c r="GQ157" i="14"/>
  <c r="GR157" i="14"/>
  <c r="FA157" i="14"/>
  <c r="EZ157" i="14"/>
  <c r="FB157" i="14"/>
  <c r="FC157" i="14"/>
  <c r="FD157" i="14"/>
  <c r="FE157" i="14"/>
  <c r="FF157" i="14"/>
  <c r="FG157" i="14"/>
  <c r="FH157" i="14"/>
  <c r="FI157" i="14"/>
  <c r="FJ157" i="14"/>
  <c r="FK157" i="14"/>
  <c r="FL157" i="14"/>
  <c r="FM157" i="14"/>
  <c r="FN157" i="14"/>
  <c r="FO157" i="14"/>
  <c r="FP157" i="14"/>
  <c r="FQ157" i="14"/>
  <c r="FR157" i="14"/>
  <c r="FS157" i="14"/>
  <c r="EB157" i="14"/>
  <c r="EA157" i="14"/>
  <c r="EC157" i="14"/>
  <c r="ED157" i="14"/>
  <c r="EE157" i="14"/>
  <c r="EF157" i="14"/>
  <c r="EG157" i="14"/>
  <c r="EH157" i="14"/>
  <c r="EI157" i="14"/>
  <c r="EJ157" i="14"/>
  <c r="EK157" i="14"/>
  <c r="EL157" i="14"/>
  <c r="EM157" i="14"/>
  <c r="EN157" i="14"/>
  <c r="EO157" i="14"/>
  <c r="EP157" i="14"/>
  <c r="EQ157" i="14"/>
  <c r="ER157" i="14"/>
  <c r="ES157" i="14"/>
  <c r="ET157" i="14"/>
  <c r="HU157" i="14"/>
  <c r="HT157" i="14"/>
  <c r="GV157" i="14"/>
  <c r="GU157" i="14"/>
  <c r="FW157" i="14"/>
  <c r="FV157" i="14"/>
  <c r="EX157" i="14"/>
  <c r="EW157" i="14"/>
  <c r="DX157" i="14"/>
  <c r="DW157" i="14"/>
  <c r="DV157" i="14"/>
  <c r="DU157" i="14"/>
  <c r="DY157" i="14" s="1"/>
  <c r="BI157" i="14"/>
  <c r="BJ157" i="14"/>
  <c r="BK157" i="14"/>
  <c r="BL157" i="14"/>
  <c r="BI139" i="14"/>
  <c r="BI131" i="14"/>
  <c r="BI107" i="14"/>
  <c r="BI99" i="14"/>
  <c r="BI91" i="14"/>
  <c r="BI83" i="14"/>
  <c r="BI75" i="14"/>
  <c r="BI67" i="14"/>
  <c r="BI59" i="14"/>
  <c r="BH153" i="14"/>
  <c r="BG153" i="14"/>
  <c r="BG152" i="14"/>
  <c r="BH151" i="14"/>
  <c r="BG151" i="14"/>
  <c r="BG147" i="14"/>
  <c r="BH143" i="14"/>
  <c r="BG143" i="14"/>
  <c r="BH135" i="14"/>
  <c r="BG135" i="14"/>
  <c r="BI135" i="14" s="1"/>
  <c r="BH127" i="14"/>
  <c r="BG127" i="14"/>
  <c r="BH123" i="14"/>
  <c r="BH119" i="14"/>
  <c r="BG119" i="14"/>
  <c r="BH115" i="14"/>
  <c r="BH111" i="14"/>
  <c r="BG111" i="14"/>
  <c r="BH103" i="14"/>
  <c r="BG103" i="14"/>
  <c r="BI103" i="14" s="1"/>
  <c r="BH95" i="14"/>
  <c r="BG95" i="14"/>
  <c r="BH87" i="14"/>
  <c r="BH79" i="14"/>
  <c r="BG79" i="14"/>
  <c r="BH71" i="14"/>
  <c r="BG71" i="14"/>
  <c r="FL153" i="14"/>
  <c r="FK153" i="14"/>
  <c r="FF153" i="14"/>
  <c r="FE153" i="14"/>
  <c r="EZ153" i="14"/>
  <c r="EY153" i="14"/>
  <c r="ET153" i="14"/>
  <c r="ES153" i="14"/>
  <c r="EN153" i="14"/>
  <c r="EM153" i="14"/>
  <c r="EH153" i="14"/>
  <c r="EG153" i="14"/>
  <c r="EB153" i="14"/>
  <c r="EA153" i="14"/>
  <c r="DV153" i="14"/>
  <c r="DU153" i="14"/>
  <c r="DI153" i="14"/>
  <c r="DH153" i="14"/>
  <c r="DA153" i="14"/>
  <c r="DD153" i="14" s="1"/>
  <c r="CZ153" i="14"/>
  <c r="CV153" i="14"/>
  <c r="CS153" i="14" s="1"/>
  <c r="CT153" i="14" s="1"/>
  <c r="CR153" i="14"/>
  <c r="CU153" i="14" s="1"/>
  <c r="CK153" i="14"/>
  <c r="CJ153" i="14"/>
  <c r="BU153" i="14"/>
  <c r="BT153" i="14"/>
  <c r="BN153" i="14"/>
  <c r="BM153" i="14"/>
  <c r="BB153" i="14"/>
  <c r="BA153" i="14"/>
  <c r="AU153" i="14"/>
  <c r="AV153" i="14" s="1"/>
  <c r="AT153" i="14"/>
  <c r="AN153" i="14"/>
  <c r="AM153" i="14"/>
  <c r="AG153" i="14"/>
  <c r="AF153" i="14"/>
  <c r="Z153" i="14"/>
  <c r="Y153" i="14"/>
  <c r="S153" i="14"/>
  <c r="R153" i="14"/>
  <c r="H153" i="14"/>
  <c r="G153" i="14"/>
  <c r="C153" i="14"/>
  <c r="BA152" i="14"/>
  <c r="AT152" i="14"/>
  <c r="AM152" i="14"/>
  <c r="AF152" i="14"/>
  <c r="Y152" i="14"/>
  <c r="R152" i="14"/>
  <c r="FE7" i="14"/>
  <c r="FB7" i="14"/>
  <c r="EY7" i="14"/>
  <c r="EV7" i="14"/>
  <c r="EE232" i="14"/>
  <c r="ED232" i="14"/>
  <c r="EC232" i="14"/>
  <c r="EB232" i="14"/>
  <c r="EA232" i="14"/>
  <c r="DZ232" i="14"/>
  <c r="DY232" i="14"/>
  <c r="DX232" i="14"/>
  <c r="EA143" i="14"/>
  <c r="GN223" i="14"/>
  <c r="GM223" i="14"/>
  <c r="GW171" i="14"/>
  <c r="GY171" i="14" s="1"/>
  <c r="GV171" i="14"/>
  <c r="FZ171" i="14"/>
  <c r="GB171" i="14" s="1"/>
  <c r="FY171" i="14"/>
  <c r="FC171" i="14"/>
  <c r="FE171" i="14" s="1"/>
  <c r="FB171" i="14"/>
  <c r="EF171" i="14"/>
  <c r="EH171" i="14" s="1"/>
  <c r="EE171" i="14"/>
  <c r="CL166" i="14"/>
  <c r="CK166" i="14"/>
  <c r="BO166" i="14"/>
  <c r="BN166" i="14"/>
  <c r="AR166" i="14"/>
  <c r="AQ166" i="14"/>
  <c r="U166" i="14"/>
  <c r="T166" i="14"/>
  <c r="ER162" i="14"/>
  <c r="EP162" i="14"/>
  <c r="EN162" i="14"/>
  <c r="EQ162" i="14"/>
  <c r="EO162" i="14"/>
  <c r="EM162" i="14"/>
  <c r="DU161" i="14"/>
  <c r="DQ161" i="14"/>
  <c r="DO161" i="14"/>
  <c r="DM161" i="14"/>
  <c r="DK161" i="14"/>
  <c r="DI161" i="14"/>
  <c r="DG161" i="14"/>
  <c r="DE161" i="14"/>
  <c r="DC161" i="14"/>
  <c r="DA161" i="14"/>
  <c r="CY161" i="14"/>
  <c r="CV161" i="14"/>
  <c r="CR161" i="14"/>
  <c r="CP161" i="14"/>
  <c r="CN161" i="14"/>
  <c r="CL161" i="14"/>
  <c r="CJ161" i="14"/>
  <c r="CH161" i="14"/>
  <c r="CF161" i="14"/>
  <c r="CD161" i="14"/>
  <c r="CB161" i="14"/>
  <c r="BZ161" i="14"/>
  <c r="BW161" i="14"/>
  <c r="BS161" i="14"/>
  <c r="BQ161" i="14"/>
  <c r="BO161" i="14"/>
  <c r="BM161" i="14"/>
  <c r="BK161" i="14"/>
  <c r="BI161" i="14"/>
  <c r="BG161" i="14"/>
  <c r="BE161" i="14"/>
  <c r="BC161" i="14"/>
  <c r="BA161" i="14"/>
  <c r="AX161" i="14"/>
  <c r="AT161" i="14"/>
  <c r="AR161" i="14"/>
  <c r="AP161" i="14"/>
  <c r="AN161" i="14"/>
  <c r="AL161" i="14"/>
  <c r="AJ161" i="14"/>
  <c r="AH161" i="14"/>
  <c r="AF161" i="14"/>
  <c r="AD161" i="14"/>
  <c r="AB161" i="14"/>
  <c r="DP161" i="14"/>
  <c r="DN161" i="14"/>
  <c r="DL161" i="14"/>
  <c r="DJ161" i="14"/>
  <c r="DH161" i="14"/>
  <c r="DF161" i="14"/>
  <c r="DD161" i="14"/>
  <c r="DB161" i="14"/>
  <c r="CZ161" i="14"/>
  <c r="CX161" i="14"/>
  <c r="CU161" i="14"/>
  <c r="CQ161" i="14"/>
  <c r="CO161" i="14"/>
  <c r="CM161" i="14"/>
  <c r="CK161" i="14"/>
  <c r="CI161" i="14"/>
  <c r="CG161" i="14"/>
  <c r="CE161" i="14"/>
  <c r="CC161" i="14"/>
  <c r="CA161" i="14"/>
  <c r="BY161" i="14"/>
  <c r="BV161" i="14"/>
  <c r="BR161" i="14"/>
  <c r="BP161" i="14"/>
  <c r="BN161" i="14"/>
  <c r="BL161" i="14"/>
  <c r="BJ161" i="14"/>
  <c r="BH161" i="14"/>
  <c r="BF161" i="14"/>
  <c r="BD161" i="14"/>
  <c r="BB161" i="14"/>
  <c r="AZ161" i="14"/>
  <c r="AW161" i="14"/>
  <c r="AS161" i="14"/>
  <c r="AQ161" i="14"/>
  <c r="AO161" i="14"/>
  <c r="AM161" i="14"/>
  <c r="AK161" i="14"/>
  <c r="AI161" i="14"/>
  <c r="AG161" i="14"/>
  <c r="AE161" i="14"/>
  <c r="AC161" i="14"/>
  <c r="AA161" i="14"/>
  <c r="Y161" i="14"/>
  <c r="X161" i="14"/>
  <c r="U161" i="14"/>
  <c r="T161" i="14"/>
  <c r="S161" i="14"/>
  <c r="R161" i="14"/>
  <c r="HF212" i="14"/>
  <c r="HD212" i="14"/>
  <c r="HB212" i="14"/>
  <c r="GZ212" i="14"/>
  <c r="GX212" i="14"/>
  <c r="GV212" i="14"/>
  <c r="GT212" i="14"/>
  <c r="GR212" i="14"/>
  <c r="GP212" i="14"/>
  <c r="GN212" i="14"/>
  <c r="GL212" i="14"/>
  <c r="GJ212" i="14"/>
  <c r="C161" i="14"/>
  <c r="B161" i="14"/>
  <c r="AM156" i="14"/>
  <c r="AL156" i="14"/>
  <c r="AK156" i="14"/>
  <c r="AJ156" i="14"/>
  <c r="AI156" i="14"/>
  <c r="AH156" i="14"/>
  <c r="AG156" i="14"/>
  <c r="AF156" i="14"/>
  <c r="AE156" i="14"/>
  <c r="AD156" i="14"/>
  <c r="AC156" i="14"/>
  <c r="AB156" i="14"/>
  <c r="Q161" i="14"/>
  <c r="P161" i="14"/>
  <c r="O161" i="14"/>
  <c r="N161" i="14"/>
  <c r="M161" i="14"/>
  <c r="L161" i="14"/>
  <c r="K161" i="14"/>
  <c r="J161" i="14"/>
  <c r="I161" i="14"/>
  <c r="H161" i="14"/>
  <c r="G161" i="14"/>
  <c r="F161" i="14"/>
  <c r="E161" i="14"/>
  <c r="D161" i="14"/>
  <c r="DR157" i="14"/>
  <c r="DN157" i="14"/>
  <c r="DQ156" i="14"/>
  <c r="DJ156" i="14"/>
  <c r="DK156" i="14"/>
  <c r="CG156" i="14"/>
  <c r="CF157" i="14"/>
  <c r="CE157" i="14"/>
  <c r="CD157" i="14"/>
  <c r="CG157" i="14"/>
  <c r="BU156" i="14"/>
  <c r="BU157" i="14"/>
  <c r="T156" i="14"/>
  <c r="CG267" i="14"/>
  <c r="CE267" i="14"/>
  <c r="CC267" i="14"/>
  <c r="CA267" i="14"/>
  <c r="BY267" i="14"/>
  <c r="BW267" i="14"/>
  <c r="BU267" i="14"/>
  <c r="BS267" i="14"/>
  <c r="BQ267" i="14"/>
  <c r="BO267" i="14"/>
  <c r="BM267" i="14"/>
  <c r="CI266" i="14"/>
  <c r="CH267" i="14"/>
  <c r="CF267" i="14"/>
  <c r="CD267" i="14"/>
  <c r="CB267" i="14"/>
  <c r="BZ267" i="14"/>
  <c r="BX267" i="14"/>
  <c r="BV267" i="14"/>
  <c r="BT267" i="14"/>
  <c r="BR267" i="14"/>
  <c r="BP267" i="14"/>
  <c r="BN267" i="14"/>
  <c r="CJ266" i="14"/>
  <c r="BI267" i="14"/>
  <c r="BG267" i="14"/>
  <c r="BE267" i="14"/>
  <c r="BC267" i="14"/>
  <c r="BA267" i="14"/>
  <c r="AY267" i="14"/>
  <c r="AW267" i="14"/>
  <c r="AU267" i="14"/>
  <c r="AS267" i="14"/>
  <c r="AQ267" i="14"/>
  <c r="AO267" i="14"/>
  <c r="BK266" i="14"/>
  <c r="BH267" i="14"/>
  <c r="BF267" i="14"/>
  <c r="BD267" i="14"/>
  <c r="BB267" i="14"/>
  <c r="AZ267" i="14"/>
  <c r="AX267" i="14"/>
  <c r="AV267" i="14"/>
  <c r="AT267" i="14"/>
  <c r="AR267" i="14"/>
  <c r="AP267" i="14"/>
  <c r="AN267" i="14"/>
  <c r="BJ266" i="14"/>
  <c r="AL266" i="14"/>
  <c r="AK266" i="14"/>
  <c r="AJ267" i="14"/>
  <c r="CH268" i="14" s="1"/>
  <c r="AI267" i="14"/>
  <c r="AH267" i="14"/>
  <c r="AG267" i="14"/>
  <c r="CE268" i="14" s="1"/>
  <c r="AF267" i="14"/>
  <c r="CD268" i="14" s="1"/>
  <c r="AE267" i="14"/>
  <c r="AD267" i="14"/>
  <c r="CB268" i="14" s="1"/>
  <c r="AC267" i="14"/>
  <c r="CA268" i="14" s="1"/>
  <c r="AB267" i="14"/>
  <c r="BZ268" i="14" s="1"/>
  <c r="AA267" i="14"/>
  <c r="Z267" i="14"/>
  <c r="Y267" i="14"/>
  <c r="BW268" i="14" s="1"/>
  <c r="X267" i="14"/>
  <c r="BV268" i="14" s="1"/>
  <c r="W267" i="14"/>
  <c r="V267" i="14"/>
  <c r="U267" i="14"/>
  <c r="T267" i="14"/>
  <c r="S267" i="14"/>
  <c r="R267" i="14"/>
  <c r="BP268" i="14" s="1"/>
  <c r="Q267" i="14"/>
  <c r="P267" i="14"/>
  <c r="O267" i="14"/>
  <c r="L266" i="14"/>
  <c r="L267" i="14"/>
  <c r="K267" i="14"/>
  <c r="J267" i="14"/>
  <c r="I267" i="14"/>
  <c r="H267" i="14"/>
  <c r="G267" i="14"/>
  <c r="F267" i="14"/>
  <c r="E267" i="14"/>
  <c r="D267" i="14"/>
  <c r="C267" i="14"/>
  <c r="B267" i="14"/>
  <c r="CV266" i="14"/>
  <c r="CV267" i="14"/>
  <c r="CU267" i="14"/>
  <c r="CT267" i="14"/>
  <c r="CS267" i="14"/>
  <c r="CR267" i="14"/>
  <c r="CQ267" i="14"/>
  <c r="CP267" i="14"/>
  <c r="CO267" i="14"/>
  <c r="CN267" i="14"/>
  <c r="CM267" i="14"/>
  <c r="CL267" i="14"/>
  <c r="CO237" i="14"/>
  <c r="CK237" i="14"/>
  <c r="CG237" i="14"/>
  <c r="CB237" i="14"/>
  <c r="BX237" i="14"/>
  <c r="BT237" i="14"/>
  <c r="BP237" i="14"/>
  <c r="BL237" i="14"/>
  <c r="BH237" i="14"/>
  <c r="BD237" i="14"/>
  <c r="AZ237" i="14"/>
  <c r="FQ222" i="14"/>
  <c r="FP222" i="14"/>
  <c r="ER222" i="14"/>
  <c r="EQ222" i="14"/>
  <c r="DS222" i="14"/>
  <c r="DR222" i="14"/>
  <c r="CT222" i="14"/>
  <c r="CS222" i="14"/>
  <c r="BU222" i="14"/>
  <c r="AV222" i="14"/>
  <c r="AU222" i="14"/>
  <c r="W222" i="14"/>
  <c r="V222" i="14"/>
  <c r="IE217" i="14"/>
  <c r="ID217" i="14"/>
  <c r="IC217" i="14"/>
  <c r="IB217" i="14"/>
  <c r="IA217" i="14"/>
  <c r="HZ217" i="14"/>
  <c r="HY217" i="14"/>
  <c r="HX217" i="14"/>
  <c r="HW217" i="14"/>
  <c r="HV217" i="14"/>
  <c r="HU217" i="14"/>
  <c r="HT217" i="14"/>
  <c r="CS214" i="14"/>
  <c r="CR214" i="14"/>
  <c r="CQ214" i="14"/>
  <c r="CP214" i="14"/>
  <c r="BU217" i="14"/>
  <c r="BT217" i="14"/>
  <c r="BS217" i="14"/>
  <c r="BR217" i="14"/>
  <c r="AV217" i="14"/>
  <c r="AU217" i="14"/>
  <c r="AT217" i="14"/>
  <c r="AS217" i="14"/>
  <c r="W217" i="14"/>
  <c r="V217" i="14"/>
  <c r="U217" i="14"/>
  <c r="T217" i="14"/>
  <c r="GE212" i="14"/>
  <c r="GC212" i="14"/>
  <c r="GA212" i="14"/>
  <c r="FY212" i="14"/>
  <c r="FW212" i="14"/>
  <c r="FU212" i="14"/>
  <c r="FS212" i="14"/>
  <c r="FQ212" i="14"/>
  <c r="FO212" i="14"/>
  <c r="FM212" i="14"/>
  <c r="FK212" i="14"/>
  <c r="FI212" i="14"/>
  <c r="GD212" i="14"/>
  <c r="GB212" i="14"/>
  <c r="FZ212" i="14"/>
  <c r="FX212" i="14"/>
  <c r="FV212" i="14"/>
  <c r="FT212" i="14"/>
  <c r="FR212" i="14"/>
  <c r="FP212" i="14"/>
  <c r="FN212" i="14"/>
  <c r="FL212" i="14"/>
  <c r="FJ212" i="14"/>
  <c r="FH212" i="14"/>
  <c r="HE212" i="14"/>
  <c r="HC212" i="14"/>
  <c r="HA212" i="14"/>
  <c r="GY212" i="14"/>
  <c r="GW212" i="14"/>
  <c r="GU212" i="14"/>
  <c r="GS212" i="14"/>
  <c r="GQ212" i="14"/>
  <c r="GO212" i="14"/>
  <c r="GM212" i="14"/>
  <c r="GK212" i="14"/>
  <c r="GI212" i="14"/>
  <c r="IN247" i="14"/>
  <c r="IM247" i="14"/>
  <c r="IL247" i="14"/>
  <c r="IK247" i="14"/>
  <c r="IJ247" i="14"/>
  <c r="II247" i="14"/>
  <c r="IH247" i="14"/>
  <c r="IG247" i="14"/>
  <c r="IF247" i="14"/>
  <c r="IE247" i="14"/>
  <c r="ID247" i="14"/>
  <c r="IC247" i="14"/>
  <c r="IB247" i="14"/>
  <c r="IA247" i="14"/>
  <c r="HZ247" i="14"/>
  <c r="HY247" i="14"/>
  <c r="HX247" i="14"/>
  <c r="HW247" i="14"/>
  <c r="HV247" i="14"/>
  <c r="HU247" i="14"/>
  <c r="HT247" i="14"/>
  <c r="HS247" i="14"/>
  <c r="HL221" i="14"/>
  <c r="EG151" i="14"/>
  <c r="EG143" i="14"/>
  <c r="EG135" i="14"/>
  <c r="EG127" i="14"/>
  <c r="EG119" i="14"/>
  <c r="EG111" i="14"/>
  <c r="BN111" i="14"/>
  <c r="BM111" i="14"/>
  <c r="EG103" i="14"/>
  <c r="EG95" i="14"/>
  <c r="CV87" i="14"/>
  <c r="EG79" i="14"/>
  <c r="EG71" i="14"/>
  <c r="HN32" i="14"/>
  <c r="HM32" i="14"/>
  <c r="GI32" i="14"/>
  <c r="GH32" i="14"/>
  <c r="FD32" i="14"/>
  <c r="FC32" i="14"/>
  <c r="DY32" i="14"/>
  <c r="DX32" i="14"/>
  <c r="CT202" i="14"/>
  <c r="CS202" i="14"/>
  <c r="CR202" i="14"/>
  <c r="CQ202" i="14"/>
  <c r="CP202" i="14"/>
  <c r="CO202" i="14"/>
  <c r="CN202" i="14"/>
  <c r="CM202" i="14"/>
  <c r="CL202" i="14"/>
  <c r="CK202" i="14"/>
  <c r="CJ202" i="14"/>
  <c r="CI202" i="14"/>
  <c r="CH202" i="14"/>
  <c r="CG202" i="14"/>
  <c r="CF202" i="14"/>
  <c r="CE202" i="14"/>
  <c r="CD202" i="14"/>
  <c r="CC202" i="14"/>
  <c r="CB202" i="14"/>
  <c r="CA202" i="14"/>
  <c r="BZ202" i="14"/>
  <c r="BY202" i="14"/>
  <c r="DS202" i="14"/>
  <c r="DR202" i="14"/>
  <c r="DQ202" i="14"/>
  <c r="DP202" i="14"/>
  <c r="DO202" i="14"/>
  <c r="DN202" i="14"/>
  <c r="DM202" i="14"/>
  <c r="DL202" i="14"/>
  <c r="DK202" i="14"/>
  <c r="DJ202" i="14"/>
  <c r="DI202" i="14"/>
  <c r="DH202" i="14"/>
  <c r="DG202" i="14"/>
  <c r="DF202" i="14"/>
  <c r="DE202" i="14"/>
  <c r="DD202" i="14"/>
  <c r="DC202" i="14"/>
  <c r="DB202" i="14"/>
  <c r="DA202" i="14"/>
  <c r="CZ202" i="14"/>
  <c r="CY202" i="14"/>
  <c r="CX202" i="14"/>
  <c r="ER201" i="14"/>
  <c r="EQ201" i="14"/>
  <c r="EP201" i="14"/>
  <c r="EO201" i="14"/>
  <c r="EN201" i="14"/>
  <c r="EM201" i="14"/>
  <c r="EL201" i="14"/>
  <c r="EK201" i="14"/>
  <c r="EJ201" i="14"/>
  <c r="EI201" i="14"/>
  <c r="EH201" i="14"/>
  <c r="EG201" i="14"/>
  <c r="EF201" i="14"/>
  <c r="EE201" i="14"/>
  <c r="ED201" i="14"/>
  <c r="EC201" i="14"/>
  <c r="EB201" i="14"/>
  <c r="EA201" i="14"/>
  <c r="DZ201" i="14"/>
  <c r="DY201" i="14"/>
  <c r="DX201" i="14"/>
  <c r="DW201" i="14"/>
  <c r="DS201" i="14"/>
  <c r="DR201" i="14"/>
  <c r="DQ201" i="14"/>
  <c r="DP201" i="14"/>
  <c r="DO201" i="14"/>
  <c r="DN201" i="14"/>
  <c r="DM201" i="14"/>
  <c r="DL201" i="14"/>
  <c r="DK201" i="14"/>
  <c r="DJ201" i="14"/>
  <c r="DI201" i="14"/>
  <c r="DH201" i="14"/>
  <c r="DG201" i="14"/>
  <c r="DF201" i="14"/>
  <c r="DE201" i="14"/>
  <c r="DD201" i="14"/>
  <c r="DC201" i="14"/>
  <c r="DB201" i="14"/>
  <c r="DA201" i="14"/>
  <c r="CZ201" i="14"/>
  <c r="CY201" i="14"/>
  <c r="CX201" i="14"/>
  <c r="CT201" i="14"/>
  <c r="CS201" i="14"/>
  <c r="CR201" i="14"/>
  <c r="CQ201" i="14"/>
  <c r="CP201" i="14"/>
  <c r="CO201" i="14"/>
  <c r="CN201" i="14"/>
  <c r="CM201" i="14"/>
  <c r="CL201" i="14"/>
  <c r="CK201" i="14"/>
  <c r="CJ201" i="14"/>
  <c r="CI201" i="14"/>
  <c r="CH201" i="14"/>
  <c r="CG201" i="14"/>
  <c r="CF201" i="14"/>
  <c r="CE201" i="14"/>
  <c r="CD201" i="14"/>
  <c r="CC201" i="14"/>
  <c r="CB201" i="14"/>
  <c r="CA201" i="14"/>
  <c r="BZ201" i="14"/>
  <c r="BY201" i="14"/>
  <c r="BU201" i="14"/>
  <c r="BT201" i="14"/>
  <c r="BS201" i="14"/>
  <c r="BR201" i="14"/>
  <c r="BQ201" i="14"/>
  <c r="BP201" i="14"/>
  <c r="BO201" i="14"/>
  <c r="BN201" i="14"/>
  <c r="BM201" i="14"/>
  <c r="BL201" i="14"/>
  <c r="BK201" i="14"/>
  <c r="BJ201" i="14"/>
  <c r="BI201" i="14"/>
  <c r="BH201" i="14"/>
  <c r="BG201" i="14"/>
  <c r="BF201" i="14"/>
  <c r="BE201" i="14"/>
  <c r="BD201" i="14"/>
  <c r="BC201" i="14"/>
  <c r="BB201" i="14"/>
  <c r="BA201" i="14"/>
  <c r="AZ201" i="14"/>
  <c r="AV201" i="14"/>
  <c r="AU201" i="14"/>
  <c r="AT201" i="14"/>
  <c r="AS201" i="14"/>
  <c r="AR201" i="14"/>
  <c r="AQ201" i="14"/>
  <c r="AP201" i="14"/>
  <c r="AO201" i="14"/>
  <c r="AN201" i="14"/>
  <c r="AM201" i="14"/>
  <c r="AL201" i="14"/>
  <c r="AK201" i="14"/>
  <c r="AJ201" i="14"/>
  <c r="AI201" i="14"/>
  <c r="AH201" i="14"/>
  <c r="AG201" i="14"/>
  <c r="AF201" i="14"/>
  <c r="AE201" i="14"/>
  <c r="AD201" i="14"/>
  <c r="AC201" i="14"/>
  <c r="AB201" i="14"/>
  <c r="AA201" i="14"/>
  <c r="W201" i="14"/>
  <c r="V201" i="14"/>
  <c r="U201" i="14"/>
  <c r="T201" i="14"/>
  <c r="S201" i="14"/>
  <c r="R201" i="14"/>
  <c r="Q201" i="14"/>
  <c r="P201" i="14"/>
  <c r="O201" i="14"/>
  <c r="N201" i="14"/>
  <c r="M201" i="14"/>
  <c r="L201" i="14"/>
  <c r="K201" i="14"/>
  <c r="J201" i="14"/>
  <c r="I201" i="14"/>
  <c r="H201" i="14"/>
  <c r="G201" i="14"/>
  <c r="F201" i="14"/>
  <c r="E201" i="14"/>
  <c r="D201" i="14"/>
  <c r="C201" i="14"/>
  <c r="B201" i="14"/>
  <c r="IN196" i="14"/>
  <c r="IM196" i="14"/>
  <c r="IL196" i="14"/>
  <c r="IK196" i="14"/>
  <c r="IJ196" i="14"/>
  <c r="II196" i="14"/>
  <c r="IH196" i="14"/>
  <c r="IG196" i="14"/>
  <c r="IF196" i="14"/>
  <c r="IE196" i="14"/>
  <c r="ID196" i="14"/>
  <c r="IC196" i="14"/>
  <c r="IB196" i="14"/>
  <c r="IA196" i="14"/>
  <c r="HZ196" i="14"/>
  <c r="HY196" i="14"/>
  <c r="HX196" i="14"/>
  <c r="HW196" i="14"/>
  <c r="HV196" i="14"/>
  <c r="HU196" i="14"/>
  <c r="HT196" i="14"/>
  <c r="HS196" i="14"/>
  <c r="HO196" i="14"/>
  <c r="HN196" i="14"/>
  <c r="HM196" i="14"/>
  <c r="HL196" i="14"/>
  <c r="HK196" i="14"/>
  <c r="HJ196" i="14"/>
  <c r="HI196" i="14"/>
  <c r="HH196" i="14"/>
  <c r="HG196" i="14"/>
  <c r="HF196" i="14"/>
  <c r="HE196" i="14"/>
  <c r="HD196" i="14"/>
  <c r="HC196" i="14"/>
  <c r="HB196" i="14"/>
  <c r="HA196" i="14"/>
  <c r="GZ196" i="14"/>
  <c r="GY196" i="14"/>
  <c r="GX196" i="14"/>
  <c r="GW196" i="14"/>
  <c r="GV196" i="14"/>
  <c r="GU196" i="14"/>
  <c r="GT196" i="14"/>
  <c r="GP196" i="14"/>
  <c r="GO196" i="14"/>
  <c r="GN196" i="14"/>
  <c r="GM196" i="14"/>
  <c r="GL196" i="14"/>
  <c r="GK196" i="14"/>
  <c r="GJ196" i="14"/>
  <c r="GI196" i="14"/>
  <c r="GH196" i="14"/>
  <c r="GG196" i="14"/>
  <c r="GF196" i="14"/>
  <c r="GE196" i="14"/>
  <c r="GD196" i="14"/>
  <c r="GC196" i="14"/>
  <c r="GB196" i="14"/>
  <c r="GA196" i="14"/>
  <c r="FZ196" i="14"/>
  <c r="FY196" i="14"/>
  <c r="FX196" i="14"/>
  <c r="FW196" i="14"/>
  <c r="FV196" i="14"/>
  <c r="FU196" i="14"/>
  <c r="FQ196" i="14"/>
  <c r="FP196" i="14"/>
  <c r="FO196" i="14"/>
  <c r="FN196" i="14"/>
  <c r="FM196" i="14"/>
  <c r="FL196" i="14"/>
  <c r="FK196" i="14"/>
  <c r="FJ196" i="14"/>
  <c r="FI196" i="14"/>
  <c r="FH196" i="14"/>
  <c r="FG196" i="14"/>
  <c r="FF196" i="14"/>
  <c r="FE196" i="14"/>
  <c r="FD196" i="14"/>
  <c r="FC196" i="14"/>
  <c r="FB196" i="14"/>
  <c r="FA196" i="14"/>
  <c r="EZ196" i="14"/>
  <c r="EY196" i="14"/>
  <c r="EX196" i="14"/>
  <c r="EW196" i="14"/>
  <c r="EV196" i="14"/>
  <c r="ET201" i="14"/>
  <c r="ES201" i="14"/>
  <c r="CV202" i="14"/>
  <c r="CU202" i="14"/>
  <c r="DU202" i="14"/>
  <c r="DT202" i="14"/>
  <c r="DU201" i="14"/>
  <c r="DT201" i="14"/>
  <c r="CV201" i="14"/>
  <c r="CU201" i="14"/>
  <c r="BW201" i="14"/>
  <c r="BV201" i="14"/>
  <c r="AX201" i="14"/>
  <c r="AW201" i="14"/>
  <c r="Y201" i="14"/>
  <c r="X201" i="14"/>
  <c r="IP196" i="14"/>
  <c r="IO196" i="14"/>
  <c r="HQ196" i="14"/>
  <c r="HP196" i="14"/>
  <c r="GR196" i="14"/>
  <c r="GQ196" i="14"/>
  <c r="FS196" i="14"/>
  <c r="FR196" i="14"/>
  <c r="ER196" i="14"/>
  <c r="EQ196" i="14"/>
  <c r="EP196" i="14"/>
  <c r="EO196" i="14"/>
  <c r="EN196" i="14"/>
  <c r="EM196" i="14"/>
  <c r="EL196" i="14"/>
  <c r="EK196" i="14"/>
  <c r="EJ196" i="14"/>
  <c r="EI196" i="14"/>
  <c r="EH196" i="14"/>
  <c r="EG196" i="14"/>
  <c r="EF196" i="14"/>
  <c r="EE196" i="14"/>
  <c r="ED196" i="14"/>
  <c r="EC196" i="14"/>
  <c r="EB196" i="14"/>
  <c r="EA196" i="14"/>
  <c r="DZ196" i="14"/>
  <c r="DY196" i="14"/>
  <c r="DX196" i="14"/>
  <c r="DW196" i="14"/>
  <c r="ET196" i="14"/>
  <c r="ES196" i="14"/>
  <c r="DS207" i="14"/>
  <c r="DR207" i="14"/>
  <c r="DQ207" i="14"/>
  <c r="DP207" i="14"/>
  <c r="DO207" i="14"/>
  <c r="DN207" i="14"/>
  <c r="DM207" i="14"/>
  <c r="DL207" i="14"/>
  <c r="DK207" i="14"/>
  <c r="DJ207" i="14"/>
  <c r="DI207" i="14"/>
  <c r="DH207" i="14"/>
  <c r="DG207" i="14"/>
  <c r="DF207" i="14"/>
  <c r="DE207" i="14"/>
  <c r="DD207" i="14"/>
  <c r="DC207" i="14"/>
  <c r="DB207" i="14"/>
  <c r="DA207" i="14"/>
  <c r="CZ207" i="14"/>
  <c r="CY207" i="14"/>
  <c r="CX207" i="14"/>
  <c r="DU207" i="14"/>
  <c r="DT207" i="14"/>
  <c r="ER207" i="14"/>
  <c r="EQ207" i="14"/>
  <c r="EP207" i="14"/>
  <c r="EO207" i="14"/>
  <c r="EN207" i="14"/>
  <c r="EM207" i="14"/>
  <c r="EL207" i="14"/>
  <c r="EK207" i="14"/>
  <c r="EJ207" i="14"/>
  <c r="EI207" i="14"/>
  <c r="EH207" i="14"/>
  <c r="EG207" i="14"/>
  <c r="EF207" i="14"/>
  <c r="EE207" i="14"/>
  <c r="ED207" i="14"/>
  <c r="EC207" i="14"/>
  <c r="EB207" i="14"/>
  <c r="EA207" i="14"/>
  <c r="DZ207" i="14"/>
  <c r="DY207" i="14"/>
  <c r="DX207" i="14"/>
  <c r="DW207" i="14"/>
  <c r="ET207" i="14"/>
  <c r="ES207" i="14"/>
  <c r="EE192" i="14"/>
  <c r="EC192" i="14"/>
  <c r="EA192" i="14"/>
  <c r="DY192" i="14"/>
  <c r="DW192" i="14"/>
  <c r="DU192" i="14"/>
  <c r="DS192" i="14"/>
  <c r="DQ192" i="14"/>
  <c r="DO192" i="14"/>
  <c r="DM192" i="14"/>
  <c r="DK192" i="14"/>
  <c r="ED192" i="14"/>
  <c r="EB192" i="14"/>
  <c r="DZ192" i="14"/>
  <c r="DX192" i="14"/>
  <c r="DV192" i="14"/>
  <c r="DT192" i="14"/>
  <c r="DR192" i="14"/>
  <c r="DP192" i="14"/>
  <c r="DN192" i="14"/>
  <c r="DL192" i="14"/>
  <c r="DJ192" i="14"/>
  <c r="IA192" i="14"/>
  <c r="HY192" i="14"/>
  <c r="HW192" i="14"/>
  <c r="HU192" i="14"/>
  <c r="HS192" i="14"/>
  <c r="HQ192" i="14"/>
  <c r="HO192" i="14"/>
  <c r="HM192" i="14"/>
  <c r="HK192" i="14"/>
  <c r="HI192" i="14"/>
  <c r="HG192" i="14"/>
  <c r="HZ192" i="14"/>
  <c r="HX192" i="14"/>
  <c r="HV192" i="14"/>
  <c r="HT192" i="14"/>
  <c r="HR192" i="14"/>
  <c r="HP192" i="14"/>
  <c r="HN192" i="14"/>
  <c r="HL192" i="14"/>
  <c r="HJ192" i="14"/>
  <c r="HH192" i="14"/>
  <c r="HF192" i="14"/>
  <c r="CG192" i="14"/>
  <c r="CF192" i="14"/>
  <c r="CI191" i="14"/>
  <c r="CH191" i="14"/>
  <c r="BR192" i="14"/>
  <c r="BQ192" i="14"/>
  <c r="BT191" i="14"/>
  <c r="BS191" i="14"/>
  <c r="BC192" i="14"/>
  <c r="CD192" i="14" s="1"/>
  <c r="BB192" i="14"/>
  <c r="CC192" i="14" s="1"/>
  <c r="BE191" i="14"/>
  <c r="CI190" i="14" s="1"/>
  <c r="BD191" i="14"/>
  <c r="CH190" i="14" s="1"/>
  <c r="GB180" i="14"/>
  <c r="B65" i="38"/>
  <c r="F35" i="33"/>
  <c r="F37" i="33" s="1"/>
  <c r="C63" i="14"/>
  <c r="BD192" i="14"/>
  <c r="CK192" i="14"/>
  <c r="Z41" i="18"/>
  <c r="Y41" i="18"/>
  <c r="FP207" i="14" s="1"/>
  <c r="X41" i="18"/>
  <c r="FO207" i="14" s="1"/>
  <c r="W41" i="18"/>
  <c r="FN207" i="14" s="1"/>
  <c r="V41" i="18"/>
  <c r="FM207" i="14" s="1"/>
  <c r="U41" i="18"/>
  <c r="FL207" i="14" s="1"/>
  <c r="T41" i="18"/>
  <c r="FK207" i="14" s="1"/>
  <c r="S41" i="18"/>
  <c r="FJ207" i="14" s="1"/>
  <c r="R41" i="18"/>
  <c r="FI207" i="14" s="1"/>
  <c r="Q41" i="18"/>
  <c r="FH207" i="14" s="1"/>
  <c r="P41" i="18"/>
  <c r="FG207" i="14" s="1"/>
  <c r="O41" i="18"/>
  <c r="FF207" i="14" s="1"/>
  <c r="N41" i="18"/>
  <c r="FE207" i="14" s="1"/>
  <c r="M41" i="18"/>
  <c r="FD207" i="14" s="1"/>
  <c r="L41" i="18"/>
  <c r="FC207" i="14" s="1"/>
  <c r="K41" i="18"/>
  <c r="FB207" i="14" s="1"/>
  <c r="J41" i="18"/>
  <c r="FA207" i="14" s="1"/>
  <c r="I41" i="18"/>
  <c r="EZ207" i="14" s="1"/>
  <c r="H41" i="18"/>
  <c r="EY207" i="14" s="1"/>
  <c r="G41" i="18"/>
  <c r="EX207" i="14" s="1"/>
  <c r="F41" i="18"/>
  <c r="EW207" i="14" s="1"/>
  <c r="E41" i="18"/>
  <c r="EV207" i="14" s="1"/>
  <c r="Z22" i="18"/>
  <c r="Z24" i="18" s="1"/>
  <c r="Y22" i="18"/>
  <c r="Y24" i="18" s="1"/>
  <c r="X22" i="18"/>
  <c r="X24" i="18" s="1"/>
  <c r="W22" i="18"/>
  <c r="W24" i="18" s="1"/>
  <c r="V22" i="18"/>
  <c r="V24" i="18" s="1"/>
  <c r="U22" i="18"/>
  <c r="U24" i="18" s="1"/>
  <c r="T22" i="18"/>
  <c r="T24" i="18" s="1"/>
  <c r="S22" i="18"/>
  <c r="S24" i="18" s="1"/>
  <c r="R22" i="18"/>
  <c r="R24" i="18" s="1"/>
  <c r="Q22" i="18"/>
  <c r="Q24" i="18" s="1"/>
  <c r="P22" i="18"/>
  <c r="P24" i="18" s="1"/>
  <c r="O22" i="18"/>
  <c r="O24" i="18" s="1"/>
  <c r="N22" i="18"/>
  <c r="N24" i="18" s="1"/>
  <c r="M22" i="18"/>
  <c r="M24" i="18" s="1"/>
  <c r="L22" i="18"/>
  <c r="L24" i="18" s="1"/>
  <c r="K22" i="18"/>
  <c r="K24" i="18" s="1"/>
  <c r="J22" i="18"/>
  <c r="J24" i="18" s="1"/>
  <c r="I22" i="18"/>
  <c r="I24" i="18" s="1"/>
  <c r="H22" i="18"/>
  <c r="H24" i="18" s="1"/>
  <c r="G22" i="18"/>
  <c r="G24" i="18" s="1"/>
  <c r="F22" i="18"/>
  <c r="F24" i="18" s="1"/>
  <c r="E22" i="18"/>
  <c r="E24" i="18" s="1"/>
  <c r="Q36" i="19"/>
  <c r="R11" i="19"/>
  <c r="P50" i="19"/>
  <c r="K49" i="20" s="1"/>
  <c r="Q22" i="20"/>
  <c r="IS217" i="14" s="1"/>
  <c r="P22" i="20"/>
  <c r="IR217" i="14" s="1"/>
  <c r="O22" i="20"/>
  <c r="IQ217" i="14" s="1"/>
  <c r="N22" i="20"/>
  <c r="IP217" i="14" s="1"/>
  <c r="M22" i="20"/>
  <c r="IO217" i="14" s="1"/>
  <c r="L22" i="20"/>
  <c r="K22" i="20"/>
  <c r="IM217" i="14" s="1"/>
  <c r="J22" i="20"/>
  <c r="IL217" i="14" s="1"/>
  <c r="I22" i="20"/>
  <c r="IK217" i="14" s="1"/>
  <c r="H22" i="20"/>
  <c r="IJ217" i="14" s="1"/>
  <c r="G22" i="20"/>
  <c r="II217" i="14" s="1"/>
  <c r="F22" i="20"/>
  <c r="IH217" i="14" s="1"/>
  <c r="R45" i="20"/>
  <c r="FL63" i="14" s="1"/>
  <c r="R44" i="20"/>
  <c r="FK63" i="14" s="1"/>
  <c r="R43" i="20"/>
  <c r="FF63" i="14" s="1"/>
  <c r="R42" i="20"/>
  <c r="FE63" i="14" s="1"/>
  <c r="R41" i="20"/>
  <c r="EZ63" i="14" s="1"/>
  <c r="R40" i="20"/>
  <c r="EY63" i="14" s="1"/>
  <c r="R39" i="20"/>
  <c r="EG63" i="14" s="1"/>
  <c r="R38" i="20"/>
  <c r="ES63" i="14" s="1"/>
  <c r="R37" i="20"/>
  <c r="EN63" i="14" s="1"/>
  <c r="R36" i="20"/>
  <c r="EM63" i="14" s="1"/>
  <c r="R35" i="20"/>
  <c r="EH63" i="14" s="1"/>
  <c r="R34" i="20"/>
  <c r="R33" i="20"/>
  <c r="EB63" i="14" s="1"/>
  <c r="R32" i="20"/>
  <c r="EA63" i="14" s="1"/>
  <c r="R31" i="20"/>
  <c r="DV63" i="14" s="1"/>
  <c r="DU63" i="14"/>
  <c r="Q46" i="20"/>
  <c r="Q50" i="20" s="1"/>
  <c r="Q47" i="20"/>
  <c r="F35" i="19"/>
  <c r="F37" i="27"/>
  <c r="R21" i="20"/>
  <c r="R42" i="17"/>
  <c r="R22" i="19"/>
  <c r="D56" i="19"/>
  <c r="P36" i="19"/>
  <c r="IE212" i="14" s="1"/>
  <c r="O36" i="19"/>
  <c r="N36" i="19"/>
  <c r="M36" i="19"/>
  <c r="L36" i="19"/>
  <c r="HW212" i="14" s="1"/>
  <c r="K36" i="19"/>
  <c r="J36" i="19"/>
  <c r="I36" i="19"/>
  <c r="H36" i="19"/>
  <c r="HO212" i="14" s="1"/>
  <c r="G36" i="19"/>
  <c r="F36" i="19"/>
  <c r="HK212" i="14" s="1"/>
  <c r="Q35" i="19"/>
  <c r="P35" i="19"/>
  <c r="ID212" i="14" s="1"/>
  <c r="O35" i="19"/>
  <c r="N35" i="19"/>
  <c r="HZ212" i="14" s="1"/>
  <c r="M35" i="19"/>
  <c r="L35" i="19"/>
  <c r="HV212" i="14" s="1"/>
  <c r="K35" i="19"/>
  <c r="J35" i="19"/>
  <c r="HR212" i="14" s="1"/>
  <c r="I35" i="19"/>
  <c r="H35" i="19"/>
  <c r="HN212" i="14" s="1"/>
  <c r="G35" i="19"/>
  <c r="HL212" i="14" s="1"/>
  <c r="M57" i="19"/>
  <c r="CU216" i="14" s="1"/>
  <c r="L57" i="19"/>
  <c r="CV216" i="14" s="1"/>
  <c r="K57" i="19"/>
  <c r="BW216" i="14" s="1"/>
  <c r="J57" i="19"/>
  <c r="BV216" i="14" s="1"/>
  <c r="I57" i="19"/>
  <c r="AX216" i="14" s="1"/>
  <c r="H57" i="19"/>
  <c r="AW216" i="14" s="1"/>
  <c r="G57" i="19"/>
  <c r="Y216" i="14" s="1"/>
  <c r="F57" i="19"/>
  <c r="X216" i="14" s="1"/>
  <c r="Q56" i="19"/>
  <c r="P56" i="19"/>
  <c r="R34" i="19"/>
  <c r="R33" i="19"/>
  <c r="AB40" i="18"/>
  <c r="AJ40" i="18" s="1"/>
  <c r="AA40" i="18"/>
  <c r="AC40" i="18" s="1"/>
  <c r="AB21" i="18"/>
  <c r="AA21" i="18"/>
  <c r="L15" i="17"/>
  <c r="H40" i="33" s="1"/>
  <c r="DF192" i="14"/>
  <c r="DD192" i="14"/>
  <c r="DB192" i="14"/>
  <c r="CZ192" i="14"/>
  <c r="CX192" i="14"/>
  <c r="CV192" i="14"/>
  <c r="CT192" i="14"/>
  <c r="CR192" i="14"/>
  <c r="CP192" i="14"/>
  <c r="CN192" i="14"/>
  <c r="CL192" i="14"/>
  <c r="DE192" i="14"/>
  <c r="DC192" i="14"/>
  <c r="DA192" i="14"/>
  <c r="CY192" i="14"/>
  <c r="CW192" i="14"/>
  <c r="CU192" i="14"/>
  <c r="CS192" i="14"/>
  <c r="CQ192" i="14"/>
  <c r="CO192" i="14"/>
  <c r="CM192" i="14"/>
  <c r="BE192" i="14"/>
  <c r="BS192" i="14"/>
  <c r="AP192" i="14"/>
  <c r="AN192" i="14"/>
  <c r="AJ192" i="14"/>
  <c r="AH192" i="14"/>
  <c r="AF192" i="14"/>
  <c r="AD192" i="14"/>
  <c r="AB192" i="14"/>
  <c r="Z192" i="14"/>
  <c r="X192" i="14"/>
  <c r="AP191" i="14"/>
  <c r="AN191" i="14"/>
  <c r="AJ191" i="14"/>
  <c r="AH191" i="14"/>
  <c r="AF191" i="14"/>
  <c r="AD191" i="14"/>
  <c r="AB191" i="14"/>
  <c r="Z191" i="14"/>
  <c r="X191" i="14"/>
  <c r="U191" i="14"/>
  <c r="S191" i="14"/>
  <c r="O191" i="14"/>
  <c r="M191" i="14"/>
  <c r="K191" i="14"/>
  <c r="I191" i="14"/>
  <c r="G191" i="14"/>
  <c r="E191" i="14"/>
  <c r="C191" i="14"/>
  <c r="IN186" i="14"/>
  <c r="IL186" i="14"/>
  <c r="IH186" i="14"/>
  <c r="IF186" i="14"/>
  <c r="ID186" i="14"/>
  <c r="IB186" i="14"/>
  <c r="HZ186" i="14"/>
  <c r="HX186" i="14"/>
  <c r="HV186" i="14"/>
  <c r="HS186" i="14"/>
  <c r="HQ186" i="14"/>
  <c r="HM186" i="14"/>
  <c r="HK186" i="14"/>
  <c r="HI186" i="14"/>
  <c r="HG186" i="14"/>
  <c r="HE186" i="14"/>
  <c r="HC186" i="14"/>
  <c r="HA186" i="14"/>
  <c r="GX186" i="14"/>
  <c r="GV186" i="14"/>
  <c r="GR186" i="14"/>
  <c r="GP186" i="14"/>
  <c r="GN186" i="14"/>
  <c r="GL186" i="14"/>
  <c r="GJ186" i="14"/>
  <c r="GH186" i="14"/>
  <c r="GF186" i="14"/>
  <c r="GC186" i="14"/>
  <c r="GA186" i="14"/>
  <c r="FW186" i="14"/>
  <c r="FU186" i="14"/>
  <c r="FS186" i="14"/>
  <c r="FQ186" i="14"/>
  <c r="FO186" i="14"/>
  <c r="FM186" i="14"/>
  <c r="FK186" i="14"/>
  <c r="FH186" i="14"/>
  <c r="FF186" i="14"/>
  <c r="FB186" i="14"/>
  <c r="EZ186" i="14"/>
  <c r="EX186" i="14"/>
  <c r="EV186" i="14"/>
  <c r="ET186" i="14"/>
  <c r="ER186" i="14"/>
  <c r="EP186" i="14"/>
  <c r="EM186" i="14"/>
  <c r="EK186" i="14"/>
  <c r="EG186" i="14"/>
  <c r="EE186" i="14"/>
  <c r="EC186" i="14"/>
  <c r="EA186" i="14"/>
  <c r="DY186" i="14"/>
  <c r="DW186" i="14"/>
  <c r="DU186" i="14"/>
  <c r="DR186" i="14"/>
  <c r="DP186" i="14"/>
  <c r="DL186" i="14"/>
  <c r="DJ186" i="14"/>
  <c r="DH186" i="14"/>
  <c r="DF186" i="14"/>
  <c r="DD186" i="14"/>
  <c r="DB186" i="14"/>
  <c r="CZ186" i="14"/>
  <c r="CW186" i="14"/>
  <c r="CU186" i="14"/>
  <c r="CQ186" i="14"/>
  <c r="CO186" i="14"/>
  <c r="CM186" i="14"/>
  <c r="CK186" i="14"/>
  <c r="CI186" i="14"/>
  <c r="CG186" i="14"/>
  <c r="CE186" i="14"/>
  <c r="CB186" i="14"/>
  <c r="BZ186" i="14"/>
  <c r="BV186" i="14"/>
  <c r="BT186" i="14"/>
  <c r="BR186" i="14"/>
  <c r="BP186" i="14"/>
  <c r="BN186" i="14"/>
  <c r="BL186" i="14"/>
  <c r="BJ186" i="14"/>
  <c r="AO192" i="14"/>
  <c r="AM192" i="14"/>
  <c r="AI192" i="14"/>
  <c r="AG192" i="14"/>
  <c r="AE192" i="14"/>
  <c r="AC192" i="14"/>
  <c r="AA192" i="14"/>
  <c r="Y192" i="14"/>
  <c r="W192" i="14"/>
  <c r="AO191" i="14"/>
  <c r="AM191" i="14"/>
  <c r="AI191" i="14"/>
  <c r="AG191" i="14"/>
  <c r="AE191" i="14"/>
  <c r="AC191" i="14"/>
  <c r="AA191" i="14"/>
  <c r="Y191" i="14"/>
  <c r="W191" i="14"/>
  <c r="T191" i="14"/>
  <c r="R191" i="14"/>
  <c r="N191" i="14"/>
  <c r="L191" i="14"/>
  <c r="J191" i="14"/>
  <c r="H191" i="14"/>
  <c r="F191" i="14"/>
  <c r="D191" i="14"/>
  <c r="B191" i="14"/>
  <c r="IM186" i="14"/>
  <c r="IK186" i="14"/>
  <c r="IG186" i="14"/>
  <c r="IE186" i="14"/>
  <c r="IC186" i="14"/>
  <c r="IA186" i="14"/>
  <c r="HY186" i="14"/>
  <c r="HW186" i="14"/>
  <c r="HU186" i="14"/>
  <c r="HR186" i="14"/>
  <c r="HP186" i="14"/>
  <c r="HL186" i="14"/>
  <c r="HJ186" i="14"/>
  <c r="HH186" i="14"/>
  <c r="HF186" i="14"/>
  <c r="HD186" i="14"/>
  <c r="HB186" i="14"/>
  <c r="GZ186" i="14"/>
  <c r="GW186" i="14"/>
  <c r="GU186" i="14"/>
  <c r="GQ186" i="14"/>
  <c r="GO186" i="14"/>
  <c r="GM186" i="14"/>
  <c r="GK186" i="14"/>
  <c r="GI186" i="14"/>
  <c r="GG186" i="14"/>
  <c r="GE186" i="14"/>
  <c r="GB186" i="14"/>
  <c r="FZ186" i="14"/>
  <c r="FV186" i="14"/>
  <c r="FT186" i="14"/>
  <c r="FR186" i="14"/>
  <c r="FP186" i="14"/>
  <c r="FN186" i="14"/>
  <c r="FL186" i="14"/>
  <c r="FJ186" i="14"/>
  <c r="FG186" i="14"/>
  <c r="FE186" i="14"/>
  <c r="FA186" i="14"/>
  <c r="EY186" i="14"/>
  <c r="EW186" i="14"/>
  <c r="EU186" i="14"/>
  <c r="ES186" i="14"/>
  <c r="EQ186" i="14"/>
  <c r="EO186" i="14"/>
  <c r="EL186" i="14"/>
  <c r="EJ186" i="14"/>
  <c r="EF186" i="14"/>
  <c r="ED186" i="14"/>
  <c r="EB186" i="14"/>
  <c r="DZ186" i="14"/>
  <c r="DX186" i="14"/>
  <c r="DV186" i="14"/>
  <c r="DT186" i="14"/>
  <c r="CV186" i="14"/>
  <c r="CT186" i="14"/>
  <c r="CP186" i="14"/>
  <c r="CN186" i="14"/>
  <c r="CL186" i="14"/>
  <c r="CJ186" i="14"/>
  <c r="CH186" i="14"/>
  <c r="CF186" i="14"/>
  <c r="CD186" i="14"/>
  <c r="CA186" i="14"/>
  <c r="BY186" i="14"/>
  <c r="BU186" i="14"/>
  <c r="BS186" i="14"/>
  <c r="BQ186" i="14"/>
  <c r="BO186" i="14"/>
  <c r="BM186" i="14"/>
  <c r="BK186" i="14"/>
  <c r="BI186" i="14"/>
  <c r="N36" i="33"/>
  <c r="Z50" i="17" s="1"/>
  <c r="L36" i="33"/>
  <c r="BE186" i="14" s="1"/>
  <c r="CR63" i="14"/>
  <c r="BH63" i="14"/>
  <c r="BS185" i="14"/>
  <c r="J36" i="33"/>
  <c r="J39" i="33" s="1"/>
  <c r="I36" i="33"/>
  <c r="H36" i="33"/>
  <c r="H39" i="33" s="1"/>
  <c r="G36" i="33"/>
  <c r="N35" i="33"/>
  <c r="DH63" i="14" s="1"/>
  <c r="L35" i="33"/>
  <c r="BD186" i="14" s="1"/>
  <c r="AZ185" i="14"/>
  <c r="BG63" i="14"/>
  <c r="J35" i="33"/>
  <c r="J37" i="33" s="1"/>
  <c r="I35" i="33"/>
  <c r="H35" i="33"/>
  <c r="H37" i="33" s="1"/>
  <c r="G35" i="33"/>
  <c r="F36" i="33"/>
  <c r="HB180" i="14"/>
  <c r="HA180" i="14"/>
  <c r="IA180" i="14"/>
  <c r="HZ180" i="14"/>
  <c r="Y185" i="14"/>
  <c r="Y188" i="14" s="1"/>
  <c r="X185" i="14"/>
  <c r="L58" i="33"/>
  <c r="H63" i="14" s="1"/>
  <c r="K58" i="33"/>
  <c r="Z47" i="17" s="1"/>
  <c r="J58" i="33"/>
  <c r="Z46" i="17" s="1"/>
  <c r="I58" i="33"/>
  <c r="H58" i="33"/>
  <c r="Z44" i="17" s="1"/>
  <c r="G58" i="33"/>
  <c r="Z43" i="17" s="1"/>
  <c r="O57" i="33"/>
  <c r="AK185" i="14" s="1"/>
  <c r="N57" i="33"/>
  <c r="M57" i="33"/>
  <c r="AR191" i="14"/>
  <c r="AS191" i="14"/>
  <c r="AT191" i="14"/>
  <c r="AU191" i="14"/>
  <c r="AV191" i="14"/>
  <c r="AW191" i="14"/>
  <c r="AX191" i="14"/>
  <c r="AY191" i="14"/>
  <c r="AZ191" i="14"/>
  <c r="BA191" i="14"/>
  <c r="BB191" i="14"/>
  <c r="CF190" i="14" s="1"/>
  <c r="W28" i="27"/>
  <c r="W29" i="27"/>
  <c r="W30" i="27"/>
  <c r="W31" i="27"/>
  <c r="W32" i="27"/>
  <c r="W33" i="27"/>
  <c r="W34" i="27"/>
  <c r="W35" i="27"/>
  <c r="W36" i="27"/>
  <c r="W60" i="24"/>
  <c r="AC18" i="24"/>
  <c r="HW157" i="14"/>
  <c r="HX157" i="14"/>
  <c r="HY157" i="14"/>
  <c r="HZ157" i="14"/>
  <c r="IA157" i="14"/>
  <c r="IB157" i="14"/>
  <c r="IC157" i="14"/>
  <c r="ID157" i="14"/>
  <c r="IE157" i="14"/>
  <c r="IF157" i="14"/>
  <c r="IG157" i="14"/>
  <c r="IH157" i="14"/>
  <c r="II157" i="14"/>
  <c r="IJ157" i="14"/>
  <c r="IK157" i="14"/>
  <c r="IL157" i="14"/>
  <c r="IM157" i="14"/>
  <c r="IN157" i="14"/>
  <c r="I15" i="14"/>
  <c r="BR7" i="14"/>
  <c r="BB7" i="14" s="1"/>
  <c r="BU7" i="14"/>
  <c r="BX7" i="14"/>
  <c r="CG23" i="14"/>
  <c r="IO157" i="14"/>
  <c r="IS157" i="14"/>
  <c r="IT157" i="14"/>
  <c r="O11" i="37"/>
  <c r="X242" i="14" s="1"/>
  <c r="P11" i="37"/>
  <c r="Y242" i="14" s="1"/>
  <c r="O13" i="37"/>
  <c r="P13" i="37"/>
  <c r="AX242" i="14" s="1"/>
  <c r="O14" i="37"/>
  <c r="BV242" i="14" s="1"/>
  <c r="P14" i="37"/>
  <c r="BW242" i="14" s="1"/>
  <c r="O15" i="37"/>
  <c r="P15" i="37"/>
  <c r="CV242" i="14" s="1"/>
  <c r="O18" i="37"/>
  <c r="U18" i="37" s="1"/>
  <c r="P18" i="37"/>
  <c r="O27" i="37"/>
  <c r="P27" i="37"/>
  <c r="O28" i="37"/>
  <c r="P28" i="37"/>
  <c r="O29" i="37"/>
  <c r="P29" i="37"/>
  <c r="O31" i="37"/>
  <c r="P31" i="37"/>
  <c r="O32" i="37"/>
  <c r="P32" i="37"/>
  <c r="O33" i="37"/>
  <c r="U33" i="37" s="1"/>
  <c r="P33" i="37"/>
  <c r="O34" i="37"/>
  <c r="P34" i="37"/>
  <c r="O38" i="37"/>
  <c r="P38" i="37"/>
  <c r="HQ247" i="14" s="1"/>
  <c r="O39" i="37"/>
  <c r="P39" i="37"/>
  <c r="O42" i="37"/>
  <c r="P42" i="37"/>
  <c r="O44" i="37"/>
  <c r="AW252" i="14" s="1"/>
  <c r="P44" i="37"/>
  <c r="AX252" i="14" s="1"/>
  <c r="O45" i="37"/>
  <c r="BV252" i="14" s="1"/>
  <c r="P45" i="37"/>
  <c r="IP247" i="14" s="1"/>
  <c r="O46" i="37"/>
  <c r="P46" i="37"/>
  <c r="O47" i="37"/>
  <c r="DT252" i="14" s="1"/>
  <c r="P47" i="37"/>
  <c r="O48" i="37"/>
  <c r="P48" i="37"/>
  <c r="ET252" i="14" s="1"/>
  <c r="O49" i="37"/>
  <c r="FR252" i="14" s="1"/>
  <c r="P49" i="37"/>
  <c r="FS252" i="14" s="1"/>
  <c r="O50" i="37"/>
  <c r="P50" i="37"/>
  <c r="O51" i="37"/>
  <c r="HP252" i="14" s="1"/>
  <c r="P51" i="37"/>
  <c r="O52" i="37"/>
  <c r="P52" i="37"/>
  <c r="IP252" i="14" s="1"/>
  <c r="O53" i="37"/>
  <c r="X257" i="14" s="1"/>
  <c r="P53" i="37"/>
  <c r="Y257" i="14" s="1"/>
  <c r="O54" i="37"/>
  <c r="P54" i="37"/>
  <c r="O55" i="37"/>
  <c r="P55" i="37"/>
  <c r="V55" i="37" s="1"/>
  <c r="O57" i="37"/>
  <c r="P57" i="37"/>
  <c r="O58" i="37"/>
  <c r="P58" i="37"/>
  <c r="ES257" i="14"/>
  <c r="FR257" i="14"/>
  <c r="GQ257" i="14"/>
  <c r="GR257" i="14"/>
  <c r="O65" i="37"/>
  <c r="P65" i="37"/>
  <c r="AW262" i="14"/>
  <c r="BV262" i="14"/>
  <c r="CU262" i="14"/>
  <c r="CV262" i="14"/>
  <c r="ES262" i="14"/>
  <c r="ET262" i="14"/>
  <c r="B77" i="37"/>
  <c r="B77" i="35"/>
  <c r="M46" i="33"/>
  <c r="N46" i="33"/>
  <c r="O46" i="33"/>
  <c r="M47" i="33"/>
  <c r="M29" i="31" s="1"/>
  <c r="N47" i="33"/>
  <c r="O47" i="33"/>
  <c r="M48" i="33"/>
  <c r="N48" i="33"/>
  <c r="O48" i="33"/>
  <c r="AC186" i="14" s="1"/>
  <c r="M49" i="33"/>
  <c r="L17" i="40" s="1"/>
  <c r="N49" i="33"/>
  <c r="E95" i="14" s="1"/>
  <c r="O49" i="33"/>
  <c r="AD186" i="14" s="1"/>
  <c r="M50" i="33"/>
  <c r="N50" i="33"/>
  <c r="O50" i="33"/>
  <c r="AE186" i="14" s="1"/>
  <c r="M51" i="33"/>
  <c r="L21" i="40" s="1"/>
  <c r="N51" i="33"/>
  <c r="O51" i="33"/>
  <c r="M52" i="33"/>
  <c r="N52" i="33"/>
  <c r="O52" i="33"/>
  <c r="AG186" i="14" s="1"/>
  <c r="M53" i="33"/>
  <c r="L25" i="40" s="1"/>
  <c r="N53" i="33"/>
  <c r="O53" i="33"/>
  <c r="AH186" i="14" s="1"/>
  <c r="M54" i="33"/>
  <c r="D135" i="14" s="1"/>
  <c r="N54" i="33"/>
  <c r="O54" i="33"/>
  <c r="AI186" i="14" s="1"/>
  <c r="M55" i="33"/>
  <c r="N55" i="33"/>
  <c r="O55" i="33"/>
  <c r="M56" i="33"/>
  <c r="L31" i="40" s="1"/>
  <c r="N56" i="33"/>
  <c r="O56" i="33"/>
  <c r="AK186" i="14" s="1"/>
  <c r="B62" i="33"/>
  <c r="HW23" i="14"/>
  <c r="GY23" i="14"/>
  <c r="P31" i="14"/>
  <c r="AB31" i="14"/>
  <c r="B59" i="31"/>
  <c r="CP172" i="14"/>
  <c r="CT172" i="14"/>
  <c r="CV172" i="14"/>
  <c r="CX172" i="14"/>
  <c r="CZ172" i="14"/>
  <c r="DB172" i="14"/>
  <c r="DD172" i="14"/>
  <c r="DF172" i="14"/>
  <c r="DH172" i="14"/>
  <c r="DA15" i="14"/>
  <c r="AH23" i="14"/>
  <c r="AA177" i="14"/>
  <c r="AC177" i="14"/>
  <c r="AE177" i="14"/>
  <c r="AG177" i="14"/>
  <c r="AI177" i="14"/>
  <c r="AK177" i="14"/>
  <c r="AM177" i="14"/>
  <c r="AO177" i="14"/>
  <c r="AQ177" i="14"/>
  <c r="DO177" i="14"/>
  <c r="DQ177" i="14"/>
  <c r="DS177" i="14"/>
  <c r="DU177" i="14"/>
  <c r="DW177" i="14"/>
  <c r="DY177" i="14"/>
  <c r="EA177" i="14"/>
  <c r="EC177" i="14"/>
  <c r="EE177" i="14"/>
  <c r="DJ23" i="14"/>
  <c r="CR172" i="14"/>
  <c r="AD23" i="14"/>
  <c r="DM177" i="14"/>
  <c r="N10" i="27"/>
  <c r="GX155" i="14" s="1"/>
  <c r="O10" i="27"/>
  <c r="GY155" i="14" s="1"/>
  <c r="N11" i="27"/>
  <c r="GZ155" i="14" s="1"/>
  <c r="O11" i="27"/>
  <c r="HA155" i="14" s="1"/>
  <c r="N12" i="27"/>
  <c r="HB155" i="14" s="1"/>
  <c r="O12" i="27"/>
  <c r="HC155" i="14" s="1"/>
  <c r="N13" i="27"/>
  <c r="HD155" i="14" s="1"/>
  <c r="O13" i="27"/>
  <c r="HE155" i="14" s="1"/>
  <c r="N14" i="27"/>
  <c r="HF155" i="14" s="1"/>
  <c r="O14" i="27"/>
  <c r="HG155" i="14" s="1"/>
  <c r="N15" i="27"/>
  <c r="HH155" i="14" s="1"/>
  <c r="O15" i="27"/>
  <c r="HI155" i="14" s="1"/>
  <c r="N16" i="27"/>
  <c r="HJ155" i="14" s="1"/>
  <c r="O16" i="27"/>
  <c r="HK155" i="14" s="1"/>
  <c r="N17" i="27"/>
  <c r="HL155" i="14" s="1"/>
  <c r="O17" i="27"/>
  <c r="HM155" i="14" s="1"/>
  <c r="N18" i="27"/>
  <c r="IO7" i="14" s="1"/>
  <c r="O18" i="27"/>
  <c r="HO155" i="14" s="1"/>
  <c r="N19" i="27"/>
  <c r="HP155" i="14" s="1"/>
  <c r="O19" i="27"/>
  <c r="HQ155" i="14" s="1"/>
  <c r="F20" i="27"/>
  <c r="T10" i="31" s="1"/>
  <c r="G20" i="27"/>
  <c r="H20" i="27"/>
  <c r="W10" i="31" s="1"/>
  <c r="I20" i="27"/>
  <c r="AB45" i="27" s="1"/>
  <c r="J20" i="27"/>
  <c r="K20" i="27"/>
  <c r="AF45" i="27" s="1"/>
  <c r="L20" i="27"/>
  <c r="M20" i="27"/>
  <c r="AJ45" i="27" s="1"/>
  <c r="P20" i="27"/>
  <c r="Q20" i="27"/>
  <c r="N21" i="27"/>
  <c r="HT155" i="14" s="1"/>
  <c r="O21" i="27"/>
  <c r="O22" i="27" s="1"/>
  <c r="N27" i="27"/>
  <c r="HQ8" i="14" s="1"/>
  <c r="O27" i="27"/>
  <c r="HR8" i="14" s="1"/>
  <c r="X27" i="27"/>
  <c r="AA27" i="27"/>
  <c r="AB27" i="27"/>
  <c r="AE27" i="27"/>
  <c r="AF27" i="27"/>
  <c r="AI27" i="27"/>
  <c r="AJ27" i="27"/>
  <c r="N28" i="27"/>
  <c r="HT8" i="14" s="1"/>
  <c r="O28" i="27"/>
  <c r="CB162" i="14" s="1"/>
  <c r="X28" i="27"/>
  <c r="AA28" i="27"/>
  <c r="AB28" i="27"/>
  <c r="AE28" i="27"/>
  <c r="AF28" i="27"/>
  <c r="AI28" i="27"/>
  <c r="AJ28" i="27"/>
  <c r="N29" i="27"/>
  <c r="CC162" i="14" s="1"/>
  <c r="O29" i="27"/>
  <c r="CD162" i="14" s="1"/>
  <c r="X29" i="27"/>
  <c r="AA29" i="27"/>
  <c r="AB29" i="27"/>
  <c r="AE29" i="27"/>
  <c r="AF29" i="27"/>
  <c r="AI29" i="27"/>
  <c r="AJ29" i="27"/>
  <c r="N30" i="27"/>
  <c r="CE162" i="14" s="1"/>
  <c r="O30" i="27"/>
  <c r="CF162" i="14" s="1"/>
  <c r="X30" i="27"/>
  <c r="AA30" i="27"/>
  <c r="AB30" i="27"/>
  <c r="AE30" i="27"/>
  <c r="AF30" i="27"/>
  <c r="AI30" i="27"/>
  <c r="AJ30" i="27"/>
  <c r="N31" i="27"/>
  <c r="CG162" i="14" s="1"/>
  <c r="O31" i="27"/>
  <c r="CH162" i="14" s="1"/>
  <c r="X31" i="27"/>
  <c r="AA31" i="27"/>
  <c r="AB31" i="27"/>
  <c r="AE31" i="27"/>
  <c r="AF31" i="27"/>
  <c r="AI31" i="27"/>
  <c r="AJ31" i="27"/>
  <c r="N32" i="27"/>
  <c r="CI162" i="14" s="1"/>
  <c r="O32" i="27"/>
  <c r="CJ162" i="14" s="1"/>
  <c r="X32" i="27"/>
  <c r="AA32" i="27"/>
  <c r="AB32" i="27"/>
  <c r="AE32" i="27"/>
  <c r="AF32" i="27"/>
  <c r="AI32" i="27"/>
  <c r="AJ32" i="27"/>
  <c r="N33" i="27"/>
  <c r="CK162" i="14" s="1"/>
  <c r="O33" i="27"/>
  <c r="CL162" i="14" s="1"/>
  <c r="X33" i="27"/>
  <c r="AA33" i="27"/>
  <c r="AB33" i="27"/>
  <c r="AE33" i="27"/>
  <c r="AF33" i="27"/>
  <c r="AI33" i="27"/>
  <c r="AJ33" i="27"/>
  <c r="N34" i="27"/>
  <c r="CM162" i="14" s="1"/>
  <c r="O34" i="27"/>
  <c r="IM8" i="14" s="1"/>
  <c r="X34" i="27"/>
  <c r="AA34" i="27"/>
  <c r="AB34" i="27"/>
  <c r="AE34" i="27"/>
  <c r="AF34" i="27"/>
  <c r="AI34" i="27"/>
  <c r="AJ34" i="27"/>
  <c r="N35" i="27"/>
  <c r="CO162" i="14" s="1"/>
  <c r="O35" i="27"/>
  <c r="CP162" i="14" s="1"/>
  <c r="X35" i="27"/>
  <c r="AA35" i="27"/>
  <c r="AB35" i="27"/>
  <c r="AE35" i="27"/>
  <c r="AF35" i="27"/>
  <c r="AI35" i="27"/>
  <c r="AJ35" i="27"/>
  <c r="N36" i="27"/>
  <c r="CQ162" i="14" s="1"/>
  <c r="O36" i="27"/>
  <c r="IS8" i="14" s="1"/>
  <c r="X36" i="27"/>
  <c r="AA36" i="27"/>
  <c r="AB36" i="27"/>
  <c r="AE36" i="27"/>
  <c r="AF36" i="27"/>
  <c r="AI36" i="27"/>
  <c r="AJ36" i="27"/>
  <c r="G37" i="27"/>
  <c r="H37" i="27"/>
  <c r="H39" i="27" s="1"/>
  <c r="I37" i="27"/>
  <c r="DX15" i="14" s="1"/>
  <c r="J37" i="27"/>
  <c r="J39" i="27" s="1"/>
  <c r="K37" i="27"/>
  <c r="K39" i="27" s="1"/>
  <c r="L37" i="27"/>
  <c r="M37" i="27"/>
  <c r="CU162" i="14"/>
  <c r="CV162" i="14"/>
  <c r="B84" i="27"/>
  <c r="E23" i="1"/>
  <c r="F23" i="1"/>
  <c r="E24" i="1"/>
  <c r="I24" i="1" s="1"/>
  <c r="F24" i="1"/>
  <c r="J24" i="1" s="1"/>
  <c r="J26" i="1" s="1"/>
  <c r="B56" i="1"/>
  <c r="L11" i="21"/>
  <c r="U11" i="21" s="1"/>
  <c r="M11" i="21"/>
  <c r="L13" i="21"/>
  <c r="U13" i="21" s="1"/>
  <c r="M13" i="21"/>
  <c r="L14" i="21"/>
  <c r="U14" i="21" s="1"/>
  <c r="M14" i="21"/>
  <c r="V14" i="37" s="1"/>
  <c r="L15" i="21"/>
  <c r="M15" i="21"/>
  <c r="L16" i="21"/>
  <c r="U16" i="21" s="1"/>
  <c r="M16" i="21"/>
  <c r="BC232" i="14"/>
  <c r="BD232" i="14"/>
  <c r="L22" i="21"/>
  <c r="U22" i="21" s="1"/>
  <c r="BE232" i="14"/>
  <c r="M22" i="21"/>
  <c r="L23" i="21"/>
  <c r="U23" i="21" s="1"/>
  <c r="M23" i="21"/>
  <c r="L24" i="21"/>
  <c r="U24" i="21" s="1"/>
  <c r="M24" i="21"/>
  <c r="L25" i="21"/>
  <c r="U25" i="21" s="1"/>
  <c r="M25" i="21"/>
  <c r="L27" i="21"/>
  <c r="U27" i="21" s="1"/>
  <c r="M27" i="21"/>
  <c r="L28" i="21"/>
  <c r="U28" i="21" s="1"/>
  <c r="M28" i="21"/>
  <c r="L29" i="21"/>
  <c r="U29" i="21" s="1"/>
  <c r="M29" i="21"/>
  <c r="BL232" i="14"/>
  <c r="BN232" i="14"/>
  <c r="V33" i="37"/>
  <c r="L38" i="21"/>
  <c r="U38" i="21" s="1"/>
  <c r="M38" i="21"/>
  <c r="L39" i="21"/>
  <c r="U39" i="21" s="1"/>
  <c r="M39" i="21"/>
  <c r="L42" i="21"/>
  <c r="U42" i="21" s="1"/>
  <c r="M42" i="21"/>
  <c r="BT232" i="14"/>
  <c r="BV232" i="14"/>
  <c r="BW232" i="14"/>
  <c r="BX232" i="14"/>
  <c r="BY232" i="14"/>
  <c r="BZ232" i="14"/>
  <c r="CA232" i="14"/>
  <c r="CB232" i="14"/>
  <c r="CC232" i="14"/>
  <c r="CD232" i="14"/>
  <c r="CE232" i="14"/>
  <c r="L57" i="21"/>
  <c r="U57" i="21" s="1"/>
  <c r="M57" i="21"/>
  <c r="L58" i="21"/>
  <c r="U58" i="21" s="1"/>
  <c r="M58" i="21"/>
  <c r="L60" i="21"/>
  <c r="U60" i="21" s="1"/>
  <c r="M60" i="21"/>
  <c r="L61" i="21"/>
  <c r="U61" i="21" s="1"/>
  <c r="M61" i="21"/>
  <c r="L62" i="21"/>
  <c r="U62" i="21" s="1"/>
  <c r="M62" i="21"/>
  <c r="L64" i="21"/>
  <c r="U64" i="21" s="1"/>
  <c r="CK232" i="14"/>
  <c r="M64" i="21"/>
  <c r="CM232" i="14"/>
  <c r="CO232" i="14"/>
  <c r="CQ232" i="14"/>
  <c r="CT227" i="14"/>
  <c r="GM227" i="14"/>
  <c r="GN227" i="14"/>
  <c r="AV232" i="14"/>
  <c r="B77" i="21"/>
  <c r="R10" i="20"/>
  <c r="R11" i="20"/>
  <c r="R12" i="20"/>
  <c r="R13" i="20"/>
  <c r="R14" i="20"/>
  <c r="R15" i="20"/>
  <c r="R16" i="20"/>
  <c r="R17" i="20"/>
  <c r="R18" i="20"/>
  <c r="R19" i="20"/>
  <c r="R20" i="20"/>
  <c r="F46" i="20"/>
  <c r="F50" i="20" s="1"/>
  <c r="G46" i="20"/>
  <c r="H46" i="20"/>
  <c r="H50" i="20" s="1"/>
  <c r="I46" i="20"/>
  <c r="J46" i="20"/>
  <c r="J50" i="20" s="1"/>
  <c r="K46" i="20"/>
  <c r="K50" i="20" s="1"/>
  <c r="L46" i="20"/>
  <c r="N46" i="20"/>
  <c r="DP135" i="14" s="1"/>
  <c r="EP135" i="14" s="1"/>
  <c r="O46" i="20"/>
  <c r="O50" i="20" s="1"/>
  <c r="P46" i="20"/>
  <c r="P50" i="20" s="1"/>
  <c r="F47" i="20"/>
  <c r="DQ71" i="14" s="1"/>
  <c r="G47" i="20"/>
  <c r="H47" i="20"/>
  <c r="I47" i="20"/>
  <c r="X37" i="20" s="1"/>
  <c r="J47" i="20"/>
  <c r="X39" i="20" s="1"/>
  <c r="K47" i="20"/>
  <c r="GF222" i="14" s="1"/>
  <c r="L47" i="20"/>
  <c r="M47" i="20"/>
  <c r="N47" i="20"/>
  <c r="X47" i="20" s="1"/>
  <c r="O47" i="20"/>
  <c r="X49" i="20" s="1"/>
  <c r="P47" i="20"/>
  <c r="B58" i="20"/>
  <c r="R12" i="19"/>
  <c r="R13" i="19"/>
  <c r="R35" i="19" s="1"/>
  <c r="BT63" i="14" s="1"/>
  <c r="R14" i="19"/>
  <c r="R15" i="19"/>
  <c r="R16" i="19"/>
  <c r="R17" i="19"/>
  <c r="R18" i="19"/>
  <c r="R19" i="19"/>
  <c r="R20" i="19"/>
  <c r="R21" i="19"/>
  <c r="R23" i="19"/>
  <c r="R24" i="19"/>
  <c r="R36" i="19" s="1"/>
  <c r="BU63" i="14" s="1"/>
  <c r="R25" i="19"/>
  <c r="R26" i="19"/>
  <c r="R27" i="19"/>
  <c r="R28" i="19"/>
  <c r="R29" i="19"/>
  <c r="R30" i="19"/>
  <c r="R31" i="19"/>
  <c r="R32" i="19"/>
  <c r="R37" i="19"/>
  <c r="R38" i="19"/>
  <c r="D45" i="19"/>
  <c r="CB71" i="14"/>
  <c r="Q45" i="19"/>
  <c r="X45" i="19" s="1"/>
  <c r="D46" i="19"/>
  <c r="P46" i="19"/>
  <c r="Q46" i="19"/>
  <c r="X46" i="19" s="1"/>
  <c r="D47" i="19"/>
  <c r="P47" i="19"/>
  <c r="Q47" i="19"/>
  <c r="X47" i="19" s="1"/>
  <c r="D48" i="19"/>
  <c r="P48" i="19"/>
  <c r="Q48" i="19"/>
  <c r="D49" i="19"/>
  <c r="P49" i="19"/>
  <c r="Q49" i="19"/>
  <c r="X49" i="19" s="1"/>
  <c r="D50" i="19"/>
  <c r="Q50" i="19"/>
  <c r="X50" i="19" s="1"/>
  <c r="D51" i="19"/>
  <c r="P51" i="19"/>
  <c r="Q51" i="19"/>
  <c r="X51" i="19" s="1"/>
  <c r="D52" i="19"/>
  <c r="P52" i="19"/>
  <c r="M49" i="20" s="1"/>
  <c r="Q52" i="19"/>
  <c r="X52" i="19" s="1"/>
  <c r="D53" i="19"/>
  <c r="P53" i="19"/>
  <c r="Q53" i="19"/>
  <c r="X53" i="19" s="1"/>
  <c r="D54" i="19"/>
  <c r="P54" i="19"/>
  <c r="O49" i="20" s="1"/>
  <c r="Q54" i="19"/>
  <c r="D55" i="19"/>
  <c r="P55" i="19"/>
  <c r="Q55" i="19"/>
  <c r="X55" i="19" s="1"/>
  <c r="B62" i="19"/>
  <c r="AI10" i="18"/>
  <c r="AB10" i="18"/>
  <c r="AJ10" i="18" s="1"/>
  <c r="AA11" i="18"/>
  <c r="AB11" i="18"/>
  <c r="AA12" i="18"/>
  <c r="AB12" i="18"/>
  <c r="AA13" i="18"/>
  <c r="AB13" i="18"/>
  <c r="AJ13" i="18" s="1"/>
  <c r="AA14" i="18"/>
  <c r="AB14" i="18"/>
  <c r="AA15" i="18"/>
  <c r="AB15" i="18"/>
  <c r="AJ15" i="18" s="1"/>
  <c r="AA16" i="18"/>
  <c r="AB16" i="18"/>
  <c r="AA17" i="18"/>
  <c r="AB17" i="18"/>
  <c r="AJ17" i="18" s="1"/>
  <c r="AA18" i="18"/>
  <c r="AB18" i="18"/>
  <c r="AA19" i="18"/>
  <c r="AB19" i="18"/>
  <c r="AJ19" i="18" s="1"/>
  <c r="AA20" i="18"/>
  <c r="AB20" i="18"/>
  <c r="AA23" i="18"/>
  <c r="AI22" i="18" s="1"/>
  <c r="AB23" i="18"/>
  <c r="AI23" i="18" s="1"/>
  <c r="AA29" i="18"/>
  <c r="AB29" i="18"/>
  <c r="AJ29" i="18" s="1"/>
  <c r="AA30" i="18"/>
  <c r="AB30" i="18"/>
  <c r="AJ30" i="18" s="1"/>
  <c r="AA31" i="18"/>
  <c r="AB31" i="18"/>
  <c r="AA32" i="18"/>
  <c r="AB32" i="18"/>
  <c r="AJ32" i="18" s="1"/>
  <c r="AA33" i="18"/>
  <c r="AB33" i="18"/>
  <c r="AJ33" i="18" s="1"/>
  <c r="AA34" i="18"/>
  <c r="AB34" i="18"/>
  <c r="AJ34" i="18" s="1"/>
  <c r="AA35" i="18"/>
  <c r="AB35" i="18"/>
  <c r="AJ35" i="18" s="1"/>
  <c r="AA36" i="18"/>
  <c r="AB36" i="18"/>
  <c r="AJ36" i="18" s="1"/>
  <c r="AA37" i="18"/>
  <c r="AB37" i="18"/>
  <c r="AJ37" i="18" s="1"/>
  <c r="AA38" i="18"/>
  <c r="AC38" i="18" s="1"/>
  <c r="AB38" i="18"/>
  <c r="AJ38" i="18" s="1"/>
  <c r="AA39" i="18"/>
  <c r="AB39" i="18"/>
  <c r="AJ39" i="18" s="1"/>
  <c r="B46" i="18"/>
  <c r="W10" i="17"/>
  <c r="L11" i="17"/>
  <c r="F40" i="33" s="1"/>
  <c r="L12" i="17"/>
  <c r="G38" i="33" s="1"/>
  <c r="W12" i="17"/>
  <c r="L13" i="17"/>
  <c r="G40" i="33" s="1"/>
  <c r="L14" i="17"/>
  <c r="H38" i="33" s="1"/>
  <c r="W14" i="17"/>
  <c r="W16" i="17"/>
  <c r="L16" i="17"/>
  <c r="L17" i="17"/>
  <c r="W18" i="17"/>
  <c r="L18" i="17"/>
  <c r="J38" i="33" s="1"/>
  <c r="L19" i="17"/>
  <c r="J40" i="33" s="1"/>
  <c r="L22" i="17"/>
  <c r="L23" i="17"/>
  <c r="S42" i="17" s="1"/>
  <c r="R30" i="17"/>
  <c r="R31" i="17"/>
  <c r="W31" i="17"/>
  <c r="R32" i="17"/>
  <c r="R33" i="17"/>
  <c r="W33" i="17"/>
  <c r="R34" i="17"/>
  <c r="R35" i="17"/>
  <c r="Z35" i="17" s="1"/>
  <c r="R36" i="17"/>
  <c r="Z36" i="17" s="1"/>
  <c r="R37" i="17"/>
  <c r="R38" i="17"/>
  <c r="R41" i="17"/>
  <c r="B60" i="17"/>
  <c r="HR162" i="14"/>
  <c r="IG162" i="14"/>
  <c r="IJ162" i="14"/>
  <c r="O15" i="14"/>
  <c r="CL15" i="14"/>
  <c r="CM15" i="14"/>
  <c r="P23" i="14"/>
  <c r="BT167" i="14"/>
  <c r="BV167" i="14"/>
  <c r="BX167" i="14"/>
  <c r="BZ167" i="14"/>
  <c r="CB167" i="14"/>
  <c r="CK167" i="14"/>
  <c r="CL167" i="14"/>
  <c r="CN167" i="14" s="1"/>
  <c r="R15" i="14"/>
  <c r="S15" i="14"/>
  <c r="T15" i="14" s="1"/>
  <c r="CO15" i="14"/>
  <c r="CP15" i="14"/>
  <c r="R23" i="14"/>
  <c r="S23" i="14"/>
  <c r="FH167" i="14"/>
  <c r="FJ167" i="14"/>
  <c r="FL167" i="14"/>
  <c r="FN167" i="14"/>
  <c r="FP167" i="14"/>
  <c r="FR167" i="14"/>
  <c r="FT167" i="14"/>
  <c r="FV167" i="14"/>
  <c r="FX167" i="14"/>
  <c r="FZ167" i="14"/>
  <c r="U15" i="14"/>
  <c r="CS15" i="14"/>
  <c r="U23" i="14"/>
  <c r="V23" i="14"/>
  <c r="C172" i="14"/>
  <c r="E172" i="14"/>
  <c r="F172" i="14"/>
  <c r="G172" i="14"/>
  <c r="I172" i="14"/>
  <c r="J172" i="14"/>
  <c r="K172" i="14"/>
  <c r="M172" i="14"/>
  <c r="N172" i="14"/>
  <c r="O172" i="14"/>
  <c r="Q172" i="14"/>
  <c r="R172" i="14"/>
  <c r="S172" i="14"/>
  <c r="U172" i="14"/>
  <c r="X15" i="14"/>
  <c r="CV15" i="14"/>
  <c r="X23" i="14"/>
  <c r="Y23" i="14"/>
  <c r="CU23" i="14"/>
  <c r="CV23" i="14"/>
  <c r="CW23" i="14" s="1"/>
  <c r="L21" i="15"/>
  <c r="E7" i="14"/>
  <c r="F7" i="14"/>
  <c r="G7" i="14"/>
  <c r="H7" i="14"/>
  <c r="I7" i="14"/>
  <c r="J7" i="14"/>
  <c r="K7" i="14"/>
  <c r="L7" i="14"/>
  <c r="AO7" i="14"/>
  <c r="BS7" i="14"/>
  <c r="BC7" i="14" s="1"/>
  <c r="BV7" i="14"/>
  <c r="DB7" i="14" s="1"/>
  <c r="BY7" i="14"/>
  <c r="BZ7" i="14" s="1"/>
  <c r="CA7" i="14"/>
  <c r="CB7" i="14"/>
  <c r="EW7" i="14"/>
  <c r="EZ7" i="14"/>
  <c r="FC7" i="14"/>
  <c r="FF7" i="14"/>
  <c r="FN7" i="14"/>
  <c r="FT7" i="14"/>
  <c r="FU7" i="14"/>
  <c r="FW7" i="14"/>
  <c r="FX7" i="14"/>
  <c r="FZ7" i="14"/>
  <c r="GA7" i="14"/>
  <c r="GC7" i="14"/>
  <c r="GD7" i="14"/>
  <c r="GJ7" i="14"/>
  <c r="GK7" i="14"/>
  <c r="GM7" i="14"/>
  <c r="GN7" i="14"/>
  <c r="GP7" i="14"/>
  <c r="GQ7" i="14"/>
  <c r="GS7" i="14"/>
  <c r="GT7" i="14"/>
  <c r="GZ7" i="14"/>
  <c r="HA7" i="14"/>
  <c r="HC7" i="14"/>
  <c r="HD7" i="14"/>
  <c r="HF7" i="14"/>
  <c r="HG7" i="14"/>
  <c r="HI7" i="14"/>
  <c r="HJ7" i="14"/>
  <c r="J15" i="14"/>
  <c r="P15" i="14"/>
  <c r="V15" i="14"/>
  <c r="AE15" i="14"/>
  <c r="AH15" i="14"/>
  <c r="AJ15" i="14"/>
  <c r="AK15" i="14"/>
  <c r="AM15" i="14"/>
  <c r="AN15" i="14"/>
  <c r="BC15" i="14"/>
  <c r="CF15" i="14"/>
  <c r="CG15" i="14"/>
  <c r="CR15" i="14"/>
  <c r="CU15" i="14"/>
  <c r="DB15" i="14"/>
  <c r="DD15" i="14"/>
  <c r="DE15" i="14"/>
  <c r="DG15" i="14"/>
  <c r="DH15" i="14"/>
  <c r="DJ15" i="14"/>
  <c r="DK15" i="14"/>
  <c r="DZ15" i="14"/>
  <c r="EW15" i="14"/>
  <c r="EX15" i="14"/>
  <c r="EZ15" i="14"/>
  <c r="FA15" i="14"/>
  <c r="FC15" i="14"/>
  <c r="FD15" i="14"/>
  <c r="FF15" i="14"/>
  <c r="FG15" i="14"/>
  <c r="GC15" i="14"/>
  <c r="GD15" i="14"/>
  <c r="GF15" i="14"/>
  <c r="GG15" i="14"/>
  <c r="GI15" i="14"/>
  <c r="GJ15" i="14"/>
  <c r="GL15" i="14"/>
  <c r="GM15" i="14"/>
  <c r="HI15" i="14"/>
  <c r="HJ15" i="14"/>
  <c r="HL15" i="14"/>
  <c r="HM15" i="14"/>
  <c r="HO15" i="14"/>
  <c r="HP15" i="14"/>
  <c r="HR15" i="14"/>
  <c r="HS15" i="14"/>
  <c r="I23" i="14"/>
  <c r="O23" i="14"/>
  <c r="AE23" i="14"/>
  <c r="AG23" i="14"/>
  <c r="AP23" i="14" s="1"/>
  <c r="AJ23" i="14"/>
  <c r="AK23" i="14"/>
  <c r="AM23" i="14"/>
  <c r="AN23" i="14"/>
  <c r="BC23" i="14"/>
  <c r="BD23" i="14"/>
  <c r="CF23" i="14"/>
  <c r="CL23" i="14"/>
  <c r="CN23" i="14" s="1"/>
  <c r="CM23" i="14"/>
  <c r="CO23" i="14"/>
  <c r="CQ23" i="14" s="1"/>
  <c r="CP23" i="14"/>
  <c r="CR23" i="14"/>
  <c r="CS23" i="14"/>
  <c r="DA23" i="14"/>
  <c r="DM23" i="14" s="1"/>
  <c r="DB23" i="14"/>
  <c r="DD23" i="14"/>
  <c r="DE23" i="14"/>
  <c r="DH23" i="14"/>
  <c r="DK23" i="14"/>
  <c r="DZ23" i="14"/>
  <c r="EA23" i="14"/>
  <c r="EW23" i="14"/>
  <c r="EZ23" i="14"/>
  <c r="FA23" i="14"/>
  <c r="FF23" i="14"/>
  <c r="FG23" i="14"/>
  <c r="FP23" i="14"/>
  <c r="FQ23" i="14"/>
  <c r="FS23" i="14"/>
  <c r="FV23" i="14" s="1"/>
  <c r="FT23" i="14"/>
  <c r="FY23" i="14"/>
  <c r="GB23" i="14"/>
  <c r="GC23" i="14"/>
  <c r="GM23" i="14"/>
  <c r="GS23" i="14"/>
  <c r="GZ23" i="14"/>
  <c r="HQ23" i="14"/>
  <c r="HX23" i="14"/>
  <c r="IG23" i="14"/>
  <c r="IH23" i="14"/>
  <c r="I31" i="14"/>
  <c r="J31" i="14"/>
  <c r="O31" i="14"/>
  <c r="U31" i="14"/>
  <c r="V31" i="14"/>
  <c r="AA31" i="14"/>
  <c r="AN31" i="14"/>
  <c r="AO31" i="14"/>
  <c r="AT31" i="14"/>
  <c r="AU31" i="14"/>
  <c r="AZ31" i="14"/>
  <c r="BA31" i="14"/>
  <c r="BF31" i="14"/>
  <c r="BG31" i="14"/>
  <c r="BS31" i="14"/>
  <c r="BT31" i="14"/>
  <c r="BY31" i="14"/>
  <c r="BZ31" i="14"/>
  <c r="CE31" i="14"/>
  <c r="CF31" i="14"/>
  <c r="CK31" i="14"/>
  <c r="CL31" i="14"/>
  <c r="CX31" i="14"/>
  <c r="CY31" i="14"/>
  <c r="DD31" i="14"/>
  <c r="DE31" i="14"/>
  <c r="DJ31" i="14"/>
  <c r="DK31" i="14"/>
  <c r="DP31" i="14"/>
  <c r="DQ31" i="14"/>
  <c r="DX31" i="14"/>
  <c r="DY31" i="14"/>
  <c r="EA31" i="14"/>
  <c r="EB31" i="14"/>
  <c r="ED31" i="14"/>
  <c r="EE31" i="14"/>
  <c r="EG31" i="14"/>
  <c r="EH31" i="14"/>
  <c r="EJ31" i="14"/>
  <c r="EK31" i="14"/>
  <c r="EM31" i="14"/>
  <c r="EN31" i="14"/>
  <c r="EP31" i="14"/>
  <c r="EQ31" i="14"/>
  <c r="ES31" i="14"/>
  <c r="ET31" i="14"/>
  <c r="EV31" i="14"/>
  <c r="EW31" i="14"/>
  <c r="EY31" i="14"/>
  <c r="EZ31" i="14"/>
  <c r="FC31" i="14"/>
  <c r="FD31" i="14"/>
  <c r="FF31" i="14"/>
  <c r="FG31" i="14"/>
  <c r="FI31" i="14"/>
  <c r="FJ31" i="14"/>
  <c r="FL31" i="14"/>
  <c r="FM31" i="14"/>
  <c r="FO31" i="14"/>
  <c r="FP31" i="14"/>
  <c r="FR31" i="14"/>
  <c r="FS31" i="14"/>
  <c r="FU31" i="14"/>
  <c r="FV31" i="14"/>
  <c r="FX31" i="14"/>
  <c r="FY31" i="14"/>
  <c r="GA31" i="14"/>
  <c r="GB31" i="14"/>
  <c r="GD31" i="14"/>
  <c r="GE31" i="14"/>
  <c r="GH31" i="14"/>
  <c r="GI31" i="14"/>
  <c r="GK31" i="14"/>
  <c r="GL31" i="14"/>
  <c r="GN31" i="14"/>
  <c r="GO31" i="14"/>
  <c r="GQ31" i="14"/>
  <c r="GR31" i="14"/>
  <c r="GT31" i="14"/>
  <c r="GU31" i="14"/>
  <c r="GW31" i="14"/>
  <c r="GX31" i="14"/>
  <c r="GZ31" i="14"/>
  <c r="HA31" i="14"/>
  <c r="HC31" i="14"/>
  <c r="HD31" i="14"/>
  <c r="HF31" i="14"/>
  <c r="HG31" i="14"/>
  <c r="HI31" i="14"/>
  <c r="HJ31" i="14"/>
  <c r="HM31" i="14"/>
  <c r="HN31" i="14"/>
  <c r="HP31" i="14"/>
  <c r="HQ31" i="14"/>
  <c r="HS31" i="14"/>
  <c r="HT31" i="14"/>
  <c r="HV31" i="14"/>
  <c r="HW31" i="14"/>
  <c r="HY31" i="14"/>
  <c r="HZ31" i="14"/>
  <c r="IB31" i="14"/>
  <c r="IC31" i="14"/>
  <c r="IE31" i="14"/>
  <c r="IF31" i="14"/>
  <c r="IH31" i="14"/>
  <c r="II31" i="14"/>
  <c r="IK31" i="14"/>
  <c r="IL31" i="14"/>
  <c r="IN31" i="14"/>
  <c r="IO31" i="14"/>
  <c r="EA32" i="14"/>
  <c r="EB32" i="14"/>
  <c r="ED32" i="14"/>
  <c r="EE32" i="14"/>
  <c r="EG32" i="14"/>
  <c r="EH32" i="14"/>
  <c r="EJ32" i="14"/>
  <c r="EK32" i="14"/>
  <c r="EM32" i="14"/>
  <c r="EN32" i="14"/>
  <c r="EP32" i="14"/>
  <c r="EQ32" i="14"/>
  <c r="ES32" i="14"/>
  <c r="ET32" i="14"/>
  <c r="EV32" i="14"/>
  <c r="EW32" i="14"/>
  <c r="EY32" i="14"/>
  <c r="EZ32" i="14"/>
  <c r="FF32" i="14"/>
  <c r="FG32" i="14"/>
  <c r="FI32" i="14"/>
  <c r="FJ32" i="14"/>
  <c r="FL32" i="14"/>
  <c r="FM32" i="14"/>
  <c r="FO32" i="14"/>
  <c r="FP32" i="14"/>
  <c r="FR32" i="14"/>
  <c r="FS32" i="14"/>
  <c r="FU32" i="14"/>
  <c r="FV32" i="14"/>
  <c r="FX32" i="14"/>
  <c r="FY32" i="14"/>
  <c r="GA32" i="14"/>
  <c r="GB32" i="14"/>
  <c r="GD32" i="14"/>
  <c r="GE32" i="14"/>
  <c r="GK32" i="14"/>
  <c r="GL32" i="14"/>
  <c r="GN32" i="14"/>
  <c r="GO32" i="14"/>
  <c r="GQ32" i="14"/>
  <c r="GR32" i="14"/>
  <c r="GT32" i="14"/>
  <c r="GU32" i="14"/>
  <c r="GW32" i="14"/>
  <c r="GX32" i="14"/>
  <c r="GZ32" i="14"/>
  <c r="HA32" i="14"/>
  <c r="HC32" i="14"/>
  <c r="HD32" i="14"/>
  <c r="HF32" i="14"/>
  <c r="HG32" i="14"/>
  <c r="HI32" i="14"/>
  <c r="HJ32" i="14"/>
  <c r="HP32" i="14"/>
  <c r="HQ32" i="14"/>
  <c r="HS32" i="14"/>
  <c r="HT32" i="14"/>
  <c r="HV32" i="14"/>
  <c r="HW32" i="14"/>
  <c r="HY32" i="14"/>
  <c r="HZ32" i="14"/>
  <c r="IB32" i="14"/>
  <c r="IC32" i="14"/>
  <c r="IE32" i="14"/>
  <c r="IF32" i="14"/>
  <c r="IH32" i="14"/>
  <c r="II32" i="14"/>
  <c r="IK32" i="14"/>
  <c r="IL32" i="14"/>
  <c r="IN32" i="14"/>
  <c r="IO32" i="14"/>
  <c r="I39" i="14"/>
  <c r="J39" i="14"/>
  <c r="O39" i="14"/>
  <c r="P39" i="14"/>
  <c r="U39" i="14"/>
  <c r="V39" i="14"/>
  <c r="AA39" i="14"/>
  <c r="AB39" i="14"/>
  <c r="AN39" i="14"/>
  <c r="AO39" i="14"/>
  <c r="AT39" i="14"/>
  <c r="AU39" i="14"/>
  <c r="AZ39" i="14"/>
  <c r="BA39" i="14"/>
  <c r="BF39" i="14"/>
  <c r="BG39" i="14"/>
  <c r="BS39" i="14"/>
  <c r="BT39" i="14"/>
  <c r="BY39" i="14"/>
  <c r="BZ39" i="14"/>
  <c r="CE39" i="14"/>
  <c r="CF39" i="14"/>
  <c r="CK39" i="14"/>
  <c r="CL39" i="14"/>
  <c r="CX39" i="14"/>
  <c r="CY39" i="14"/>
  <c r="DD39" i="14"/>
  <c r="DE39" i="14"/>
  <c r="DJ39" i="14"/>
  <c r="DK39" i="14"/>
  <c r="DP39" i="14"/>
  <c r="DQ39" i="14"/>
  <c r="EC39" i="14"/>
  <c r="ED39" i="14"/>
  <c r="EI39" i="14"/>
  <c r="EJ39" i="14"/>
  <c r="EO39" i="14"/>
  <c r="EP39" i="14"/>
  <c r="EU39" i="14"/>
  <c r="EV39" i="14"/>
  <c r="I47" i="14"/>
  <c r="J47" i="14"/>
  <c r="O47" i="14"/>
  <c r="P47" i="14"/>
  <c r="U47" i="14"/>
  <c r="V47" i="14"/>
  <c r="AA47" i="14"/>
  <c r="AB47" i="14"/>
  <c r="AN47" i="14"/>
  <c r="AO47" i="14"/>
  <c r="AT47" i="14"/>
  <c r="AU47" i="14"/>
  <c r="AZ47" i="14"/>
  <c r="BA47" i="14"/>
  <c r="BF47" i="14"/>
  <c r="BG47" i="14"/>
  <c r="BS47" i="14"/>
  <c r="BT47" i="14"/>
  <c r="BY47" i="14"/>
  <c r="BZ47" i="14"/>
  <c r="CE47" i="14"/>
  <c r="CF47" i="14"/>
  <c r="CK47" i="14"/>
  <c r="CL47" i="14"/>
  <c r="CX47" i="14"/>
  <c r="CY47" i="14"/>
  <c r="DD47" i="14"/>
  <c r="DE47" i="14"/>
  <c r="DJ47" i="14"/>
  <c r="DK47" i="14"/>
  <c r="DP47" i="14"/>
  <c r="DQ47" i="14"/>
  <c r="EC47" i="14"/>
  <c r="ED47" i="14"/>
  <c r="EI47" i="14"/>
  <c r="EJ47" i="14"/>
  <c r="EO47" i="14"/>
  <c r="EP47" i="14"/>
  <c r="EU47" i="14"/>
  <c r="EV47" i="14"/>
  <c r="FH47" i="14"/>
  <c r="FI47" i="14"/>
  <c r="FN47" i="14"/>
  <c r="FO47" i="14"/>
  <c r="FT47" i="14"/>
  <c r="FU47" i="14"/>
  <c r="FZ47" i="14"/>
  <c r="GA47" i="14"/>
  <c r="GM47" i="14"/>
  <c r="GN47" i="14"/>
  <c r="GS47" i="14"/>
  <c r="GT47" i="14"/>
  <c r="GY47" i="14"/>
  <c r="GZ47" i="14"/>
  <c r="HE47" i="14"/>
  <c r="HF47" i="14"/>
  <c r="HR47" i="14"/>
  <c r="HS47" i="14"/>
  <c r="HX47" i="14"/>
  <c r="HY47" i="14"/>
  <c r="ID47" i="14"/>
  <c r="IE47" i="14"/>
  <c r="IJ47" i="14"/>
  <c r="IK47" i="14"/>
  <c r="I55" i="14"/>
  <c r="J55" i="14"/>
  <c r="O55" i="14"/>
  <c r="P55" i="14"/>
  <c r="U55" i="14"/>
  <c r="V55" i="14"/>
  <c r="AA55" i="14"/>
  <c r="AB55" i="14"/>
  <c r="AN55" i="14"/>
  <c r="AO55" i="14"/>
  <c r="AT55" i="14"/>
  <c r="AU55" i="14"/>
  <c r="AZ55" i="14"/>
  <c r="BA55" i="14"/>
  <c r="BF55" i="14"/>
  <c r="BG55" i="14"/>
  <c r="BS55" i="14"/>
  <c r="BT55" i="14"/>
  <c r="BY55" i="14"/>
  <c r="BZ55" i="14"/>
  <c r="CE55" i="14"/>
  <c r="CF55" i="14"/>
  <c r="CK55" i="14"/>
  <c r="CL55" i="14"/>
  <c r="CX55" i="14"/>
  <c r="CY55" i="14"/>
  <c r="DD55" i="14"/>
  <c r="DE55" i="14"/>
  <c r="DJ55" i="14"/>
  <c r="DK55" i="14"/>
  <c r="DP55" i="14"/>
  <c r="DQ55" i="14"/>
  <c r="EC55" i="14"/>
  <c r="ED55" i="14"/>
  <c r="EI55" i="14"/>
  <c r="EJ55" i="14"/>
  <c r="EO55" i="14"/>
  <c r="EP55" i="14"/>
  <c r="EU55" i="14"/>
  <c r="EV55" i="14"/>
  <c r="FH55" i="14"/>
  <c r="FI55" i="14"/>
  <c r="FN55" i="14"/>
  <c r="FO55" i="14"/>
  <c r="FT55" i="14"/>
  <c r="FU55" i="14"/>
  <c r="FZ55" i="14"/>
  <c r="GA55" i="14"/>
  <c r="GM55" i="14"/>
  <c r="GN55" i="14"/>
  <c r="GS55" i="14"/>
  <c r="GT55" i="14"/>
  <c r="GY55" i="14"/>
  <c r="GZ55" i="14"/>
  <c r="HE55" i="14"/>
  <c r="HF55" i="14"/>
  <c r="HR55" i="14"/>
  <c r="HS55" i="14"/>
  <c r="HX55" i="14"/>
  <c r="HY55" i="14"/>
  <c r="ID55" i="14"/>
  <c r="IE55" i="14"/>
  <c r="IJ55" i="14"/>
  <c r="IK55" i="14"/>
  <c r="EG58" i="14"/>
  <c r="ES58" i="14"/>
  <c r="FE58" i="14"/>
  <c r="T59" i="14"/>
  <c r="AA59" i="14"/>
  <c r="AH59" i="14"/>
  <c r="AO59" i="14"/>
  <c r="AV59" i="14"/>
  <c r="BC59" i="14"/>
  <c r="BT59" i="14"/>
  <c r="CB59" i="14"/>
  <c r="CJ59" i="14"/>
  <c r="CR59" i="14"/>
  <c r="CZ59" i="14"/>
  <c r="DH59" i="14"/>
  <c r="DP59" i="14"/>
  <c r="EB58" i="14" s="1"/>
  <c r="BO60" i="14"/>
  <c r="BB63" i="14"/>
  <c r="CJ63" i="14"/>
  <c r="EG66" i="14"/>
  <c r="ES66" i="14"/>
  <c r="FE66" i="14"/>
  <c r="T67" i="14"/>
  <c r="AA67" i="14"/>
  <c r="AH67" i="14"/>
  <c r="AO67" i="14"/>
  <c r="AV67" i="14"/>
  <c r="BC67" i="14"/>
  <c r="BT67" i="14"/>
  <c r="CB67" i="14"/>
  <c r="CJ67" i="14"/>
  <c r="CR67" i="14"/>
  <c r="CZ67" i="14"/>
  <c r="DH67" i="14"/>
  <c r="DP67" i="14"/>
  <c r="EB66" i="14" s="1"/>
  <c r="FK66" i="14" s="1"/>
  <c r="BO68" i="14"/>
  <c r="C71" i="14"/>
  <c r="G71" i="14"/>
  <c r="H71" i="14"/>
  <c r="R71" i="14"/>
  <c r="S71" i="14"/>
  <c r="Y71" i="14"/>
  <c r="Z71" i="14"/>
  <c r="AF71" i="14"/>
  <c r="AG71" i="14"/>
  <c r="AM71" i="14"/>
  <c r="AN71" i="14"/>
  <c r="AT71" i="14"/>
  <c r="AU71" i="14"/>
  <c r="BA71" i="14"/>
  <c r="BB71" i="14"/>
  <c r="BM71" i="14"/>
  <c r="BN71" i="14"/>
  <c r="BT71" i="14"/>
  <c r="BU71" i="14"/>
  <c r="CC71" i="14"/>
  <c r="CJ71" i="14"/>
  <c r="CK71" i="14"/>
  <c r="CV71" i="14"/>
  <c r="CZ71" i="14"/>
  <c r="DA71" i="14"/>
  <c r="DH71" i="14"/>
  <c r="DI71" i="14"/>
  <c r="DU71" i="14"/>
  <c r="DV71" i="14"/>
  <c r="EA71" i="14"/>
  <c r="EB71" i="14"/>
  <c r="EH71" i="14"/>
  <c r="EM71" i="14"/>
  <c r="EN71" i="14"/>
  <c r="ES71" i="14"/>
  <c r="ET71" i="14"/>
  <c r="EY71" i="14"/>
  <c r="EZ71" i="14"/>
  <c r="FE71" i="14"/>
  <c r="FF71" i="14"/>
  <c r="FK71" i="14"/>
  <c r="FL71" i="14"/>
  <c r="EG74" i="14"/>
  <c r="ES74" i="14"/>
  <c r="FE74" i="14"/>
  <c r="T75" i="14"/>
  <c r="AA75" i="14"/>
  <c r="AH75" i="14"/>
  <c r="AO75" i="14"/>
  <c r="AV75" i="14"/>
  <c r="BC75" i="14"/>
  <c r="BT75" i="14"/>
  <c r="CB75" i="14"/>
  <c r="CJ75" i="14"/>
  <c r="CR75" i="14"/>
  <c r="CZ75" i="14"/>
  <c r="DH75" i="14"/>
  <c r="DP75" i="14"/>
  <c r="EB74" i="14" s="1"/>
  <c r="BO76" i="14"/>
  <c r="C79" i="14"/>
  <c r="G79" i="14"/>
  <c r="H79" i="14"/>
  <c r="R79" i="14"/>
  <c r="S79" i="14"/>
  <c r="Y79" i="14"/>
  <c r="Z79" i="14"/>
  <c r="AF79" i="14"/>
  <c r="AG79" i="14"/>
  <c r="AM79" i="14"/>
  <c r="AN79" i="14"/>
  <c r="AT79" i="14"/>
  <c r="AU79" i="14"/>
  <c r="BA79" i="14"/>
  <c r="BB79" i="14"/>
  <c r="BM79" i="14"/>
  <c r="BN79" i="14"/>
  <c r="BT79" i="14"/>
  <c r="BU79" i="14"/>
  <c r="CJ79" i="14"/>
  <c r="CL79" i="14" s="1"/>
  <c r="CK79" i="14"/>
  <c r="CR79" i="14"/>
  <c r="CU79" i="14" s="1"/>
  <c r="CZ79" i="14"/>
  <c r="DA79" i="14"/>
  <c r="DD79" i="14" s="1"/>
  <c r="DH79" i="14"/>
  <c r="DI79" i="14"/>
  <c r="DL79" i="14" s="1"/>
  <c r="DU79" i="14"/>
  <c r="DW79" i="14" s="1"/>
  <c r="DV79" i="14"/>
  <c r="EA79" i="14"/>
  <c r="EC79" i="14" s="1"/>
  <c r="EB79" i="14"/>
  <c r="EH79" i="14"/>
  <c r="EM79" i="14"/>
  <c r="EN79" i="14"/>
  <c r="ES79" i="14"/>
  <c r="ET79" i="14"/>
  <c r="EY79" i="14"/>
  <c r="EZ79" i="14"/>
  <c r="FE79" i="14"/>
  <c r="FF79" i="14"/>
  <c r="FK79" i="14"/>
  <c r="FL79" i="14"/>
  <c r="EG82" i="14"/>
  <c r="ES82" i="14"/>
  <c r="FE82" i="14"/>
  <c r="T83" i="14"/>
  <c r="AA83" i="14"/>
  <c r="AH83" i="14"/>
  <c r="AO83" i="14"/>
  <c r="AV83" i="14"/>
  <c r="BC83" i="14"/>
  <c r="BT83" i="14"/>
  <c r="CB83" i="14"/>
  <c r="CJ83" i="14"/>
  <c r="CR83" i="14"/>
  <c r="CZ83" i="14"/>
  <c r="DH83" i="14"/>
  <c r="DP83" i="14"/>
  <c r="EB82" i="14" s="1"/>
  <c r="BO84" i="14"/>
  <c r="C87" i="14"/>
  <c r="G87" i="14"/>
  <c r="H87" i="14"/>
  <c r="S87" i="14"/>
  <c r="T87" i="14" s="1"/>
  <c r="Z87" i="14"/>
  <c r="AG87" i="14"/>
  <c r="AN87" i="14"/>
  <c r="AU87" i="14"/>
  <c r="AV87" i="14" s="1"/>
  <c r="BB87" i="14"/>
  <c r="BM87" i="14"/>
  <c r="BN87" i="14"/>
  <c r="BT87" i="14"/>
  <c r="BU87" i="14"/>
  <c r="CC87" i="14"/>
  <c r="CJ87" i="14"/>
  <c r="CK87" i="14"/>
  <c r="CR87" i="14"/>
  <c r="DA87" i="14"/>
  <c r="DB87" i="14" s="1"/>
  <c r="DI87" i="14"/>
  <c r="DL87" i="14" s="1"/>
  <c r="DU87" i="14"/>
  <c r="DV87" i="14"/>
  <c r="EA87" i="14"/>
  <c r="EB87" i="14"/>
  <c r="EH87" i="14"/>
  <c r="EM87" i="14"/>
  <c r="EN87" i="14"/>
  <c r="ES87" i="14"/>
  <c r="ET87" i="14"/>
  <c r="EY87" i="14"/>
  <c r="EZ87" i="14"/>
  <c r="FE87" i="14"/>
  <c r="FF87" i="14"/>
  <c r="FK87" i="14"/>
  <c r="FL87" i="14"/>
  <c r="EG90" i="14"/>
  <c r="ES90" i="14"/>
  <c r="FE90" i="14"/>
  <c r="T91" i="14"/>
  <c r="AA91" i="14"/>
  <c r="AH91" i="14"/>
  <c r="AO91" i="14"/>
  <c r="AV91" i="14"/>
  <c r="BC91" i="14"/>
  <c r="BT91" i="14"/>
  <c r="CB91" i="14"/>
  <c r="CJ91" i="14"/>
  <c r="CR91" i="14"/>
  <c r="CZ91" i="14"/>
  <c r="DH91" i="14"/>
  <c r="DP91" i="14"/>
  <c r="EB90" i="14" s="1"/>
  <c r="BO92" i="14"/>
  <c r="C95" i="14"/>
  <c r="G95" i="14"/>
  <c r="H95" i="14"/>
  <c r="R95" i="14"/>
  <c r="S95" i="14"/>
  <c r="Y95" i="14"/>
  <c r="Z95" i="14"/>
  <c r="AF95" i="14"/>
  <c r="AG95" i="14"/>
  <c r="AM95" i="14"/>
  <c r="AN95" i="14"/>
  <c r="AT95" i="14"/>
  <c r="AU95" i="14"/>
  <c r="BA95" i="14"/>
  <c r="BB95" i="14"/>
  <c r="BM95" i="14"/>
  <c r="BN95" i="14"/>
  <c r="BT95" i="14"/>
  <c r="BU95" i="14"/>
  <c r="CJ95" i="14"/>
  <c r="CK95" i="14"/>
  <c r="CV95" i="14"/>
  <c r="CZ95" i="14"/>
  <c r="DA95" i="14"/>
  <c r="DH95" i="14"/>
  <c r="DI95" i="14"/>
  <c r="DU95" i="14"/>
  <c r="DW95" i="14" s="1"/>
  <c r="DV95" i="14"/>
  <c r="EA95" i="14"/>
  <c r="EB95" i="14"/>
  <c r="EH95" i="14"/>
  <c r="EM95" i="14"/>
  <c r="EN95" i="14"/>
  <c r="ES95" i="14"/>
  <c r="ET95" i="14"/>
  <c r="EY95" i="14"/>
  <c r="EZ95" i="14"/>
  <c r="FE95" i="14"/>
  <c r="FF95" i="14"/>
  <c r="FK95" i="14"/>
  <c r="FL95" i="14"/>
  <c r="EG98" i="14"/>
  <c r="ES98" i="14"/>
  <c r="FE98" i="14"/>
  <c r="T99" i="14"/>
  <c r="AA99" i="14"/>
  <c r="AH99" i="14"/>
  <c r="AO99" i="14"/>
  <c r="AV99" i="14"/>
  <c r="BC99" i="14"/>
  <c r="BT99" i="14"/>
  <c r="CB99" i="14"/>
  <c r="CJ99" i="14"/>
  <c r="CR99" i="14"/>
  <c r="CZ99" i="14"/>
  <c r="DH99" i="14"/>
  <c r="DP99" i="14"/>
  <c r="EB98" i="14" s="1"/>
  <c r="BO100" i="14"/>
  <c r="C103" i="14"/>
  <c r="G103" i="14"/>
  <c r="H103" i="14"/>
  <c r="R103" i="14"/>
  <c r="S103" i="14"/>
  <c r="Y103" i="14"/>
  <c r="Z103" i="14"/>
  <c r="AF103" i="14"/>
  <c r="AG103" i="14"/>
  <c r="AM103" i="14"/>
  <c r="AN103" i="14"/>
  <c r="AT103" i="14"/>
  <c r="AU103" i="14"/>
  <c r="BA103" i="14"/>
  <c r="BB103" i="14"/>
  <c r="BM103" i="14"/>
  <c r="BN103" i="14"/>
  <c r="BT103" i="14"/>
  <c r="BU103" i="14"/>
  <c r="CJ103" i="14"/>
  <c r="CK103" i="14"/>
  <c r="CR103" i="14"/>
  <c r="CU103" i="14" s="1"/>
  <c r="CV103" i="14"/>
  <c r="CZ103" i="14"/>
  <c r="DA103" i="14"/>
  <c r="DH103" i="14"/>
  <c r="DI103" i="14"/>
  <c r="DU103" i="14"/>
  <c r="DV103" i="14"/>
  <c r="EA103" i="14"/>
  <c r="EB103" i="14"/>
  <c r="EH103" i="14"/>
  <c r="EM103" i="14"/>
  <c r="EN103" i="14"/>
  <c r="ES103" i="14"/>
  <c r="ET103" i="14"/>
  <c r="EY103" i="14"/>
  <c r="EZ103" i="14"/>
  <c r="FE103" i="14"/>
  <c r="FF103" i="14"/>
  <c r="FK103" i="14"/>
  <c r="FL103" i="14"/>
  <c r="EG106" i="14"/>
  <c r="ES106" i="14"/>
  <c r="FE106" i="14"/>
  <c r="T107" i="14"/>
  <c r="AA107" i="14"/>
  <c r="AH107" i="14"/>
  <c r="AO107" i="14"/>
  <c r="AV107" i="14"/>
  <c r="BC107" i="14"/>
  <c r="BT107" i="14"/>
  <c r="CB107" i="14"/>
  <c r="CJ107" i="14"/>
  <c r="CR107" i="14"/>
  <c r="CZ107" i="14"/>
  <c r="DH107" i="14"/>
  <c r="DP107" i="14"/>
  <c r="EB106" i="14" s="1"/>
  <c r="BO108" i="14"/>
  <c r="C111" i="14"/>
  <c r="G111" i="14"/>
  <c r="H111" i="14"/>
  <c r="R111" i="14"/>
  <c r="S111" i="14"/>
  <c r="Y111" i="14"/>
  <c r="Z111" i="14"/>
  <c r="AF111" i="14"/>
  <c r="AG111" i="14"/>
  <c r="AM111" i="14"/>
  <c r="AN111" i="14"/>
  <c r="AT111" i="14"/>
  <c r="AU111" i="14"/>
  <c r="BA111" i="14"/>
  <c r="BB111" i="14"/>
  <c r="BT111" i="14"/>
  <c r="BU111" i="14"/>
  <c r="CJ111" i="14"/>
  <c r="CK111" i="14"/>
  <c r="CR111" i="14"/>
  <c r="CZ111" i="14"/>
  <c r="DA111" i="14"/>
  <c r="DD111" i="14" s="1"/>
  <c r="DH111" i="14"/>
  <c r="DI111" i="14"/>
  <c r="DL111" i="14" s="1"/>
  <c r="DU111" i="14"/>
  <c r="DV111" i="14"/>
  <c r="EA111" i="14"/>
  <c r="EB111" i="14"/>
  <c r="EH111" i="14"/>
  <c r="EM111" i="14"/>
  <c r="EN111" i="14"/>
  <c r="ES111" i="14"/>
  <c r="ET111" i="14"/>
  <c r="EY111" i="14"/>
  <c r="EZ111" i="14"/>
  <c r="FE111" i="14"/>
  <c r="FF111" i="14"/>
  <c r="FK111" i="14"/>
  <c r="FL111" i="14"/>
  <c r="EB114" i="14"/>
  <c r="EG114" i="14"/>
  <c r="EM114" i="14"/>
  <c r="ES114" i="14"/>
  <c r="EY114" i="14"/>
  <c r="FE114" i="14"/>
  <c r="FK114" i="14"/>
  <c r="Z115" i="14"/>
  <c r="AG115" i="14"/>
  <c r="AN115" i="14"/>
  <c r="AU115" i="14"/>
  <c r="BB115" i="14"/>
  <c r="BT115" i="14"/>
  <c r="CB115" i="14"/>
  <c r="CJ115" i="14"/>
  <c r="CR115" i="14"/>
  <c r="CZ115" i="14"/>
  <c r="DH115" i="14"/>
  <c r="BN116" i="14"/>
  <c r="C119" i="14"/>
  <c r="E119" i="14"/>
  <c r="G119" i="14"/>
  <c r="H119" i="14"/>
  <c r="I119" i="14" s="1"/>
  <c r="R119" i="14"/>
  <c r="S119" i="14"/>
  <c r="Y119" i="14"/>
  <c r="Z119" i="14"/>
  <c r="AF119" i="14"/>
  <c r="AG119" i="14"/>
  <c r="AM119" i="14"/>
  <c r="AN119" i="14"/>
  <c r="AT119" i="14"/>
  <c r="AU119" i="14"/>
  <c r="BA119" i="14"/>
  <c r="BB119" i="14"/>
  <c r="BM119" i="14"/>
  <c r="BN119" i="14"/>
  <c r="BT119" i="14"/>
  <c r="BU119" i="14"/>
  <c r="CJ119" i="14"/>
  <c r="CK119" i="14"/>
  <c r="CR119" i="14"/>
  <c r="CV119" i="14"/>
  <c r="CZ119" i="14"/>
  <c r="DA119" i="14"/>
  <c r="DH119" i="14"/>
  <c r="DI119" i="14"/>
  <c r="DL119" i="14" s="1"/>
  <c r="DU119" i="14"/>
  <c r="DV119" i="14"/>
  <c r="EA119" i="14"/>
  <c r="EB119" i="14"/>
  <c r="EH119" i="14"/>
  <c r="EM119" i="14"/>
  <c r="EN119" i="14"/>
  <c r="ES119" i="14"/>
  <c r="ET119" i="14"/>
  <c r="EY119" i="14"/>
  <c r="EZ119" i="14"/>
  <c r="FE119" i="14"/>
  <c r="FF119" i="14"/>
  <c r="FK119" i="14"/>
  <c r="FL119" i="14"/>
  <c r="EB122" i="14"/>
  <c r="EG122" i="14"/>
  <c r="EM122" i="14"/>
  <c r="ES122" i="14"/>
  <c r="EY122" i="14"/>
  <c r="FE122" i="14"/>
  <c r="FK122" i="14"/>
  <c r="Z123" i="14"/>
  <c r="AG123" i="14"/>
  <c r="AN123" i="14"/>
  <c r="AU123" i="14"/>
  <c r="BB123" i="14"/>
  <c r="BO124" i="14"/>
  <c r="C127" i="14"/>
  <c r="G127" i="14"/>
  <c r="I127" i="14" s="1"/>
  <c r="H127" i="14"/>
  <c r="R127" i="14"/>
  <c r="S127" i="14"/>
  <c r="Y127" i="14"/>
  <c r="Z127" i="14"/>
  <c r="AF127" i="14"/>
  <c r="AG127" i="14"/>
  <c r="AM127" i="14"/>
  <c r="AN127" i="14"/>
  <c r="AT127" i="14"/>
  <c r="AU127" i="14"/>
  <c r="BA127" i="14"/>
  <c r="BB127" i="14"/>
  <c r="BM127" i="14"/>
  <c r="BN127" i="14"/>
  <c r="BT127" i="14"/>
  <c r="BU127" i="14"/>
  <c r="CC127" i="14"/>
  <c r="CJ127" i="14"/>
  <c r="CK127" i="14"/>
  <c r="CV127" i="14"/>
  <c r="CZ127" i="14"/>
  <c r="DA127" i="14"/>
  <c r="DH127" i="14"/>
  <c r="DI127" i="14"/>
  <c r="DP127" i="14"/>
  <c r="DU127" i="14"/>
  <c r="DV127" i="14"/>
  <c r="EA127" i="14"/>
  <c r="EB127" i="14"/>
  <c r="EH127" i="14"/>
  <c r="EM127" i="14"/>
  <c r="EP127" i="14" s="1"/>
  <c r="EN127" i="14"/>
  <c r="ES127" i="14"/>
  <c r="EV127" i="14" s="1"/>
  <c r="ET127" i="14"/>
  <c r="EY127" i="14"/>
  <c r="FB127" i="14" s="1"/>
  <c r="EZ127" i="14"/>
  <c r="FE127" i="14"/>
  <c r="FH127" i="14" s="1"/>
  <c r="FF127" i="14"/>
  <c r="FK127" i="14"/>
  <c r="FN127" i="14" s="1"/>
  <c r="FL127" i="14"/>
  <c r="EG130" i="14"/>
  <c r="ES130" i="14"/>
  <c r="FE130" i="14"/>
  <c r="T131" i="14"/>
  <c r="AA131" i="14"/>
  <c r="AH131" i="14"/>
  <c r="AO131" i="14"/>
  <c r="AV131" i="14"/>
  <c r="BC131" i="14"/>
  <c r="BT131" i="14"/>
  <c r="CB131" i="14"/>
  <c r="CJ131" i="14"/>
  <c r="CR131" i="14"/>
  <c r="CZ131" i="14"/>
  <c r="DH131" i="14"/>
  <c r="DP131" i="14"/>
  <c r="EB130" i="14" s="1"/>
  <c r="EM130" i="14" s="1"/>
  <c r="BO132" i="14"/>
  <c r="C135" i="14"/>
  <c r="G135" i="14"/>
  <c r="H135" i="14"/>
  <c r="R135" i="14"/>
  <c r="S135" i="14"/>
  <c r="Y135" i="14"/>
  <c r="Z135" i="14"/>
  <c r="AF135" i="14"/>
  <c r="AG135" i="14"/>
  <c r="AM135" i="14"/>
  <c r="AN135" i="14"/>
  <c r="AT135" i="14"/>
  <c r="AU135" i="14"/>
  <c r="BA135" i="14"/>
  <c r="BB135" i="14"/>
  <c r="BM135" i="14"/>
  <c r="BO135" i="14" s="1"/>
  <c r="BN135" i="14"/>
  <c r="BT135" i="14"/>
  <c r="BU135" i="14"/>
  <c r="CB135" i="14"/>
  <c r="CJ135" i="14"/>
  <c r="CK135" i="14"/>
  <c r="CR135" i="14"/>
  <c r="CV135" i="14"/>
  <c r="CZ135" i="14"/>
  <c r="DA135" i="14"/>
  <c r="DH135" i="14"/>
  <c r="DI135" i="14"/>
  <c r="DQ135" i="14"/>
  <c r="DU135" i="14"/>
  <c r="DV135" i="14"/>
  <c r="DY135" i="14" s="1"/>
  <c r="EA135" i="14"/>
  <c r="EB135" i="14"/>
  <c r="EH135" i="14"/>
  <c r="EM135" i="14"/>
  <c r="EN135" i="14"/>
  <c r="ES135" i="14"/>
  <c r="ET135" i="14"/>
  <c r="EU135" i="14" s="1"/>
  <c r="EY135" i="14"/>
  <c r="EZ135" i="14"/>
  <c r="FE135" i="14"/>
  <c r="FF135" i="14"/>
  <c r="FK135" i="14"/>
  <c r="FL135" i="14"/>
  <c r="EG138" i="14"/>
  <c r="ES138" i="14"/>
  <c r="FE138" i="14"/>
  <c r="T139" i="14"/>
  <c r="AA139" i="14"/>
  <c r="AH139" i="14"/>
  <c r="AO139" i="14"/>
  <c r="AV139" i="14"/>
  <c r="BC139" i="14"/>
  <c r="BT139" i="14"/>
  <c r="CB139" i="14"/>
  <c r="CJ139" i="14"/>
  <c r="CR139" i="14"/>
  <c r="CZ139" i="14"/>
  <c r="DH139" i="14"/>
  <c r="DP139" i="14"/>
  <c r="EB138" i="14" s="1"/>
  <c r="BO140" i="14"/>
  <c r="C143" i="14"/>
  <c r="D143" i="14"/>
  <c r="G143" i="14"/>
  <c r="H143" i="14"/>
  <c r="R143" i="14"/>
  <c r="S143" i="14"/>
  <c r="Y143" i="14"/>
  <c r="Z143" i="14"/>
  <c r="AF143" i="14"/>
  <c r="AG143" i="14"/>
  <c r="AM143" i="14"/>
  <c r="AO143" i="14" s="1"/>
  <c r="AN143" i="14"/>
  <c r="AT143" i="14"/>
  <c r="AU143" i="14"/>
  <c r="BA143" i="14"/>
  <c r="BB143" i="14"/>
  <c r="BM143" i="14"/>
  <c r="BN143" i="14"/>
  <c r="BT143" i="14"/>
  <c r="BU143" i="14"/>
  <c r="CJ143" i="14"/>
  <c r="CK143" i="14"/>
  <c r="CZ143" i="14"/>
  <c r="DA143" i="14"/>
  <c r="DH143" i="14"/>
  <c r="DJ143" i="14" s="1"/>
  <c r="DI143" i="14"/>
  <c r="DU143" i="14"/>
  <c r="DV143" i="14"/>
  <c r="EB143" i="14"/>
  <c r="EH143" i="14"/>
  <c r="EM143" i="14"/>
  <c r="EN143" i="14"/>
  <c r="ES143" i="14"/>
  <c r="ET143" i="14"/>
  <c r="EY143" i="14"/>
  <c r="EZ143" i="14"/>
  <c r="FE143" i="14"/>
  <c r="FF143" i="14"/>
  <c r="FK143" i="14"/>
  <c r="FL143" i="14"/>
  <c r="EB146" i="14"/>
  <c r="EG146" i="14"/>
  <c r="EM146" i="14"/>
  <c r="ES146" i="14"/>
  <c r="EY146" i="14"/>
  <c r="FE146" i="14"/>
  <c r="FK146" i="14"/>
  <c r="R147" i="14"/>
  <c r="Y147" i="14"/>
  <c r="AF147" i="14"/>
  <c r="AM147" i="14"/>
  <c r="AT147" i="14"/>
  <c r="BA147" i="14"/>
  <c r="C151" i="14"/>
  <c r="G151" i="14"/>
  <c r="I151" i="14" s="1"/>
  <c r="H151" i="14"/>
  <c r="R151" i="14"/>
  <c r="S151" i="14"/>
  <c r="Y151" i="14"/>
  <c r="Z151" i="14"/>
  <c r="AF151" i="14"/>
  <c r="AG151" i="14"/>
  <c r="AM151" i="14"/>
  <c r="AN151" i="14"/>
  <c r="AT151" i="14"/>
  <c r="AU151" i="14"/>
  <c r="BA151" i="14"/>
  <c r="BB151" i="14"/>
  <c r="BM151" i="14"/>
  <c r="BN151" i="14"/>
  <c r="BT151" i="14"/>
  <c r="BU151" i="14"/>
  <c r="CJ151" i="14"/>
  <c r="CK151" i="14"/>
  <c r="CR151" i="14"/>
  <c r="CU151" i="14" s="1"/>
  <c r="CV151" i="14"/>
  <c r="CZ151" i="14"/>
  <c r="DA151" i="14"/>
  <c r="DH151" i="14"/>
  <c r="DI151" i="14"/>
  <c r="DU151" i="14"/>
  <c r="DV151" i="14"/>
  <c r="EA151" i="14"/>
  <c r="EB151" i="14"/>
  <c r="EH151" i="14"/>
  <c r="EI151" i="14" s="1"/>
  <c r="EM151" i="14"/>
  <c r="EN151" i="14"/>
  <c r="ES151" i="14"/>
  <c r="ET151" i="14"/>
  <c r="EY151" i="14"/>
  <c r="EZ151" i="14"/>
  <c r="FE151" i="14"/>
  <c r="FF151" i="14"/>
  <c r="FK151" i="14"/>
  <c r="FL151" i="14"/>
  <c r="B156" i="14"/>
  <c r="C156" i="14"/>
  <c r="D156" i="14"/>
  <c r="E156" i="14"/>
  <c r="F156" i="14"/>
  <c r="G156" i="14"/>
  <c r="H156" i="14"/>
  <c r="I156" i="14"/>
  <c r="J156" i="14"/>
  <c r="L156" i="14"/>
  <c r="M156" i="14"/>
  <c r="N156" i="14"/>
  <c r="O156" i="14"/>
  <c r="P156" i="14"/>
  <c r="Q156" i="14"/>
  <c r="R156" i="14"/>
  <c r="S156" i="14"/>
  <c r="V156" i="14"/>
  <c r="W156" i="14"/>
  <c r="X156" i="14"/>
  <c r="Y156" i="14"/>
  <c r="Z156" i="14"/>
  <c r="AA156" i="14"/>
  <c r="AO156" i="14"/>
  <c r="AP156" i="14"/>
  <c r="AQ156" i="14"/>
  <c r="AR156" i="14"/>
  <c r="AS156" i="14"/>
  <c r="AT156" i="14"/>
  <c r="AU156" i="14"/>
  <c r="AV156" i="14"/>
  <c r="AW156" i="14"/>
  <c r="AX156" i="14"/>
  <c r="AY156" i="14"/>
  <c r="AZ156" i="14"/>
  <c r="BA156" i="14"/>
  <c r="BB156" i="14"/>
  <c r="BC156" i="14"/>
  <c r="BD156" i="14"/>
  <c r="BE156" i="14"/>
  <c r="BF156" i="14"/>
  <c r="BG156" i="14"/>
  <c r="BH156" i="14"/>
  <c r="BI156" i="14"/>
  <c r="BJ156" i="14"/>
  <c r="BK156" i="14"/>
  <c r="BL156" i="14"/>
  <c r="BN156" i="14"/>
  <c r="BO156" i="14"/>
  <c r="BN157" i="14" s="1"/>
  <c r="BP156" i="14"/>
  <c r="BQ156" i="14"/>
  <c r="BR156" i="14"/>
  <c r="BS156" i="14"/>
  <c r="BT156" i="14"/>
  <c r="BV156" i="14"/>
  <c r="BW156" i="14"/>
  <c r="BX156" i="14"/>
  <c r="BY156" i="14"/>
  <c r="BZ156" i="14"/>
  <c r="CA156" i="14"/>
  <c r="CB156" i="14"/>
  <c r="CC156" i="14"/>
  <c r="CD156" i="14"/>
  <c r="CE156" i="14"/>
  <c r="CJ156" i="14"/>
  <c r="CK156" i="14"/>
  <c r="CL156" i="14"/>
  <c r="CM156" i="14"/>
  <c r="CN156" i="14"/>
  <c r="CO156" i="14"/>
  <c r="CP156" i="14"/>
  <c r="CQ156" i="14"/>
  <c r="CR156" i="14"/>
  <c r="CS156" i="14"/>
  <c r="CT156" i="14"/>
  <c r="CU156" i="14"/>
  <c r="CX156" i="14"/>
  <c r="CY156" i="14"/>
  <c r="CZ156" i="14"/>
  <c r="DA156" i="14"/>
  <c r="DB156" i="14"/>
  <c r="DC156" i="14"/>
  <c r="DD156" i="14"/>
  <c r="DE156" i="14"/>
  <c r="DF156" i="14"/>
  <c r="DG156" i="14"/>
  <c r="DI156" i="14"/>
  <c r="DL156" i="14"/>
  <c r="DM156" i="14"/>
  <c r="DN156" i="14"/>
  <c r="DO156" i="14"/>
  <c r="DP156" i="14"/>
  <c r="DR156" i="14"/>
  <c r="DS156" i="14"/>
  <c r="DU156" i="14"/>
  <c r="DV156" i="14"/>
  <c r="DW156" i="14"/>
  <c r="DX156" i="14"/>
  <c r="EA156" i="14"/>
  <c r="EB156" i="14"/>
  <c r="EC156" i="14"/>
  <c r="ED156" i="14"/>
  <c r="EE156" i="14"/>
  <c r="EF156" i="14"/>
  <c r="EG156" i="14"/>
  <c r="EH156" i="14"/>
  <c r="EI156" i="14"/>
  <c r="EJ156" i="14"/>
  <c r="EK156" i="14"/>
  <c r="EL156" i="14"/>
  <c r="EM156" i="14"/>
  <c r="EN156" i="14"/>
  <c r="EO156" i="14"/>
  <c r="EP156" i="14"/>
  <c r="EQ156" i="14"/>
  <c r="ER156" i="14"/>
  <c r="ES156" i="14"/>
  <c r="EU156" i="14" s="1"/>
  <c r="ET156" i="14"/>
  <c r="EV156" i="14" s="1"/>
  <c r="EW156" i="14"/>
  <c r="EX156" i="14"/>
  <c r="EZ156" i="14"/>
  <c r="FA156" i="14"/>
  <c r="FB156" i="14"/>
  <c r="FC156" i="14"/>
  <c r="FD156" i="14"/>
  <c r="FE156" i="14"/>
  <c r="FF156" i="14"/>
  <c r="FG156" i="14"/>
  <c r="FH156" i="14"/>
  <c r="FI156" i="14"/>
  <c r="FJ156" i="14"/>
  <c r="FK156" i="14"/>
  <c r="FL156" i="14"/>
  <c r="FM156" i="14"/>
  <c r="FN156" i="14"/>
  <c r="FO156" i="14"/>
  <c r="FP156" i="14"/>
  <c r="FQ156" i="14"/>
  <c r="FR156" i="14"/>
  <c r="FS156" i="14"/>
  <c r="FT156" i="14"/>
  <c r="FU156" i="14"/>
  <c r="FV156" i="14"/>
  <c r="FW156" i="14"/>
  <c r="FY156" i="14"/>
  <c r="FZ156" i="14"/>
  <c r="GA156" i="14"/>
  <c r="GB156" i="14"/>
  <c r="GC156" i="14"/>
  <c r="GD156" i="14"/>
  <c r="GE156" i="14"/>
  <c r="GF156" i="14"/>
  <c r="GG156" i="14"/>
  <c r="GH156" i="14"/>
  <c r="GI156" i="14"/>
  <c r="GJ156" i="14"/>
  <c r="GK156" i="14"/>
  <c r="GL156" i="14"/>
  <c r="GM156" i="14"/>
  <c r="GN156" i="14"/>
  <c r="GO156" i="14"/>
  <c r="GP156" i="14"/>
  <c r="GQ156" i="14"/>
  <c r="GR156" i="14"/>
  <c r="GS156" i="14"/>
  <c r="GT156" i="14"/>
  <c r="GU156" i="14"/>
  <c r="GV156" i="14"/>
  <c r="GX156" i="14"/>
  <c r="GY156" i="14"/>
  <c r="GZ156" i="14"/>
  <c r="HA156" i="14"/>
  <c r="HB156" i="14"/>
  <c r="HC156" i="14"/>
  <c r="HD156" i="14"/>
  <c r="HE156" i="14"/>
  <c r="HF156" i="14"/>
  <c r="HG156" i="14"/>
  <c r="HH156" i="14"/>
  <c r="HI156" i="14"/>
  <c r="HJ156" i="14"/>
  <c r="HK156" i="14"/>
  <c r="HL156" i="14"/>
  <c r="HM156" i="14"/>
  <c r="HN156" i="14"/>
  <c r="HO156" i="14"/>
  <c r="HP156" i="14"/>
  <c r="HQ156" i="14"/>
  <c r="HR156" i="14"/>
  <c r="HS156" i="14"/>
  <c r="HT156" i="14"/>
  <c r="HU156" i="14"/>
  <c r="HW156" i="14"/>
  <c r="HX156" i="14"/>
  <c r="HY156" i="14"/>
  <c r="HZ156" i="14"/>
  <c r="IA156" i="14"/>
  <c r="IB156" i="14"/>
  <c r="IC156" i="14"/>
  <c r="ID156" i="14"/>
  <c r="IE156" i="14"/>
  <c r="IF156" i="14"/>
  <c r="IG156" i="14"/>
  <c r="IH156" i="14"/>
  <c r="II156" i="14"/>
  <c r="IJ156" i="14"/>
  <c r="IK156" i="14"/>
  <c r="IL156" i="14"/>
  <c r="IM156" i="14"/>
  <c r="IN156" i="14"/>
  <c r="IO156" i="14"/>
  <c r="IP156" i="14"/>
  <c r="IQ156" i="14"/>
  <c r="IR156" i="14"/>
  <c r="DV161" i="14"/>
  <c r="DW161" i="14"/>
  <c r="DX161" i="14"/>
  <c r="DY161" i="14"/>
  <c r="DZ161" i="14"/>
  <c r="EA161" i="14"/>
  <c r="EB161" i="14"/>
  <c r="EC161" i="14"/>
  <c r="ED161" i="14"/>
  <c r="EE161" i="14"/>
  <c r="EF161" i="14"/>
  <c r="EG161" i="14"/>
  <c r="EH161" i="14"/>
  <c r="EI161" i="14"/>
  <c r="EJ161" i="14"/>
  <c r="EK161" i="14"/>
  <c r="EL161" i="14"/>
  <c r="EM161" i="14"/>
  <c r="EN161" i="14"/>
  <c r="ET161" i="14" s="1"/>
  <c r="EO161" i="14"/>
  <c r="EU161" i="14" s="1"/>
  <c r="EP161" i="14"/>
  <c r="EV161" i="14" s="1"/>
  <c r="EQ161" i="14"/>
  <c r="EW161" i="14" s="1"/>
  <c r="ER161" i="14"/>
  <c r="EX161" i="14" s="1"/>
  <c r="EZ161" i="14"/>
  <c r="FA161" i="14"/>
  <c r="FB161" i="14"/>
  <c r="FC161" i="14"/>
  <c r="FD161" i="14"/>
  <c r="FE161" i="14"/>
  <c r="FF161" i="14"/>
  <c r="FG161" i="14"/>
  <c r="FH161" i="14"/>
  <c r="FI161" i="14"/>
  <c r="FJ161" i="14"/>
  <c r="FK161" i="14"/>
  <c r="FL161" i="14"/>
  <c r="FM161" i="14"/>
  <c r="FN161" i="14"/>
  <c r="FO161" i="14"/>
  <c r="FP161" i="14"/>
  <c r="FQ161" i="14"/>
  <c r="FR161" i="14"/>
  <c r="FS161" i="14"/>
  <c r="FT161" i="14"/>
  <c r="FU161" i="14"/>
  <c r="FW161" i="14"/>
  <c r="FX161" i="14"/>
  <c r="FY161" i="14"/>
  <c r="FZ161" i="14"/>
  <c r="GA161" i="14"/>
  <c r="GB161" i="14"/>
  <c r="GC161" i="14"/>
  <c r="GD161" i="14"/>
  <c r="GE161" i="14"/>
  <c r="GF161" i="14"/>
  <c r="GG161" i="14"/>
  <c r="GH161" i="14"/>
  <c r="GI161" i="14"/>
  <c r="GJ161" i="14"/>
  <c r="GK161" i="14"/>
  <c r="GL161" i="14"/>
  <c r="GM161" i="14"/>
  <c r="GN161" i="14"/>
  <c r="GO161" i="14"/>
  <c r="GP161" i="14"/>
  <c r="GQ161" i="14"/>
  <c r="GR161" i="14"/>
  <c r="GT161" i="14"/>
  <c r="GU161" i="14"/>
  <c r="GV161" i="14"/>
  <c r="GW161" i="14"/>
  <c r="GX161" i="14"/>
  <c r="GY161" i="14"/>
  <c r="GZ161" i="14"/>
  <c r="HA161" i="14"/>
  <c r="HB161" i="14"/>
  <c r="HC161" i="14"/>
  <c r="HD161" i="14"/>
  <c r="HE161" i="14"/>
  <c r="HF161" i="14"/>
  <c r="HG161" i="14"/>
  <c r="HH161" i="14"/>
  <c r="HI161" i="14"/>
  <c r="HJ161" i="14"/>
  <c r="HK161" i="14"/>
  <c r="HL161" i="14"/>
  <c r="HM161" i="14"/>
  <c r="HN161" i="14"/>
  <c r="HO161" i="14"/>
  <c r="HQ161" i="14"/>
  <c r="HR161" i="14"/>
  <c r="HS161" i="14"/>
  <c r="HT161" i="14"/>
  <c r="HU161" i="14"/>
  <c r="HV161" i="14"/>
  <c r="HW161" i="14"/>
  <c r="HX161" i="14"/>
  <c r="HY161" i="14"/>
  <c r="HZ161" i="14"/>
  <c r="IA161" i="14"/>
  <c r="IB161" i="14"/>
  <c r="IC161" i="14"/>
  <c r="ID161" i="14"/>
  <c r="IE161" i="14"/>
  <c r="IF161" i="14"/>
  <c r="IG161" i="14"/>
  <c r="IH161" i="14"/>
  <c r="II161" i="14"/>
  <c r="IK161" i="14" s="1"/>
  <c r="IJ161" i="14"/>
  <c r="IL161" i="14" s="1"/>
  <c r="HQ162" i="14"/>
  <c r="HS162" i="14"/>
  <c r="HT162" i="14"/>
  <c r="HU162" i="14"/>
  <c r="HV162" i="14"/>
  <c r="HW162" i="14"/>
  <c r="HX162" i="14"/>
  <c r="HY162" i="14"/>
  <c r="HZ162" i="14"/>
  <c r="IA162" i="14"/>
  <c r="IB162" i="14"/>
  <c r="IC162" i="14"/>
  <c r="ID162" i="14"/>
  <c r="IE162" i="14"/>
  <c r="IF162" i="14"/>
  <c r="IH162" i="14"/>
  <c r="II162" i="14"/>
  <c r="B166" i="14"/>
  <c r="C166" i="14"/>
  <c r="D166" i="14"/>
  <c r="E166" i="14"/>
  <c r="F166" i="14"/>
  <c r="G166" i="14"/>
  <c r="H166" i="14"/>
  <c r="I166" i="14"/>
  <c r="J166" i="14"/>
  <c r="K166" i="14"/>
  <c r="L166" i="14"/>
  <c r="M166" i="14"/>
  <c r="N166" i="14"/>
  <c r="O166" i="14"/>
  <c r="P166" i="14"/>
  <c r="Q166" i="14"/>
  <c r="R166" i="14"/>
  <c r="S166" i="14"/>
  <c r="W166" i="14" s="1"/>
  <c r="Y166" i="14"/>
  <c r="Z166" i="14"/>
  <c r="AA166" i="14"/>
  <c r="AB166" i="14"/>
  <c r="AC166" i="14"/>
  <c r="AD166" i="14"/>
  <c r="AE166" i="14"/>
  <c r="AF166" i="14"/>
  <c r="AG166" i="14"/>
  <c r="AH166" i="14"/>
  <c r="AI166" i="14"/>
  <c r="AJ166" i="14"/>
  <c r="AK166" i="14"/>
  <c r="AL166" i="14"/>
  <c r="AM166" i="14"/>
  <c r="AN166" i="14"/>
  <c r="AO166" i="14"/>
  <c r="AP166" i="14"/>
  <c r="AT166" i="14" s="1"/>
  <c r="AV166" i="14"/>
  <c r="AW166" i="14"/>
  <c r="AX166" i="14"/>
  <c r="AY166" i="14"/>
  <c r="AZ166" i="14"/>
  <c r="BA166" i="14"/>
  <c r="BB166" i="14"/>
  <c r="BC166" i="14"/>
  <c r="BD166" i="14"/>
  <c r="BE166" i="14"/>
  <c r="BF166" i="14"/>
  <c r="BG166" i="14"/>
  <c r="BH166" i="14"/>
  <c r="BI166" i="14"/>
  <c r="BJ166" i="14"/>
  <c r="BK166" i="14"/>
  <c r="BL166" i="14"/>
  <c r="BM166" i="14"/>
  <c r="BQ166" i="14" s="1"/>
  <c r="BS166" i="14"/>
  <c r="BT166" i="14"/>
  <c r="BU166" i="14"/>
  <c r="BV166" i="14"/>
  <c r="BW166" i="14"/>
  <c r="BX166" i="14"/>
  <c r="BY166" i="14"/>
  <c r="BZ166" i="14"/>
  <c r="CA166" i="14"/>
  <c r="CB166" i="14"/>
  <c r="CC166" i="14"/>
  <c r="CD166" i="14"/>
  <c r="CE166" i="14"/>
  <c r="CF166" i="14"/>
  <c r="CG166" i="14"/>
  <c r="CH166" i="14"/>
  <c r="CI166" i="14"/>
  <c r="CJ166" i="14"/>
  <c r="CN166" i="14" s="1"/>
  <c r="CP166" i="14"/>
  <c r="CQ166" i="14"/>
  <c r="CR166" i="14"/>
  <c r="CS166" i="14"/>
  <c r="CT166" i="14"/>
  <c r="CU166" i="14"/>
  <c r="CV166" i="14"/>
  <c r="CW166" i="14"/>
  <c r="CX166" i="14"/>
  <c r="CY166" i="14"/>
  <c r="CZ166" i="14"/>
  <c r="DA166" i="14"/>
  <c r="DB166" i="14"/>
  <c r="DC166" i="14"/>
  <c r="DD166" i="14"/>
  <c r="DE166" i="14"/>
  <c r="DF166" i="14"/>
  <c r="DG166" i="14"/>
  <c r="DH166" i="14"/>
  <c r="DI166" i="14"/>
  <c r="DJ166" i="14"/>
  <c r="DK166" i="14"/>
  <c r="DM166" i="14"/>
  <c r="DN166" i="14"/>
  <c r="DO166" i="14"/>
  <c r="DP166" i="14"/>
  <c r="DQ166" i="14"/>
  <c r="DR166" i="14"/>
  <c r="DS166" i="14"/>
  <c r="DT166" i="14"/>
  <c r="DU166" i="14"/>
  <c r="DV166" i="14"/>
  <c r="DW166" i="14"/>
  <c r="DX166" i="14"/>
  <c r="DY166" i="14"/>
  <c r="DZ166" i="14"/>
  <c r="EA166" i="14"/>
  <c r="EB166" i="14"/>
  <c r="EC166" i="14"/>
  <c r="ED166" i="14"/>
  <c r="EE166" i="14"/>
  <c r="EF166" i="14"/>
  <c r="EG166" i="14"/>
  <c r="EH166" i="14"/>
  <c r="EJ166" i="14"/>
  <c r="EK166" i="14"/>
  <c r="EL166" i="14"/>
  <c r="EM166" i="14"/>
  <c r="EN166" i="14"/>
  <c r="EO166" i="14"/>
  <c r="EP166" i="14"/>
  <c r="EQ166" i="14"/>
  <c r="ER166" i="14"/>
  <c r="ES166" i="14"/>
  <c r="ET166" i="14"/>
  <c r="EU166" i="14"/>
  <c r="EV166" i="14"/>
  <c r="EW166" i="14"/>
  <c r="EX166" i="14"/>
  <c r="EY166" i="14"/>
  <c r="EZ166" i="14"/>
  <c r="FA166" i="14"/>
  <c r="FB166" i="14"/>
  <c r="FC166" i="14"/>
  <c r="FE166" i="14" s="1"/>
  <c r="FD166" i="14"/>
  <c r="FG166" i="14"/>
  <c r="FH166" i="14"/>
  <c r="FI166" i="14"/>
  <c r="FJ166" i="14"/>
  <c r="FK166" i="14"/>
  <c r="FL166" i="14"/>
  <c r="FM166" i="14"/>
  <c r="FN166" i="14"/>
  <c r="FO166" i="14"/>
  <c r="FP166" i="14"/>
  <c r="FQ166" i="14"/>
  <c r="FR166" i="14"/>
  <c r="FS166" i="14"/>
  <c r="FT166" i="14"/>
  <c r="FU166" i="14"/>
  <c r="FV166" i="14"/>
  <c r="FW166" i="14"/>
  <c r="FX166" i="14"/>
  <c r="FY166" i="14"/>
  <c r="FZ166" i="14"/>
  <c r="GA166" i="14"/>
  <c r="GB166" i="14"/>
  <c r="GD166" i="14"/>
  <c r="GE166" i="14"/>
  <c r="GF166" i="14"/>
  <c r="GG166" i="14"/>
  <c r="GH166" i="14"/>
  <c r="GI166" i="14"/>
  <c r="GJ166" i="14"/>
  <c r="GK166" i="14"/>
  <c r="GL166" i="14"/>
  <c r="GM166" i="14"/>
  <c r="GN166" i="14"/>
  <c r="GO166" i="14"/>
  <c r="GP166" i="14"/>
  <c r="GQ166" i="14"/>
  <c r="GR166" i="14"/>
  <c r="GS166" i="14"/>
  <c r="GT166" i="14"/>
  <c r="GU166" i="14"/>
  <c r="GV166" i="14"/>
  <c r="GW166" i="14"/>
  <c r="GX166" i="14"/>
  <c r="GY166" i="14"/>
  <c r="HA166" i="14"/>
  <c r="HB166" i="14"/>
  <c r="HC166" i="14"/>
  <c r="HD166" i="14"/>
  <c r="HE166" i="14"/>
  <c r="HF166" i="14"/>
  <c r="HG166" i="14"/>
  <c r="HH166" i="14"/>
  <c r="HI166" i="14"/>
  <c r="HJ166" i="14"/>
  <c r="HK166" i="14"/>
  <c r="HL166" i="14"/>
  <c r="HM166" i="14"/>
  <c r="HN166" i="14"/>
  <c r="HO166" i="14"/>
  <c r="HP166" i="14"/>
  <c r="HQ166" i="14"/>
  <c r="HR166" i="14"/>
  <c r="HS166" i="14"/>
  <c r="HT166" i="14"/>
  <c r="HU166" i="14"/>
  <c r="HV166" i="14"/>
  <c r="HX166" i="14"/>
  <c r="HY166" i="14"/>
  <c r="HZ166" i="14"/>
  <c r="IA166" i="14"/>
  <c r="IB166" i="14"/>
  <c r="IC166" i="14"/>
  <c r="ID166" i="14"/>
  <c r="IE166" i="14"/>
  <c r="IF166" i="14"/>
  <c r="IG166" i="14"/>
  <c r="IH166" i="14"/>
  <c r="II166" i="14"/>
  <c r="IJ166" i="14"/>
  <c r="IK166" i="14"/>
  <c r="IL166" i="14"/>
  <c r="IM166" i="14"/>
  <c r="IN166" i="14"/>
  <c r="IO166" i="14"/>
  <c r="IP166" i="14"/>
  <c r="IQ166" i="14"/>
  <c r="IS166" i="14" s="1"/>
  <c r="IR166" i="14"/>
  <c r="BS167" i="14"/>
  <c r="BU167" i="14"/>
  <c r="BW167" i="14"/>
  <c r="BY167" i="14"/>
  <c r="CA167" i="14"/>
  <c r="CC167" i="14"/>
  <c r="CD167" i="14"/>
  <c r="CE167" i="14"/>
  <c r="CF167" i="14"/>
  <c r="CG167" i="14"/>
  <c r="CH167" i="14"/>
  <c r="CI167" i="14"/>
  <c r="CJ167" i="14"/>
  <c r="FG167" i="14"/>
  <c r="FI167" i="14"/>
  <c r="FK167" i="14"/>
  <c r="FM167" i="14"/>
  <c r="FO167" i="14"/>
  <c r="FQ167" i="14"/>
  <c r="FS167" i="14"/>
  <c r="FU167" i="14"/>
  <c r="FW167" i="14"/>
  <c r="FY167" i="14"/>
  <c r="B171" i="14"/>
  <c r="C171" i="14"/>
  <c r="D171" i="14"/>
  <c r="E171" i="14"/>
  <c r="F171" i="14"/>
  <c r="G171" i="14"/>
  <c r="H171" i="14"/>
  <c r="I171" i="14"/>
  <c r="J171" i="14"/>
  <c r="K171" i="14"/>
  <c r="L171" i="14"/>
  <c r="M171" i="14"/>
  <c r="N171" i="14"/>
  <c r="O171" i="14"/>
  <c r="P171" i="14"/>
  <c r="Q171" i="14"/>
  <c r="R171" i="14"/>
  <c r="S171" i="14"/>
  <c r="T171" i="14"/>
  <c r="U171" i="14"/>
  <c r="V171" i="14"/>
  <c r="W171" i="14"/>
  <c r="Y171" i="14"/>
  <c r="Z171" i="14"/>
  <c r="AA171" i="14"/>
  <c r="AB171" i="14"/>
  <c r="AC171" i="14"/>
  <c r="AD171" i="14"/>
  <c r="AE171" i="14"/>
  <c r="AF171" i="14"/>
  <c r="AG171" i="14"/>
  <c r="AH171" i="14"/>
  <c r="AI171" i="14"/>
  <c r="AJ171" i="14"/>
  <c r="AK171" i="14"/>
  <c r="AL171" i="14"/>
  <c r="AM171" i="14"/>
  <c r="AN171" i="14"/>
  <c r="AO171" i="14"/>
  <c r="AP171" i="14"/>
  <c r="AQ171" i="14"/>
  <c r="AR171" i="14"/>
  <c r="AS171" i="14"/>
  <c r="AT171" i="14"/>
  <c r="AV171" i="14"/>
  <c r="AW171" i="14"/>
  <c r="AX171" i="14"/>
  <c r="AY171" i="14"/>
  <c r="AZ171" i="14"/>
  <c r="BA171" i="14"/>
  <c r="BB171" i="14"/>
  <c r="BC171" i="14"/>
  <c r="BD171" i="14"/>
  <c r="BE171" i="14"/>
  <c r="BF171" i="14"/>
  <c r="BG171" i="14"/>
  <c r="BH171" i="14"/>
  <c r="BI171" i="14"/>
  <c r="BJ171" i="14"/>
  <c r="BK171" i="14"/>
  <c r="BL171" i="14"/>
  <c r="BM171" i="14"/>
  <c r="BN171" i="14"/>
  <c r="BO171" i="14"/>
  <c r="BP171" i="14"/>
  <c r="BQ171" i="14"/>
  <c r="BS171" i="14"/>
  <c r="BT171" i="14"/>
  <c r="BU171" i="14"/>
  <c r="BV171" i="14"/>
  <c r="BW171" i="14"/>
  <c r="BX171" i="14"/>
  <c r="BY171" i="14"/>
  <c r="BZ171" i="14"/>
  <c r="CA171" i="14"/>
  <c r="CB171" i="14"/>
  <c r="CC171" i="14"/>
  <c r="CD171" i="14"/>
  <c r="CE171" i="14"/>
  <c r="CF171" i="14"/>
  <c r="CG171" i="14"/>
  <c r="CH171" i="14"/>
  <c r="CI171" i="14"/>
  <c r="CJ171" i="14"/>
  <c r="CK171" i="14"/>
  <c r="CL171" i="14"/>
  <c r="CM171" i="14"/>
  <c r="CN171" i="14"/>
  <c r="CP171" i="14"/>
  <c r="CQ171" i="14"/>
  <c r="CR171" i="14"/>
  <c r="CS171" i="14"/>
  <c r="CT171" i="14"/>
  <c r="CU171" i="14"/>
  <c r="CV171" i="14"/>
  <c r="CW171" i="14"/>
  <c r="CX171" i="14"/>
  <c r="CY171" i="14"/>
  <c r="CZ171" i="14"/>
  <c r="DA171" i="14"/>
  <c r="DB171" i="14"/>
  <c r="DC171" i="14"/>
  <c r="DD171" i="14"/>
  <c r="DE171" i="14"/>
  <c r="DF171" i="14"/>
  <c r="DG171" i="14"/>
  <c r="DH171" i="14"/>
  <c r="DI171" i="14"/>
  <c r="DJ171" i="14"/>
  <c r="DK171" i="14"/>
  <c r="DM171" i="14"/>
  <c r="DN171" i="14"/>
  <c r="DO171" i="14"/>
  <c r="DP171" i="14"/>
  <c r="DQ171" i="14"/>
  <c r="DR171" i="14"/>
  <c r="DS171" i="14"/>
  <c r="DT171" i="14"/>
  <c r="DU171" i="14"/>
  <c r="DV171" i="14"/>
  <c r="DW171" i="14"/>
  <c r="DX171" i="14"/>
  <c r="DY171" i="14"/>
  <c r="DZ171" i="14"/>
  <c r="EA171" i="14"/>
  <c r="EB171" i="14"/>
  <c r="EC171" i="14"/>
  <c r="ED171" i="14"/>
  <c r="EG171" i="14"/>
  <c r="EJ171" i="14"/>
  <c r="EK171" i="14"/>
  <c r="EL171" i="14"/>
  <c r="EM171" i="14"/>
  <c r="EN171" i="14"/>
  <c r="EO171" i="14"/>
  <c r="EP171" i="14"/>
  <c r="EQ171" i="14"/>
  <c r="ER171" i="14"/>
  <c r="ES171" i="14"/>
  <c r="ET171" i="14"/>
  <c r="EU171" i="14"/>
  <c r="EV171" i="14"/>
  <c r="EW171" i="14"/>
  <c r="EX171" i="14"/>
  <c r="EY171" i="14"/>
  <c r="EZ171" i="14"/>
  <c r="FA171" i="14"/>
  <c r="FD171" i="14"/>
  <c r="FG171" i="14"/>
  <c r="FH171" i="14"/>
  <c r="FI171" i="14"/>
  <c r="FJ171" i="14"/>
  <c r="FK171" i="14"/>
  <c r="FL171" i="14"/>
  <c r="FM171" i="14"/>
  <c r="FN171" i="14"/>
  <c r="FO171" i="14"/>
  <c r="FP171" i="14"/>
  <c r="FQ171" i="14"/>
  <c r="FR171" i="14"/>
  <c r="FS171" i="14"/>
  <c r="FT171" i="14"/>
  <c r="FU171" i="14"/>
  <c r="FV171" i="14"/>
  <c r="FW171" i="14"/>
  <c r="FX171" i="14"/>
  <c r="GA171" i="14"/>
  <c r="GD171" i="14"/>
  <c r="GE171" i="14"/>
  <c r="GF171" i="14"/>
  <c r="GG171" i="14"/>
  <c r="GH171" i="14"/>
  <c r="GI171" i="14"/>
  <c r="GJ171" i="14"/>
  <c r="GK171" i="14"/>
  <c r="GL171" i="14"/>
  <c r="GM171" i="14"/>
  <c r="GN171" i="14"/>
  <c r="GO171" i="14"/>
  <c r="GP171" i="14"/>
  <c r="GQ171" i="14"/>
  <c r="GR171" i="14"/>
  <c r="GS171" i="14"/>
  <c r="GT171" i="14"/>
  <c r="GU171" i="14"/>
  <c r="GX171" i="14"/>
  <c r="HA171" i="14"/>
  <c r="HB171" i="14"/>
  <c r="HC171" i="14"/>
  <c r="HD171" i="14"/>
  <c r="HE171" i="14"/>
  <c r="HF171" i="14"/>
  <c r="HG171" i="14"/>
  <c r="HH171" i="14"/>
  <c r="HI171" i="14"/>
  <c r="HJ171" i="14"/>
  <c r="HK171" i="14"/>
  <c r="HL171" i="14"/>
  <c r="HM171" i="14"/>
  <c r="HN171" i="14"/>
  <c r="HO171" i="14"/>
  <c r="HP171" i="14"/>
  <c r="HQ171" i="14"/>
  <c r="HR171" i="14"/>
  <c r="HS171" i="14"/>
  <c r="HT171" i="14"/>
  <c r="HU171" i="14"/>
  <c r="HV171" i="14"/>
  <c r="HX171" i="14"/>
  <c r="HY171" i="14"/>
  <c r="HZ171" i="14"/>
  <c r="IA171" i="14"/>
  <c r="IB171" i="14"/>
  <c r="IC171" i="14"/>
  <c r="ID171" i="14"/>
  <c r="IE171" i="14"/>
  <c r="IF171" i="14"/>
  <c r="IG171" i="14"/>
  <c r="IH171" i="14"/>
  <c r="II171" i="14"/>
  <c r="IJ171" i="14"/>
  <c r="IK171" i="14"/>
  <c r="IL171" i="14"/>
  <c r="IM171" i="14"/>
  <c r="IN171" i="14"/>
  <c r="IO171" i="14"/>
  <c r="IP171" i="14"/>
  <c r="IQ171" i="14"/>
  <c r="IR171" i="14"/>
  <c r="IS171" i="14"/>
  <c r="B172" i="14"/>
  <c r="D172" i="14"/>
  <c r="H172" i="14"/>
  <c r="L172" i="14"/>
  <c r="P172" i="14"/>
  <c r="T172" i="14"/>
  <c r="CQ172" i="14"/>
  <c r="CS172" i="14"/>
  <c r="CU172" i="14"/>
  <c r="CW172" i="14"/>
  <c r="CY172" i="14"/>
  <c r="DA172" i="14"/>
  <c r="DC172" i="14"/>
  <c r="DE172" i="14"/>
  <c r="DG172" i="14"/>
  <c r="DI172" i="14"/>
  <c r="B176" i="14"/>
  <c r="C176" i="14"/>
  <c r="D176" i="14"/>
  <c r="E176" i="14"/>
  <c r="F176" i="14"/>
  <c r="G176" i="14"/>
  <c r="H176" i="14"/>
  <c r="I176" i="14"/>
  <c r="J176" i="14"/>
  <c r="K176" i="14"/>
  <c r="L176" i="14"/>
  <c r="M176" i="14"/>
  <c r="N176" i="14"/>
  <c r="O176" i="14"/>
  <c r="P176" i="14"/>
  <c r="Q176" i="14"/>
  <c r="R176" i="14"/>
  <c r="S176" i="14"/>
  <c r="T176" i="14"/>
  <c r="U176" i="14"/>
  <c r="V176" i="14"/>
  <c r="W176" i="14"/>
  <c r="Y176" i="14"/>
  <c r="Z176" i="14"/>
  <c r="AA176" i="14"/>
  <c r="AB176" i="14"/>
  <c r="AC176" i="14"/>
  <c r="AD176" i="14"/>
  <c r="AE176" i="14"/>
  <c r="AF176" i="14"/>
  <c r="AG176" i="14"/>
  <c r="AH176" i="14"/>
  <c r="AI176" i="14"/>
  <c r="AJ176" i="14"/>
  <c r="AK176" i="14"/>
  <c r="AL176" i="14"/>
  <c r="AM176" i="14"/>
  <c r="AN176" i="14"/>
  <c r="AO176" i="14"/>
  <c r="AP176" i="14"/>
  <c r="AQ176" i="14"/>
  <c r="AR176" i="14"/>
  <c r="AS176" i="14"/>
  <c r="AT176" i="14"/>
  <c r="AV176" i="14"/>
  <c r="AW176" i="14"/>
  <c r="AX176" i="14"/>
  <c r="AY176" i="14"/>
  <c r="AZ176" i="14"/>
  <c r="BA176" i="14"/>
  <c r="BB176" i="14"/>
  <c r="BC176" i="14"/>
  <c r="BD176" i="14"/>
  <c r="BE176" i="14"/>
  <c r="BF176" i="14"/>
  <c r="BG176" i="14"/>
  <c r="BH176" i="14"/>
  <c r="BI176" i="14"/>
  <c r="BJ176" i="14"/>
  <c r="BK176" i="14"/>
  <c r="BL176" i="14"/>
  <c r="BM176" i="14"/>
  <c r="BN176" i="14"/>
  <c r="BO176" i="14"/>
  <c r="BP176" i="14"/>
  <c r="BQ176" i="14"/>
  <c r="BS176" i="14"/>
  <c r="BT176" i="14"/>
  <c r="BU176" i="14"/>
  <c r="BV176" i="14"/>
  <c r="BW176" i="14"/>
  <c r="BX176" i="14"/>
  <c r="BY176" i="14"/>
  <c r="BZ176" i="14"/>
  <c r="CA176" i="14"/>
  <c r="CB176" i="14"/>
  <c r="CC176" i="14"/>
  <c r="CD176" i="14"/>
  <c r="CE176" i="14"/>
  <c r="CF176" i="14"/>
  <c r="CG176" i="14"/>
  <c r="CH176" i="14"/>
  <c r="CI176" i="14"/>
  <c r="CJ176" i="14"/>
  <c r="CK176" i="14"/>
  <c r="CL176" i="14"/>
  <c r="CM176" i="14"/>
  <c r="CN176" i="14"/>
  <c r="CP176" i="14"/>
  <c r="CQ176" i="14"/>
  <c r="CR176" i="14"/>
  <c r="CS176" i="14"/>
  <c r="CT176" i="14"/>
  <c r="CU176" i="14"/>
  <c r="CV176" i="14"/>
  <c r="CW176" i="14"/>
  <c r="CX176" i="14"/>
  <c r="CY176" i="14"/>
  <c r="CZ176" i="14"/>
  <c r="DA176" i="14"/>
  <c r="DB176" i="14"/>
  <c r="DC176" i="14"/>
  <c r="DD176" i="14"/>
  <c r="DE176" i="14"/>
  <c r="DF176" i="14"/>
  <c r="DG176" i="14"/>
  <c r="DH176" i="14"/>
  <c r="DI176" i="14"/>
  <c r="DJ176" i="14"/>
  <c r="DK176" i="14"/>
  <c r="DM176" i="14"/>
  <c r="DN176" i="14"/>
  <c r="DO176" i="14"/>
  <c r="DP176" i="14"/>
  <c r="DQ176" i="14"/>
  <c r="DR176" i="14"/>
  <c r="DS176" i="14"/>
  <c r="DT176" i="14"/>
  <c r="DU176" i="14"/>
  <c r="DV176" i="14"/>
  <c r="DW176" i="14"/>
  <c r="DX176" i="14"/>
  <c r="DY176" i="14"/>
  <c r="DZ176" i="14"/>
  <c r="EA176" i="14"/>
  <c r="EB176" i="14"/>
  <c r="EC176" i="14"/>
  <c r="ED176" i="14"/>
  <c r="EE176" i="14"/>
  <c r="EF176" i="14"/>
  <c r="EG176" i="14"/>
  <c r="EH176" i="14"/>
  <c r="EJ176" i="14"/>
  <c r="EK176" i="14"/>
  <c r="EL176" i="14"/>
  <c r="EM176" i="14"/>
  <c r="EN176" i="14"/>
  <c r="EP176" i="14" s="1"/>
  <c r="EO176" i="14"/>
  <c r="EQ176" i="14" s="1"/>
  <c r="ER176" i="14"/>
  <c r="ES176" i="14"/>
  <c r="ET176" i="14"/>
  <c r="EU176" i="14"/>
  <c r="EV176" i="14"/>
  <c r="EW176" i="14"/>
  <c r="EX176" i="14"/>
  <c r="EY176" i="14"/>
  <c r="EZ176" i="14"/>
  <c r="FA176" i="14"/>
  <c r="FB176" i="14"/>
  <c r="FC176" i="14"/>
  <c r="FD176" i="14"/>
  <c r="FE176" i="14"/>
  <c r="FF176" i="14"/>
  <c r="FG176" i="14"/>
  <c r="FH176" i="14"/>
  <c r="FI176" i="14"/>
  <c r="FJ176" i="14"/>
  <c r="FK176" i="14"/>
  <c r="FL176" i="14"/>
  <c r="FN176" i="14" s="1"/>
  <c r="FM176" i="14"/>
  <c r="FO176" i="14" s="1"/>
  <c r="FS176" i="14"/>
  <c r="FT176" i="14"/>
  <c r="FU176" i="14"/>
  <c r="FW176" i="14" s="1"/>
  <c r="FV176" i="14"/>
  <c r="FX176" i="14" s="1"/>
  <c r="FY176" i="14"/>
  <c r="FZ176" i="14"/>
  <c r="GA176" i="14"/>
  <c r="GC176" i="14" s="1"/>
  <c r="GB176" i="14"/>
  <c r="GD176" i="14" s="1"/>
  <c r="GE176" i="14"/>
  <c r="GF176" i="14"/>
  <c r="GG176" i="14"/>
  <c r="GH176" i="14"/>
  <c r="GI176" i="14"/>
  <c r="GJ176" i="14"/>
  <c r="GK176" i="14"/>
  <c r="GL176" i="14"/>
  <c r="GM176" i="14"/>
  <c r="GN176" i="14"/>
  <c r="GP176" i="14" s="1"/>
  <c r="GT176" i="14"/>
  <c r="GU176" i="14"/>
  <c r="GV176" i="14"/>
  <c r="GW176" i="14"/>
  <c r="GX176" i="14"/>
  <c r="GY176" i="14"/>
  <c r="GZ176" i="14"/>
  <c r="HA176" i="14"/>
  <c r="HB176" i="14"/>
  <c r="HC176" i="14"/>
  <c r="HD176" i="14"/>
  <c r="HE176" i="14"/>
  <c r="HF176" i="14"/>
  <c r="HG176" i="14"/>
  <c r="HH176" i="14"/>
  <c r="HI176" i="14"/>
  <c r="HJ176" i="14"/>
  <c r="HK176" i="14"/>
  <c r="HL176" i="14"/>
  <c r="HM176" i="14"/>
  <c r="HP176" i="14"/>
  <c r="HQ176" i="14"/>
  <c r="HS176" i="14"/>
  <c r="HT176" i="14"/>
  <c r="HU176" i="14"/>
  <c r="HV176" i="14"/>
  <c r="HW176" i="14"/>
  <c r="HX176" i="14"/>
  <c r="HY176" i="14"/>
  <c r="HZ176" i="14"/>
  <c r="IA176" i="14"/>
  <c r="IB176" i="14"/>
  <c r="IC176" i="14"/>
  <c r="ID176" i="14"/>
  <c r="IE176" i="14"/>
  <c r="IF176" i="14"/>
  <c r="IG176" i="14"/>
  <c r="IH176" i="14"/>
  <c r="II176" i="14"/>
  <c r="IJ176" i="14"/>
  <c r="IK176" i="14"/>
  <c r="IL176" i="14"/>
  <c r="IO176" i="14"/>
  <c r="IP176" i="14"/>
  <c r="Z177" i="14"/>
  <c r="AB177" i="14"/>
  <c r="AD177" i="14"/>
  <c r="AF177" i="14"/>
  <c r="AH177" i="14"/>
  <c r="AJ177" i="14"/>
  <c r="AL177" i="14"/>
  <c r="AN177" i="14"/>
  <c r="AP177" i="14"/>
  <c r="AR177" i="14"/>
  <c r="DN177" i="14"/>
  <c r="DP177" i="14"/>
  <c r="DR177" i="14"/>
  <c r="DT177" i="14"/>
  <c r="DV177" i="14"/>
  <c r="DX177" i="14"/>
  <c r="DZ177" i="14"/>
  <c r="EB177" i="14"/>
  <c r="ED177" i="14"/>
  <c r="EF177" i="14"/>
  <c r="B181" i="14"/>
  <c r="C181" i="14"/>
  <c r="D181" i="14"/>
  <c r="E181" i="14"/>
  <c r="F181" i="14"/>
  <c r="G181" i="14"/>
  <c r="H181" i="14"/>
  <c r="I181" i="14"/>
  <c r="J181" i="14"/>
  <c r="K181" i="14"/>
  <c r="L181" i="14"/>
  <c r="M181" i="14"/>
  <c r="N181" i="14"/>
  <c r="O181" i="14"/>
  <c r="P181" i="14"/>
  <c r="Q181" i="14"/>
  <c r="R181" i="14"/>
  <c r="S181" i="14"/>
  <c r="T181" i="14"/>
  <c r="U181" i="14"/>
  <c r="X181" i="14"/>
  <c r="Y181" i="14"/>
  <c r="AA181" i="14"/>
  <c r="AB181" i="14"/>
  <c r="AC181" i="14"/>
  <c r="AD181" i="14"/>
  <c r="AE181" i="14"/>
  <c r="AE182" i="14" s="1"/>
  <c r="AF181" i="14"/>
  <c r="AG181" i="14"/>
  <c r="AH181" i="14"/>
  <c r="AI181" i="14"/>
  <c r="AJ181" i="14"/>
  <c r="AK181" i="14"/>
  <c r="AL181" i="14"/>
  <c r="AM181" i="14"/>
  <c r="AN181" i="14"/>
  <c r="AO181" i="14"/>
  <c r="AP181" i="14"/>
  <c r="AQ181" i="14"/>
  <c r="AR181" i="14"/>
  <c r="AR182" i="14" s="1"/>
  <c r="AS181" i="14"/>
  <c r="AT181" i="14"/>
  <c r="AU181" i="14"/>
  <c r="AV181" i="14"/>
  <c r="AW181" i="14"/>
  <c r="AX181" i="14"/>
  <c r="AZ181" i="14"/>
  <c r="BA181" i="14"/>
  <c r="BB181" i="14"/>
  <c r="BC181" i="14"/>
  <c r="BD181" i="14"/>
  <c r="BE181" i="14"/>
  <c r="BF181" i="14"/>
  <c r="BG181" i="14"/>
  <c r="BH181" i="14"/>
  <c r="BI181" i="14"/>
  <c r="BJ181" i="14"/>
  <c r="BK181" i="14"/>
  <c r="BL181" i="14"/>
  <c r="BM181" i="14"/>
  <c r="BN181" i="14"/>
  <c r="BO181" i="14"/>
  <c r="BP181" i="14"/>
  <c r="BQ181" i="14"/>
  <c r="BR181" i="14"/>
  <c r="BS181" i="14"/>
  <c r="BT181" i="14"/>
  <c r="BV181" i="14" s="1"/>
  <c r="BU181" i="14"/>
  <c r="BW181" i="14" s="1"/>
  <c r="BX181" i="14"/>
  <c r="BY181" i="14"/>
  <c r="BZ181" i="14"/>
  <c r="CA181" i="14"/>
  <c r="CB181" i="14"/>
  <c r="CD181" i="14" s="1"/>
  <c r="CF181" i="14" s="1"/>
  <c r="CC181" i="14"/>
  <c r="CE181" i="14" s="1"/>
  <c r="CG181" i="14" s="1"/>
  <c r="CI181" i="14"/>
  <c r="CJ181" i="14"/>
  <c r="CK181" i="14"/>
  <c r="CL181" i="14"/>
  <c r="CM181" i="14"/>
  <c r="CN181" i="14"/>
  <c r="CO181" i="14"/>
  <c r="CP181" i="14"/>
  <c r="CR181" i="14"/>
  <c r="CS181" i="14"/>
  <c r="CT181" i="14"/>
  <c r="CU181" i="14"/>
  <c r="CV181" i="14"/>
  <c r="CW181" i="14"/>
  <c r="CX181" i="14"/>
  <c r="CY181" i="14"/>
  <c r="CZ181" i="14"/>
  <c r="DA181" i="14"/>
  <c r="DB181" i="14"/>
  <c r="DC181" i="14"/>
  <c r="DD181" i="14"/>
  <c r="DE181" i="14"/>
  <c r="DF181" i="14"/>
  <c r="DG181" i="14"/>
  <c r="DH181" i="14"/>
  <c r="DI181" i="14"/>
  <c r="DJ181" i="14"/>
  <c r="DK181" i="14"/>
  <c r="DL181" i="14"/>
  <c r="DM181" i="14"/>
  <c r="DN181" i="14"/>
  <c r="DO181" i="14"/>
  <c r="DP181" i="14"/>
  <c r="DQ181" i="14"/>
  <c r="DR181" i="14"/>
  <c r="DS181" i="14"/>
  <c r="DT181" i="14"/>
  <c r="DV181" i="14" s="1"/>
  <c r="DX181" i="14" s="1"/>
  <c r="DU181" i="14"/>
  <c r="DW181" i="14" s="1"/>
  <c r="DY181" i="14" s="1"/>
  <c r="EA181" i="14"/>
  <c r="EB181" i="14"/>
  <c r="EC181" i="14"/>
  <c r="ED181" i="14"/>
  <c r="EE181" i="14"/>
  <c r="EF181" i="14"/>
  <c r="EG181" i="14"/>
  <c r="EI181" i="14" s="1"/>
  <c r="EH181" i="14"/>
  <c r="EJ181" i="14" s="1"/>
  <c r="EK181" i="14"/>
  <c r="EL181" i="14"/>
  <c r="EM181" i="14"/>
  <c r="EN181" i="14"/>
  <c r="EO181" i="14"/>
  <c r="EP181" i="14"/>
  <c r="EQ181" i="14"/>
  <c r="ES181" i="14" s="1"/>
  <c r="ER181" i="14"/>
  <c r="ET181" i="14" s="1"/>
  <c r="EU181" i="14"/>
  <c r="EV181" i="14"/>
  <c r="EW181" i="14"/>
  <c r="EX181" i="14"/>
  <c r="EY181" i="14"/>
  <c r="EZ181" i="14"/>
  <c r="FA181" i="14"/>
  <c r="FB181" i="14"/>
  <c r="FC181" i="14"/>
  <c r="FD181" i="14"/>
  <c r="FE181" i="14"/>
  <c r="FF181" i="14"/>
  <c r="FG181" i="14"/>
  <c r="FH181" i="14"/>
  <c r="FI181" i="14"/>
  <c r="FJ181" i="14"/>
  <c r="FK181" i="14"/>
  <c r="FM181" i="14" s="1"/>
  <c r="FL181" i="14"/>
  <c r="FR181" i="14"/>
  <c r="FS181" i="14"/>
  <c r="FT181" i="14"/>
  <c r="FU181" i="14"/>
  <c r="FV181" i="14"/>
  <c r="FW181" i="14"/>
  <c r="FX181" i="14"/>
  <c r="FY181" i="14"/>
  <c r="FZ181" i="14"/>
  <c r="GA181" i="14"/>
  <c r="GB181" i="14"/>
  <c r="GE181" i="14"/>
  <c r="GF181" i="14"/>
  <c r="GG181" i="14"/>
  <c r="GH181" i="14"/>
  <c r="GI181" i="14"/>
  <c r="GJ181" i="14"/>
  <c r="GK181" i="14"/>
  <c r="GL181" i="14"/>
  <c r="GM181" i="14"/>
  <c r="GN181" i="14"/>
  <c r="GO181" i="14"/>
  <c r="GP181" i="14"/>
  <c r="GQ181" i="14"/>
  <c r="GR181" i="14"/>
  <c r="GS181" i="14"/>
  <c r="GT181" i="14"/>
  <c r="GU181" i="14"/>
  <c r="GV181" i="14"/>
  <c r="GW181" i="14"/>
  <c r="GX181" i="14"/>
  <c r="GY181" i="14"/>
  <c r="GZ181" i="14"/>
  <c r="HB181" i="14" s="1"/>
  <c r="HD181" i="14"/>
  <c r="HE181" i="14"/>
  <c r="HF181" i="14"/>
  <c r="HG181" i="14"/>
  <c r="HH181" i="14"/>
  <c r="HI181" i="14"/>
  <c r="HJ181" i="14"/>
  <c r="HK181" i="14"/>
  <c r="HL181" i="14"/>
  <c r="HM181" i="14"/>
  <c r="HN181" i="14"/>
  <c r="HO181" i="14"/>
  <c r="HP181" i="14"/>
  <c r="HQ181" i="14"/>
  <c r="HR181" i="14"/>
  <c r="HS181" i="14"/>
  <c r="HT181" i="14"/>
  <c r="HU181" i="14"/>
  <c r="HV181" i="14"/>
  <c r="HW181" i="14"/>
  <c r="HX181" i="14"/>
  <c r="HY181" i="14"/>
  <c r="IA181" i="14" s="1"/>
  <c r="DS182" i="14"/>
  <c r="B186" i="14"/>
  <c r="C186" i="14"/>
  <c r="D186" i="14"/>
  <c r="E186" i="14"/>
  <c r="F186" i="14"/>
  <c r="G186" i="14"/>
  <c r="H186" i="14"/>
  <c r="I186" i="14"/>
  <c r="J186" i="14"/>
  <c r="K186" i="14"/>
  <c r="L186" i="14"/>
  <c r="M186" i="14"/>
  <c r="N186" i="14"/>
  <c r="O186" i="14"/>
  <c r="P186" i="14"/>
  <c r="Q186" i="14"/>
  <c r="R186" i="14"/>
  <c r="S186" i="14"/>
  <c r="T186" i="14"/>
  <c r="U186" i="14"/>
  <c r="V186" i="14"/>
  <c r="X186" i="14" s="1"/>
  <c r="W186" i="14"/>
  <c r="AB186" i="14"/>
  <c r="AF186" i="14"/>
  <c r="AJ186" i="14"/>
  <c r="AX186" i="14"/>
  <c r="BC191" i="14"/>
  <c r="BG191" i="14"/>
  <c r="BH191" i="14"/>
  <c r="BI191" i="14"/>
  <c r="BJ191" i="14"/>
  <c r="BK191" i="14"/>
  <c r="BL191" i="14"/>
  <c r="BM191" i="14"/>
  <c r="BN191" i="14"/>
  <c r="BO191" i="14"/>
  <c r="BP191" i="14"/>
  <c r="BQ191" i="14"/>
  <c r="BR191" i="14"/>
  <c r="BV191" i="14"/>
  <c r="BW191" i="14"/>
  <c r="BX191" i="14"/>
  <c r="BY191" i="14"/>
  <c r="BZ191" i="14"/>
  <c r="CA191" i="14"/>
  <c r="CB191" i="14"/>
  <c r="CC191" i="14"/>
  <c r="CD191" i="14"/>
  <c r="CE191" i="14"/>
  <c r="CF191" i="14"/>
  <c r="CG191" i="14"/>
  <c r="CK191" i="14"/>
  <c r="CM191" i="14"/>
  <c r="CO191" i="14"/>
  <c r="CQ191" i="14"/>
  <c r="CS191" i="14"/>
  <c r="CU191" i="14"/>
  <c r="CW191" i="14"/>
  <c r="CY191" i="14"/>
  <c r="DA191" i="14"/>
  <c r="DC191" i="14"/>
  <c r="DE191" i="14"/>
  <c r="DJ191" i="14"/>
  <c r="DK191" i="14"/>
  <c r="DL191" i="14"/>
  <c r="DM191" i="14"/>
  <c r="DN191" i="14"/>
  <c r="DO191" i="14"/>
  <c r="DP191" i="14"/>
  <c r="DQ191" i="14"/>
  <c r="DR191" i="14"/>
  <c r="DS191" i="14"/>
  <c r="DT191" i="14"/>
  <c r="DU191" i="14"/>
  <c r="DV191" i="14"/>
  <c r="DW191" i="14"/>
  <c r="DX191" i="14"/>
  <c r="DY191" i="14"/>
  <c r="DZ191" i="14"/>
  <c r="EA191" i="14"/>
  <c r="EB191" i="14"/>
  <c r="EC191" i="14"/>
  <c r="ED191" i="14"/>
  <c r="EE191" i="14"/>
  <c r="EF191" i="14"/>
  <c r="EG191" i="14"/>
  <c r="EI191" i="14"/>
  <c r="EJ191" i="14"/>
  <c r="EK191" i="14"/>
  <c r="EL191" i="14"/>
  <c r="EM191" i="14"/>
  <c r="EN191" i="14"/>
  <c r="EO191" i="14"/>
  <c r="EP191" i="14"/>
  <c r="EQ191" i="14"/>
  <c r="ER191" i="14"/>
  <c r="ES191" i="14"/>
  <c r="ET191" i="14"/>
  <c r="EU191" i="14"/>
  <c r="EV191" i="14"/>
  <c r="EW191" i="14"/>
  <c r="EX191" i="14"/>
  <c r="EY191" i="14"/>
  <c r="EZ191" i="14"/>
  <c r="FA191" i="14"/>
  <c r="FB191" i="14"/>
  <c r="FC191" i="14"/>
  <c r="FD191" i="14"/>
  <c r="FE191" i="14"/>
  <c r="FF191" i="14"/>
  <c r="FH191" i="14"/>
  <c r="FI191" i="14"/>
  <c r="FJ191" i="14"/>
  <c r="FK191" i="14"/>
  <c r="FL191" i="14"/>
  <c r="FM191" i="14"/>
  <c r="FN191" i="14"/>
  <c r="FO191" i="14"/>
  <c r="FP191" i="14"/>
  <c r="FQ191" i="14"/>
  <c r="FR191" i="14"/>
  <c r="FS191" i="14"/>
  <c r="FT191" i="14"/>
  <c r="FU191" i="14"/>
  <c r="FV191" i="14"/>
  <c r="FW191" i="14"/>
  <c r="FX191" i="14"/>
  <c r="FY191" i="14"/>
  <c r="FZ191" i="14"/>
  <c r="GA191" i="14"/>
  <c r="GB191" i="14"/>
  <c r="GC191" i="14"/>
  <c r="GD191" i="14"/>
  <c r="GE191" i="14"/>
  <c r="GG191" i="14"/>
  <c r="GH191" i="14"/>
  <c r="GI191" i="14"/>
  <c r="GJ191" i="14"/>
  <c r="GK191" i="14"/>
  <c r="GL191" i="14"/>
  <c r="GM191" i="14"/>
  <c r="GN191" i="14"/>
  <c r="GO191" i="14"/>
  <c r="GP191" i="14"/>
  <c r="GQ191" i="14"/>
  <c r="GR191" i="14"/>
  <c r="GS191" i="14"/>
  <c r="GT191" i="14"/>
  <c r="GU191" i="14"/>
  <c r="GV191" i="14"/>
  <c r="GW191" i="14"/>
  <c r="GX191" i="14"/>
  <c r="GY191" i="14"/>
  <c r="GZ191" i="14"/>
  <c r="HA191" i="14"/>
  <c r="HB191" i="14"/>
  <c r="HC191" i="14"/>
  <c r="HD191" i="14"/>
  <c r="HF191" i="14"/>
  <c r="HG191" i="14"/>
  <c r="HH191" i="14"/>
  <c r="HI191" i="14"/>
  <c r="HJ191" i="14"/>
  <c r="HK191" i="14"/>
  <c r="HL191" i="14"/>
  <c r="HM191" i="14"/>
  <c r="HN191" i="14"/>
  <c r="HO191" i="14"/>
  <c r="HP191" i="14"/>
  <c r="HQ191" i="14"/>
  <c r="HR191" i="14"/>
  <c r="HS191" i="14"/>
  <c r="HT191" i="14"/>
  <c r="HU191" i="14"/>
  <c r="HV191" i="14"/>
  <c r="HW191" i="14"/>
  <c r="HX191" i="14"/>
  <c r="HY191" i="14"/>
  <c r="HZ191" i="14"/>
  <c r="IA191" i="14"/>
  <c r="IB191" i="14"/>
  <c r="IC191" i="14"/>
  <c r="BT192" i="14"/>
  <c r="CH192" i="14"/>
  <c r="CI192" i="14"/>
  <c r="EV201" i="14"/>
  <c r="EW201" i="14"/>
  <c r="EX201" i="14"/>
  <c r="EY201" i="14"/>
  <c r="EZ201" i="14"/>
  <c r="FA201" i="14"/>
  <c r="FB201" i="14"/>
  <c r="FC201" i="14"/>
  <c r="FD201" i="14"/>
  <c r="FE201" i="14"/>
  <c r="FF201" i="14"/>
  <c r="FG201" i="14"/>
  <c r="FH201" i="14"/>
  <c r="FI201" i="14"/>
  <c r="FJ201" i="14"/>
  <c r="FK201" i="14"/>
  <c r="FL201" i="14"/>
  <c r="FM201" i="14"/>
  <c r="FN201" i="14"/>
  <c r="FO201" i="14"/>
  <c r="FP201" i="14"/>
  <c r="FQ201" i="14"/>
  <c r="FR201" i="14"/>
  <c r="FS201" i="14"/>
  <c r="FU201" i="14"/>
  <c r="FV201" i="14"/>
  <c r="FW201" i="14"/>
  <c r="FX201" i="14"/>
  <c r="FY201" i="14"/>
  <c r="FZ201" i="14"/>
  <c r="GA201" i="14"/>
  <c r="GB201" i="14"/>
  <c r="GC201" i="14"/>
  <c r="GD201" i="14"/>
  <c r="GE201" i="14"/>
  <c r="GF201" i="14"/>
  <c r="GG201" i="14"/>
  <c r="GH201" i="14"/>
  <c r="GI201" i="14"/>
  <c r="GJ201" i="14"/>
  <c r="GK201" i="14"/>
  <c r="GL201" i="14"/>
  <c r="GM201" i="14"/>
  <c r="GN201" i="14"/>
  <c r="GO201" i="14"/>
  <c r="GP201" i="14"/>
  <c r="GQ201" i="14"/>
  <c r="GR201" i="14"/>
  <c r="GT201" i="14"/>
  <c r="GU201" i="14"/>
  <c r="GV201" i="14"/>
  <c r="GW201" i="14"/>
  <c r="GX201" i="14"/>
  <c r="GY201" i="14"/>
  <c r="GZ201" i="14"/>
  <c r="HA201" i="14"/>
  <c r="HB201" i="14"/>
  <c r="HC201" i="14"/>
  <c r="HD201" i="14"/>
  <c r="HE201" i="14"/>
  <c r="HF201" i="14"/>
  <c r="HG201" i="14"/>
  <c r="HH201" i="14"/>
  <c r="HI201" i="14"/>
  <c r="HJ201" i="14"/>
  <c r="HK201" i="14"/>
  <c r="HL201" i="14"/>
  <c r="HM201" i="14"/>
  <c r="HN201" i="14"/>
  <c r="HO201" i="14"/>
  <c r="HP201" i="14"/>
  <c r="HQ201" i="14"/>
  <c r="HS201" i="14"/>
  <c r="HT201" i="14"/>
  <c r="HU201" i="14"/>
  <c r="HV201" i="14"/>
  <c r="HW201" i="14"/>
  <c r="HX201" i="14"/>
  <c r="HY201" i="14"/>
  <c r="HZ201" i="14"/>
  <c r="IA201" i="14"/>
  <c r="IB201" i="14"/>
  <c r="IC201" i="14"/>
  <c r="ID201" i="14"/>
  <c r="IE201" i="14"/>
  <c r="IF201" i="14"/>
  <c r="IG201" i="14"/>
  <c r="IH201" i="14"/>
  <c r="II201" i="14"/>
  <c r="IJ201" i="14"/>
  <c r="IK201" i="14"/>
  <c r="IL201" i="14"/>
  <c r="IM201" i="14"/>
  <c r="IN201" i="14"/>
  <c r="IO201" i="14"/>
  <c r="IP201" i="14"/>
  <c r="B206" i="14"/>
  <c r="C206" i="14"/>
  <c r="D206" i="14"/>
  <c r="E206" i="14"/>
  <c r="F206" i="14"/>
  <c r="G206" i="14"/>
  <c r="H206" i="14"/>
  <c r="I206" i="14"/>
  <c r="J206" i="14"/>
  <c r="K206" i="14"/>
  <c r="L206" i="14"/>
  <c r="M206" i="14"/>
  <c r="N206" i="14"/>
  <c r="O206" i="14"/>
  <c r="P206" i="14"/>
  <c r="Q206" i="14"/>
  <c r="R206" i="14"/>
  <c r="S206" i="14"/>
  <c r="T206" i="14"/>
  <c r="U206" i="14"/>
  <c r="V206" i="14"/>
  <c r="W206" i="14"/>
  <c r="X206" i="14"/>
  <c r="Y206" i="14"/>
  <c r="AX206" i="14"/>
  <c r="AZ206" i="14"/>
  <c r="BA206" i="14"/>
  <c r="BB206" i="14"/>
  <c r="BC206" i="14"/>
  <c r="BD206" i="14"/>
  <c r="BE206" i="14"/>
  <c r="BF206" i="14"/>
  <c r="BG206" i="14"/>
  <c r="BH206" i="14"/>
  <c r="BI206" i="14"/>
  <c r="BJ206" i="14"/>
  <c r="BK206" i="14"/>
  <c r="BL206" i="14"/>
  <c r="BM206" i="14"/>
  <c r="BN206" i="14"/>
  <c r="BO206" i="14"/>
  <c r="BP206" i="14"/>
  <c r="BQ206" i="14"/>
  <c r="BR206" i="14"/>
  <c r="BS206" i="14"/>
  <c r="BT206" i="14"/>
  <c r="BU206" i="14"/>
  <c r="BV206" i="14"/>
  <c r="BW206" i="14"/>
  <c r="BY206" i="14"/>
  <c r="BZ206" i="14"/>
  <c r="CA206" i="14"/>
  <c r="CB206" i="14"/>
  <c r="CC206" i="14"/>
  <c r="CD206" i="14"/>
  <c r="CE206" i="14"/>
  <c r="CF206" i="14"/>
  <c r="CG206" i="14"/>
  <c r="CH206" i="14"/>
  <c r="CI206" i="14"/>
  <c r="CJ206" i="14"/>
  <c r="CK206" i="14"/>
  <c r="CL206" i="14"/>
  <c r="CM206" i="14"/>
  <c r="CN206" i="14"/>
  <c r="CO206" i="14"/>
  <c r="CP206" i="14"/>
  <c r="CQ206" i="14"/>
  <c r="CR206" i="14"/>
  <c r="CS206" i="14"/>
  <c r="CT206" i="14"/>
  <c r="CU206" i="14"/>
  <c r="CV206" i="14"/>
  <c r="CX206" i="14"/>
  <c r="CY206" i="14"/>
  <c r="CZ206" i="14"/>
  <c r="DA206" i="14"/>
  <c r="DB206" i="14"/>
  <c r="DC206" i="14"/>
  <c r="DD206" i="14"/>
  <c r="DE206" i="14"/>
  <c r="DF206" i="14"/>
  <c r="DG206" i="14"/>
  <c r="DH206" i="14"/>
  <c r="DI206" i="14"/>
  <c r="DJ206" i="14"/>
  <c r="DK206" i="14"/>
  <c r="DL206" i="14"/>
  <c r="DM206" i="14"/>
  <c r="DN206" i="14"/>
  <c r="DO206" i="14"/>
  <c r="DP206" i="14"/>
  <c r="DQ206" i="14"/>
  <c r="DR206" i="14"/>
  <c r="DS206" i="14"/>
  <c r="DT206" i="14"/>
  <c r="DU206" i="14"/>
  <c r="DW206" i="14"/>
  <c r="DX206" i="14"/>
  <c r="DY206" i="14"/>
  <c r="DZ206" i="14"/>
  <c r="EA206" i="14"/>
  <c r="EB206" i="14"/>
  <c r="EC206" i="14"/>
  <c r="ED206" i="14"/>
  <c r="EE206" i="14"/>
  <c r="EF206" i="14"/>
  <c r="EG206" i="14"/>
  <c r="EH206" i="14"/>
  <c r="EI206" i="14"/>
  <c r="EJ206" i="14"/>
  <c r="EK206" i="14"/>
  <c r="EL206" i="14"/>
  <c r="EM206" i="14"/>
  <c r="EN206" i="14"/>
  <c r="EO206" i="14"/>
  <c r="EP206" i="14"/>
  <c r="EQ206" i="14"/>
  <c r="ER206" i="14"/>
  <c r="ES206" i="14"/>
  <c r="ET206" i="14"/>
  <c r="EV206" i="14"/>
  <c r="EW206" i="14"/>
  <c r="EX206" i="14"/>
  <c r="EY206" i="14"/>
  <c r="EZ206" i="14"/>
  <c r="FA206" i="14"/>
  <c r="FB206" i="14"/>
  <c r="FC206" i="14"/>
  <c r="FD206" i="14"/>
  <c r="FE206" i="14"/>
  <c r="FF206" i="14"/>
  <c r="FG206" i="14"/>
  <c r="FH206" i="14"/>
  <c r="FI206" i="14"/>
  <c r="FJ206" i="14"/>
  <c r="FK206" i="14"/>
  <c r="FL206" i="14"/>
  <c r="FM206" i="14"/>
  <c r="FN206" i="14"/>
  <c r="FO206" i="14"/>
  <c r="FP206" i="14"/>
  <c r="FQ206" i="14"/>
  <c r="FR206" i="14"/>
  <c r="FS206" i="14"/>
  <c r="FU206" i="14"/>
  <c r="FV206" i="14"/>
  <c r="FW206" i="14"/>
  <c r="FX206" i="14"/>
  <c r="FY206" i="14"/>
  <c r="FZ206" i="14"/>
  <c r="GA206" i="14"/>
  <c r="GB206" i="14"/>
  <c r="GC206" i="14"/>
  <c r="GD206" i="14"/>
  <c r="GE206" i="14"/>
  <c r="GF206" i="14"/>
  <c r="GG206" i="14"/>
  <c r="GH206" i="14"/>
  <c r="GI206" i="14"/>
  <c r="GJ206" i="14"/>
  <c r="GK206" i="14"/>
  <c r="GL206" i="14"/>
  <c r="GM206" i="14"/>
  <c r="GN206" i="14"/>
  <c r="GO206" i="14"/>
  <c r="GP206" i="14"/>
  <c r="GQ206" i="14"/>
  <c r="GR206" i="14"/>
  <c r="GS206" i="14"/>
  <c r="GT206" i="14"/>
  <c r="GV206" i="14"/>
  <c r="GW206" i="14"/>
  <c r="GX206" i="14"/>
  <c r="GY206" i="14"/>
  <c r="GZ206" i="14"/>
  <c r="HA206" i="14"/>
  <c r="HB206" i="14"/>
  <c r="HC206" i="14"/>
  <c r="HD206" i="14"/>
  <c r="HE206" i="14"/>
  <c r="HF206" i="14"/>
  <c r="HG206" i="14"/>
  <c r="HH206" i="14"/>
  <c r="HI206" i="14"/>
  <c r="HJ206" i="14"/>
  <c r="HK206" i="14"/>
  <c r="HL206" i="14"/>
  <c r="HM206" i="14"/>
  <c r="HN206" i="14"/>
  <c r="HO206" i="14"/>
  <c r="HP206" i="14"/>
  <c r="HQ206" i="14"/>
  <c r="HR206" i="14"/>
  <c r="HS206" i="14"/>
  <c r="HT206" i="14"/>
  <c r="HU206" i="14"/>
  <c r="FQ207" i="14"/>
  <c r="B211" i="14"/>
  <c r="C211" i="14"/>
  <c r="D211" i="14"/>
  <c r="E211" i="14"/>
  <c r="F211" i="14"/>
  <c r="G211" i="14"/>
  <c r="H211" i="14"/>
  <c r="I211" i="14"/>
  <c r="J211" i="14"/>
  <c r="K211" i="14"/>
  <c r="L211" i="14"/>
  <c r="M211" i="14"/>
  <c r="N211" i="14"/>
  <c r="O211" i="14"/>
  <c r="P211" i="14"/>
  <c r="Q211" i="14"/>
  <c r="R211" i="14"/>
  <c r="S211" i="14"/>
  <c r="T211" i="14"/>
  <c r="U211" i="14"/>
  <c r="V211" i="14"/>
  <c r="W211" i="14"/>
  <c r="X211" i="14"/>
  <c r="Y211" i="14"/>
  <c r="Z211" i="14"/>
  <c r="AA211" i="14"/>
  <c r="AC211" i="14"/>
  <c r="AD211" i="14"/>
  <c r="AE211" i="14"/>
  <c r="AF211" i="14"/>
  <c r="AG211" i="14"/>
  <c r="AH211" i="14"/>
  <c r="AI211" i="14"/>
  <c r="AJ211" i="14"/>
  <c r="AK211" i="14"/>
  <c r="AL211" i="14"/>
  <c r="AM211" i="14"/>
  <c r="AN211" i="14"/>
  <c r="AO211" i="14"/>
  <c r="AP211" i="14"/>
  <c r="AQ211" i="14"/>
  <c r="AR211" i="14"/>
  <c r="AS211" i="14"/>
  <c r="AT211" i="14"/>
  <c r="AU211" i="14"/>
  <c r="AV211" i="14"/>
  <c r="AW211" i="14"/>
  <c r="AX211" i="14"/>
  <c r="AY211" i="14"/>
  <c r="AZ211" i="14"/>
  <c r="BA211" i="14"/>
  <c r="BB211" i="14"/>
  <c r="BD211" i="14"/>
  <c r="BE211" i="14"/>
  <c r="BF211" i="14"/>
  <c r="BG211" i="14"/>
  <c r="BH211" i="14"/>
  <c r="BI211" i="14"/>
  <c r="BJ211" i="14"/>
  <c r="BK211" i="14"/>
  <c r="BL211" i="14"/>
  <c r="BM211" i="14"/>
  <c r="BN211" i="14"/>
  <c r="BO211" i="14"/>
  <c r="BP211" i="14"/>
  <c r="BQ211" i="14"/>
  <c r="BR211" i="14"/>
  <c r="BS211" i="14"/>
  <c r="BT211" i="14"/>
  <c r="BU211" i="14"/>
  <c r="BV211" i="14"/>
  <c r="BW211" i="14"/>
  <c r="BX211" i="14"/>
  <c r="BY211" i="14"/>
  <c r="BZ211" i="14"/>
  <c r="CA211" i="14"/>
  <c r="CB211" i="14"/>
  <c r="CC211" i="14"/>
  <c r="CE211" i="14"/>
  <c r="CF211" i="14"/>
  <c r="CG211" i="14"/>
  <c r="CH211" i="14"/>
  <c r="CI211" i="14"/>
  <c r="CJ211" i="14"/>
  <c r="CK211" i="14"/>
  <c r="CL211" i="14"/>
  <c r="CM211" i="14"/>
  <c r="CN211" i="14"/>
  <c r="CO211" i="14"/>
  <c r="CP211" i="14"/>
  <c r="CQ211" i="14"/>
  <c r="CR211" i="14"/>
  <c r="CS211" i="14"/>
  <c r="CT211" i="14"/>
  <c r="CU211" i="14"/>
  <c r="CV211" i="14"/>
  <c r="CW211" i="14"/>
  <c r="CX211" i="14"/>
  <c r="CY211" i="14"/>
  <c r="CZ211" i="14"/>
  <c r="DA211" i="14"/>
  <c r="DB211" i="14"/>
  <c r="DC211" i="14"/>
  <c r="DD211" i="14"/>
  <c r="DF211" i="14"/>
  <c r="DG211" i="14"/>
  <c r="DH211" i="14"/>
  <c r="DI211" i="14"/>
  <c r="DJ211" i="14"/>
  <c r="DK211" i="14"/>
  <c r="DL211" i="14"/>
  <c r="DM211" i="14"/>
  <c r="DN211" i="14"/>
  <c r="DO211" i="14"/>
  <c r="DP211" i="14"/>
  <c r="DQ211" i="14"/>
  <c r="DR211" i="14"/>
  <c r="DS211" i="14"/>
  <c r="DT211" i="14"/>
  <c r="DU211" i="14"/>
  <c r="DV211" i="14"/>
  <c r="DW211" i="14"/>
  <c r="DX211" i="14"/>
  <c r="DY211" i="14"/>
  <c r="DZ211" i="14"/>
  <c r="EA211" i="14"/>
  <c r="EB211" i="14"/>
  <c r="EC211" i="14"/>
  <c r="EE211" i="14" s="1"/>
  <c r="ED211" i="14"/>
  <c r="EG211" i="14"/>
  <c r="EH211" i="14"/>
  <c r="EI211" i="14"/>
  <c r="EJ211" i="14"/>
  <c r="EK211" i="14"/>
  <c r="EL211" i="14"/>
  <c r="EM211" i="14"/>
  <c r="EN211" i="14"/>
  <c r="EO211" i="14"/>
  <c r="EP211" i="14"/>
  <c r="EQ211" i="14"/>
  <c r="ER211" i="14"/>
  <c r="ES211" i="14"/>
  <c r="ET211" i="14"/>
  <c r="EU211" i="14"/>
  <c r="EV211" i="14"/>
  <c r="EW211" i="14"/>
  <c r="EX211" i="14"/>
  <c r="EY211" i="14"/>
  <c r="EZ211" i="14"/>
  <c r="FA211" i="14"/>
  <c r="FB211" i="14"/>
  <c r="FC211" i="14"/>
  <c r="FD211" i="14"/>
  <c r="FE211" i="14"/>
  <c r="FF211" i="14"/>
  <c r="FH211" i="14"/>
  <c r="FI211" i="14"/>
  <c r="FJ211" i="14"/>
  <c r="FK211" i="14"/>
  <c r="FL211" i="14"/>
  <c r="FM211" i="14"/>
  <c r="FN211" i="14"/>
  <c r="FO211" i="14"/>
  <c r="FP211" i="14"/>
  <c r="FQ211" i="14"/>
  <c r="FR211" i="14"/>
  <c r="FS211" i="14"/>
  <c r="FT211" i="14"/>
  <c r="FU211" i="14"/>
  <c r="FV211" i="14"/>
  <c r="FW211" i="14"/>
  <c r="FX211" i="14"/>
  <c r="FY211" i="14"/>
  <c r="FZ211" i="14"/>
  <c r="GA211" i="14"/>
  <c r="GB211" i="14"/>
  <c r="GC211" i="14"/>
  <c r="GD211" i="14"/>
  <c r="GE211" i="14"/>
  <c r="GF211" i="14"/>
  <c r="GG211" i="14"/>
  <c r="GI211" i="14"/>
  <c r="GJ211" i="14"/>
  <c r="GK211" i="14"/>
  <c r="GL211" i="14"/>
  <c r="GM211" i="14"/>
  <c r="GN211" i="14"/>
  <c r="GO211" i="14"/>
  <c r="GP211" i="14"/>
  <c r="GQ211" i="14"/>
  <c r="GR211" i="14"/>
  <c r="GS211" i="14"/>
  <c r="GT211" i="14"/>
  <c r="GU211" i="14"/>
  <c r="GV211" i="14"/>
  <c r="GW211" i="14"/>
  <c r="GX211" i="14"/>
  <c r="GY211" i="14"/>
  <c r="GZ211" i="14"/>
  <c r="HA211" i="14"/>
  <c r="HB211" i="14"/>
  <c r="HC211" i="14"/>
  <c r="HD211" i="14"/>
  <c r="HE211" i="14"/>
  <c r="HF211" i="14"/>
  <c r="HG211" i="14"/>
  <c r="HH211" i="14"/>
  <c r="HJ211" i="14"/>
  <c r="HK211" i="14"/>
  <c r="HL211" i="14"/>
  <c r="HM211" i="14"/>
  <c r="HN211" i="14"/>
  <c r="HO211" i="14"/>
  <c r="HP211" i="14"/>
  <c r="HQ211" i="14"/>
  <c r="HR211" i="14"/>
  <c r="HS211" i="14"/>
  <c r="HT211" i="14"/>
  <c r="HU211" i="14"/>
  <c r="HV211" i="14"/>
  <c r="HW211" i="14"/>
  <c r="HX211" i="14"/>
  <c r="HY211" i="14"/>
  <c r="HZ211" i="14"/>
  <c r="IA211" i="14"/>
  <c r="IB211" i="14"/>
  <c r="IC211" i="14"/>
  <c r="ID211" i="14"/>
  <c r="IE211" i="14"/>
  <c r="IF211" i="14"/>
  <c r="IG211" i="14"/>
  <c r="IH211" i="14"/>
  <c r="II211" i="14"/>
  <c r="HJ212" i="14"/>
  <c r="HM212" i="14"/>
  <c r="HP212" i="14"/>
  <c r="HQ212" i="14"/>
  <c r="HS212" i="14"/>
  <c r="HT212" i="14"/>
  <c r="HU212" i="14"/>
  <c r="HX212" i="14"/>
  <c r="HY212" i="14"/>
  <c r="IA212" i="14"/>
  <c r="IB212" i="14"/>
  <c r="IC212" i="14"/>
  <c r="IF212" i="14"/>
  <c r="B216" i="14"/>
  <c r="C216" i="14"/>
  <c r="D216" i="14"/>
  <c r="E216" i="14"/>
  <c r="F216" i="14"/>
  <c r="G216" i="14"/>
  <c r="H216" i="14"/>
  <c r="I216" i="14"/>
  <c r="J216" i="14"/>
  <c r="K216" i="14"/>
  <c r="L216" i="14"/>
  <c r="M216" i="14"/>
  <c r="N216" i="14"/>
  <c r="O216" i="14"/>
  <c r="P216" i="14"/>
  <c r="Q216" i="14"/>
  <c r="R216" i="14"/>
  <c r="S216" i="14"/>
  <c r="T216" i="14"/>
  <c r="U216" i="14"/>
  <c r="V216" i="14"/>
  <c r="W216" i="14"/>
  <c r="AA216" i="14"/>
  <c r="AB216" i="14"/>
  <c r="AC216" i="14"/>
  <c r="AD216" i="14"/>
  <c r="AE216" i="14"/>
  <c r="AF216" i="14"/>
  <c r="AG216" i="14"/>
  <c r="AH216" i="14"/>
  <c r="AI216" i="14"/>
  <c r="AJ216" i="14"/>
  <c r="AK216" i="14"/>
  <c r="AL216" i="14"/>
  <c r="AM216" i="14"/>
  <c r="AN216" i="14"/>
  <c r="AO216" i="14"/>
  <c r="AP216" i="14"/>
  <c r="AQ216" i="14"/>
  <c r="AR216" i="14"/>
  <c r="AS216" i="14"/>
  <c r="AT216" i="14"/>
  <c r="AU216" i="14"/>
  <c r="AV216" i="14"/>
  <c r="AZ216" i="14"/>
  <c r="BA216" i="14"/>
  <c r="BB216" i="14"/>
  <c r="BC216" i="14"/>
  <c r="BD216" i="14"/>
  <c r="BE216" i="14"/>
  <c r="BF216" i="14"/>
  <c r="BG216" i="14"/>
  <c r="BH216" i="14"/>
  <c r="BI216" i="14"/>
  <c r="BJ216" i="14"/>
  <c r="BK216" i="14"/>
  <c r="BL216" i="14"/>
  <c r="BM216" i="14"/>
  <c r="BN216" i="14"/>
  <c r="BO216" i="14"/>
  <c r="BP216" i="14"/>
  <c r="BQ216" i="14"/>
  <c r="BR216" i="14"/>
  <c r="BS216" i="14"/>
  <c r="BT216" i="14"/>
  <c r="BU216" i="14"/>
  <c r="BY216" i="14"/>
  <c r="BZ216" i="14"/>
  <c r="CA216" i="14"/>
  <c r="CB216" i="14"/>
  <c r="CC216" i="14"/>
  <c r="CD216" i="14"/>
  <c r="CE216" i="14"/>
  <c r="CF216" i="14"/>
  <c r="CG216" i="14"/>
  <c r="CH216" i="14"/>
  <c r="CI216" i="14"/>
  <c r="CJ216" i="14"/>
  <c r="CK216" i="14"/>
  <c r="CL216" i="14"/>
  <c r="CM216" i="14"/>
  <c r="CN216" i="14"/>
  <c r="CO216" i="14"/>
  <c r="CP216" i="14"/>
  <c r="CQ216" i="14"/>
  <c r="CR216" i="14"/>
  <c r="CS216" i="14"/>
  <c r="CT216" i="14"/>
  <c r="CX216" i="14"/>
  <c r="CY216" i="14"/>
  <c r="CZ216" i="14"/>
  <c r="DA216" i="14"/>
  <c r="DB216" i="14"/>
  <c r="DC216" i="14"/>
  <c r="DD216" i="14"/>
  <c r="DE216" i="14"/>
  <c r="DF216" i="14"/>
  <c r="DG216" i="14"/>
  <c r="DH216" i="14"/>
  <c r="DI216" i="14"/>
  <c r="DL216" i="14"/>
  <c r="DM216" i="14"/>
  <c r="DN216" i="14"/>
  <c r="DO216" i="14"/>
  <c r="DP216" i="14"/>
  <c r="DQ216" i="14"/>
  <c r="DR216" i="14"/>
  <c r="DS216" i="14"/>
  <c r="DT216" i="14"/>
  <c r="DU216" i="14"/>
  <c r="DV216" i="14"/>
  <c r="DW216" i="14"/>
  <c r="DZ216" i="14"/>
  <c r="EA216" i="14"/>
  <c r="EB216" i="14"/>
  <c r="EC216" i="14"/>
  <c r="ED216" i="14"/>
  <c r="EE216" i="14"/>
  <c r="EF216" i="14"/>
  <c r="EG216" i="14"/>
  <c r="EH216" i="14"/>
  <c r="EI216" i="14"/>
  <c r="EJ216" i="14"/>
  <c r="EK216" i="14"/>
  <c r="EN216" i="14"/>
  <c r="EO216" i="14"/>
  <c r="EP216" i="14"/>
  <c r="EQ216" i="14"/>
  <c r="ER216" i="14"/>
  <c r="ES216" i="14"/>
  <c r="ET216" i="14"/>
  <c r="EU216" i="14"/>
  <c r="EV216" i="14"/>
  <c r="EW216" i="14"/>
  <c r="EX216" i="14"/>
  <c r="EY216" i="14"/>
  <c r="FB216" i="14"/>
  <c r="FC216" i="14"/>
  <c r="FD216" i="14"/>
  <c r="FE216" i="14"/>
  <c r="FF216" i="14"/>
  <c r="FG216" i="14"/>
  <c r="FH216" i="14"/>
  <c r="FI216" i="14"/>
  <c r="FJ216" i="14"/>
  <c r="FK216" i="14"/>
  <c r="FL216" i="14"/>
  <c r="FM216" i="14"/>
  <c r="FP216" i="14"/>
  <c r="FQ216" i="14"/>
  <c r="FR216" i="14"/>
  <c r="FS216" i="14"/>
  <c r="FT216" i="14"/>
  <c r="FU216" i="14"/>
  <c r="FV216" i="14"/>
  <c r="FW216" i="14"/>
  <c r="FX216" i="14"/>
  <c r="FY216" i="14"/>
  <c r="FZ216" i="14"/>
  <c r="GA216" i="14"/>
  <c r="GD216" i="14"/>
  <c r="GE216" i="14"/>
  <c r="GF216" i="14"/>
  <c r="GG216" i="14"/>
  <c r="GH216" i="14"/>
  <c r="GI216" i="14"/>
  <c r="GJ216" i="14"/>
  <c r="GK216" i="14"/>
  <c r="GL216" i="14"/>
  <c r="GM216" i="14"/>
  <c r="GN216" i="14"/>
  <c r="GO216" i="14"/>
  <c r="GR216" i="14"/>
  <c r="GS216" i="14"/>
  <c r="GT216" i="14"/>
  <c r="GU216" i="14"/>
  <c r="GV216" i="14"/>
  <c r="GW216" i="14"/>
  <c r="GX216" i="14"/>
  <c r="GY216" i="14"/>
  <c r="GZ216" i="14"/>
  <c r="HA216" i="14"/>
  <c r="HB216" i="14"/>
  <c r="HC216" i="14"/>
  <c r="HF216" i="14"/>
  <c r="HG216" i="14"/>
  <c r="HH216" i="14"/>
  <c r="HI216" i="14"/>
  <c r="HJ216" i="14"/>
  <c r="HK216" i="14"/>
  <c r="HL216" i="14"/>
  <c r="HM216" i="14"/>
  <c r="HN216" i="14"/>
  <c r="HO216" i="14"/>
  <c r="HP216" i="14"/>
  <c r="HQ216" i="14"/>
  <c r="HT216" i="14"/>
  <c r="HU216" i="14"/>
  <c r="HV216" i="14"/>
  <c r="HW216" i="14"/>
  <c r="HX216" i="14"/>
  <c r="HY216" i="14"/>
  <c r="HZ216" i="14"/>
  <c r="IA216" i="14"/>
  <c r="IB216" i="14"/>
  <c r="IC216" i="14"/>
  <c r="ID216" i="14"/>
  <c r="IE216" i="14"/>
  <c r="IH216" i="14"/>
  <c r="II216" i="14"/>
  <c r="IJ216" i="14"/>
  <c r="IK216" i="14"/>
  <c r="IL216" i="14"/>
  <c r="IM216" i="14"/>
  <c r="IN216" i="14"/>
  <c r="IO216" i="14"/>
  <c r="IP216" i="14"/>
  <c r="IQ216" i="14"/>
  <c r="IR216" i="14"/>
  <c r="IS216" i="14"/>
  <c r="CA217" i="14"/>
  <c r="CD217" i="14"/>
  <c r="CJ217" i="14"/>
  <c r="CN217" i="14"/>
  <c r="IN217" i="14"/>
  <c r="B221" i="14"/>
  <c r="C221" i="14"/>
  <c r="D221" i="14"/>
  <c r="E221" i="14"/>
  <c r="F221" i="14"/>
  <c r="G221" i="14"/>
  <c r="H221" i="14"/>
  <c r="I221" i="14"/>
  <c r="J221" i="14"/>
  <c r="K221" i="14"/>
  <c r="L221" i="14"/>
  <c r="M221" i="14"/>
  <c r="N221" i="14"/>
  <c r="O221" i="14"/>
  <c r="P221" i="14"/>
  <c r="Q221" i="14"/>
  <c r="R221" i="14"/>
  <c r="S221" i="14"/>
  <c r="T221" i="14"/>
  <c r="U221" i="14"/>
  <c r="V221" i="14"/>
  <c r="W221" i="14"/>
  <c r="AA221" i="14"/>
  <c r="AB221" i="14"/>
  <c r="AC221" i="14"/>
  <c r="AD221" i="14"/>
  <c r="AE221" i="14"/>
  <c r="AF221" i="14"/>
  <c r="AG221" i="14"/>
  <c r="AH221" i="14"/>
  <c r="AI221" i="14"/>
  <c r="AJ221" i="14"/>
  <c r="AK221" i="14"/>
  <c r="AL221" i="14"/>
  <c r="AM221" i="14"/>
  <c r="AN221" i="14"/>
  <c r="AO221" i="14"/>
  <c r="AP221" i="14"/>
  <c r="AQ221" i="14"/>
  <c r="AR221" i="14"/>
  <c r="AS221" i="14"/>
  <c r="AT221" i="14"/>
  <c r="AU221" i="14"/>
  <c r="AW221" i="14" s="1"/>
  <c r="AV221" i="14"/>
  <c r="BA221" i="14"/>
  <c r="BC221" i="14"/>
  <c r="BE221" i="14"/>
  <c r="BG221" i="14"/>
  <c r="BI221" i="14"/>
  <c r="BK221" i="14"/>
  <c r="BM221" i="14"/>
  <c r="BO221" i="14"/>
  <c r="BQ221" i="14"/>
  <c r="BS221" i="14"/>
  <c r="BU221" i="14"/>
  <c r="BY221" i="14"/>
  <c r="BZ221" i="14"/>
  <c r="CA221" i="14"/>
  <c r="CB221" i="14"/>
  <c r="CC221" i="14"/>
  <c r="CD221" i="14"/>
  <c r="CE221" i="14"/>
  <c r="CF221" i="14"/>
  <c r="CG221" i="14"/>
  <c r="CH221" i="14"/>
  <c r="CI221" i="14"/>
  <c r="CJ221" i="14"/>
  <c r="CK221" i="14"/>
  <c r="CL221" i="14"/>
  <c r="CM221" i="14"/>
  <c r="CN221" i="14"/>
  <c r="CO221" i="14"/>
  <c r="CP221" i="14"/>
  <c r="CQ221" i="14"/>
  <c r="CR221" i="14"/>
  <c r="CS221" i="14"/>
  <c r="CT221" i="14"/>
  <c r="CX221" i="14"/>
  <c r="CY221" i="14"/>
  <c r="CZ221" i="14"/>
  <c r="DA221" i="14"/>
  <c r="DB221" i="14"/>
  <c r="DC221" i="14"/>
  <c r="DD221" i="14"/>
  <c r="DE221" i="14"/>
  <c r="DF221" i="14"/>
  <c r="DG221" i="14"/>
  <c r="DH221" i="14"/>
  <c r="DI221" i="14"/>
  <c r="DJ221" i="14"/>
  <c r="DK221" i="14"/>
  <c r="DL221" i="14"/>
  <c r="DM221" i="14"/>
  <c r="DN221" i="14"/>
  <c r="DO221" i="14"/>
  <c r="DP221" i="14"/>
  <c r="DQ221" i="14"/>
  <c r="DR221" i="14"/>
  <c r="DS221" i="14"/>
  <c r="DU221" i="14" s="1"/>
  <c r="DW221" i="14"/>
  <c r="DX221" i="14"/>
  <c r="DY221" i="14"/>
  <c r="DZ221" i="14"/>
  <c r="EA221" i="14"/>
  <c r="EB221" i="14"/>
  <c r="EC221" i="14"/>
  <c r="ED221" i="14"/>
  <c r="EE221" i="14"/>
  <c r="EF221" i="14"/>
  <c r="EG221" i="14"/>
  <c r="EH221" i="14"/>
  <c r="EI221" i="14"/>
  <c r="EJ221" i="14"/>
  <c r="EK221" i="14"/>
  <c r="EL221" i="14"/>
  <c r="EM221" i="14"/>
  <c r="EN221" i="14"/>
  <c r="EO221" i="14"/>
  <c r="EP221" i="14"/>
  <c r="EQ221" i="14"/>
  <c r="ER221" i="14"/>
  <c r="ET221" i="14" s="1"/>
  <c r="EV221" i="14"/>
  <c r="EW221" i="14"/>
  <c r="EX221" i="14"/>
  <c r="EY221" i="14"/>
  <c r="EZ221" i="14"/>
  <c r="FA221" i="14"/>
  <c r="FB221" i="14"/>
  <c r="FC221" i="14"/>
  <c r="FD221" i="14"/>
  <c r="FE221" i="14"/>
  <c r="FF221" i="14"/>
  <c r="FG221" i="14"/>
  <c r="FH221" i="14"/>
  <c r="FI221" i="14"/>
  <c r="FJ221" i="14"/>
  <c r="FK221" i="14"/>
  <c r="FL221" i="14"/>
  <c r="FM221" i="14"/>
  <c r="FN221" i="14"/>
  <c r="FO221" i="14"/>
  <c r="FP221" i="14"/>
  <c r="FQ221" i="14"/>
  <c r="FS221" i="14" s="1"/>
  <c r="FU221" i="14"/>
  <c r="FV221" i="14"/>
  <c r="FW221" i="14"/>
  <c r="FX221" i="14"/>
  <c r="FY221" i="14"/>
  <c r="FZ221" i="14"/>
  <c r="GA221" i="14"/>
  <c r="GB221" i="14"/>
  <c r="GC221" i="14"/>
  <c r="GD221" i="14"/>
  <c r="GE221" i="14"/>
  <c r="GF221" i="14"/>
  <c r="GG221" i="14"/>
  <c r="GH221" i="14"/>
  <c r="GI221" i="14"/>
  <c r="GJ221" i="14"/>
  <c r="GK221" i="14"/>
  <c r="GL221" i="14"/>
  <c r="GM221" i="14"/>
  <c r="GN221" i="14"/>
  <c r="GO221" i="14"/>
  <c r="GP221" i="14"/>
  <c r="GT221" i="14"/>
  <c r="GU221" i="14"/>
  <c r="GV221" i="14"/>
  <c r="GW221" i="14"/>
  <c r="GX221" i="14"/>
  <c r="GY221" i="14"/>
  <c r="GZ221" i="14"/>
  <c r="HA221" i="14"/>
  <c r="HB221" i="14"/>
  <c r="HC221" i="14"/>
  <c r="HD221" i="14"/>
  <c r="HE221" i="14"/>
  <c r="HF221" i="14"/>
  <c r="HG221" i="14"/>
  <c r="HH221" i="14"/>
  <c r="HI221" i="14"/>
  <c r="HJ221" i="14"/>
  <c r="HK221" i="14"/>
  <c r="HM221" i="14"/>
  <c r="HN221" i="14"/>
  <c r="HO221" i="14"/>
  <c r="HP221" i="14"/>
  <c r="HR221" i="14"/>
  <c r="HS221" i="14"/>
  <c r="HT221" i="14"/>
  <c r="HU221" i="14"/>
  <c r="HV221" i="14"/>
  <c r="HW221" i="14"/>
  <c r="HX221" i="14"/>
  <c r="HY221" i="14"/>
  <c r="HZ221" i="14"/>
  <c r="IA221" i="14"/>
  <c r="IB221" i="14"/>
  <c r="IC221" i="14"/>
  <c r="ID221" i="14"/>
  <c r="IE221" i="14"/>
  <c r="IF221" i="14"/>
  <c r="IG221" i="14"/>
  <c r="IH221" i="14"/>
  <c r="II221" i="14"/>
  <c r="IJ221" i="14"/>
  <c r="IK221" i="14"/>
  <c r="IL221" i="14"/>
  <c r="IM221" i="14"/>
  <c r="IN221" i="14"/>
  <c r="GI222" i="14"/>
  <c r="GL222" i="14"/>
  <c r="GP222" i="14"/>
  <c r="B227" i="14"/>
  <c r="C227" i="14"/>
  <c r="D227" i="14"/>
  <c r="E227" i="14"/>
  <c r="F227" i="14"/>
  <c r="G227" i="14"/>
  <c r="H227" i="14"/>
  <c r="I227" i="14"/>
  <c r="J227" i="14"/>
  <c r="K227" i="14"/>
  <c r="L227" i="14"/>
  <c r="M227" i="14"/>
  <c r="N227" i="14"/>
  <c r="O227" i="14"/>
  <c r="P227" i="14"/>
  <c r="Q227" i="14"/>
  <c r="R227" i="14"/>
  <c r="S227" i="14"/>
  <c r="T227" i="14"/>
  <c r="U227" i="14"/>
  <c r="V227" i="14"/>
  <c r="W227" i="14"/>
  <c r="X227" i="14"/>
  <c r="Y227" i="14"/>
  <c r="AA227" i="14"/>
  <c r="AB227" i="14"/>
  <c r="AC227" i="14"/>
  <c r="AD227" i="14"/>
  <c r="AE227" i="14"/>
  <c r="AF227" i="14"/>
  <c r="AG227" i="14"/>
  <c r="AH227" i="14"/>
  <c r="AI227" i="14"/>
  <c r="AJ227" i="14"/>
  <c r="AK227" i="14"/>
  <c r="AL227" i="14"/>
  <c r="AO227" i="14"/>
  <c r="AP227" i="14"/>
  <c r="AQ227" i="14"/>
  <c r="AR227" i="14"/>
  <c r="AS227" i="14"/>
  <c r="AT227" i="14"/>
  <c r="AU227" i="14"/>
  <c r="AV227" i="14"/>
  <c r="AW227" i="14"/>
  <c r="AX227" i="14"/>
  <c r="AZ227" i="14"/>
  <c r="BA227" i="14"/>
  <c r="BB227" i="14"/>
  <c r="BC227" i="14"/>
  <c r="BD227" i="14"/>
  <c r="BE227" i="14"/>
  <c r="BF227" i="14"/>
  <c r="BG227" i="14"/>
  <c r="BH227" i="14"/>
  <c r="BI227" i="14"/>
  <c r="BJ227" i="14"/>
  <c r="BK227" i="14"/>
  <c r="BL227" i="14"/>
  <c r="BM227" i="14"/>
  <c r="BN227" i="14"/>
  <c r="BO227" i="14"/>
  <c r="BP227" i="14"/>
  <c r="BQ227" i="14"/>
  <c r="BR227" i="14"/>
  <c r="BS227" i="14"/>
  <c r="BT227" i="14"/>
  <c r="BU227" i="14"/>
  <c r="BV227" i="14"/>
  <c r="BW227" i="14"/>
  <c r="BY227" i="14"/>
  <c r="BZ227" i="14"/>
  <c r="CA227" i="14"/>
  <c r="CB227" i="14"/>
  <c r="CC227" i="14"/>
  <c r="CD227" i="14"/>
  <c r="CE227" i="14"/>
  <c r="CF227" i="14"/>
  <c r="CG227" i="14"/>
  <c r="CH227" i="14"/>
  <c r="CI227" i="14"/>
  <c r="CJ227" i="14"/>
  <c r="CK227" i="14"/>
  <c r="CL227" i="14"/>
  <c r="CM227" i="14"/>
  <c r="CN227" i="14"/>
  <c r="CO227" i="14"/>
  <c r="CP227" i="14"/>
  <c r="CQ227" i="14"/>
  <c r="CR227" i="14"/>
  <c r="CS227" i="14"/>
  <c r="CV227" i="14"/>
  <c r="CW227" i="14"/>
  <c r="CX227" i="14"/>
  <c r="CY227" i="14"/>
  <c r="CZ227" i="14"/>
  <c r="DA227" i="14"/>
  <c r="DB227" i="14"/>
  <c r="DC227" i="14"/>
  <c r="DD227" i="14"/>
  <c r="DE227" i="14"/>
  <c r="DF227" i="14"/>
  <c r="DG227" i="14"/>
  <c r="DH227" i="14"/>
  <c r="DI227" i="14"/>
  <c r="DJ227" i="14"/>
  <c r="DK227" i="14"/>
  <c r="DL227" i="14"/>
  <c r="DM227" i="14"/>
  <c r="DN227" i="14"/>
  <c r="DO227" i="14"/>
  <c r="DP227" i="14"/>
  <c r="DQ227" i="14"/>
  <c r="DR227" i="14"/>
  <c r="DS227" i="14"/>
  <c r="DU227" i="14"/>
  <c r="DV227" i="14"/>
  <c r="DW227" i="14"/>
  <c r="DX227" i="14"/>
  <c r="DY227" i="14"/>
  <c r="DZ227" i="14"/>
  <c r="EA227" i="14"/>
  <c r="EB227" i="14"/>
  <c r="EC227" i="14"/>
  <c r="ED227" i="14"/>
  <c r="EE227" i="14"/>
  <c r="EF227" i="14"/>
  <c r="EI227" i="14"/>
  <c r="EJ227" i="14"/>
  <c r="EK227" i="14"/>
  <c r="EL227" i="14"/>
  <c r="EM227" i="14"/>
  <c r="EN227" i="14"/>
  <c r="EO227" i="14"/>
  <c r="EP227" i="14"/>
  <c r="EQ227" i="14"/>
  <c r="ER227" i="14"/>
  <c r="ET227" i="14"/>
  <c r="EU227" i="14"/>
  <c r="EV227" i="14"/>
  <c r="EW227" i="14"/>
  <c r="EX227" i="14"/>
  <c r="EY227" i="14"/>
  <c r="EZ227" i="14"/>
  <c r="FA227" i="14"/>
  <c r="FB227" i="14"/>
  <c r="FC227" i="14"/>
  <c r="FD227" i="14"/>
  <c r="FE227" i="14"/>
  <c r="FF227" i="14"/>
  <c r="FG227" i="14"/>
  <c r="FH227" i="14"/>
  <c r="FI227" i="14"/>
  <c r="FJ227" i="14"/>
  <c r="FK227" i="14"/>
  <c r="FL227" i="14"/>
  <c r="FM227" i="14"/>
  <c r="FN227" i="14"/>
  <c r="FO227" i="14"/>
  <c r="FP227" i="14"/>
  <c r="FQ227" i="14"/>
  <c r="FS227" i="14"/>
  <c r="FT227" i="14"/>
  <c r="FU227" i="14"/>
  <c r="FV227" i="14"/>
  <c r="FW227" i="14"/>
  <c r="FX227" i="14"/>
  <c r="FY227" i="14"/>
  <c r="FZ227" i="14"/>
  <c r="GA227" i="14"/>
  <c r="GB227" i="14"/>
  <c r="GC227" i="14"/>
  <c r="GD227" i="14"/>
  <c r="GE227" i="14"/>
  <c r="GF227" i="14"/>
  <c r="GG227" i="14"/>
  <c r="GH227" i="14"/>
  <c r="GI227" i="14"/>
  <c r="GJ227" i="14"/>
  <c r="GK227" i="14"/>
  <c r="GL227" i="14"/>
  <c r="GP227" i="14"/>
  <c r="GQ227" i="14"/>
  <c r="GR227" i="14"/>
  <c r="GS227" i="14"/>
  <c r="GT227" i="14"/>
  <c r="GU227" i="14"/>
  <c r="GV227" i="14"/>
  <c r="GW227" i="14"/>
  <c r="GX227" i="14"/>
  <c r="GY227" i="14"/>
  <c r="GZ227" i="14"/>
  <c r="HA227" i="14"/>
  <c r="HB227" i="14"/>
  <c r="HC227" i="14"/>
  <c r="HD227" i="14"/>
  <c r="HE227" i="14"/>
  <c r="HF227" i="14"/>
  <c r="HG227" i="14"/>
  <c r="HH227" i="14"/>
  <c r="HI227" i="14"/>
  <c r="HJ227" i="14"/>
  <c r="HK227" i="14"/>
  <c r="HL227" i="14"/>
  <c r="HM227" i="14"/>
  <c r="HO227" i="14"/>
  <c r="HP227" i="14"/>
  <c r="HQ227" i="14"/>
  <c r="HR227" i="14"/>
  <c r="HS227" i="14"/>
  <c r="HT227" i="14"/>
  <c r="HU227" i="14"/>
  <c r="HV227" i="14"/>
  <c r="HW227" i="14"/>
  <c r="HX227" i="14"/>
  <c r="HY227" i="14"/>
  <c r="HZ227" i="14"/>
  <c r="IC227" i="14"/>
  <c r="ID227" i="14"/>
  <c r="IE227" i="14"/>
  <c r="IF227" i="14"/>
  <c r="IG227" i="14"/>
  <c r="IH227" i="14"/>
  <c r="II227" i="14"/>
  <c r="IJ227" i="14"/>
  <c r="IK227" i="14"/>
  <c r="IL227" i="14"/>
  <c r="B232" i="14"/>
  <c r="C232" i="14"/>
  <c r="D232" i="14"/>
  <c r="E232" i="14"/>
  <c r="F232" i="14"/>
  <c r="G232" i="14"/>
  <c r="H232" i="14"/>
  <c r="I232" i="14"/>
  <c r="J232" i="14"/>
  <c r="K232" i="14"/>
  <c r="L232" i="14"/>
  <c r="M232" i="14"/>
  <c r="N232" i="14"/>
  <c r="O232" i="14"/>
  <c r="P232" i="14"/>
  <c r="Q232" i="14"/>
  <c r="R232" i="14"/>
  <c r="S232" i="14"/>
  <c r="T232" i="14"/>
  <c r="U232" i="14"/>
  <c r="V232" i="14"/>
  <c r="W232" i="14"/>
  <c r="X232" i="14"/>
  <c r="Y232" i="14"/>
  <c r="AA232" i="14"/>
  <c r="AB232" i="14"/>
  <c r="AC232" i="14"/>
  <c r="AD232" i="14"/>
  <c r="AE232" i="14"/>
  <c r="AF232" i="14"/>
  <c r="AG232" i="14"/>
  <c r="AH232" i="14"/>
  <c r="AI232" i="14"/>
  <c r="AJ232" i="14"/>
  <c r="AK232" i="14"/>
  <c r="AL232" i="14"/>
  <c r="AM232" i="14"/>
  <c r="AN232" i="14"/>
  <c r="AO232" i="14"/>
  <c r="AP232" i="14"/>
  <c r="AQ232" i="14"/>
  <c r="AR232" i="14"/>
  <c r="AS232" i="14"/>
  <c r="AT232" i="14"/>
  <c r="AU232" i="14"/>
  <c r="CU232" i="14"/>
  <c r="CV232" i="14"/>
  <c r="CW232" i="14"/>
  <c r="CX232" i="14"/>
  <c r="CY232" i="14"/>
  <c r="CZ232" i="14"/>
  <c r="DA232" i="14"/>
  <c r="DB232" i="14"/>
  <c r="DC232" i="14"/>
  <c r="DD232" i="14"/>
  <c r="DE232" i="14"/>
  <c r="DF232" i="14"/>
  <c r="DJ232" i="14"/>
  <c r="DK232" i="14"/>
  <c r="DN232" i="14"/>
  <c r="DO232" i="14"/>
  <c r="DP232" i="14"/>
  <c r="DQ232" i="14"/>
  <c r="DS232" i="14"/>
  <c r="DT232" i="14"/>
  <c r="DU232" i="14"/>
  <c r="DV232" i="14"/>
  <c r="EH232" i="14"/>
  <c r="EI232" i="14"/>
  <c r="EJ232" i="14"/>
  <c r="EK232" i="14"/>
  <c r="EL232" i="14"/>
  <c r="EM232" i="14"/>
  <c r="EN232" i="14"/>
  <c r="EO232" i="14"/>
  <c r="EQ232" i="14" s="1"/>
  <c r="EP232" i="14"/>
  <c r="ES232" i="14"/>
  <c r="ET232" i="14"/>
  <c r="EU232" i="14"/>
  <c r="EV232" i="14"/>
  <c r="EX232" i="14"/>
  <c r="EY232" i="14"/>
  <c r="EZ232" i="14"/>
  <c r="FA232" i="14"/>
  <c r="FB232" i="14"/>
  <c r="FC232" i="14"/>
  <c r="FD232" i="14"/>
  <c r="FE232" i="14"/>
  <c r="FG232" i="14" s="1"/>
  <c r="FF232" i="14"/>
  <c r="FH232" i="14"/>
  <c r="FI232" i="14"/>
  <c r="FJ232" i="14"/>
  <c r="FK232" i="14"/>
  <c r="FL232" i="14"/>
  <c r="FM232" i="14"/>
  <c r="FN232" i="14"/>
  <c r="FP232" i="14" s="1"/>
  <c r="FO232" i="14"/>
  <c r="FQ232" i="14" s="1"/>
  <c r="FR232" i="14"/>
  <c r="FS232" i="14"/>
  <c r="FT232" i="14"/>
  <c r="FU232" i="14"/>
  <c r="FV232" i="14"/>
  <c r="FW232" i="14"/>
  <c r="FX232" i="14"/>
  <c r="FZ232" i="14" s="1"/>
  <c r="FY232" i="14"/>
  <c r="GA232" i="14" s="1"/>
  <c r="GC232" i="14"/>
  <c r="GD232" i="14"/>
  <c r="GE232" i="14"/>
  <c r="GF232" i="14"/>
  <c r="GI232" i="14"/>
  <c r="GJ232" i="14"/>
  <c r="GK232" i="14"/>
  <c r="GL232" i="14"/>
  <c r="GM232" i="14"/>
  <c r="GN232" i="14"/>
  <c r="GO232" i="14"/>
  <c r="GP232" i="14"/>
  <c r="GQ232" i="14"/>
  <c r="GR232" i="14"/>
  <c r="GS232" i="14"/>
  <c r="GT232" i="14"/>
  <c r="GU232" i="14"/>
  <c r="GV232" i="14"/>
  <c r="GW232" i="14"/>
  <c r="GX232" i="14"/>
  <c r="GY232" i="14"/>
  <c r="GZ232" i="14"/>
  <c r="HA232" i="14"/>
  <c r="HB232" i="14"/>
  <c r="HC232" i="14"/>
  <c r="HD232" i="14"/>
  <c r="HE232" i="14"/>
  <c r="HF232" i="14"/>
  <c r="HH232" i="14"/>
  <c r="HI232" i="14"/>
  <c r="HJ232" i="14"/>
  <c r="HK232" i="14"/>
  <c r="HL232" i="14"/>
  <c r="HM232" i="14"/>
  <c r="HN232" i="14"/>
  <c r="HO232" i="14"/>
  <c r="HP232" i="14"/>
  <c r="HQ232" i="14"/>
  <c r="HR232" i="14"/>
  <c r="HS232" i="14"/>
  <c r="HT232" i="14"/>
  <c r="HU232" i="14"/>
  <c r="HV232" i="14"/>
  <c r="HW232" i="14"/>
  <c r="HX232" i="14"/>
  <c r="HY232" i="14"/>
  <c r="HZ232" i="14"/>
  <c r="IA232" i="14"/>
  <c r="IB232" i="14"/>
  <c r="IC232" i="14"/>
  <c r="ID232" i="14"/>
  <c r="IE232" i="14"/>
  <c r="DI233" i="14"/>
  <c r="DJ233" i="14"/>
  <c r="DK233" i="14"/>
  <c r="DN233" i="14"/>
  <c r="DO233" i="14"/>
  <c r="DP233" i="14"/>
  <c r="DQ233" i="14"/>
  <c r="B237" i="14"/>
  <c r="C237" i="14"/>
  <c r="D237" i="14"/>
  <c r="E237" i="14"/>
  <c r="F237" i="14"/>
  <c r="G237" i="14"/>
  <c r="H237" i="14"/>
  <c r="I237" i="14"/>
  <c r="J237" i="14"/>
  <c r="K237" i="14"/>
  <c r="L237" i="14"/>
  <c r="M237" i="14"/>
  <c r="N237" i="14"/>
  <c r="O237" i="14"/>
  <c r="P237" i="14"/>
  <c r="Q237" i="14"/>
  <c r="R237" i="14"/>
  <c r="S237" i="14"/>
  <c r="T237" i="14"/>
  <c r="U237" i="14"/>
  <c r="V237" i="14"/>
  <c r="W237" i="14"/>
  <c r="X237" i="14"/>
  <c r="Y237" i="14"/>
  <c r="AA237" i="14"/>
  <c r="AB237" i="14"/>
  <c r="AC237" i="14"/>
  <c r="AD237" i="14"/>
  <c r="AE237" i="14"/>
  <c r="AF237" i="14"/>
  <c r="AG237" i="14"/>
  <c r="AH237" i="14"/>
  <c r="AI237" i="14"/>
  <c r="AJ237" i="14"/>
  <c r="AK237" i="14"/>
  <c r="AL237" i="14"/>
  <c r="AM237" i="14"/>
  <c r="AN237" i="14"/>
  <c r="AO237" i="14"/>
  <c r="AP237" i="14"/>
  <c r="AQ237" i="14"/>
  <c r="AR237" i="14"/>
  <c r="AS237" i="14"/>
  <c r="AT237" i="14"/>
  <c r="AU237" i="14"/>
  <c r="AV237" i="14"/>
  <c r="AW237" i="14"/>
  <c r="AX237" i="14"/>
  <c r="AA238" i="14"/>
  <c r="AB238" i="14"/>
  <c r="AC238" i="14"/>
  <c r="AD238" i="14"/>
  <c r="AE238" i="14"/>
  <c r="AF238" i="14"/>
  <c r="AG238" i="14"/>
  <c r="AH238" i="14"/>
  <c r="AI238" i="14"/>
  <c r="AJ238" i="14"/>
  <c r="AK238" i="14"/>
  <c r="AL238" i="14"/>
  <c r="AM238" i="14"/>
  <c r="AN238" i="14"/>
  <c r="AO238" i="14"/>
  <c r="AP238" i="14"/>
  <c r="AQ238" i="14"/>
  <c r="AR238" i="14"/>
  <c r="AS238" i="14"/>
  <c r="AT238" i="14"/>
  <c r="AU238" i="14"/>
  <c r="AV238" i="14"/>
  <c r="AW238" i="14"/>
  <c r="AX238" i="14"/>
  <c r="B242" i="14"/>
  <c r="C242" i="14"/>
  <c r="D242" i="14"/>
  <c r="E242" i="14"/>
  <c r="F242" i="14"/>
  <c r="G242" i="14"/>
  <c r="H242" i="14"/>
  <c r="I242" i="14"/>
  <c r="J242" i="14"/>
  <c r="K242" i="14"/>
  <c r="L242" i="14"/>
  <c r="M242" i="14"/>
  <c r="N242" i="14"/>
  <c r="O242" i="14"/>
  <c r="P242" i="14"/>
  <c r="Q242" i="14"/>
  <c r="R242" i="14"/>
  <c r="S242" i="14"/>
  <c r="T242" i="14"/>
  <c r="U242" i="14"/>
  <c r="V242" i="14"/>
  <c r="W242" i="14"/>
  <c r="AA242" i="14"/>
  <c r="AB242" i="14"/>
  <c r="AC242" i="14"/>
  <c r="AD242" i="14"/>
  <c r="AE242" i="14"/>
  <c r="AF242" i="14"/>
  <c r="AG242" i="14"/>
  <c r="AH242" i="14"/>
  <c r="AI242" i="14"/>
  <c r="AJ242" i="14"/>
  <c r="AK242" i="14"/>
  <c r="AL242" i="14"/>
  <c r="AM242" i="14"/>
  <c r="AN242" i="14"/>
  <c r="AO242" i="14"/>
  <c r="AP242" i="14"/>
  <c r="AQ242" i="14"/>
  <c r="AR242" i="14"/>
  <c r="AS242" i="14"/>
  <c r="AT242" i="14"/>
  <c r="AU242" i="14"/>
  <c r="AV242" i="14"/>
  <c r="AZ242" i="14"/>
  <c r="BA242" i="14"/>
  <c r="BB242" i="14"/>
  <c r="BC242" i="14"/>
  <c r="BD242" i="14"/>
  <c r="BE242" i="14"/>
  <c r="BF242" i="14"/>
  <c r="BG242" i="14"/>
  <c r="BH242" i="14"/>
  <c r="BI242" i="14"/>
  <c r="BJ242" i="14"/>
  <c r="BK242" i="14"/>
  <c r="BL242" i="14"/>
  <c r="BM242" i="14"/>
  <c r="BN242" i="14"/>
  <c r="BO242" i="14"/>
  <c r="BP242" i="14"/>
  <c r="BQ242" i="14"/>
  <c r="BR242" i="14"/>
  <c r="BS242" i="14"/>
  <c r="BT242" i="14"/>
  <c r="BU242" i="14"/>
  <c r="BY242" i="14"/>
  <c r="BZ242" i="14"/>
  <c r="CA242" i="14"/>
  <c r="CB242" i="14"/>
  <c r="CC242" i="14"/>
  <c r="CD242" i="14"/>
  <c r="CE242" i="14"/>
  <c r="CF242" i="14"/>
  <c r="CG242" i="14"/>
  <c r="CH242" i="14"/>
  <c r="CI242" i="14"/>
  <c r="CJ242" i="14"/>
  <c r="CK242" i="14"/>
  <c r="CL242" i="14"/>
  <c r="CM242" i="14"/>
  <c r="CN242" i="14"/>
  <c r="CO242" i="14"/>
  <c r="CP242" i="14"/>
  <c r="CQ242" i="14"/>
  <c r="CR242" i="14"/>
  <c r="CS242" i="14"/>
  <c r="CT242" i="14"/>
  <c r="CX242" i="14"/>
  <c r="CY242" i="14"/>
  <c r="CZ242" i="14"/>
  <c r="DA242" i="14"/>
  <c r="DB242" i="14"/>
  <c r="DC242" i="14"/>
  <c r="DD242" i="14"/>
  <c r="DE242" i="14"/>
  <c r="DF242" i="14"/>
  <c r="DG242" i="14"/>
  <c r="DH242" i="14"/>
  <c r="DI242" i="14"/>
  <c r="DJ242" i="14"/>
  <c r="DK242" i="14"/>
  <c r="DL242" i="14"/>
  <c r="DM242" i="14"/>
  <c r="DN242" i="14"/>
  <c r="DO242" i="14"/>
  <c r="DP242" i="14"/>
  <c r="DQ242" i="14"/>
  <c r="DR242" i="14"/>
  <c r="DS242" i="14"/>
  <c r="DW242" i="14"/>
  <c r="DX242" i="14"/>
  <c r="DY242" i="14"/>
  <c r="DZ242" i="14"/>
  <c r="EA242" i="14"/>
  <c r="EB242" i="14"/>
  <c r="EC242" i="14"/>
  <c r="ED242" i="14"/>
  <c r="EE242" i="14"/>
  <c r="EF242" i="14"/>
  <c r="EG242" i="14"/>
  <c r="EH242" i="14"/>
  <c r="EI242" i="14"/>
  <c r="EJ242" i="14"/>
  <c r="EK242" i="14"/>
  <c r="EL242" i="14"/>
  <c r="EM242" i="14"/>
  <c r="EN242" i="14"/>
  <c r="EO242" i="14"/>
  <c r="EP242" i="14"/>
  <c r="EQ242" i="14"/>
  <c r="ER242" i="14"/>
  <c r="EV242" i="14"/>
  <c r="EW242" i="14"/>
  <c r="EX242" i="14"/>
  <c r="EY242" i="14"/>
  <c r="EZ242" i="14"/>
  <c r="FA242" i="14"/>
  <c r="FB242" i="14"/>
  <c r="FC242" i="14"/>
  <c r="FD242" i="14"/>
  <c r="FE242" i="14"/>
  <c r="FF242" i="14"/>
  <c r="FG242" i="14"/>
  <c r="FH242" i="14"/>
  <c r="FI242" i="14"/>
  <c r="FJ242" i="14"/>
  <c r="FK242" i="14"/>
  <c r="FL242" i="14"/>
  <c r="FM242" i="14"/>
  <c r="FN242" i="14"/>
  <c r="FO242" i="14"/>
  <c r="FP242" i="14"/>
  <c r="FQ242" i="14"/>
  <c r="FU242" i="14"/>
  <c r="FV242" i="14"/>
  <c r="FW242" i="14"/>
  <c r="FX242" i="14"/>
  <c r="FY242" i="14"/>
  <c r="FZ242" i="14"/>
  <c r="GA242" i="14"/>
  <c r="GB242" i="14"/>
  <c r="GC242" i="14"/>
  <c r="GD242" i="14"/>
  <c r="GE242" i="14"/>
  <c r="GF242" i="14"/>
  <c r="GG242" i="14"/>
  <c r="GH242" i="14"/>
  <c r="GI242" i="14"/>
  <c r="GJ242" i="14"/>
  <c r="GK242" i="14"/>
  <c r="GL242" i="14"/>
  <c r="GM242" i="14"/>
  <c r="GN242" i="14"/>
  <c r="GO242" i="14"/>
  <c r="GP242" i="14"/>
  <c r="GT242" i="14"/>
  <c r="GU242" i="14"/>
  <c r="GV242" i="14"/>
  <c r="GW242" i="14"/>
  <c r="GX242" i="14"/>
  <c r="GY242" i="14"/>
  <c r="GZ242" i="14"/>
  <c r="HA242" i="14"/>
  <c r="HB242" i="14"/>
  <c r="HC242" i="14"/>
  <c r="HD242" i="14"/>
  <c r="HE242" i="14"/>
  <c r="HF242" i="14"/>
  <c r="HG242" i="14"/>
  <c r="HH242" i="14"/>
  <c r="HI242" i="14"/>
  <c r="HJ242" i="14"/>
  <c r="HK242" i="14"/>
  <c r="HL242" i="14"/>
  <c r="HM242" i="14"/>
  <c r="HN242" i="14"/>
  <c r="HO242" i="14"/>
  <c r="HS242" i="14"/>
  <c r="HT242" i="14"/>
  <c r="HU242" i="14"/>
  <c r="HV242" i="14"/>
  <c r="HW242" i="14"/>
  <c r="HX242" i="14"/>
  <c r="HY242" i="14"/>
  <c r="HZ242" i="14"/>
  <c r="IA242" i="14"/>
  <c r="IB242" i="14"/>
  <c r="IC242" i="14"/>
  <c r="ID242" i="14"/>
  <c r="IE242" i="14"/>
  <c r="IF242" i="14"/>
  <c r="IG242" i="14"/>
  <c r="IH242" i="14"/>
  <c r="II242" i="14"/>
  <c r="IJ242" i="14"/>
  <c r="IK242" i="14"/>
  <c r="IL242" i="14"/>
  <c r="IM242" i="14"/>
  <c r="IN242" i="14"/>
  <c r="B247" i="14"/>
  <c r="C247" i="14"/>
  <c r="D247" i="14"/>
  <c r="E247" i="14"/>
  <c r="F247" i="14"/>
  <c r="G247" i="14"/>
  <c r="H247" i="14"/>
  <c r="I247" i="14"/>
  <c r="J247" i="14"/>
  <c r="K247" i="14"/>
  <c r="L247" i="14"/>
  <c r="M247" i="14"/>
  <c r="N247" i="14"/>
  <c r="O247" i="14"/>
  <c r="P247" i="14"/>
  <c r="Q247" i="14"/>
  <c r="R247" i="14"/>
  <c r="S247" i="14"/>
  <c r="T247" i="14"/>
  <c r="U247" i="14"/>
  <c r="V247" i="14"/>
  <c r="W247" i="14"/>
  <c r="AA247" i="14"/>
  <c r="AB247" i="14"/>
  <c r="AC247" i="14"/>
  <c r="AD247" i="14"/>
  <c r="AE247" i="14"/>
  <c r="AF247" i="14"/>
  <c r="AG247" i="14"/>
  <c r="AH247" i="14"/>
  <c r="AI247" i="14"/>
  <c r="AJ247" i="14"/>
  <c r="AK247" i="14"/>
  <c r="AL247" i="14"/>
  <c r="AM247" i="14"/>
  <c r="AN247" i="14"/>
  <c r="AO247" i="14"/>
  <c r="AP247" i="14"/>
  <c r="AQ247" i="14"/>
  <c r="AR247" i="14"/>
  <c r="AS247" i="14"/>
  <c r="AT247" i="14"/>
  <c r="AU247" i="14"/>
  <c r="AV247" i="14"/>
  <c r="AZ247" i="14"/>
  <c r="BA247" i="14"/>
  <c r="BB247" i="14"/>
  <c r="BC247" i="14"/>
  <c r="BD247" i="14"/>
  <c r="BE247" i="14"/>
  <c r="BF247" i="14"/>
  <c r="BG247" i="14"/>
  <c r="BH247" i="14"/>
  <c r="BI247" i="14"/>
  <c r="BJ247" i="14"/>
  <c r="BK247" i="14"/>
  <c r="BL247" i="14"/>
  <c r="BM247" i="14"/>
  <c r="BN247" i="14"/>
  <c r="BO247" i="14"/>
  <c r="BP247" i="14"/>
  <c r="BQ247" i="14"/>
  <c r="BR247" i="14"/>
  <c r="BS247" i="14"/>
  <c r="BT247" i="14"/>
  <c r="BU247" i="14"/>
  <c r="BY247" i="14"/>
  <c r="BZ247" i="14"/>
  <c r="CA247" i="14"/>
  <c r="CB247" i="14"/>
  <c r="CC247" i="14"/>
  <c r="CD247" i="14"/>
  <c r="CE247" i="14"/>
  <c r="CF247" i="14"/>
  <c r="CG247" i="14"/>
  <c r="CH247" i="14"/>
  <c r="CI247" i="14"/>
  <c r="CJ247" i="14"/>
  <c r="CK247" i="14"/>
  <c r="CL247" i="14"/>
  <c r="CM247" i="14"/>
  <c r="CN247" i="14"/>
  <c r="CO247" i="14"/>
  <c r="CP247" i="14"/>
  <c r="CQ247" i="14"/>
  <c r="CR247" i="14"/>
  <c r="CS247" i="14"/>
  <c r="CT247" i="14"/>
  <c r="CX247" i="14"/>
  <c r="CY247" i="14"/>
  <c r="CZ247" i="14"/>
  <c r="DA247" i="14"/>
  <c r="DB247" i="14"/>
  <c r="DC247" i="14"/>
  <c r="DD247" i="14"/>
  <c r="DE247" i="14"/>
  <c r="DF247" i="14"/>
  <c r="DG247" i="14"/>
  <c r="DH247" i="14"/>
  <c r="DI247" i="14"/>
  <c r="DJ247" i="14"/>
  <c r="DK247" i="14"/>
  <c r="DL247" i="14"/>
  <c r="DM247" i="14"/>
  <c r="DN247" i="14"/>
  <c r="DO247" i="14"/>
  <c r="DP247" i="14"/>
  <c r="DQ247" i="14"/>
  <c r="DR247" i="14"/>
  <c r="DS247" i="14"/>
  <c r="DW247" i="14"/>
  <c r="DX247" i="14"/>
  <c r="DY247" i="14"/>
  <c r="DZ247" i="14"/>
  <c r="EA247" i="14"/>
  <c r="EB247" i="14"/>
  <c r="EC247" i="14"/>
  <c r="ED247" i="14"/>
  <c r="EE247" i="14"/>
  <c r="EF247" i="14"/>
  <c r="EG247" i="14"/>
  <c r="EH247" i="14"/>
  <c r="EI247" i="14"/>
  <c r="EJ247" i="14"/>
  <c r="EK247" i="14"/>
  <c r="EL247" i="14"/>
  <c r="EM247" i="14"/>
  <c r="EN247" i="14"/>
  <c r="EO247" i="14"/>
  <c r="EP247" i="14"/>
  <c r="EQ247" i="14"/>
  <c r="ER247" i="14"/>
  <c r="EV247" i="14"/>
  <c r="EW247" i="14"/>
  <c r="EX247" i="14"/>
  <c r="EY247" i="14"/>
  <c r="EZ247" i="14"/>
  <c r="FA247" i="14"/>
  <c r="FB247" i="14"/>
  <c r="FC247" i="14"/>
  <c r="FD247" i="14"/>
  <c r="FE247" i="14"/>
  <c r="FF247" i="14"/>
  <c r="FG247" i="14"/>
  <c r="FH247" i="14"/>
  <c r="FI247" i="14"/>
  <c r="FJ247" i="14"/>
  <c r="FK247" i="14"/>
  <c r="FL247" i="14"/>
  <c r="FM247" i="14"/>
  <c r="FN247" i="14"/>
  <c r="FO247" i="14"/>
  <c r="FP247" i="14"/>
  <c r="FQ247" i="14"/>
  <c r="FU247" i="14"/>
  <c r="FV247" i="14"/>
  <c r="FW247" i="14"/>
  <c r="FX247" i="14"/>
  <c r="FY247" i="14"/>
  <c r="FZ247" i="14"/>
  <c r="GA247" i="14"/>
  <c r="GB247" i="14"/>
  <c r="GC247" i="14"/>
  <c r="GD247" i="14"/>
  <c r="GE247" i="14"/>
  <c r="GF247" i="14"/>
  <c r="GG247" i="14"/>
  <c r="GH247" i="14"/>
  <c r="GI247" i="14"/>
  <c r="GJ247" i="14"/>
  <c r="GK247" i="14"/>
  <c r="GL247" i="14"/>
  <c r="GM247" i="14"/>
  <c r="GN247" i="14"/>
  <c r="GO247" i="14"/>
  <c r="GP247" i="14"/>
  <c r="GT247" i="14"/>
  <c r="GU247" i="14"/>
  <c r="GV247" i="14"/>
  <c r="GW247" i="14"/>
  <c r="GX247" i="14"/>
  <c r="GY247" i="14"/>
  <c r="GZ247" i="14"/>
  <c r="HA247" i="14"/>
  <c r="HB247" i="14"/>
  <c r="HC247" i="14"/>
  <c r="HD247" i="14"/>
  <c r="HE247" i="14"/>
  <c r="HF247" i="14"/>
  <c r="HG247" i="14"/>
  <c r="HH247" i="14"/>
  <c r="HI247" i="14"/>
  <c r="HJ247" i="14"/>
  <c r="HK247" i="14"/>
  <c r="HL247" i="14"/>
  <c r="HM247" i="14"/>
  <c r="HN247" i="14"/>
  <c r="HO247" i="14"/>
  <c r="B252" i="14"/>
  <c r="C252" i="14"/>
  <c r="D252" i="14"/>
  <c r="E252" i="14"/>
  <c r="F252" i="14"/>
  <c r="G252" i="14"/>
  <c r="H252" i="14"/>
  <c r="I252" i="14"/>
  <c r="J252" i="14"/>
  <c r="K252" i="14"/>
  <c r="L252" i="14"/>
  <c r="M252" i="14"/>
  <c r="N252" i="14"/>
  <c r="O252" i="14"/>
  <c r="P252" i="14"/>
  <c r="Q252" i="14"/>
  <c r="R252" i="14"/>
  <c r="S252" i="14"/>
  <c r="T252" i="14"/>
  <c r="U252" i="14"/>
  <c r="V252" i="14"/>
  <c r="W252" i="14"/>
  <c r="AA252" i="14"/>
  <c r="AB252" i="14"/>
  <c r="AC252" i="14"/>
  <c r="AD252" i="14"/>
  <c r="AE252" i="14"/>
  <c r="AF252" i="14"/>
  <c r="AG252" i="14"/>
  <c r="AH252" i="14"/>
  <c r="AI252" i="14"/>
  <c r="AJ252" i="14"/>
  <c r="AK252" i="14"/>
  <c r="AL252" i="14"/>
  <c r="AM252" i="14"/>
  <c r="AN252" i="14"/>
  <c r="AO252" i="14"/>
  <c r="AP252" i="14"/>
  <c r="AQ252" i="14"/>
  <c r="AR252" i="14"/>
  <c r="AS252" i="14"/>
  <c r="AT252" i="14"/>
  <c r="AU252" i="14"/>
  <c r="AV252" i="14"/>
  <c r="AZ252" i="14"/>
  <c r="BA252" i="14"/>
  <c r="BB252" i="14"/>
  <c r="BC252" i="14"/>
  <c r="BD252" i="14"/>
  <c r="BE252" i="14"/>
  <c r="BF252" i="14"/>
  <c r="BG252" i="14"/>
  <c r="BH252" i="14"/>
  <c r="BI252" i="14"/>
  <c r="BJ252" i="14"/>
  <c r="BK252" i="14"/>
  <c r="BL252" i="14"/>
  <c r="BM252" i="14"/>
  <c r="BN252" i="14"/>
  <c r="BO252" i="14"/>
  <c r="BP252" i="14"/>
  <c r="BQ252" i="14"/>
  <c r="BR252" i="14"/>
  <c r="BS252" i="14"/>
  <c r="BT252" i="14"/>
  <c r="BU252" i="14"/>
  <c r="BY252" i="14"/>
  <c r="BZ252" i="14"/>
  <c r="CA252" i="14"/>
  <c r="CB252" i="14"/>
  <c r="CC252" i="14"/>
  <c r="CD252" i="14"/>
  <c r="CE252" i="14"/>
  <c r="CF252" i="14"/>
  <c r="CG252" i="14"/>
  <c r="CH252" i="14"/>
  <c r="CI252" i="14"/>
  <c r="CJ252" i="14"/>
  <c r="CK252" i="14"/>
  <c r="CL252" i="14"/>
  <c r="CM252" i="14"/>
  <c r="CN252" i="14"/>
  <c r="CO252" i="14"/>
  <c r="CP252" i="14"/>
  <c r="CQ252" i="14"/>
  <c r="CR252" i="14"/>
  <c r="CS252" i="14"/>
  <c r="CT252" i="14"/>
  <c r="CX252" i="14"/>
  <c r="CY252" i="14"/>
  <c r="CZ252" i="14"/>
  <c r="DA252" i="14"/>
  <c r="DB252" i="14"/>
  <c r="DC252" i="14"/>
  <c r="DD252" i="14"/>
  <c r="DE252" i="14"/>
  <c r="DF252" i="14"/>
  <c r="DG252" i="14"/>
  <c r="DH252" i="14"/>
  <c r="DI252" i="14"/>
  <c r="DJ252" i="14"/>
  <c r="DK252" i="14"/>
  <c r="DL252" i="14"/>
  <c r="DM252" i="14"/>
  <c r="DN252" i="14"/>
  <c r="DO252" i="14"/>
  <c r="DP252" i="14"/>
  <c r="DQ252" i="14"/>
  <c r="DR252" i="14"/>
  <c r="DS252" i="14"/>
  <c r="DW252" i="14"/>
  <c r="DX252" i="14"/>
  <c r="DY252" i="14"/>
  <c r="DZ252" i="14"/>
  <c r="EA252" i="14"/>
  <c r="EB252" i="14"/>
  <c r="EC252" i="14"/>
  <c r="ED252" i="14"/>
  <c r="EE252" i="14"/>
  <c r="EF252" i="14"/>
  <c r="EG252" i="14"/>
  <c r="EH252" i="14"/>
  <c r="EI252" i="14"/>
  <c r="EJ252" i="14"/>
  <c r="EK252" i="14"/>
  <c r="EL252" i="14"/>
  <c r="EM252" i="14"/>
  <c r="EN252" i="14"/>
  <c r="EO252" i="14"/>
  <c r="EP252" i="14"/>
  <c r="EQ252" i="14"/>
  <c r="ER252" i="14"/>
  <c r="EV252" i="14"/>
  <c r="EW252" i="14"/>
  <c r="EX252" i="14"/>
  <c r="EY252" i="14"/>
  <c r="EZ252" i="14"/>
  <c r="FA252" i="14"/>
  <c r="FB252" i="14"/>
  <c r="FC252" i="14"/>
  <c r="FD252" i="14"/>
  <c r="FE252" i="14"/>
  <c r="FF252" i="14"/>
  <c r="FG252" i="14"/>
  <c r="FH252" i="14"/>
  <c r="FI252" i="14"/>
  <c r="FJ252" i="14"/>
  <c r="FK252" i="14"/>
  <c r="FL252" i="14"/>
  <c r="FM252" i="14"/>
  <c r="FN252" i="14"/>
  <c r="FO252" i="14"/>
  <c r="FP252" i="14"/>
  <c r="FQ252" i="14"/>
  <c r="FU252" i="14"/>
  <c r="FV252" i="14"/>
  <c r="FW252" i="14"/>
  <c r="FX252" i="14"/>
  <c r="FY252" i="14"/>
  <c r="FZ252" i="14"/>
  <c r="GA252" i="14"/>
  <c r="GB252" i="14"/>
  <c r="GC252" i="14"/>
  <c r="GD252" i="14"/>
  <c r="GE252" i="14"/>
  <c r="GF252" i="14"/>
  <c r="GG252" i="14"/>
  <c r="GH252" i="14"/>
  <c r="GI252" i="14"/>
  <c r="GJ252" i="14"/>
  <c r="GK252" i="14"/>
  <c r="GL252" i="14"/>
  <c r="GM252" i="14"/>
  <c r="GN252" i="14"/>
  <c r="GO252" i="14"/>
  <c r="GP252" i="14"/>
  <c r="GT252" i="14"/>
  <c r="GU252" i="14"/>
  <c r="GV252" i="14"/>
  <c r="GW252" i="14"/>
  <c r="GX252" i="14"/>
  <c r="GY252" i="14"/>
  <c r="GZ252" i="14"/>
  <c r="HA252" i="14"/>
  <c r="HB252" i="14"/>
  <c r="HC252" i="14"/>
  <c r="HD252" i="14"/>
  <c r="HE252" i="14"/>
  <c r="HF252" i="14"/>
  <c r="HG252" i="14"/>
  <c r="HH252" i="14"/>
  <c r="HI252" i="14"/>
  <c r="HJ252" i="14"/>
  <c r="HK252" i="14"/>
  <c r="HL252" i="14"/>
  <c r="HM252" i="14"/>
  <c r="HN252" i="14"/>
  <c r="HO252" i="14"/>
  <c r="HS252" i="14"/>
  <c r="HT252" i="14"/>
  <c r="HU252" i="14"/>
  <c r="HV252" i="14"/>
  <c r="HW252" i="14"/>
  <c r="HX252" i="14"/>
  <c r="HY252" i="14"/>
  <c r="HZ252" i="14"/>
  <c r="IA252" i="14"/>
  <c r="IB252" i="14"/>
  <c r="IC252" i="14"/>
  <c r="ID252" i="14"/>
  <c r="IE252" i="14"/>
  <c r="IF252" i="14"/>
  <c r="IG252" i="14"/>
  <c r="IH252" i="14"/>
  <c r="II252" i="14"/>
  <c r="IJ252" i="14"/>
  <c r="IK252" i="14"/>
  <c r="IL252" i="14"/>
  <c r="IM252" i="14"/>
  <c r="IN252" i="14"/>
  <c r="B257" i="14"/>
  <c r="C257" i="14"/>
  <c r="D257" i="14"/>
  <c r="E257" i="14"/>
  <c r="F257" i="14"/>
  <c r="G257" i="14"/>
  <c r="H257" i="14"/>
  <c r="I257" i="14"/>
  <c r="J257" i="14"/>
  <c r="K257" i="14"/>
  <c r="L257" i="14"/>
  <c r="M257" i="14"/>
  <c r="N257" i="14"/>
  <c r="O257" i="14"/>
  <c r="P257" i="14"/>
  <c r="Q257" i="14"/>
  <c r="R257" i="14"/>
  <c r="S257" i="14"/>
  <c r="T257" i="14"/>
  <c r="U257" i="14"/>
  <c r="V257" i="14"/>
  <c r="W257" i="14"/>
  <c r="AA257" i="14"/>
  <c r="AB257" i="14"/>
  <c r="AC257" i="14"/>
  <c r="AD257" i="14"/>
  <c r="AE257" i="14"/>
  <c r="AF257" i="14"/>
  <c r="AG257" i="14"/>
  <c r="AH257" i="14"/>
  <c r="AI257" i="14"/>
  <c r="AJ257" i="14"/>
  <c r="AK257" i="14"/>
  <c r="AL257" i="14"/>
  <c r="AM257" i="14"/>
  <c r="AN257" i="14"/>
  <c r="AO257" i="14"/>
  <c r="AP257" i="14"/>
  <c r="AQ257" i="14"/>
  <c r="AR257" i="14"/>
  <c r="AS257" i="14"/>
  <c r="AT257" i="14"/>
  <c r="AU257" i="14"/>
  <c r="AV257" i="14"/>
  <c r="AZ257" i="14"/>
  <c r="BA257" i="14"/>
  <c r="BB257" i="14"/>
  <c r="BC257" i="14"/>
  <c r="BD257" i="14"/>
  <c r="BE257" i="14"/>
  <c r="BF257" i="14"/>
  <c r="BG257" i="14"/>
  <c r="BH257" i="14"/>
  <c r="BI257" i="14"/>
  <c r="BJ257" i="14"/>
  <c r="BK257" i="14"/>
  <c r="BL257" i="14"/>
  <c r="BM257" i="14"/>
  <c r="BN257" i="14"/>
  <c r="BO257" i="14"/>
  <c r="BP257" i="14"/>
  <c r="BQ257" i="14"/>
  <c r="BR257" i="14"/>
  <c r="BS257" i="14"/>
  <c r="BT257" i="14"/>
  <c r="BU257" i="14"/>
  <c r="BY257" i="14"/>
  <c r="BZ257" i="14"/>
  <c r="CA257" i="14"/>
  <c r="CB257" i="14"/>
  <c r="CC257" i="14"/>
  <c r="CD257" i="14"/>
  <c r="CE257" i="14"/>
  <c r="CF257" i="14"/>
  <c r="CG257" i="14"/>
  <c r="CH257" i="14"/>
  <c r="CI257" i="14"/>
  <c r="CJ257" i="14"/>
  <c r="CK257" i="14"/>
  <c r="CL257" i="14"/>
  <c r="CM257" i="14"/>
  <c r="CN257" i="14"/>
  <c r="CO257" i="14"/>
  <c r="CP257" i="14"/>
  <c r="CQ257" i="14"/>
  <c r="CR257" i="14"/>
  <c r="CS257" i="14"/>
  <c r="CT257" i="14"/>
  <c r="CX257" i="14"/>
  <c r="CY257" i="14"/>
  <c r="CZ257" i="14"/>
  <c r="DA257" i="14"/>
  <c r="DB257" i="14"/>
  <c r="DC257" i="14"/>
  <c r="DD257" i="14"/>
  <c r="DE257" i="14"/>
  <c r="DF257" i="14"/>
  <c r="DG257" i="14"/>
  <c r="DH257" i="14"/>
  <c r="DI257" i="14"/>
  <c r="DJ257" i="14"/>
  <c r="DK257" i="14"/>
  <c r="DL257" i="14"/>
  <c r="DM257" i="14"/>
  <c r="DN257" i="14"/>
  <c r="DO257" i="14"/>
  <c r="DP257" i="14"/>
  <c r="DQ257" i="14"/>
  <c r="DR257" i="14"/>
  <c r="DS257" i="14"/>
  <c r="DW257" i="14"/>
  <c r="DX257" i="14"/>
  <c r="DY257" i="14"/>
  <c r="DZ257" i="14"/>
  <c r="EA257" i="14"/>
  <c r="EB257" i="14"/>
  <c r="EC257" i="14"/>
  <c r="ED257" i="14"/>
  <c r="EE257" i="14"/>
  <c r="EF257" i="14"/>
  <c r="EG257" i="14"/>
  <c r="EH257" i="14"/>
  <c r="EI257" i="14"/>
  <c r="EJ257" i="14"/>
  <c r="EK257" i="14"/>
  <c r="EL257" i="14"/>
  <c r="EM257" i="14"/>
  <c r="EN257" i="14"/>
  <c r="EO257" i="14"/>
  <c r="EP257" i="14"/>
  <c r="EQ257" i="14"/>
  <c r="ER257" i="14"/>
  <c r="EV257" i="14"/>
  <c r="EW257" i="14"/>
  <c r="EX257" i="14"/>
  <c r="EY257" i="14"/>
  <c r="EZ257" i="14"/>
  <c r="FA257" i="14"/>
  <c r="FB257" i="14"/>
  <c r="FC257" i="14"/>
  <c r="FD257" i="14"/>
  <c r="FE257" i="14"/>
  <c r="FF257" i="14"/>
  <c r="FG257" i="14"/>
  <c r="FH257" i="14"/>
  <c r="FI257" i="14"/>
  <c r="FJ257" i="14"/>
  <c r="FK257" i="14"/>
  <c r="FL257" i="14"/>
  <c r="FM257" i="14"/>
  <c r="FN257" i="14"/>
  <c r="FO257" i="14"/>
  <c r="FP257" i="14"/>
  <c r="FQ257" i="14"/>
  <c r="FU257" i="14"/>
  <c r="FV257" i="14"/>
  <c r="FW257" i="14"/>
  <c r="FX257" i="14"/>
  <c r="FY257" i="14"/>
  <c r="FZ257" i="14"/>
  <c r="GA257" i="14"/>
  <c r="GB257" i="14"/>
  <c r="GC257" i="14"/>
  <c r="GD257" i="14"/>
  <c r="GE257" i="14"/>
  <c r="GF257" i="14"/>
  <c r="GG257" i="14"/>
  <c r="GH257" i="14"/>
  <c r="GI257" i="14"/>
  <c r="GJ257" i="14"/>
  <c r="GK257" i="14"/>
  <c r="GL257" i="14"/>
  <c r="GM257" i="14"/>
  <c r="GN257" i="14"/>
  <c r="GO257" i="14"/>
  <c r="GP257" i="14"/>
  <c r="GT257" i="14"/>
  <c r="GU257" i="14"/>
  <c r="GV257" i="14"/>
  <c r="GW257" i="14"/>
  <c r="GX257" i="14"/>
  <c r="GY257" i="14"/>
  <c r="GZ257" i="14"/>
  <c r="HA257" i="14"/>
  <c r="HB257" i="14"/>
  <c r="HC257" i="14"/>
  <c r="HD257" i="14"/>
  <c r="HE257" i="14"/>
  <c r="HF257" i="14"/>
  <c r="HG257" i="14"/>
  <c r="HH257" i="14"/>
  <c r="HI257" i="14"/>
  <c r="HJ257" i="14"/>
  <c r="HK257" i="14"/>
  <c r="HL257" i="14"/>
  <c r="HM257" i="14"/>
  <c r="HN257" i="14"/>
  <c r="HO257" i="14"/>
  <c r="HS257" i="14"/>
  <c r="HT257" i="14"/>
  <c r="HU257" i="14"/>
  <c r="HV257" i="14"/>
  <c r="HW257" i="14"/>
  <c r="HX257" i="14"/>
  <c r="HY257" i="14"/>
  <c r="HZ257" i="14"/>
  <c r="IA257" i="14"/>
  <c r="IB257" i="14"/>
  <c r="IC257" i="14"/>
  <c r="ID257" i="14"/>
  <c r="IE257" i="14"/>
  <c r="IF257" i="14"/>
  <c r="IG257" i="14"/>
  <c r="IH257" i="14"/>
  <c r="II257" i="14"/>
  <c r="IJ257" i="14"/>
  <c r="IK257" i="14"/>
  <c r="IL257" i="14"/>
  <c r="IM257" i="14"/>
  <c r="IN257" i="14"/>
  <c r="B262" i="14"/>
  <c r="C262" i="14"/>
  <c r="D262" i="14"/>
  <c r="E262" i="14"/>
  <c r="F262" i="14"/>
  <c r="G262" i="14"/>
  <c r="H262" i="14"/>
  <c r="I262" i="14"/>
  <c r="J262" i="14"/>
  <c r="K262" i="14"/>
  <c r="L262" i="14"/>
  <c r="M262" i="14"/>
  <c r="N262" i="14"/>
  <c r="O262" i="14"/>
  <c r="P262" i="14"/>
  <c r="Q262" i="14"/>
  <c r="R262" i="14"/>
  <c r="S262" i="14"/>
  <c r="T262" i="14"/>
  <c r="U262" i="14"/>
  <c r="V262" i="14"/>
  <c r="W262" i="14"/>
  <c r="AA262" i="14"/>
  <c r="AB262" i="14"/>
  <c r="AC262" i="14"/>
  <c r="AD262" i="14"/>
  <c r="AE262" i="14"/>
  <c r="AF262" i="14"/>
  <c r="AG262" i="14"/>
  <c r="AH262" i="14"/>
  <c r="AI262" i="14"/>
  <c r="AJ262" i="14"/>
  <c r="AK262" i="14"/>
  <c r="AL262" i="14"/>
  <c r="AM262" i="14"/>
  <c r="AN262" i="14"/>
  <c r="AO262" i="14"/>
  <c r="AP262" i="14"/>
  <c r="AQ262" i="14"/>
  <c r="AR262" i="14"/>
  <c r="AS262" i="14"/>
  <c r="AT262" i="14"/>
  <c r="AU262" i="14"/>
  <c r="AV262" i="14"/>
  <c r="AZ262" i="14"/>
  <c r="BA262" i="14"/>
  <c r="BB262" i="14"/>
  <c r="BC262" i="14"/>
  <c r="BD262" i="14"/>
  <c r="BE262" i="14"/>
  <c r="BF262" i="14"/>
  <c r="BG262" i="14"/>
  <c r="BH262" i="14"/>
  <c r="BI262" i="14"/>
  <c r="BJ262" i="14"/>
  <c r="BK262" i="14"/>
  <c r="BL262" i="14"/>
  <c r="BM262" i="14"/>
  <c r="BN262" i="14"/>
  <c r="BO262" i="14"/>
  <c r="BP262" i="14"/>
  <c r="BQ262" i="14"/>
  <c r="BR262" i="14"/>
  <c r="BS262" i="14"/>
  <c r="BT262" i="14"/>
  <c r="BU262" i="14"/>
  <c r="BY262" i="14"/>
  <c r="BZ262" i="14"/>
  <c r="CA262" i="14"/>
  <c r="CB262" i="14"/>
  <c r="CC262" i="14"/>
  <c r="CD262" i="14"/>
  <c r="CE262" i="14"/>
  <c r="CF262" i="14"/>
  <c r="CG262" i="14"/>
  <c r="CH262" i="14"/>
  <c r="CI262" i="14"/>
  <c r="CJ262" i="14"/>
  <c r="CK262" i="14"/>
  <c r="CL262" i="14"/>
  <c r="CM262" i="14"/>
  <c r="CN262" i="14"/>
  <c r="CO262" i="14"/>
  <c r="CP262" i="14"/>
  <c r="CQ262" i="14"/>
  <c r="CR262" i="14"/>
  <c r="CS262" i="14"/>
  <c r="CT262" i="14"/>
  <c r="CX262" i="14"/>
  <c r="CY262" i="14"/>
  <c r="CZ262" i="14"/>
  <c r="DA262" i="14"/>
  <c r="DB262" i="14"/>
  <c r="DC262" i="14"/>
  <c r="DD262" i="14"/>
  <c r="DE262" i="14"/>
  <c r="DF262" i="14"/>
  <c r="DG262" i="14"/>
  <c r="DH262" i="14"/>
  <c r="DI262" i="14"/>
  <c r="DJ262" i="14"/>
  <c r="DK262" i="14"/>
  <c r="DL262" i="14"/>
  <c r="DM262" i="14"/>
  <c r="DN262" i="14"/>
  <c r="DO262" i="14"/>
  <c r="DP262" i="14"/>
  <c r="DQ262" i="14"/>
  <c r="DR262" i="14"/>
  <c r="DS262" i="14"/>
  <c r="DW262" i="14"/>
  <c r="DX262" i="14"/>
  <c r="DY262" i="14"/>
  <c r="DZ262" i="14"/>
  <c r="EA262" i="14"/>
  <c r="EB262" i="14"/>
  <c r="EC262" i="14"/>
  <c r="ED262" i="14"/>
  <c r="EE262" i="14"/>
  <c r="EF262" i="14"/>
  <c r="EG262" i="14"/>
  <c r="EH262" i="14"/>
  <c r="EI262" i="14"/>
  <c r="EJ262" i="14"/>
  <c r="EK262" i="14"/>
  <c r="EL262" i="14"/>
  <c r="EM262" i="14"/>
  <c r="EN262" i="14"/>
  <c r="EO262" i="14"/>
  <c r="EP262" i="14"/>
  <c r="EQ262" i="14"/>
  <c r="ER262" i="14"/>
  <c r="EV262" i="14"/>
  <c r="EW262" i="14"/>
  <c r="EX262" i="14"/>
  <c r="EY262" i="14"/>
  <c r="EZ262" i="14"/>
  <c r="FA262" i="14"/>
  <c r="FB262" i="14"/>
  <c r="FC262" i="14"/>
  <c r="FD262" i="14"/>
  <c r="FE262" i="14"/>
  <c r="FF262" i="14"/>
  <c r="FG262" i="14"/>
  <c r="FH262" i="14"/>
  <c r="FI262" i="14"/>
  <c r="FJ262" i="14"/>
  <c r="FK262" i="14"/>
  <c r="FL262" i="14"/>
  <c r="FM262" i="14"/>
  <c r="FN262" i="14"/>
  <c r="FO262" i="14"/>
  <c r="FP262" i="14"/>
  <c r="FQ262" i="14"/>
  <c r="EU95" i="14"/>
  <c r="DL7" i="14"/>
  <c r="AL23" i="14"/>
  <c r="EI87" i="14"/>
  <c r="CL103" i="14"/>
  <c r="AH87" i="14"/>
  <c r="DV7" i="14"/>
  <c r="W37" i="17"/>
  <c r="W35" i="17"/>
  <c r="AF23" i="14"/>
  <c r="AW242" i="14"/>
  <c r="CU242" i="14"/>
  <c r="ES242" i="14"/>
  <c r="FR242" i="14"/>
  <c r="FS242" i="14"/>
  <c r="GQ242" i="14"/>
  <c r="HP242" i="14"/>
  <c r="HQ242" i="14"/>
  <c r="IO242" i="14"/>
  <c r="IP242" i="14"/>
  <c r="X247" i="14"/>
  <c r="Y247" i="14"/>
  <c r="AW247" i="14"/>
  <c r="AX247" i="14"/>
  <c r="BV247" i="14"/>
  <c r="BW247" i="14"/>
  <c r="CU247" i="14"/>
  <c r="CV247" i="14"/>
  <c r="DT247" i="14"/>
  <c r="DU247" i="14"/>
  <c r="ES247" i="14"/>
  <c r="ET247" i="14"/>
  <c r="FR247" i="14"/>
  <c r="FS247" i="14"/>
  <c r="GQ247" i="14"/>
  <c r="GR247" i="14"/>
  <c r="HP247" i="14"/>
  <c r="Y252" i="14"/>
  <c r="DU252" i="14"/>
  <c r="HQ252" i="14"/>
  <c r="BW257" i="14"/>
  <c r="FS257" i="14"/>
  <c r="Y262" i="14"/>
  <c r="DU262" i="14"/>
  <c r="GG232" i="14"/>
  <c r="FZ23" i="14"/>
  <c r="GA23" i="14" s="1"/>
  <c r="EX23" i="14"/>
  <c r="J23" i="14"/>
  <c r="EA15" i="14"/>
  <c r="BD15" i="14"/>
  <c r="CF156" i="14"/>
  <c r="BA186" i="14"/>
  <c r="E127" i="14"/>
  <c r="E111" i="14"/>
  <c r="CS87" i="14"/>
  <c r="AY186" i="14"/>
  <c r="CR143" i="14"/>
  <c r="CR127" i="14"/>
  <c r="CU127" i="14" s="1"/>
  <c r="CW127" i="14" s="1"/>
  <c r="CR95" i="14"/>
  <c r="W29" i="17"/>
  <c r="CU135" i="14"/>
  <c r="CU111" i="14"/>
  <c r="CW111" i="14" s="1"/>
  <c r="DC87" i="14"/>
  <c r="BA63" i="14"/>
  <c r="CV143" i="14"/>
  <c r="CV111" i="14"/>
  <c r="CV79" i="14"/>
  <c r="CR71" i="14"/>
  <c r="CU71" i="14" s="1"/>
  <c r="D127" i="14"/>
  <c r="D111" i="14"/>
  <c r="E103" i="14"/>
  <c r="E87" i="14"/>
  <c r="E71" i="14"/>
  <c r="CS217" i="14"/>
  <c r="CK217" i="14"/>
  <c r="CC217" i="14"/>
  <c r="CV63" i="14"/>
  <c r="AI38" i="18"/>
  <c r="BT7" i="14"/>
  <c r="CS7" i="14"/>
  <c r="CR7" i="14"/>
  <c r="DN15" i="14"/>
  <c r="AY232" i="14"/>
  <c r="AJ31" i="18"/>
  <c r="CL232" i="14"/>
  <c r="CN232" i="14"/>
  <c r="CP232" i="14"/>
  <c r="CR232" i="14"/>
  <c r="CH232" i="14"/>
  <c r="CJ232" i="14"/>
  <c r="CF232" i="14"/>
  <c r="BS232" i="14"/>
  <c r="FY222" i="14"/>
  <c r="GP223" i="14"/>
  <c r="CL214" i="14"/>
  <c r="CM214" i="14"/>
  <c r="AI40" i="18"/>
  <c r="CG190" i="14"/>
  <c r="E135" i="14"/>
  <c r="CA182" i="14"/>
  <c r="AI23" i="14"/>
  <c r="DC15" i="14"/>
  <c r="Q23" i="14"/>
  <c r="CH23" i="14"/>
  <c r="BH7" i="14"/>
  <c r="DM7" i="14"/>
  <c r="BI71" i="14"/>
  <c r="BO153" i="14"/>
  <c r="D71" i="14"/>
  <c r="FK130" i="14"/>
  <c r="W15" i="14"/>
  <c r="EY66" i="14"/>
  <c r="EM66" i="14"/>
  <c r="E151" i="14"/>
  <c r="E143" i="14"/>
  <c r="AL267" i="14"/>
  <c r="HJ23" i="14"/>
  <c r="HP23" i="14" s="1"/>
  <c r="GL23" i="14"/>
  <c r="GR23" i="14" s="1"/>
  <c r="HK23" i="14"/>
  <c r="CI156" i="14"/>
  <c r="AN182" i="14"/>
  <c r="CS186" i="14"/>
  <c r="CU95" i="14"/>
  <c r="CU143" i="14"/>
  <c r="BI95" i="14"/>
  <c r="IO247" i="14"/>
  <c r="FJ15" i="14"/>
  <c r="CB119" i="14"/>
  <c r="CO214" i="14"/>
  <c r="E79" i="14"/>
  <c r="CB153" i="14"/>
  <c r="BY217" i="14"/>
  <c r="Y177" i="14"/>
  <c r="AS177" i="14" s="1"/>
  <c r="AG15" i="14"/>
  <c r="CO217" i="14"/>
  <c r="IP157" i="14"/>
  <c r="DP103" i="14"/>
  <c r="ED103" i="14" s="1"/>
  <c r="BZ217" i="14"/>
  <c r="AJ11" i="18"/>
  <c r="CS111" i="14"/>
  <c r="CT111" i="14" s="1"/>
  <c r="DC111" i="14"/>
  <c r="BC63" i="14"/>
  <c r="CU119" i="14"/>
  <c r="CW119" i="14" s="1"/>
  <c r="EY130" i="14"/>
  <c r="DJ127" i="14"/>
  <c r="CX23" i="14"/>
  <c r="P11" i="17"/>
  <c r="CH217" i="14"/>
  <c r="CE217" i="14"/>
  <c r="J23" i="1"/>
  <c r="FJ23" i="14" s="1"/>
  <c r="FM23" i="14" s="1"/>
  <c r="DI232" i="14"/>
  <c r="DB151" i="14"/>
  <c r="DE151" i="14" s="1"/>
  <c r="DC119" i="14"/>
  <c r="CU87" i="14"/>
  <c r="CW87" i="14" s="1"/>
  <c r="DJ71" i="14"/>
  <c r="DM71" i="14" s="1"/>
  <c r="CC95" i="14"/>
  <c r="CB217" i="14"/>
  <c r="GN222" i="14"/>
  <c r="GD222" i="14"/>
  <c r="GK222" i="14"/>
  <c r="U13" i="37"/>
  <c r="U11" i="37"/>
  <c r="CC143" i="14"/>
  <c r="CN214" i="14"/>
  <c r="U22" i="37"/>
  <c r="CD7" i="14"/>
  <c r="CI7" i="14" s="1"/>
  <c r="BI7" i="14"/>
  <c r="DQ95" i="14"/>
  <c r="EW95" i="14" s="1"/>
  <c r="AV151" i="14"/>
  <c r="CC103" i="14"/>
  <c r="CB95" i="14"/>
  <c r="CB79" i="14"/>
  <c r="BN47" i="14"/>
  <c r="Y15" i="14"/>
  <c r="Z15" i="14" s="1"/>
  <c r="IQ157" i="14"/>
  <c r="EL202" i="14"/>
  <c r="AX185" i="14"/>
  <c r="AZ186" i="14"/>
  <c r="DL103" i="14"/>
  <c r="CM167" i="14"/>
  <c r="V32" i="37"/>
  <c r="GS186" i="14"/>
  <c r="CW267" i="14"/>
  <c r="BT268" i="14"/>
  <c r="CI269" i="14"/>
  <c r="N44" i="41"/>
  <c r="DL23" i="14"/>
  <c r="K15" i="14"/>
  <c r="U14" i="37" l="1"/>
  <c r="D119" i="14"/>
  <c r="L23" i="40"/>
  <c r="D87" i="14"/>
  <c r="L15" i="40"/>
  <c r="F87" i="14"/>
  <c r="I39" i="33"/>
  <c r="I37" i="33"/>
  <c r="G39" i="33"/>
  <c r="G37" i="33"/>
  <c r="AP185" i="14" s="1"/>
  <c r="F39" i="33"/>
  <c r="EE71" i="14"/>
  <c r="BO127" i="14"/>
  <c r="F103" i="14"/>
  <c r="D103" i="14"/>
  <c r="L19" i="40"/>
  <c r="DB71" i="14"/>
  <c r="DE71" i="14" s="1"/>
  <c r="L39" i="27"/>
  <c r="W11" i="31"/>
  <c r="Y47" i="31"/>
  <c r="F39" i="27"/>
  <c r="FN181" i="14"/>
  <c r="DI23" i="14"/>
  <c r="DN23" i="14"/>
  <c r="AQ23" i="14"/>
  <c r="BK7" i="14"/>
  <c r="DW7" i="14"/>
  <c r="AC33" i="18"/>
  <c r="AI33" i="18"/>
  <c r="X45" i="20"/>
  <c r="GJ222" i="14"/>
  <c r="I50" i="20"/>
  <c r="DP95" i="14"/>
  <c r="EP95" i="14" s="1"/>
  <c r="G50" i="20"/>
  <c r="DP79" i="14"/>
  <c r="CK63" i="14"/>
  <c r="IG212" i="14"/>
  <c r="CJ267" i="14"/>
  <c r="CI267" i="14"/>
  <c r="F38" i="33"/>
  <c r="Z29" i="17"/>
  <c r="AW206" i="14"/>
  <c r="CW153" i="14"/>
  <c r="ED202" i="14"/>
  <c r="DQ143" i="14"/>
  <c r="EE143" i="14" s="1"/>
  <c r="CC79" i="14"/>
  <c r="CM217" i="14"/>
  <c r="V187" i="14"/>
  <c r="CS79" i="14"/>
  <c r="CT79" i="14" s="1"/>
  <c r="DC143" i="14"/>
  <c r="GA222" i="14"/>
  <c r="GR221" i="14"/>
  <c r="CI217" i="14"/>
  <c r="BC87" i="14"/>
  <c r="U15" i="21"/>
  <c r="U15" i="37"/>
  <c r="I23" i="1"/>
  <c r="I25" i="1" s="1"/>
  <c r="DH232" i="14"/>
  <c r="DM15" i="14"/>
  <c r="DO15" i="14" s="1"/>
  <c r="DC7" i="14"/>
  <c r="BE7" i="14"/>
  <c r="X188" i="14"/>
  <c r="AK191" i="14"/>
  <c r="FY186" i="14"/>
  <c r="AP15" i="14"/>
  <c r="FT15" i="14"/>
  <c r="CW135" i="14"/>
  <c r="FD23" i="14"/>
  <c r="EV95" i="14"/>
  <c r="FN79" i="14"/>
  <c r="FH79" i="14"/>
  <c r="FB79" i="14"/>
  <c r="DF23" i="14"/>
  <c r="CY23" i="14"/>
  <c r="CZ23" i="14" s="1"/>
  <c r="IB15" i="14"/>
  <c r="GV15" i="14"/>
  <c r="FP15" i="14"/>
  <c r="CT15" i="14"/>
  <c r="Z37" i="17"/>
  <c r="V18" i="37"/>
  <c r="BM268" i="14"/>
  <c r="BQ268" i="14"/>
  <c r="BU268" i="14"/>
  <c r="DW153" i="14"/>
  <c r="BI79" i="14"/>
  <c r="BI119" i="14"/>
  <c r="BI151" i="14"/>
  <c r="EV157" i="14"/>
  <c r="FU157" i="14"/>
  <c r="GT157" i="14"/>
  <c r="HS157" i="14"/>
  <c r="AD86" i="55"/>
  <c r="AA53" i="55"/>
  <c r="EK95" i="14"/>
  <c r="CT7" i="14"/>
  <c r="II212" i="14"/>
  <c r="BX186" i="14"/>
  <c r="FO135" i="14"/>
  <c r="FI135" i="14"/>
  <c r="FA135" i="14"/>
  <c r="BO111" i="14"/>
  <c r="FK98" i="14"/>
  <c r="EM98" i="14"/>
  <c r="EM82" i="14"/>
  <c r="EY82" i="14"/>
  <c r="FK106" i="14"/>
  <c r="EM106" i="14"/>
  <c r="EY74" i="14"/>
  <c r="EM74" i="14"/>
  <c r="P16" i="17"/>
  <c r="I38" i="33"/>
  <c r="AU185" i="14" s="1"/>
  <c r="W55" i="19"/>
  <c r="P49" i="20"/>
  <c r="W53" i="19"/>
  <c r="N49" i="20"/>
  <c r="W51" i="19"/>
  <c r="L49" i="20"/>
  <c r="W48" i="19"/>
  <c r="I49" i="20"/>
  <c r="W46" i="19"/>
  <c r="G49" i="20"/>
  <c r="X42" i="20"/>
  <c r="L50" i="20"/>
  <c r="W56" i="19"/>
  <c r="Q49" i="20"/>
  <c r="CB23" i="14"/>
  <c r="CJ23" i="14" s="1"/>
  <c r="L36" i="1"/>
  <c r="P17" i="17"/>
  <c r="I40" i="33"/>
  <c r="BP185" i="14" s="1"/>
  <c r="AI39" i="18"/>
  <c r="AC39" i="18"/>
  <c r="AI37" i="18"/>
  <c r="AC37" i="18"/>
  <c r="AI36" i="18"/>
  <c r="AC36" i="18"/>
  <c r="AI35" i="18"/>
  <c r="AC35" i="18"/>
  <c r="AI34" i="18"/>
  <c r="AC34" i="18"/>
  <c r="AI32" i="18"/>
  <c r="AC32" i="18"/>
  <c r="AI31" i="18"/>
  <c r="AC31" i="18"/>
  <c r="AI30" i="18"/>
  <c r="AC30" i="18"/>
  <c r="AI29" i="18"/>
  <c r="AC29" i="18"/>
  <c r="W49" i="19"/>
  <c r="J49" i="20"/>
  <c r="W47" i="19"/>
  <c r="H49" i="20"/>
  <c r="X46" i="20"/>
  <c r="N50" i="20"/>
  <c r="DK151" i="14"/>
  <c r="EO135" i="14"/>
  <c r="EC135" i="14"/>
  <c r="EQ135" i="14"/>
  <c r="DJ135" i="14"/>
  <c r="DM135" i="14" s="1"/>
  <c r="DC135" i="14"/>
  <c r="CS135" i="14"/>
  <c r="CT135" i="14" s="1"/>
  <c r="I111" i="14"/>
  <c r="FM103" i="14"/>
  <c r="FG103" i="14"/>
  <c r="EO103" i="14"/>
  <c r="EC103" i="14"/>
  <c r="DJ103" i="14"/>
  <c r="DM103" i="14" s="1"/>
  <c r="DD103" i="14"/>
  <c r="BC103" i="14"/>
  <c r="FM95" i="14"/>
  <c r="FH95" i="14"/>
  <c r="FA95" i="14"/>
  <c r="EO95" i="14"/>
  <c r="ED95" i="14"/>
  <c r="DX95" i="14"/>
  <c r="CL95" i="14"/>
  <c r="AA95" i="14"/>
  <c r="AH79" i="14"/>
  <c r="FA71" i="14"/>
  <c r="BO71" i="14"/>
  <c r="BC71" i="14"/>
  <c r="AV71" i="14"/>
  <c r="AO71" i="14"/>
  <c r="FH23" i="14"/>
  <c r="Z38" i="17"/>
  <c r="AA71" i="14"/>
  <c r="BL7" i="14"/>
  <c r="P23" i="17"/>
  <c r="T44" i="1"/>
  <c r="W44" i="1"/>
  <c r="FD7" i="14"/>
  <c r="S38" i="17"/>
  <c r="Z17" i="17"/>
  <c r="S36" i="17"/>
  <c r="S35" i="17"/>
  <c r="S32" i="17"/>
  <c r="S31" i="17"/>
  <c r="U28" i="37"/>
  <c r="Z79" i="27"/>
  <c r="W79" i="27"/>
  <c r="Z78" i="27"/>
  <c r="W78" i="27"/>
  <c r="AR185" i="14"/>
  <c r="AG63" i="14"/>
  <c r="AU63" i="14"/>
  <c r="S34" i="17"/>
  <c r="R63" i="14"/>
  <c r="S29" i="17"/>
  <c r="F27" i="41"/>
  <c r="DX135" i="14"/>
  <c r="AI15" i="14"/>
  <c r="P22" i="17"/>
  <c r="S41" i="17"/>
  <c r="S37" i="17"/>
  <c r="S33" i="17"/>
  <c r="S30" i="17"/>
  <c r="BJ185" i="14"/>
  <c r="AC20" i="18"/>
  <c r="AI19" i="18"/>
  <c r="AC19" i="18"/>
  <c r="AC18" i="18"/>
  <c r="AI17" i="18"/>
  <c r="AC17" i="18"/>
  <c r="AC16" i="18"/>
  <c r="AI15" i="18"/>
  <c r="AC15" i="18"/>
  <c r="AC14" i="18"/>
  <c r="AI13" i="18"/>
  <c r="AC13" i="18"/>
  <c r="AC12" i="18"/>
  <c r="AI11" i="18"/>
  <c r="AC11" i="18"/>
  <c r="U62" i="37"/>
  <c r="BK185" i="14"/>
  <c r="AN63" i="14"/>
  <c r="AC21" i="18"/>
  <c r="G62" i="55"/>
  <c r="J25" i="1"/>
  <c r="T56" i="24"/>
  <c r="J62" i="55"/>
  <c r="DL127" i="14"/>
  <c r="CS143" i="14"/>
  <c r="CT143" i="14" s="1"/>
  <c r="FQ176" i="14"/>
  <c r="FP176" i="14"/>
  <c r="P19" i="17"/>
  <c r="Z19" i="17"/>
  <c r="P13" i="17"/>
  <c r="Z13" i="17"/>
  <c r="P12" i="17"/>
  <c r="Z12" i="17"/>
  <c r="CQ217" i="14"/>
  <c r="W54" i="19"/>
  <c r="CB127" i="14"/>
  <c r="CD127" i="14" s="1"/>
  <c r="W52" i="19"/>
  <c r="CF217" i="14"/>
  <c r="X48" i="19"/>
  <c r="DQ111" i="14"/>
  <c r="FO111" i="14" s="1"/>
  <c r="X41" i="20"/>
  <c r="FX222" i="14"/>
  <c r="X33" i="20"/>
  <c r="DP151" i="14"/>
  <c r="FN153" i="14" s="1"/>
  <c r="X50" i="20"/>
  <c r="GC222" i="14"/>
  <c r="X38" i="20"/>
  <c r="DP87" i="14"/>
  <c r="FN87" i="14" s="1"/>
  <c r="X34" i="20"/>
  <c r="X30" i="20"/>
  <c r="P15" i="17"/>
  <c r="Z15" i="17"/>
  <c r="CC153" i="14"/>
  <c r="CD153" i="14" s="1"/>
  <c r="X56" i="19"/>
  <c r="DQ153" i="14"/>
  <c r="X53" i="20"/>
  <c r="CB111" i="14"/>
  <c r="W50" i="19"/>
  <c r="DX103" i="14"/>
  <c r="CS127" i="14"/>
  <c r="CT127" i="14" s="1"/>
  <c r="CW143" i="14"/>
  <c r="DX7" i="14"/>
  <c r="I187" i="14"/>
  <c r="BC135" i="14"/>
  <c r="AV135" i="14"/>
  <c r="AH135" i="14"/>
  <c r="AA135" i="14"/>
  <c r="T135" i="14"/>
  <c r="CX15" i="14"/>
  <c r="DP15" i="14" s="1"/>
  <c r="EF15" i="14" s="1"/>
  <c r="CH15" i="14"/>
  <c r="Z33" i="17"/>
  <c r="Z30" i="17"/>
  <c r="V53" i="37"/>
  <c r="V52" i="37"/>
  <c r="V49" i="37"/>
  <c r="V48" i="37"/>
  <c r="V45" i="37"/>
  <c r="V44" i="37"/>
  <c r="V29" i="37"/>
  <c r="V15" i="37"/>
  <c r="V13" i="37"/>
  <c r="CL63" i="14"/>
  <c r="P14" i="17"/>
  <c r="Z14" i="17"/>
  <c r="CR217" i="14"/>
  <c r="X54" i="19"/>
  <c r="DQ151" i="14"/>
  <c r="DY153" i="14" s="1"/>
  <c r="X51" i="20"/>
  <c r="GH222" i="14"/>
  <c r="X43" i="20"/>
  <c r="DQ87" i="14"/>
  <c r="EK87" i="14" s="1"/>
  <c r="X35" i="20"/>
  <c r="FV222" i="14"/>
  <c r="X31" i="20"/>
  <c r="DP143" i="14"/>
  <c r="EV143" i="14" s="1"/>
  <c r="X48" i="20"/>
  <c r="X40" i="20"/>
  <c r="X36" i="20"/>
  <c r="FW222" i="14"/>
  <c r="X32" i="20"/>
  <c r="GO223" i="14"/>
  <c r="X52" i="20"/>
  <c r="IT216" i="14"/>
  <c r="DL95" i="14"/>
  <c r="CT87" i="14"/>
  <c r="V166" i="14"/>
  <c r="AS166" i="14"/>
  <c r="BP166" i="14"/>
  <c r="CM166" i="14"/>
  <c r="AO186" i="14"/>
  <c r="Z11" i="17"/>
  <c r="AT185" i="14"/>
  <c r="Z16" i="17"/>
  <c r="EV79" i="14"/>
  <c r="AV185" i="14"/>
  <c r="Z18" i="17"/>
  <c r="P10" i="17"/>
  <c r="Z10" i="17"/>
  <c r="CC151" i="14"/>
  <c r="CC135" i="14"/>
  <c r="CD135" i="14" s="1"/>
  <c r="M39" i="27"/>
  <c r="F23" i="14"/>
  <c r="G39" i="27"/>
  <c r="BA15" i="14"/>
  <c r="IO257" i="14"/>
  <c r="U65" i="37"/>
  <c r="BV257" i="14"/>
  <c r="U55" i="37"/>
  <c r="O74" i="37"/>
  <c r="IH212" i="14"/>
  <c r="BV63" i="14"/>
  <c r="AB15" i="14"/>
  <c r="FC95" i="14"/>
  <c r="AR23" i="14"/>
  <c r="CD79" i="14"/>
  <c r="DO23" i="14"/>
  <c r="CB143" i="14"/>
  <c r="CD143" i="14" s="1"/>
  <c r="FB95" i="14"/>
  <c r="DM127" i="14"/>
  <c r="FK82" i="14"/>
  <c r="EY98" i="14"/>
  <c r="EY106" i="14"/>
  <c r="DM143" i="14"/>
  <c r="CW95" i="14"/>
  <c r="FK74" i="14"/>
  <c r="DQ127" i="14"/>
  <c r="CG217" i="14"/>
  <c r="DD95" i="14"/>
  <c r="CS151" i="14"/>
  <c r="CT151" i="14" s="1"/>
  <c r="EB15" i="14"/>
  <c r="FG79" i="14"/>
  <c r="EU79" i="14"/>
  <c r="GB222" i="14"/>
  <c r="CL217" i="14"/>
  <c r="D151" i="14"/>
  <c r="F151" i="14" s="1"/>
  <c r="L151" i="14" s="1"/>
  <c r="Z32" i="17"/>
  <c r="Z31" i="17"/>
  <c r="N74" i="21"/>
  <c r="CS232" i="14" s="1"/>
  <c r="C187" i="14"/>
  <c r="DJ151" i="14"/>
  <c r="DM151" i="14" s="1"/>
  <c r="DC151" i="14"/>
  <c r="AH151" i="14"/>
  <c r="FM143" i="14"/>
  <c r="FA143" i="14"/>
  <c r="EU143" i="14"/>
  <c r="EO143" i="14"/>
  <c r="EI143" i="14"/>
  <c r="DW143" i="14"/>
  <c r="DB143" i="14"/>
  <c r="DE143" i="14" s="1"/>
  <c r="CL143" i="14"/>
  <c r="BO143" i="14"/>
  <c r="AH143" i="14"/>
  <c r="T143" i="14"/>
  <c r="EC127" i="14"/>
  <c r="DW127" i="14"/>
  <c r="EJ127" i="14"/>
  <c r="DC127" i="14"/>
  <c r="BV119" i="14"/>
  <c r="DY111" i="14"/>
  <c r="EJ95" i="14"/>
  <c r="EI79" i="14"/>
  <c r="DC23" i="14"/>
  <c r="BE23" i="14"/>
  <c r="IE15" i="14"/>
  <c r="HY15" i="14"/>
  <c r="HB15" i="14"/>
  <c r="GY15" i="14"/>
  <c r="FV15" i="14"/>
  <c r="FS15" i="14"/>
  <c r="FM15" i="14"/>
  <c r="Z34" i="17"/>
  <c r="M74" i="21"/>
  <c r="DJ172" i="14"/>
  <c r="IP257" i="14"/>
  <c r="P74" i="37"/>
  <c r="V65" i="37"/>
  <c r="M267" i="14"/>
  <c r="BO268" i="14"/>
  <c r="BS268" i="14"/>
  <c r="BX268" i="14"/>
  <c r="CF268" i="14"/>
  <c r="CJ269" i="14"/>
  <c r="BJ267" i="14"/>
  <c r="BI153" i="14"/>
  <c r="FT157" i="14"/>
  <c r="GS157" i="14"/>
  <c r="L74" i="21"/>
  <c r="U74" i="21" s="1"/>
  <c r="AI31" i="39"/>
  <c r="AR31" i="39"/>
  <c r="AS31" i="39"/>
  <c r="V17" i="37"/>
  <c r="AB50" i="24"/>
  <c r="EM90" i="14"/>
  <c r="FK90" i="14"/>
  <c r="EY90" i="14"/>
  <c r="EM138" i="14"/>
  <c r="EY138" i="14"/>
  <c r="FK138" i="14"/>
  <c r="EY58" i="14"/>
  <c r="EM58" i="14"/>
  <c r="FK58" i="14"/>
  <c r="DP23" i="14"/>
  <c r="EF23" i="14" s="1"/>
  <c r="CD95" i="14"/>
  <c r="F135" i="14"/>
  <c r="DC103" i="14"/>
  <c r="U64" i="37"/>
  <c r="U58" i="37"/>
  <c r="U57" i="37"/>
  <c r="U54" i="37"/>
  <c r="U52" i="37"/>
  <c r="U50" i="37"/>
  <c r="U48" i="37"/>
  <c r="U46" i="37"/>
  <c r="U42" i="37"/>
  <c r="U39" i="37"/>
  <c r="U38" i="37"/>
  <c r="U34" i="37"/>
  <c r="U32" i="37"/>
  <c r="U31" i="37"/>
  <c r="U29" i="37"/>
  <c r="U27" i="37"/>
  <c r="U25" i="37"/>
  <c r="U24" i="37"/>
  <c r="U23" i="37"/>
  <c r="DQ23" i="14"/>
  <c r="EG23" i="14" s="1"/>
  <c r="EH23" i="14" s="1"/>
  <c r="EU157" i="14"/>
  <c r="U16" i="37"/>
  <c r="U17" i="37"/>
  <c r="DN7" i="14"/>
  <c r="ED79" i="14"/>
  <c r="DX79" i="14"/>
  <c r="GE23" i="14"/>
  <c r="FR23" i="14"/>
  <c r="FC23" i="14"/>
  <c r="K23" i="14"/>
  <c r="IF15" i="14"/>
  <c r="V64" i="37"/>
  <c r="V61" i="37"/>
  <c r="V60" i="37"/>
  <c r="V58" i="37"/>
  <c r="V57" i="37"/>
  <c r="V54" i="37"/>
  <c r="V51" i="37"/>
  <c r="V50" i="37"/>
  <c r="V47" i="37"/>
  <c r="V46" i="37"/>
  <c r="V42" i="37"/>
  <c r="V39" i="37"/>
  <c r="V34" i="37"/>
  <c r="V31" i="37"/>
  <c r="V28" i="37"/>
  <c r="V27" i="37"/>
  <c r="V25" i="37"/>
  <c r="V24" i="37"/>
  <c r="V23" i="37"/>
  <c r="V22" i="37"/>
  <c r="CG268" i="14"/>
  <c r="CI268" i="14" s="1"/>
  <c r="BK267" i="14"/>
  <c r="V16" i="37"/>
  <c r="E153" i="14"/>
  <c r="GC181" i="14"/>
  <c r="BV71" i="14"/>
  <c r="D95" i="14"/>
  <c r="F95" i="14" s="1"/>
  <c r="AO119" i="14"/>
  <c r="DB111" i="14"/>
  <c r="BV111" i="14"/>
  <c r="BC111" i="14"/>
  <c r="AV111" i="14"/>
  <c r="AO111" i="14"/>
  <c r="AH111" i="14"/>
  <c r="AA111" i="14"/>
  <c r="CW103" i="14"/>
  <c r="DJ95" i="14"/>
  <c r="DB95" i="14"/>
  <c r="DE95" i="14" s="1"/>
  <c r="T95" i="14"/>
  <c r="DD87" i="14"/>
  <c r="I87" i="14"/>
  <c r="I71" i="14"/>
  <c r="CB103" i="14"/>
  <c r="AA153" i="14"/>
  <c r="AH153" i="14"/>
  <c r="AO153" i="14"/>
  <c r="BC153" i="14"/>
  <c r="CL153" i="14"/>
  <c r="AA87" i="14"/>
  <c r="GW7" i="14"/>
  <c r="FI182" i="14"/>
  <c r="BN39" i="14"/>
  <c r="AI45" i="27"/>
  <c r="AE45" i="27"/>
  <c r="T11" i="31"/>
  <c r="AA45" i="27"/>
  <c r="W45" i="27"/>
  <c r="CN162" i="14"/>
  <c r="AZ15" i="14"/>
  <c r="BF15" i="14" s="1"/>
  <c r="HM7" i="14"/>
  <c r="GG7" i="14"/>
  <c r="EG232" i="14"/>
  <c r="FI23" i="14"/>
  <c r="FL23" i="14" s="1"/>
  <c r="DH233" i="14"/>
  <c r="DL232" i="14"/>
  <c r="DM233" i="14"/>
  <c r="I26" i="1"/>
  <c r="DL233" i="14"/>
  <c r="BZ23" i="14"/>
  <c r="CI23" i="14" s="1"/>
  <c r="DM232" i="14"/>
  <c r="FM7" i="14"/>
  <c r="FO7" i="14" s="1"/>
  <c r="FQ7" i="14" s="1"/>
  <c r="HK7" i="14"/>
  <c r="HB7" i="14"/>
  <c r="GR7" i="14"/>
  <c r="ES7" i="14"/>
  <c r="FG182" i="14"/>
  <c r="FJ177" i="14"/>
  <c r="DW47" i="14"/>
  <c r="BX182" i="14"/>
  <c r="AI182" i="14"/>
  <c r="AL7" i="14"/>
  <c r="EG39" i="14" s="1"/>
  <c r="X45" i="27"/>
  <c r="F15" i="14"/>
  <c r="C15" i="14"/>
  <c r="BA23" i="14"/>
  <c r="BG23" i="14" s="1"/>
  <c r="GH55" i="14"/>
  <c r="FC55" i="14"/>
  <c r="CS55" i="14"/>
  <c r="D39" i="14"/>
  <c r="DR39" i="14"/>
  <c r="IG32" i="14"/>
  <c r="V161" i="14"/>
  <c r="HR7" i="14"/>
  <c r="FQ15" i="14"/>
  <c r="IB47" i="14"/>
  <c r="GC32" i="14"/>
  <c r="EC32" i="14"/>
  <c r="IG31" i="14"/>
  <c r="GF31" i="14"/>
  <c r="FE31" i="14"/>
  <c r="HT15" i="14"/>
  <c r="IJ15" i="14" s="1"/>
  <c r="HX7" i="14"/>
  <c r="FB23" i="14"/>
  <c r="FU23" i="14"/>
  <c r="HH7" i="14"/>
  <c r="GO7" i="14"/>
  <c r="GE7" i="14"/>
  <c r="IP8" i="14"/>
  <c r="HZ8" i="14"/>
  <c r="HU155" i="14"/>
  <c r="BG15" i="14"/>
  <c r="FI15" i="14"/>
  <c r="FK15" i="14" s="1"/>
  <c r="HU15" i="14"/>
  <c r="E15" i="14"/>
  <c r="IS7" i="14"/>
  <c r="ES161" i="14"/>
  <c r="HN15" i="14"/>
  <c r="HK15" i="14"/>
  <c r="IA15" i="14" s="1"/>
  <c r="FH15" i="14"/>
  <c r="FX15" i="14" s="1"/>
  <c r="IL8" i="14"/>
  <c r="IN8" i="14" s="1"/>
  <c r="HV15" i="14"/>
  <c r="HW15" i="14" s="1"/>
  <c r="IJ7" i="14"/>
  <c r="IF8" i="14"/>
  <c r="DW23" i="14"/>
  <c r="EC23" i="14" s="1"/>
  <c r="ID7" i="14"/>
  <c r="HR32" i="14"/>
  <c r="FK32" i="14"/>
  <c r="FT31" i="14"/>
  <c r="D23" i="14"/>
  <c r="D15" i="14"/>
  <c r="ID8" i="14"/>
  <c r="IG7" i="14"/>
  <c r="AM7" i="14"/>
  <c r="BV31" i="14" s="1"/>
  <c r="GY32" i="14"/>
  <c r="EU32" i="14"/>
  <c r="EI31" i="14"/>
  <c r="EC31" i="14"/>
  <c r="Y186" i="14"/>
  <c r="I135" i="14"/>
  <c r="L135" i="14" s="1"/>
  <c r="N58" i="33"/>
  <c r="E63" i="14" s="1"/>
  <c r="D79" i="14"/>
  <c r="U22" i="33"/>
  <c r="U20" i="33"/>
  <c r="U18" i="33"/>
  <c r="U16" i="33"/>
  <c r="U14" i="33"/>
  <c r="U24" i="33"/>
  <c r="I103" i="14"/>
  <c r="L103" i="14" s="1"/>
  <c r="I95" i="14"/>
  <c r="U23" i="33"/>
  <c r="U21" i="33"/>
  <c r="U19" i="33"/>
  <c r="U17" i="33"/>
  <c r="U15" i="33"/>
  <c r="Z48" i="17"/>
  <c r="AG31" i="39"/>
  <c r="O58" i="33"/>
  <c r="DP153" i="14"/>
  <c r="DR153" i="14" s="1"/>
  <c r="CV221" i="14"/>
  <c r="GM222" i="14"/>
  <c r="DQ119" i="14"/>
  <c r="EE119" i="14" s="1"/>
  <c r="GE222" i="14"/>
  <c r="DP111" i="14"/>
  <c r="EV111" i="14" s="1"/>
  <c r="DQ103" i="14"/>
  <c r="EW103" i="14" s="1"/>
  <c r="FZ222" i="14"/>
  <c r="EO79" i="14"/>
  <c r="DW202" i="14"/>
  <c r="FM87" i="14"/>
  <c r="FG87" i="14"/>
  <c r="EO87" i="14"/>
  <c r="EC87" i="14"/>
  <c r="DW87" i="14"/>
  <c r="AF63" i="14"/>
  <c r="AH63" i="14" s="1"/>
  <c r="BO95" i="14"/>
  <c r="EH202" i="14"/>
  <c r="DZ202" i="14"/>
  <c r="AU186" i="14"/>
  <c r="AT186" i="14"/>
  <c r="AV103" i="14"/>
  <c r="AO103" i="14"/>
  <c r="AA103" i="14"/>
  <c r="T103" i="14"/>
  <c r="EQ202" i="14"/>
  <c r="CC111" i="14"/>
  <c r="CD111" i="14" s="1"/>
  <c r="AA41" i="18"/>
  <c r="AC41" i="18" s="1"/>
  <c r="AN186" i="14"/>
  <c r="AV119" i="14"/>
  <c r="AH119" i="14"/>
  <c r="T119" i="14"/>
  <c r="DC153" i="14"/>
  <c r="BC127" i="14"/>
  <c r="AV127" i="14"/>
  <c r="AO127" i="14"/>
  <c r="AH127" i="14"/>
  <c r="AA127" i="14"/>
  <c r="DJ119" i="14"/>
  <c r="DM119" i="14" s="1"/>
  <c r="DB119" i="14"/>
  <c r="DE119" i="14" s="1"/>
  <c r="CS119" i="14"/>
  <c r="CT119" i="14" s="1"/>
  <c r="N187" i="14"/>
  <c r="I79" i="14"/>
  <c r="DJ153" i="14"/>
  <c r="DM153" i="14" s="1"/>
  <c r="CL119" i="14"/>
  <c r="EQ95" i="14"/>
  <c r="EC119" i="14"/>
  <c r="EW127" i="14"/>
  <c r="FO127" i="14"/>
  <c r="FA127" i="14"/>
  <c r="GQ221" i="14"/>
  <c r="FR221" i="14"/>
  <c r="ES221" i="14"/>
  <c r="DT221" i="14"/>
  <c r="CU221" i="14"/>
  <c r="AX221" i="14"/>
  <c r="BW262" i="14"/>
  <c r="HQ257" i="14"/>
  <c r="DU257" i="14"/>
  <c r="BW252" i="14"/>
  <c r="V62" i="37"/>
  <c r="G63" i="14"/>
  <c r="I63" i="14" s="1"/>
  <c r="L11" i="40"/>
  <c r="M58" i="33"/>
  <c r="AA186" i="14"/>
  <c r="AL186" i="14" s="1"/>
  <c r="FF182" i="14"/>
  <c r="AP182" i="14"/>
  <c r="AB182" i="14"/>
  <c r="GG55" i="14"/>
  <c r="GI55" i="14" s="1"/>
  <c r="BM47" i="14"/>
  <c r="BO47" i="14" s="1"/>
  <c r="H23" i="14"/>
  <c r="HY23" i="14"/>
  <c r="CT161" i="14"/>
  <c r="AV7" i="14"/>
  <c r="CN47" i="14" s="1"/>
  <c r="C23" i="14"/>
  <c r="FK182" i="14"/>
  <c r="DP182" i="14"/>
  <c r="BZ182" i="14"/>
  <c r="AW182" i="14"/>
  <c r="AO182" i="14"/>
  <c r="HN176" i="14"/>
  <c r="EW55" i="14"/>
  <c r="DX55" i="14"/>
  <c r="DR55" i="14"/>
  <c r="D55" i="14"/>
  <c r="GO47" i="14"/>
  <c r="FC47" i="14"/>
  <c r="DX47" i="14"/>
  <c r="BH39" i="14"/>
  <c r="AI39" i="14"/>
  <c r="IM31" i="14"/>
  <c r="HX31" i="14"/>
  <c r="HO31" i="14"/>
  <c r="CS31" i="14"/>
  <c r="AI31" i="14"/>
  <c r="DX23" i="14"/>
  <c r="ED23" i="14" s="1"/>
  <c r="CR162" i="14"/>
  <c r="BZ15" i="14"/>
  <c r="CC15" i="14"/>
  <c r="IC7" i="14"/>
  <c r="P21" i="27"/>
  <c r="GN23" i="14"/>
  <c r="BY162" i="14"/>
  <c r="FL182" i="14"/>
  <c r="DQ182" i="14"/>
  <c r="CC182" i="14"/>
  <c r="W181" i="14"/>
  <c r="HO176" i="14"/>
  <c r="FI177" i="14"/>
  <c r="IF55" i="14"/>
  <c r="HZ55" i="14"/>
  <c r="HL55" i="14"/>
  <c r="GU55" i="14"/>
  <c r="EQ55" i="14"/>
  <c r="EE55" i="14"/>
  <c r="DL55" i="14"/>
  <c r="CG55" i="14"/>
  <c r="BB55" i="14"/>
  <c r="AV55" i="14"/>
  <c r="AH55" i="14"/>
  <c r="AC55" i="14"/>
  <c r="Q55" i="14"/>
  <c r="K55" i="14"/>
  <c r="IL47" i="14"/>
  <c r="HZ47" i="14"/>
  <c r="HL47" i="14"/>
  <c r="FB47" i="14"/>
  <c r="FD47" i="14" s="1"/>
  <c r="DL47" i="14"/>
  <c r="CZ47" i="14"/>
  <c r="CA47" i="14"/>
  <c r="BB47" i="14"/>
  <c r="AH47" i="14"/>
  <c r="AC47" i="14"/>
  <c r="EE39" i="14"/>
  <c r="CZ39" i="14"/>
  <c r="AV39" i="14"/>
  <c r="AH39" i="14"/>
  <c r="AC39" i="14"/>
  <c r="GV32" i="14"/>
  <c r="CR31" i="14"/>
  <c r="CT31" i="14" s="1"/>
  <c r="BM31" i="14"/>
  <c r="HW8" i="14"/>
  <c r="IM7" i="14"/>
  <c r="AP47" i="14"/>
  <c r="CA15" i="14"/>
  <c r="CE15" i="14" s="1"/>
  <c r="IR8" i="14"/>
  <c r="IT8" i="14" s="1"/>
  <c r="AZ23" i="14"/>
  <c r="BF23" i="14" s="1"/>
  <c r="BZ162" i="14"/>
  <c r="O37" i="27"/>
  <c r="CR39" i="14"/>
  <c r="AC31" i="14"/>
  <c r="HA23" i="14"/>
  <c r="IJ8" i="14"/>
  <c r="IP7" i="14"/>
  <c r="IQ7" i="14" s="1"/>
  <c r="IA7" i="14"/>
  <c r="HU7" i="14"/>
  <c r="FH182" i="14"/>
  <c r="DU182" i="14"/>
  <c r="BY182" i="14"/>
  <c r="CE182" i="14" s="1"/>
  <c r="AX182" i="14"/>
  <c r="AT182" i="14"/>
  <c r="AL182" i="14"/>
  <c r="AF182" i="14"/>
  <c r="FM177" i="14"/>
  <c r="FK177" i="14"/>
  <c r="FB55" i="14"/>
  <c r="CR55" i="14"/>
  <c r="C55" i="14"/>
  <c r="GG47" i="14"/>
  <c r="CR47" i="14"/>
  <c r="C39" i="14"/>
  <c r="BB31" i="14"/>
  <c r="BE31" i="14" s="1"/>
  <c r="K31" i="14"/>
  <c r="S39" i="14"/>
  <c r="S31" i="14"/>
  <c r="I39" i="27"/>
  <c r="AP7" i="14"/>
  <c r="AW39" i="14" s="1"/>
  <c r="AX55" i="14"/>
  <c r="C31" i="14"/>
  <c r="GN177" i="14"/>
  <c r="N22" i="27"/>
  <c r="IO8" i="14"/>
  <c r="HU8" i="14"/>
  <c r="HV8" i="14" s="1"/>
  <c r="HZ7" i="14"/>
  <c r="IL55" i="14"/>
  <c r="HG55" i="14"/>
  <c r="GO55" i="14"/>
  <c r="GB55" i="14"/>
  <c r="FJ55" i="14"/>
  <c r="EK55" i="14"/>
  <c r="DF55" i="14"/>
  <c r="AP55" i="14"/>
  <c r="IF47" i="14"/>
  <c r="GB47" i="14"/>
  <c r="FP47" i="14"/>
  <c r="EE47" i="14"/>
  <c r="CM47" i="14"/>
  <c r="BH47" i="14"/>
  <c r="AV47" i="14"/>
  <c r="Q47" i="14"/>
  <c r="DF39" i="14"/>
  <c r="CM39" i="14"/>
  <c r="CC39" i="14"/>
  <c r="AP39" i="14"/>
  <c r="W39" i="14"/>
  <c r="Q39" i="14"/>
  <c r="K39" i="14"/>
  <c r="FZ31" i="14"/>
  <c r="FN31" i="14"/>
  <c r="FK31" i="14"/>
  <c r="DR31" i="14"/>
  <c r="CA31" i="14"/>
  <c r="BH31" i="14"/>
  <c r="AP31" i="14"/>
  <c r="W31" i="14"/>
  <c r="II8" i="14"/>
  <c r="IA8" i="14"/>
  <c r="N37" i="27"/>
  <c r="FE182" i="14"/>
  <c r="DT182" i="14"/>
  <c r="DR182" i="14"/>
  <c r="CB182" i="14"/>
  <c r="IM176" i="14"/>
  <c r="AS182" i="14"/>
  <c r="AM182" i="14"/>
  <c r="AK182" i="14"/>
  <c r="AA182" i="14"/>
  <c r="GM177" i="14"/>
  <c r="FL177" i="14"/>
  <c r="FH177" i="14"/>
  <c r="HM55" i="14"/>
  <c r="HN55" i="14" s="1"/>
  <c r="HM47" i="14"/>
  <c r="CS47" i="14"/>
  <c r="AI47" i="14"/>
  <c r="D47" i="14"/>
  <c r="DX39" i="14"/>
  <c r="CS39" i="14"/>
  <c r="CT39" i="14" s="1"/>
  <c r="BN31" i="14"/>
  <c r="CA162" i="14"/>
  <c r="CA39" i="14"/>
  <c r="DH55" i="14"/>
  <c r="BU31" i="14"/>
  <c r="HT47" i="14"/>
  <c r="AI55" i="14"/>
  <c r="AJ55" i="14" s="1"/>
  <c r="HT55" i="14"/>
  <c r="HL23" i="14"/>
  <c r="HX8" i="14"/>
  <c r="DF31" i="14"/>
  <c r="CM31" i="14"/>
  <c r="CG31" i="14"/>
  <c r="AV31" i="14"/>
  <c r="Q31" i="14"/>
  <c r="IG8" i="14"/>
  <c r="IC8" i="14"/>
  <c r="DW15" i="14"/>
  <c r="EC15" i="14" s="1"/>
  <c r="AS7" i="14"/>
  <c r="CH31" i="14" s="1"/>
  <c r="HK31" i="14"/>
  <c r="GY31" i="14"/>
  <c r="BT31" i="39"/>
  <c r="BQ31" i="39"/>
  <c r="N13" i="39" s="1"/>
  <c r="BB31" i="39"/>
  <c r="BE31" i="39" s="1"/>
  <c r="AV31" i="39"/>
  <c r="AM31" i="39"/>
  <c r="AH31" i="39"/>
  <c r="BS31" i="39"/>
  <c r="BP31" i="39"/>
  <c r="R13" i="39" s="1"/>
  <c r="BA31" i="39"/>
  <c r="BD31" i="39" s="1"/>
  <c r="AU31" i="39"/>
  <c r="AL31" i="39"/>
  <c r="AF31" i="39"/>
  <c r="BD7" i="14"/>
  <c r="FN15" i="14"/>
  <c r="GT15" i="14"/>
  <c r="DT23" i="14"/>
  <c r="EN23" i="14" s="1"/>
  <c r="EY23" i="14"/>
  <c r="BJ7" i="14"/>
  <c r="FW23" i="14"/>
  <c r="BW7" i="14"/>
  <c r="IR157" i="14"/>
  <c r="GW15" i="14"/>
  <c r="IH15" i="14"/>
  <c r="BF7" i="14"/>
  <c r="BG7" i="14" s="1"/>
  <c r="AK267" i="14"/>
  <c r="CE7" i="14"/>
  <c r="CH7" i="14" s="1"/>
  <c r="CJ7" i="14" s="1"/>
  <c r="BE15" i="14"/>
  <c r="CC7" i="14"/>
  <c r="BN268" i="14"/>
  <c r="BR268" i="14"/>
  <c r="BY268" i="14"/>
  <c r="CC268" i="14"/>
  <c r="HR157" i="14"/>
  <c r="V38" i="37"/>
  <c r="AX262" i="14"/>
  <c r="ET257" i="14"/>
  <c r="CV257" i="14"/>
  <c r="AX257" i="14"/>
  <c r="GR252" i="14"/>
  <c r="CV252" i="14"/>
  <c r="GO222" i="14"/>
  <c r="DW151" i="14"/>
  <c r="DP119" i="14"/>
  <c r="FH119" i="14" s="1"/>
  <c r="GG222" i="14"/>
  <c r="FG119" i="14"/>
  <c r="EU119" i="14"/>
  <c r="EO119" i="14"/>
  <c r="EV151" i="14"/>
  <c r="FH151" i="14"/>
  <c r="DW119" i="14"/>
  <c r="DX151" i="14"/>
  <c r="EJ143" i="14"/>
  <c r="EP143" i="14"/>
  <c r="FB143" i="14"/>
  <c r="DR143" i="14"/>
  <c r="DZ143" i="14" s="1"/>
  <c r="EE111" i="14"/>
  <c r="ET63" i="14"/>
  <c r="EU63" i="14" s="1"/>
  <c r="FM111" i="14"/>
  <c r="FG111" i="14"/>
  <c r="FA111" i="14"/>
  <c r="EU111" i="14"/>
  <c r="EO111" i="14"/>
  <c r="EI111" i="14"/>
  <c r="DW111" i="14"/>
  <c r="FC87" i="14"/>
  <c r="DQ79" i="14"/>
  <c r="FC79" i="14" s="1"/>
  <c r="EJ87" i="14"/>
  <c r="EE151" i="14"/>
  <c r="EV87" i="14"/>
  <c r="DY71" i="14"/>
  <c r="GR222" i="14"/>
  <c r="EE95" i="14"/>
  <c r="FI95" i="14"/>
  <c r="EJ103" i="14"/>
  <c r="R47" i="20"/>
  <c r="EC63" i="14"/>
  <c r="R46" i="20"/>
  <c r="R50" i="20" s="1"/>
  <c r="DP71" i="14"/>
  <c r="FH71" i="14" s="1"/>
  <c r="FU222" i="14"/>
  <c r="EO63" i="14"/>
  <c r="FA63" i="14"/>
  <c r="FG63" i="14"/>
  <c r="FM63" i="14"/>
  <c r="DW63" i="14"/>
  <c r="GB216" i="14"/>
  <c r="FN216" i="14"/>
  <c r="FB119" i="14"/>
  <c r="FB103" i="14"/>
  <c r="EW71" i="14"/>
  <c r="EJ79" i="14"/>
  <c r="EI95" i="14"/>
  <c r="ED153" i="14"/>
  <c r="FA119" i="14"/>
  <c r="FO103" i="14"/>
  <c r="FI79" i="14"/>
  <c r="FO143" i="14"/>
  <c r="EK143" i="14"/>
  <c r="EQ143" i="14"/>
  <c r="FC153" i="14"/>
  <c r="DR135" i="14"/>
  <c r="FD135" i="14" s="1"/>
  <c r="FM135" i="14"/>
  <c r="FN95" i="14"/>
  <c r="R22" i="20"/>
  <c r="FI87" i="14"/>
  <c r="FG95" i="14"/>
  <c r="EQ87" i="14"/>
  <c r="EE135" i="14"/>
  <c r="EP79" i="14"/>
  <c r="IF216" i="14"/>
  <c r="HD216" i="14"/>
  <c r="EZ216" i="14"/>
  <c r="DX216" i="14"/>
  <c r="FB135" i="14"/>
  <c r="DY103" i="14"/>
  <c r="EK71" i="14"/>
  <c r="EI127" i="14"/>
  <c r="EV153" i="14"/>
  <c r="BV221" i="14"/>
  <c r="BW221" i="14"/>
  <c r="EU87" i="14"/>
  <c r="ED135" i="14"/>
  <c r="EW143" i="14"/>
  <c r="FH103" i="14"/>
  <c r="FM127" i="14"/>
  <c r="FG135" i="14"/>
  <c r="EK151" i="14"/>
  <c r="EC95" i="14"/>
  <c r="FC119" i="14"/>
  <c r="EE127" i="14"/>
  <c r="EW153" i="14"/>
  <c r="FC71" i="14"/>
  <c r="FO71" i="14"/>
  <c r="FM79" i="14"/>
  <c r="FC135" i="14"/>
  <c r="Y221" i="14"/>
  <c r="FC151" i="14"/>
  <c r="EQ151" i="14"/>
  <c r="IF217" i="14"/>
  <c r="DR103" i="14"/>
  <c r="ER103" i="14" s="1"/>
  <c r="HR216" i="14"/>
  <c r="GP216" i="14"/>
  <c r="EL216" i="14"/>
  <c r="DJ216" i="14"/>
  <c r="FG151" i="14"/>
  <c r="EI63" i="14"/>
  <c r="EI103" i="14"/>
  <c r="EI119" i="14"/>
  <c r="EI135" i="14"/>
  <c r="EJ151" i="14"/>
  <c r="EC143" i="14"/>
  <c r="EK153" i="14"/>
  <c r="FI153" i="14"/>
  <c r="ER143" i="14"/>
  <c r="FI143" i="14"/>
  <c r="EV135" i="14"/>
  <c r="EP119" i="14"/>
  <c r="EV103" i="14"/>
  <c r="EP103" i="14"/>
  <c r="EQ71" i="14"/>
  <c r="FO87" i="14"/>
  <c r="EJ135" i="14"/>
  <c r="FN135" i="14"/>
  <c r="FH135" i="14"/>
  <c r="FO79" i="14"/>
  <c r="FC143" i="14"/>
  <c r="DR95" i="14"/>
  <c r="ER95" i="14" s="1"/>
  <c r="FO95" i="14"/>
  <c r="DY95" i="14"/>
  <c r="FN103" i="14"/>
  <c r="DY143" i="14"/>
  <c r="EW135" i="14"/>
  <c r="DY127" i="14"/>
  <c r="FO119" i="14"/>
  <c r="DW135" i="14"/>
  <c r="EU151" i="14"/>
  <c r="DR127" i="14"/>
  <c r="EF127" i="14" s="1"/>
  <c r="EQ127" i="14"/>
  <c r="FC127" i="14"/>
  <c r="FM71" i="14"/>
  <c r="EJ119" i="14"/>
  <c r="ED143" i="14"/>
  <c r="ED127" i="14"/>
  <c r="EW87" i="14"/>
  <c r="FI71" i="14"/>
  <c r="DX127" i="14"/>
  <c r="EU127" i="14"/>
  <c r="FG127" i="14"/>
  <c r="EC111" i="14"/>
  <c r="FA79" i="14"/>
  <c r="EE87" i="14"/>
  <c r="X221" i="14"/>
  <c r="EO151" i="14"/>
  <c r="EC151" i="14"/>
  <c r="DY151" i="14"/>
  <c r="FM119" i="14"/>
  <c r="FA103" i="14"/>
  <c r="DW103" i="14"/>
  <c r="EO71" i="14"/>
  <c r="EI71" i="14"/>
  <c r="EC71" i="14"/>
  <c r="EU153" i="14"/>
  <c r="FA153" i="14"/>
  <c r="FG153" i="14"/>
  <c r="FM153" i="14"/>
  <c r="CT217" i="14"/>
  <c r="CB151" i="14"/>
  <c r="CD151" i="14" s="1"/>
  <c r="CP217" i="14"/>
  <c r="Q57" i="19"/>
  <c r="X57" i="19" s="1"/>
  <c r="CC119" i="14"/>
  <c r="CD119" i="14" s="1"/>
  <c r="CB87" i="14"/>
  <c r="CD87" i="14" s="1"/>
  <c r="P57" i="19"/>
  <c r="CD71" i="14"/>
  <c r="CL71" i="14"/>
  <c r="GG212" i="14"/>
  <c r="BV151" i="14"/>
  <c r="BV127" i="14"/>
  <c r="BV79" i="14"/>
  <c r="HG212" i="14"/>
  <c r="AI25" i="18"/>
  <c r="FS207" i="14"/>
  <c r="AB41" i="18"/>
  <c r="FR207" i="14"/>
  <c r="EN202" i="14"/>
  <c r="EJ202" i="14"/>
  <c r="EF202" i="14"/>
  <c r="EB202" i="14"/>
  <c r="DX202" i="14"/>
  <c r="AB22" i="18"/>
  <c r="BM63" i="14"/>
  <c r="EO202" i="14"/>
  <c r="AI21" i="18"/>
  <c r="AJ21" i="18"/>
  <c r="AJ20" i="18"/>
  <c r="AI20" i="18"/>
  <c r="AJ18" i="18"/>
  <c r="AI18" i="18"/>
  <c r="AJ16" i="18"/>
  <c r="AI16" i="18"/>
  <c r="AJ14" i="18"/>
  <c r="AI14" i="18"/>
  <c r="AJ12" i="18"/>
  <c r="AI12" i="18"/>
  <c r="ER202" i="14"/>
  <c r="EP202" i="14"/>
  <c r="AA22" i="18"/>
  <c r="EM202" i="14"/>
  <c r="EK202" i="14"/>
  <c r="EI202" i="14"/>
  <c r="EG202" i="14"/>
  <c r="EE202" i="14"/>
  <c r="EC202" i="14"/>
  <c r="EA202" i="14"/>
  <c r="DY202" i="14"/>
  <c r="BN63" i="14"/>
  <c r="BO63" i="14" s="1"/>
  <c r="BO79" i="14"/>
  <c r="CE190" i="14"/>
  <c r="IB192" i="14"/>
  <c r="R40" i="17"/>
  <c r="CD190" i="14"/>
  <c r="R39" i="17"/>
  <c r="CA190" i="14"/>
  <c r="BW190" i="14"/>
  <c r="EF192" i="14"/>
  <c r="L21" i="17"/>
  <c r="K40" i="33" s="1"/>
  <c r="IC192" i="14"/>
  <c r="EG192" i="14"/>
  <c r="DH191" i="14"/>
  <c r="CB190" i="14"/>
  <c r="BZ190" i="14"/>
  <c r="BX190" i="14"/>
  <c r="BV190" i="14"/>
  <c r="CC190" i="14"/>
  <c r="BY190" i="14"/>
  <c r="BN185" i="14"/>
  <c r="P18" i="17"/>
  <c r="L20" i="17"/>
  <c r="K38" i="33" s="1"/>
  <c r="BR185" i="14"/>
  <c r="AS185" i="14"/>
  <c r="DH192" i="14"/>
  <c r="R43" i="17"/>
  <c r="R22" i="17"/>
  <c r="BL185" i="14"/>
  <c r="DG192" i="14"/>
  <c r="AO185" i="14"/>
  <c r="R23" i="17"/>
  <c r="R44" i="17"/>
  <c r="Z45" i="17"/>
  <c r="AN185" i="14"/>
  <c r="DC71" i="14"/>
  <c r="U13" i="33"/>
  <c r="F127" i="14"/>
  <c r="L127" i="14" s="1"/>
  <c r="W187" i="14"/>
  <c r="U187" i="14"/>
  <c r="S187" i="14"/>
  <c r="DL143" i="14"/>
  <c r="DE111" i="14"/>
  <c r="CW79" i="14"/>
  <c r="DL71" i="14"/>
  <c r="HA181" i="14"/>
  <c r="FC186" i="14"/>
  <c r="HN186" i="14"/>
  <c r="AK192" i="14"/>
  <c r="FD186" i="14"/>
  <c r="DK87" i="14"/>
  <c r="BI87" i="14"/>
  <c r="CS103" i="14"/>
  <c r="CT103" i="14" s="1"/>
  <c r="CS95" i="14"/>
  <c r="CT95" i="14" s="1"/>
  <c r="DJ79" i="14"/>
  <c r="DM79" i="14" s="1"/>
  <c r="DK95" i="14"/>
  <c r="DD135" i="14"/>
  <c r="DL151" i="14"/>
  <c r="DD119" i="14"/>
  <c r="L87" i="14"/>
  <c r="F143" i="14"/>
  <c r="F71" i="14"/>
  <c r="L71" i="14" s="1"/>
  <c r="DL153" i="14"/>
  <c r="F111" i="14"/>
  <c r="L111" i="14" s="1"/>
  <c r="CW71" i="14"/>
  <c r="F119" i="14"/>
  <c r="L119" i="14" s="1"/>
  <c r="HZ181" i="14"/>
  <c r="D153" i="14"/>
  <c r="F153" i="14" s="1"/>
  <c r="M187" i="14"/>
  <c r="DE87" i="14"/>
  <c r="DK71" i="14"/>
  <c r="I153" i="14"/>
  <c r="DK111" i="14"/>
  <c r="DM95" i="14"/>
  <c r="II186" i="14"/>
  <c r="P191" i="14"/>
  <c r="EI186" i="14"/>
  <c r="GT186" i="14"/>
  <c r="Q191" i="14"/>
  <c r="AL192" i="14"/>
  <c r="AO87" i="14"/>
  <c r="T153" i="14"/>
  <c r="DB153" i="14"/>
  <c r="DE153" i="14" s="1"/>
  <c r="DD143" i="14"/>
  <c r="HO186" i="14"/>
  <c r="DB127" i="14"/>
  <c r="DE127" i="14" s="1"/>
  <c r="DN186" i="14"/>
  <c r="DM186" i="14"/>
  <c r="AT63" i="14"/>
  <c r="AV63" i="14" s="1"/>
  <c r="AR186" i="14"/>
  <c r="DB135" i="14"/>
  <c r="DE135" i="14" s="1"/>
  <c r="AV186" i="14"/>
  <c r="Z63" i="14"/>
  <c r="AQ186" i="14"/>
  <c r="AP186" i="14"/>
  <c r="DJ87" i="14"/>
  <c r="DM87" i="14" s="1"/>
  <c r="BG186" i="14"/>
  <c r="BI185" i="14"/>
  <c r="AW186" i="14"/>
  <c r="DB79" i="14"/>
  <c r="DE79" i="14" s="1"/>
  <c r="DI63" i="14"/>
  <c r="DJ63" i="14" s="1"/>
  <c r="DM63" i="14" s="1"/>
  <c r="DA63" i="14"/>
  <c r="DD63" i="14" s="1"/>
  <c r="BF186" i="14"/>
  <c r="X25" i="33"/>
  <c r="CR186" i="14"/>
  <c r="CW151" i="14"/>
  <c r="T111" i="14"/>
  <c r="BO185" i="14"/>
  <c r="AA79" i="14"/>
  <c r="DK63" i="14"/>
  <c r="W25" i="33"/>
  <c r="Z49" i="17"/>
  <c r="BU185" i="14"/>
  <c r="BI63" i="14"/>
  <c r="BQ185" i="14"/>
  <c r="AM63" i="14"/>
  <c r="AO63" i="14" s="1"/>
  <c r="BM185" i="14"/>
  <c r="AS186" i="14"/>
  <c r="BW186" i="14"/>
  <c r="CU63" i="14"/>
  <c r="CW63" i="14" s="1"/>
  <c r="CS63" i="14"/>
  <c r="CT63" i="14" s="1"/>
  <c r="Y63" i="14"/>
  <c r="CZ63" i="14"/>
  <c r="DD71" i="14"/>
  <c r="S63" i="14"/>
  <c r="D7" i="14"/>
  <c r="P7" i="14" s="1"/>
  <c r="N70" i="55"/>
  <c r="AO135" i="14"/>
  <c r="DK119" i="14"/>
  <c r="BC119" i="14"/>
  <c r="AA119" i="14"/>
  <c r="DK103" i="14"/>
  <c r="DB103" i="14"/>
  <c r="DE103" i="14" s="1"/>
  <c r="AH103" i="14"/>
  <c r="AO79" i="14"/>
  <c r="F79" i="14"/>
  <c r="IK162" i="14"/>
  <c r="AA151" i="14"/>
  <c r="AA143" i="14"/>
  <c r="I143" i="14"/>
  <c r="L143" i="14" s="1"/>
  <c r="DK135" i="14"/>
  <c r="BC95" i="14"/>
  <c r="AO95" i="14"/>
  <c r="AH95" i="14"/>
  <c r="BC79" i="14"/>
  <c r="AV79" i="14"/>
  <c r="AO23" i="14"/>
  <c r="AA23" i="14"/>
  <c r="AS23" i="14" s="1"/>
  <c r="DI15" i="14"/>
  <c r="DF15" i="14"/>
  <c r="W172" i="14"/>
  <c r="W23" i="14"/>
  <c r="GB167" i="14"/>
  <c r="T23" i="14"/>
  <c r="BI143" i="14"/>
  <c r="IL162" i="14"/>
  <c r="Q15" i="14"/>
  <c r="DK172" i="14"/>
  <c r="V172" i="14"/>
  <c r="GA167" i="14"/>
  <c r="AO15" i="14"/>
  <c r="AL15" i="14"/>
  <c r="AB23" i="14"/>
  <c r="AT23" i="14" s="1"/>
  <c r="BJ23" i="14" s="1"/>
  <c r="AA15" i="14"/>
  <c r="CW15" i="14"/>
  <c r="CN15" i="14"/>
  <c r="GV7" i="14"/>
  <c r="EF232" i="14"/>
  <c r="K47" i="14"/>
  <c r="HA47" i="14"/>
  <c r="W47" i="14"/>
  <c r="BM39" i="14"/>
  <c r="AQ182" i="14"/>
  <c r="HA55" i="14"/>
  <c r="FP55" i="14"/>
  <c r="CM55" i="14"/>
  <c r="BU55" i="14"/>
  <c r="W55" i="14"/>
  <c r="HG47" i="14"/>
  <c r="EK47" i="14"/>
  <c r="DR47" i="14"/>
  <c r="CG47" i="14"/>
  <c r="CG39" i="14"/>
  <c r="BU39" i="14"/>
  <c r="BB39" i="14"/>
  <c r="HL7" i="14"/>
  <c r="HN7" i="14" s="1"/>
  <c r="GD23" i="14"/>
  <c r="GG23" i="14" s="1"/>
  <c r="EW232" i="14"/>
  <c r="DW232" i="14"/>
  <c r="GB7" i="14"/>
  <c r="FY7" i="14"/>
  <c r="EX7" i="14"/>
  <c r="FA7" i="14"/>
  <c r="HS8" i="14"/>
  <c r="FW32" i="14"/>
  <c r="FA32" i="14"/>
  <c r="ER32" i="14"/>
  <c r="EL32" i="14"/>
  <c r="Q21" i="27"/>
  <c r="HQ7" i="14"/>
  <c r="E23" i="14"/>
  <c r="AU7" i="14"/>
  <c r="BJ47" i="14" s="1"/>
  <c r="AR7" i="14"/>
  <c r="AB7" i="14" s="1"/>
  <c r="HN155" i="14"/>
  <c r="HR155" i="14" s="1"/>
  <c r="CB15" i="14"/>
  <c r="IR7" i="14"/>
  <c r="II7" i="14"/>
  <c r="HW7" i="14"/>
  <c r="O20" i="27"/>
  <c r="GW23" i="14" s="1"/>
  <c r="HC23" i="14" s="1"/>
  <c r="N20" i="27"/>
  <c r="HE31" i="14"/>
  <c r="GS31" i="14"/>
  <c r="GM31" i="14"/>
  <c r="IF7" i="14"/>
  <c r="EU31" i="14"/>
  <c r="IL7" i="14"/>
  <c r="HT7" i="14"/>
  <c r="HS155" i="14"/>
  <c r="DZ31" i="14"/>
  <c r="FI7" i="14"/>
  <c r="GF7" i="14"/>
  <c r="GF23" i="14"/>
  <c r="GU7" i="14"/>
  <c r="GL7" i="14"/>
  <c r="FG7" i="14"/>
  <c r="FH7" i="14"/>
  <c r="FL7" i="14" s="1"/>
  <c r="V11" i="37"/>
  <c r="U44" i="37"/>
  <c r="U45" i="37"/>
  <c r="U47" i="37"/>
  <c r="U49" i="37"/>
  <c r="U51" i="37"/>
  <c r="U53" i="37"/>
  <c r="U60" i="37"/>
  <c r="U61" i="37"/>
  <c r="DT262" i="14"/>
  <c r="X262" i="14"/>
  <c r="HP257" i="14"/>
  <c r="DT257" i="14"/>
  <c r="CU257" i="14"/>
  <c r="AW257" i="14"/>
  <c r="IO252" i="14"/>
  <c r="GQ252" i="14"/>
  <c r="ES252" i="14"/>
  <c r="CU252" i="14"/>
  <c r="X252" i="14"/>
  <c r="GR242" i="14"/>
  <c r="ET242" i="14"/>
  <c r="DU242" i="14"/>
  <c r="FG71" i="14"/>
  <c r="EU71" i="14"/>
  <c r="EI153" i="14"/>
  <c r="EO153" i="14"/>
  <c r="FM151" i="14"/>
  <c r="FA151" i="14"/>
  <c r="EO127" i="14"/>
  <c r="AC45" i="39"/>
  <c r="U3" i="39"/>
  <c r="AC38" i="39"/>
  <c r="C8" i="39"/>
  <c r="D8" i="39" s="1"/>
  <c r="J4" i="39"/>
  <c r="CJ268" i="14"/>
  <c r="IO221" i="14"/>
  <c r="IT217" i="14"/>
  <c r="FO181" i="14"/>
  <c r="ED15" i="14"/>
  <c r="CC47" i="14"/>
  <c r="DZ32" i="14"/>
  <c r="FE32" i="14"/>
  <c r="GJ32" i="14"/>
  <c r="HO32" i="14"/>
  <c r="GF212" i="14"/>
  <c r="DD127" i="14"/>
  <c r="CS71" i="14"/>
  <c r="CT71" i="14" s="1"/>
  <c r="DK143" i="14"/>
  <c r="DK79" i="14"/>
  <c r="DG191" i="14"/>
  <c r="L187" i="14"/>
  <c r="FP181" i="14"/>
  <c r="FJ182" i="14"/>
  <c r="AT177" i="14"/>
  <c r="GR176" i="14"/>
  <c r="GL177" i="14"/>
  <c r="BO151" i="14"/>
  <c r="BC151" i="14"/>
  <c r="AO151" i="14"/>
  <c r="T151" i="14"/>
  <c r="FG143" i="14"/>
  <c r="EK135" i="14"/>
  <c r="DK127" i="14"/>
  <c r="FH111" i="14"/>
  <c r="EU103" i="14"/>
  <c r="BO103" i="14"/>
  <c r="BV95" i="14"/>
  <c r="FA87" i="14"/>
  <c r="CL87" i="14"/>
  <c r="BV87" i="14"/>
  <c r="BO87" i="14"/>
  <c r="DW71" i="14"/>
  <c r="T71" i="14"/>
  <c r="BN55" i="14"/>
  <c r="BH55" i="14"/>
  <c r="FJ47" i="14"/>
  <c r="EW47" i="14"/>
  <c r="EQ39" i="14"/>
  <c r="EK39" i="14"/>
  <c r="DL39" i="14"/>
  <c r="DL31" i="14"/>
  <c r="D31" i="14"/>
  <c r="EB23" i="14"/>
  <c r="CT23" i="14"/>
  <c r="IC15" i="14"/>
  <c r="HZ15" i="14"/>
  <c r="GZ15" i="14"/>
  <c r="DL15" i="14"/>
  <c r="HE7" i="14"/>
  <c r="FV7" i="14"/>
  <c r="DD7" i="14"/>
  <c r="CD103" i="14"/>
  <c r="EH186" i="14"/>
  <c r="HH212" i="14"/>
  <c r="BV153" i="14"/>
  <c r="EC153" i="14"/>
  <c r="BI111" i="14"/>
  <c r="BI127" i="14"/>
  <c r="II23" i="14"/>
  <c r="GT23" i="14"/>
  <c r="HR23" i="14"/>
  <c r="CW156" i="14"/>
  <c r="H7" i="39"/>
  <c r="I7" i="39" s="1"/>
  <c r="V7" i="39"/>
  <c r="W7" i="39" s="1"/>
  <c r="O7" i="39"/>
  <c r="P7" i="39" s="1"/>
  <c r="BT161" i="14"/>
  <c r="CS161" i="14"/>
  <c r="DS161" i="14"/>
  <c r="IP32" i="14"/>
  <c r="IM32" i="14"/>
  <c r="IA32" i="14"/>
  <c r="HH32" i="14"/>
  <c r="GM32" i="14"/>
  <c r="CL111" i="14"/>
  <c r="CL151" i="14"/>
  <c r="BV143" i="14"/>
  <c r="CL135" i="14"/>
  <c r="BV135" i="14"/>
  <c r="CL127" i="14"/>
  <c r="BV103" i="14"/>
  <c r="GO15" i="14"/>
  <c r="W161" i="14"/>
  <c r="AU161" i="14"/>
  <c r="DR161" i="14"/>
  <c r="AV161" i="14"/>
  <c r="BU161" i="14"/>
  <c r="IB55" i="14"/>
  <c r="GW55" i="14"/>
  <c r="AX39" i="14"/>
  <c r="DH47" i="14"/>
  <c r="S55" i="14"/>
  <c r="CC31" i="14"/>
  <c r="GW47" i="14"/>
  <c r="GH15" i="14"/>
  <c r="GX15" i="14" s="1"/>
  <c r="GE15" i="14"/>
  <c r="GU15" i="14" s="1"/>
  <c r="GS15" i="14"/>
  <c r="GK15" i="14"/>
  <c r="HA15" i="14" s="1"/>
  <c r="DY156" i="14"/>
  <c r="DH39" i="14"/>
  <c r="IJ32" i="14"/>
  <c r="ID32" i="14"/>
  <c r="HX32" i="14"/>
  <c r="HU32" i="14"/>
  <c r="HK32" i="14"/>
  <c r="HE32" i="14"/>
  <c r="HB32" i="14"/>
  <c r="GS32" i="14"/>
  <c r="GP32" i="14"/>
  <c r="GF32" i="14"/>
  <c r="FZ32" i="14"/>
  <c r="FT32" i="14"/>
  <c r="FQ32" i="14"/>
  <c r="FN32" i="14"/>
  <c r="FH32" i="14"/>
  <c r="EX32" i="14"/>
  <c r="EO32" i="14"/>
  <c r="EI32" i="14"/>
  <c r="EF32" i="14"/>
  <c r="IP31" i="14"/>
  <c r="IJ31" i="14"/>
  <c r="ID31" i="14"/>
  <c r="IA31" i="14"/>
  <c r="HU31" i="14"/>
  <c r="HR31" i="14"/>
  <c r="HH31" i="14"/>
  <c r="HB31" i="14"/>
  <c r="GV31" i="14"/>
  <c r="GP31" i="14"/>
  <c r="GJ31" i="14"/>
  <c r="GC31" i="14"/>
  <c r="FW31" i="14"/>
  <c r="FQ31" i="14"/>
  <c r="FH31" i="14"/>
  <c r="FA31" i="14"/>
  <c r="EX31" i="14"/>
  <c r="ER31" i="14"/>
  <c r="EO31" i="14"/>
  <c r="EL31" i="14"/>
  <c r="EF31" i="14"/>
  <c r="HQ15" i="14"/>
  <c r="IG15" i="14" s="1"/>
  <c r="GN15" i="14"/>
  <c r="HD15" i="14" s="1"/>
  <c r="BO119" i="14"/>
  <c r="AX47" i="14"/>
  <c r="EM47" i="14"/>
  <c r="DH31" i="14"/>
  <c r="FR47" i="14"/>
  <c r="EM39" i="14"/>
  <c r="EM55" i="14"/>
  <c r="Y7" i="14"/>
  <c r="S47" i="14"/>
  <c r="FR55" i="14"/>
  <c r="DF7" i="14"/>
  <c r="CC55" i="14"/>
  <c r="EY15" i="14"/>
  <c r="FO15" i="14" s="1"/>
  <c r="FE15" i="14"/>
  <c r="FU15" i="14" s="1"/>
  <c r="FB15" i="14"/>
  <c r="FR15" i="14" s="1"/>
  <c r="GP15" i="14"/>
  <c r="P187" i="14"/>
  <c r="F187" i="14"/>
  <c r="D187" i="14"/>
  <c r="Q187" i="14"/>
  <c r="G187" i="14"/>
  <c r="O187" i="14"/>
  <c r="K187" i="14"/>
  <c r="E187" i="14"/>
  <c r="DD151" i="14"/>
  <c r="BC143" i="14"/>
  <c r="AV143" i="14"/>
  <c r="DL135" i="14"/>
  <c r="T127" i="14"/>
  <c r="DJ111" i="14"/>
  <c r="DM111" i="14" s="1"/>
  <c r="DC95" i="14"/>
  <c r="AV95" i="14"/>
  <c r="T79" i="14"/>
  <c r="AH71" i="14"/>
  <c r="FX186" i="14"/>
  <c r="DK153" i="14"/>
  <c r="DC79" i="14"/>
  <c r="T187" i="14"/>
  <c r="R187" i="14"/>
  <c r="J187" i="14"/>
  <c r="H187" i="14"/>
  <c r="B187" i="14"/>
  <c r="IJ186" i="14"/>
  <c r="AL191" i="14"/>
  <c r="AJ182" i="14"/>
  <c r="AH182" i="14"/>
  <c r="AD182" i="14"/>
  <c r="IN176" i="14"/>
  <c r="GO176" i="14"/>
  <c r="GQ176" i="14" s="1"/>
  <c r="DW55" i="14"/>
  <c r="BM55" i="14"/>
  <c r="GH47" i="14"/>
  <c r="C47" i="14"/>
  <c r="AC182" i="14"/>
  <c r="V181" i="14"/>
  <c r="AG182" i="14"/>
  <c r="GK177" i="14"/>
  <c r="FV55" i="14"/>
  <c r="CZ55" i="14"/>
  <c r="CA55" i="14"/>
  <c r="GU47" i="14"/>
  <c r="FV47" i="14"/>
  <c r="EQ47" i="14"/>
  <c r="DF47" i="14"/>
  <c r="BU47" i="14"/>
  <c r="EW39" i="14"/>
  <c r="DW39" i="14"/>
  <c r="CZ31" i="14"/>
  <c r="AH31" i="14"/>
  <c r="CY15" i="14"/>
  <c r="CZ15" i="14" s="1"/>
  <c r="CQ15" i="14"/>
  <c r="Z23" i="14"/>
  <c r="EH177" i="14"/>
  <c r="AQ15" i="14"/>
  <c r="AT15" i="14" s="1"/>
  <c r="EG177" i="14"/>
  <c r="BN7" i="14"/>
  <c r="II15" i="14"/>
  <c r="HC15" i="14"/>
  <c r="BM7" i="14"/>
  <c r="FW15" i="14"/>
  <c r="FS262" i="14"/>
  <c r="U74" i="37"/>
  <c r="FR262" i="14"/>
  <c r="AE34" i="39"/>
  <c r="AE41" i="39"/>
  <c r="AE48" i="39"/>
  <c r="AC52" i="39"/>
  <c r="P21" i="17" l="1"/>
  <c r="L95" i="14"/>
  <c r="ED119" i="14"/>
  <c r="K36" i="1"/>
  <c r="O39" i="27"/>
  <c r="BI23" i="14"/>
  <c r="AU23" i="14"/>
  <c r="AC23" i="14"/>
  <c r="HE15" i="14"/>
  <c r="FJ143" i="14"/>
  <c r="DR23" i="14"/>
  <c r="P20" i="17"/>
  <c r="ED87" i="14"/>
  <c r="FI119" i="14"/>
  <c r="DX87" i="14"/>
  <c r="DY119" i="14"/>
  <c r="DX111" i="14"/>
  <c r="EQ119" i="14"/>
  <c r="FI111" i="14"/>
  <c r="FH153" i="14"/>
  <c r="EJ111" i="14"/>
  <c r="DR151" i="14"/>
  <c r="EL151" i="14" s="1"/>
  <c r="ED111" i="14"/>
  <c r="EQ111" i="14"/>
  <c r="EK119" i="14"/>
  <c r="DX153" i="14"/>
  <c r="EW119" i="14"/>
  <c r="M15" i="14"/>
  <c r="FX23" i="14"/>
  <c r="V74" i="37"/>
  <c r="AB24" i="18"/>
  <c r="BB15" i="14"/>
  <c r="W57" i="19"/>
  <c r="R49" i="20"/>
  <c r="AQ185" i="14"/>
  <c r="BO31" i="14"/>
  <c r="AC22" i="18"/>
  <c r="DQ63" i="14"/>
  <c r="FI63" i="14" s="1"/>
  <c r="S39" i="17"/>
  <c r="S40" i="17"/>
  <c r="BB185" i="14"/>
  <c r="DR87" i="14"/>
  <c r="FP87" i="14" s="1"/>
  <c r="DP7" i="14"/>
  <c r="DS7" i="14" s="1"/>
  <c r="EQ79" i="14"/>
  <c r="EK79" i="14"/>
  <c r="DZ87" i="14"/>
  <c r="EL143" i="14"/>
  <c r="EX143" i="14"/>
  <c r="FP143" i="14"/>
  <c r="ER87" i="14"/>
  <c r="IN7" i="14"/>
  <c r="DA39" i="14"/>
  <c r="GX7" i="14"/>
  <c r="L79" i="14"/>
  <c r="EX153" i="14"/>
  <c r="DZ103" i="14"/>
  <c r="DY87" i="14"/>
  <c r="EK111" i="14"/>
  <c r="DR119" i="14"/>
  <c r="DZ119" i="14" s="1"/>
  <c r="EV119" i="14"/>
  <c r="FI151" i="14"/>
  <c r="FD143" i="14"/>
  <c r="EE103" i="14"/>
  <c r="FO153" i="14"/>
  <c r="EQ153" i="14"/>
  <c r="EF143" i="14"/>
  <c r="EW151" i="14"/>
  <c r="EW111" i="14"/>
  <c r="EP87" i="14"/>
  <c r="FC111" i="14"/>
  <c r="EE153" i="14"/>
  <c r="FB153" i="14"/>
  <c r="EJ153" i="14"/>
  <c r="FH87" i="14"/>
  <c r="FO151" i="14"/>
  <c r="EQ103" i="14"/>
  <c r="EP153" i="14"/>
  <c r="FB87" i="14"/>
  <c r="FN143" i="14"/>
  <c r="FH143" i="14"/>
  <c r="DX143" i="14"/>
  <c r="ED151" i="14"/>
  <c r="EP151" i="14"/>
  <c r="FN151" i="14"/>
  <c r="FB151" i="14"/>
  <c r="E55" i="14"/>
  <c r="DY47" i="14"/>
  <c r="EK103" i="14"/>
  <c r="EK127" i="14"/>
  <c r="FI127" i="14"/>
  <c r="AR38" i="39"/>
  <c r="AS38" i="39"/>
  <c r="AG45" i="39"/>
  <c r="AR45" i="39"/>
  <c r="AS45" i="39"/>
  <c r="BU31" i="39"/>
  <c r="IK8" i="14"/>
  <c r="Z39" i="17"/>
  <c r="Z40" i="17"/>
  <c r="FE23" i="14"/>
  <c r="BH15" i="14"/>
  <c r="GH7" i="14"/>
  <c r="BO39" i="14"/>
  <c r="DW182" i="14"/>
  <c r="E39" i="14"/>
  <c r="ES55" i="14"/>
  <c r="IB7" i="14"/>
  <c r="AA46" i="1"/>
  <c r="AA40" i="1"/>
  <c r="K42" i="31"/>
  <c r="K22" i="31"/>
  <c r="AD39" i="14"/>
  <c r="CV7" i="14"/>
  <c r="CY7" i="14" s="1"/>
  <c r="FL47" i="14"/>
  <c r="AX7" i="14"/>
  <c r="FF47" i="14" s="1"/>
  <c r="GI47" i="14"/>
  <c r="AX31" i="14"/>
  <c r="Y31" i="14"/>
  <c r="Y39" i="14"/>
  <c r="GC55" i="14"/>
  <c r="BD31" i="14"/>
  <c r="DB55" i="14"/>
  <c r="EG47" i="14"/>
  <c r="HH47" i="14"/>
  <c r="GQ47" i="14"/>
  <c r="HY7" i="14"/>
  <c r="AJ47" i="14"/>
  <c r="HN47" i="14"/>
  <c r="CD182" i="14"/>
  <c r="FD55" i="14"/>
  <c r="IE7" i="14"/>
  <c r="FK23" i="14"/>
  <c r="FN23" i="14" s="1"/>
  <c r="FP7" i="14"/>
  <c r="FJ7" i="14"/>
  <c r="CD23" i="14"/>
  <c r="CK23" i="14" s="1"/>
  <c r="E31" i="14"/>
  <c r="FN182" i="14"/>
  <c r="FR7" i="14"/>
  <c r="DU23" i="14"/>
  <c r="EO23" i="14" s="1"/>
  <c r="DS23" i="14"/>
  <c r="EM23" i="14" s="1"/>
  <c r="AJ39" i="14"/>
  <c r="DN31" i="14"/>
  <c r="CI47" i="14"/>
  <c r="ES39" i="14"/>
  <c r="CI55" i="14"/>
  <c r="BD55" i="14"/>
  <c r="ES47" i="14"/>
  <c r="BV47" i="14"/>
  <c r="CI39" i="14"/>
  <c r="GP177" i="14"/>
  <c r="IT7" i="14"/>
  <c r="G23" i="14"/>
  <c r="N23" i="14" s="1"/>
  <c r="FM182" i="14"/>
  <c r="CT55" i="14"/>
  <c r="L15" i="14"/>
  <c r="CI31" i="14"/>
  <c r="Y55" i="14"/>
  <c r="HC47" i="14"/>
  <c r="DN39" i="14"/>
  <c r="DN55" i="14"/>
  <c r="Y47" i="14"/>
  <c r="FX47" i="14"/>
  <c r="AW7" i="14"/>
  <c r="FO177" i="14"/>
  <c r="IM47" i="14"/>
  <c r="DS47" i="14"/>
  <c r="M31" i="14"/>
  <c r="AD47" i="14"/>
  <c r="BW55" i="14"/>
  <c r="AR31" i="14"/>
  <c r="AD31" i="14"/>
  <c r="EX47" i="14"/>
  <c r="R55" i="14"/>
  <c r="CN55" i="14"/>
  <c r="M55" i="14"/>
  <c r="HH55" i="14"/>
  <c r="CN31" i="14"/>
  <c r="BW39" i="14"/>
  <c r="FL55" i="14"/>
  <c r="DB47" i="14"/>
  <c r="BW31" i="14"/>
  <c r="DS31" i="14"/>
  <c r="AF7" i="14"/>
  <c r="AF39" i="14" s="1"/>
  <c r="DS39" i="14"/>
  <c r="BI55" i="14"/>
  <c r="GC47" i="14"/>
  <c r="CB39" i="14"/>
  <c r="BI47" i="14"/>
  <c r="AC7" i="14"/>
  <c r="Z55" i="14" s="1"/>
  <c r="EI23" i="14"/>
  <c r="EP23" i="14" s="1"/>
  <c r="ES23" i="14" s="1"/>
  <c r="BB23" i="14"/>
  <c r="BH23" i="14" s="1"/>
  <c r="AR39" i="14"/>
  <c r="AR55" i="14"/>
  <c r="DB31" i="14"/>
  <c r="V7" i="14"/>
  <c r="HV55" i="14"/>
  <c r="DS55" i="14"/>
  <c r="EX39" i="14"/>
  <c r="EL55" i="14"/>
  <c r="DG39" i="14"/>
  <c r="AR47" i="14"/>
  <c r="M47" i="14"/>
  <c r="BW47" i="14"/>
  <c r="EG55" i="14"/>
  <c r="HV47" i="14"/>
  <c r="DB39" i="14"/>
  <c r="GQ55" i="14"/>
  <c r="M39" i="14"/>
  <c r="AY7" i="14"/>
  <c r="AK55" i="14" s="1"/>
  <c r="IH7" i="14"/>
  <c r="DM55" i="14"/>
  <c r="IK7" i="14"/>
  <c r="HY8" i="14"/>
  <c r="AD55" i="14"/>
  <c r="GQ15" i="14"/>
  <c r="M23" i="14"/>
  <c r="DA47" i="14"/>
  <c r="BL23" i="14"/>
  <c r="BS23" i="14" s="1"/>
  <c r="GK55" i="14"/>
  <c r="L39" i="14"/>
  <c r="AT7" i="14"/>
  <c r="FW55" i="14"/>
  <c r="CJ15" i="14"/>
  <c r="IH8" i="14"/>
  <c r="CS162" i="14"/>
  <c r="IB8" i="14"/>
  <c r="CT162" i="14"/>
  <c r="DG47" i="14"/>
  <c r="DY15" i="14"/>
  <c r="EE15" i="14" s="1"/>
  <c r="W7" i="14"/>
  <c r="FM47" i="14" s="1"/>
  <c r="L31" i="14"/>
  <c r="DG55" i="14"/>
  <c r="EF39" i="14"/>
  <c r="AQ31" i="14"/>
  <c r="HS7" i="14"/>
  <c r="R31" i="14"/>
  <c r="CB47" i="14"/>
  <c r="CB31" i="14"/>
  <c r="IA47" i="14"/>
  <c r="G15" i="14"/>
  <c r="EF47" i="14"/>
  <c r="CU7" i="14"/>
  <c r="CX7" i="14" s="1"/>
  <c r="CV31" i="14"/>
  <c r="EI7" i="14"/>
  <c r="EK7" i="14" s="1"/>
  <c r="FQ47" i="14"/>
  <c r="HV7" i="14"/>
  <c r="AQ55" i="14"/>
  <c r="GP47" i="14"/>
  <c r="DA31" i="14"/>
  <c r="X55" i="14"/>
  <c r="EL7" i="14"/>
  <c r="EN7" i="14" s="1"/>
  <c r="FW47" i="14"/>
  <c r="X39" i="14"/>
  <c r="R39" i="14"/>
  <c r="DG31" i="14"/>
  <c r="IQ8" i="14"/>
  <c r="H15" i="14"/>
  <c r="DS15" i="14"/>
  <c r="EM15" i="14" s="1"/>
  <c r="AV23" i="14"/>
  <c r="BP23" i="14" s="1"/>
  <c r="IL15" i="14"/>
  <c r="ET47" i="14"/>
  <c r="Z7" i="14"/>
  <c r="T47" i="14" s="1"/>
  <c r="R47" i="14"/>
  <c r="CB55" i="14"/>
  <c r="EL47" i="14"/>
  <c r="EL39" i="14"/>
  <c r="GV55" i="14"/>
  <c r="IA55" i="14"/>
  <c r="FK55" i="14"/>
  <c r="L23" i="14"/>
  <c r="AQ39" i="14"/>
  <c r="HU47" i="14"/>
  <c r="DY23" i="14"/>
  <c r="EE23" i="14" s="1"/>
  <c r="AN7" i="14"/>
  <c r="L55" i="14"/>
  <c r="L47" i="14"/>
  <c r="AQ47" i="14"/>
  <c r="EF55" i="14"/>
  <c r="FK47" i="14"/>
  <c r="DE7" i="14"/>
  <c r="DH7" i="14" s="1"/>
  <c r="FQ55" i="14"/>
  <c r="AQ7" i="14"/>
  <c r="CI15" i="14"/>
  <c r="EF7" i="14"/>
  <c r="EH7" i="14" s="1"/>
  <c r="DA55" i="14"/>
  <c r="BV39" i="14"/>
  <c r="HU55" i="14"/>
  <c r="GP55" i="14"/>
  <c r="BV55" i="14"/>
  <c r="BC39" i="14"/>
  <c r="X31" i="14"/>
  <c r="BC47" i="14"/>
  <c r="DM39" i="14"/>
  <c r="CH55" i="14"/>
  <c r="EJ23" i="14"/>
  <c r="EQ23" i="14" s="1"/>
  <c r="ET23" i="14" s="1"/>
  <c r="GV47" i="14"/>
  <c r="AW47" i="14"/>
  <c r="AW55" i="14"/>
  <c r="IE8" i="14"/>
  <c r="K79" i="14"/>
  <c r="K135" i="14"/>
  <c r="K153" i="14"/>
  <c r="K151" i="14"/>
  <c r="K127" i="14"/>
  <c r="K63" i="14"/>
  <c r="K71" i="14"/>
  <c r="K119" i="14"/>
  <c r="K103" i="14"/>
  <c r="K95" i="14"/>
  <c r="K87" i="14"/>
  <c r="K111" i="14"/>
  <c r="K143" i="14"/>
  <c r="EK63" i="14"/>
  <c r="EQ63" i="14"/>
  <c r="EW63" i="14"/>
  <c r="L153" i="14"/>
  <c r="AI38" i="39"/>
  <c r="AG38" i="39"/>
  <c r="FJ127" i="14"/>
  <c r="DR111" i="14"/>
  <c r="EF111" i="14" s="1"/>
  <c r="FB111" i="14"/>
  <c r="EP111" i="14"/>
  <c r="FN111" i="14"/>
  <c r="FC103" i="14"/>
  <c r="FI103" i="14"/>
  <c r="FP103" i="14"/>
  <c r="D63" i="14"/>
  <c r="DP63" i="14"/>
  <c r="DR63" i="14" s="1"/>
  <c r="FD63" i="14" s="1"/>
  <c r="BI31" i="14"/>
  <c r="EO7" i="14"/>
  <c r="EQ7" i="14" s="1"/>
  <c r="DY7" i="14"/>
  <c r="EB7" i="14" s="1"/>
  <c r="BI39" i="14"/>
  <c r="CN39" i="14"/>
  <c r="IM55" i="14"/>
  <c r="EX55" i="14"/>
  <c r="GO177" i="14"/>
  <c r="GJ23" i="14"/>
  <c r="GP23" i="14" s="1"/>
  <c r="AX31" i="39"/>
  <c r="BY31" i="39" s="1"/>
  <c r="CB31" i="39" s="1"/>
  <c r="CK31" i="39" s="1"/>
  <c r="CT47" i="14"/>
  <c r="DV182" i="14"/>
  <c r="FN177" i="14"/>
  <c r="AV182" i="14"/>
  <c r="AY31" i="39"/>
  <c r="BH31" i="39" s="1"/>
  <c r="BK31" i="39" s="1"/>
  <c r="CI31" i="39" s="1"/>
  <c r="EI15" i="14"/>
  <c r="EP15" i="14" s="1"/>
  <c r="DM47" i="14"/>
  <c r="ER39" i="14"/>
  <c r="X47" i="14"/>
  <c r="ER47" i="14"/>
  <c r="CH39" i="14"/>
  <c r="IG55" i="14"/>
  <c r="HB47" i="14"/>
  <c r="ER55" i="14"/>
  <c r="HB55" i="14"/>
  <c r="DO7" i="14"/>
  <c r="DR7" i="14" s="1"/>
  <c r="CH47" i="14"/>
  <c r="IG47" i="14"/>
  <c r="BC55" i="14"/>
  <c r="DM31" i="14"/>
  <c r="AW31" i="14"/>
  <c r="BC31" i="14"/>
  <c r="GI23" i="14"/>
  <c r="GO23" i="14" s="1"/>
  <c r="N39" i="27"/>
  <c r="BV31" i="39"/>
  <c r="BW31" i="39"/>
  <c r="Q7" i="14"/>
  <c r="BF31" i="39"/>
  <c r="BQ45" i="39"/>
  <c r="BB45" i="39"/>
  <c r="BE45" i="39" s="1"/>
  <c r="AV45" i="39"/>
  <c r="BS45" i="39"/>
  <c r="AM45" i="39"/>
  <c r="AH45" i="39"/>
  <c r="AF45" i="39"/>
  <c r="BP45" i="39"/>
  <c r="R15" i="39" s="1"/>
  <c r="BA45" i="39"/>
  <c r="BD45" i="39" s="1"/>
  <c r="AU45" i="39"/>
  <c r="BT45" i="39"/>
  <c r="AL45" i="39"/>
  <c r="AI45" i="39"/>
  <c r="BP52" i="39"/>
  <c r="R16" i="39" s="1"/>
  <c r="BA52" i="39"/>
  <c r="BD52" i="39" s="1"/>
  <c r="AU52" i="39"/>
  <c r="AX52" i="39" s="1"/>
  <c r="BS52" i="39"/>
  <c r="AL52" i="39"/>
  <c r="AF52" i="39"/>
  <c r="K16" i="39" s="1"/>
  <c r="BQ52" i="39"/>
  <c r="N16" i="39" s="1"/>
  <c r="BB52" i="39"/>
  <c r="BE52" i="39" s="1"/>
  <c r="AV52" i="39"/>
  <c r="AY52" i="39" s="1"/>
  <c r="BT52" i="39"/>
  <c r="AM52" i="39"/>
  <c r="AH52" i="39"/>
  <c r="G16" i="39" s="1"/>
  <c r="BP38" i="39"/>
  <c r="BA38" i="39"/>
  <c r="BD38" i="39" s="1"/>
  <c r="AU38" i="39"/>
  <c r="BS38" i="39"/>
  <c r="AL38" i="39"/>
  <c r="AH38" i="39"/>
  <c r="AF38" i="39"/>
  <c r="BQ38" i="39"/>
  <c r="BB38" i="39"/>
  <c r="BE38" i="39" s="1"/>
  <c r="AV38" i="39"/>
  <c r="BT38" i="39"/>
  <c r="AM38" i="39"/>
  <c r="IK15" i="14"/>
  <c r="ID15" i="14"/>
  <c r="BO7" i="14"/>
  <c r="FY15" i="14"/>
  <c r="CF7" i="14"/>
  <c r="DZ153" i="14"/>
  <c r="FJ151" i="14"/>
  <c r="DX119" i="14"/>
  <c r="FN119" i="14"/>
  <c r="GQ222" i="14"/>
  <c r="FD87" i="14"/>
  <c r="EF87" i="14"/>
  <c r="FJ87" i="14"/>
  <c r="EX87" i="14"/>
  <c r="EW79" i="14"/>
  <c r="DY79" i="14"/>
  <c r="EE79" i="14"/>
  <c r="DR79" i="14"/>
  <c r="DZ79" i="14" s="1"/>
  <c r="FP151" i="14"/>
  <c r="EL153" i="14"/>
  <c r="FP153" i="14"/>
  <c r="FD153" i="14"/>
  <c r="ER151" i="14"/>
  <c r="DZ135" i="14"/>
  <c r="EF135" i="14"/>
  <c r="DZ151" i="14"/>
  <c r="DR71" i="14"/>
  <c r="FD71" i="14" s="1"/>
  <c r="EP71" i="14"/>
  <c r="EV71" i="14"/>
  <c r="FN71" i="14"/>
  <c r="FB71" i="14"/>
  <c r="EJ71" i="14"/>
  <c r="DX71" i="14"/>
  <c r="ED71" i="14"/>
  <c r="EX135" i="14"/>
  <c r="FP135" i="14"/>
  <c r="ER135" i="14"/>
  <c r="FJ103" i="14"/>
  <c r="EL135" i="14"/>
  <c r="FJ135" i="14"/>
  <c r="EF103" i="14"/>
  <c r="EX103" i="14"/>
  <c r="ER127" i="14"/>
  <c r="FD103" i="14"/>
  <c r="EL103" i="14"/>
  <c r="EF79" i="14"/>
  <c r="FJ119" i="14"/>
  <c r="EL119" i="14"/>
  <c r="FP95" i="14"/>
  <c r="FJ95" i="14"/>
  <c r="EX127" i="14"/>
  <c r="EX119" i="14"/>
  <c r="EF119" i="14"/>
  <c r="FP127" i="14"/>
  <c r="EL127" i="14"/>
  <c r="EX95" i="14"/>
  <c r="EF95" i="14"/>
  <c r="DZ95" i="14"/>
  <c r="EL95" i="14"/>
  <c r="DZ127" i="14"/>
  <c r="ER119" i="14"/>
  <c r="FD119" i="14"/>
  <c r="FD95" i="14"/>
  <c r="FD127" i="14"/>
  <c r="CC63" i="14"/>
  <c r="CV217" i="14"/>
  <c r="CU217" i="14"/>
  <c r="CB63" i="14"/>
  <c r="ET202" i="14"/>
  <c r="AA24" i="18"/>
  <c r="ES202" i="14"/>
  <c r="BX185" i="14"/>
  <c r="AW185" i="14"/>
  <c r="M40" i="33"/>
  <c r="BC186" i="14"/>
  <c r="BW185" i="14"/>
  <c r="DL63" i="14"/>
  <c r="BB186" i="14"/>
  <c r="DB63" i="14"/>
  <c r="DE63" i="14" s="1"/>
  <c r="DC63" i="14"/>
  <c r="AA63" i="14"/>
  <c r="T63" i="14"/>
  <c r="DQ15" i="14"/>
  <c r="EG15" i="14" s="1"/>
  <c r="AS15" i="14"/>
  <c r="AC15" i="14"/>
  <c r="AW23" i="14"/>
  <c r="BQ23" i="14" s="1"/>
  <c r="HT23" i="14"/>
  <c r="HZ23" i="14" s="1"/>
  <c r="GD47" i="14"/>
  <c r="DT39" i="14"/>
  <c r="BJ55" i="14"/>
  <c r="AE31" i="14"/>
  <c r="HI47" i="14"/>
  <c r="AE7" i="14"/>
  <c r="CO55" i="14"/>
  <c r="DZ7" i="14"/>
  <c r="EY39" i="14"/>
  <c r="EY47" i="14"/>
  <c r="AE39" i="14"/>
  <c r="IN55" i="14"/>
  <c r="AE55" i="14"/>
  <c r="DT31" i="14"/>
  <c r="CO31" i="14"/>
  <c r="DT47" i="14"/>
  <c r="IN47" i="14"/>
  <c r="BJ31" i="14"/>
  <c r="CO39" i="14"/>
  <c r="BJ39" i="14"/>
  <c r="EY55" i="14"/>
  <c r="HI55" i="14"/>
  <c r="GD55" i="14"/>
  <c r="CO47" i="14"/>
  <c r="DT55" i="14"/>
  <c r="AE47" i="14"/>
  <c r="DN47" i="14"/>
  <c r="FX55" i="14"/>
  <c r="BD47" i="14"/>
  <c r="BD39" i="14"/>
  <c r="IH47" i="14"/>
  <c r="IH55" i="14"/>
  <c r="HC55" i="14"/>
  <c r="CD15" i="14"/>
  <c r="CK15" i="14" s="1"/>
  <c r="AA20" i="27"/>
  <c r="ID23" i="14"/>
  <c r="IJ23" i="14" s="1"/>
  <c r="HG23" i="14"/>
  <c r="HM23" i="14" s="1"/>
  <c r="IE23" i="14"/>
  <c r="IK23" i="14" s="1"/>
  <c r="HH23" i="14"/>
  <c r="HN23" i="14" s="1"/>
  <c r="HU23" i="14"/>
  <c r="IA23" i="14" s="1"/>
  <c r="C7" i="14"/>
  <c r="W20" i="27"/>
  <c r="GV23" i="14"/>
  <c r="HB23" i="14" s="1"/>
  <c r="AK31" i="39"/>
  <c r="G13" i="39"/>
  <c r="AT31" i="39"/>
  <c r="AJ31" i="39"/>
  <c r="AO31" i="39"/>
  <c r="BR31" i="39"/>
  <c r="K13" i="39"/>
  <c r="BC31" i="39"/>
  <c r="AW31" i="39"/>
  <c r="AP31" i="39"/>
  <c r="AN31" i="39"/>
  <c r="Y187" i="14"/>
  <c r="GE55" i="14"/>
  <c r="DI7" i="14"/>
  <c r="CD55" i="14"/>
  <c r="X187" i="14"/>
  <c r="AJ31" i="14"/>
  <c r="DY39" i="14"/>
  <c r="DY55" i="14"/>
  <c r="E47" i="14"/>
  <c r="BO55" i="14"/>
  <c r="AU182" i="14"/>
  <c r="AW15" i="14"/>
  <c r="BQ15" i="14" s="1"/>
  <c r="BJ15" i="14"/>
  <c r="AR15" i="14"/>
  <c r="FZ15" i="14"/>
  <c r="HF15" i="14"/>
  <c r="BP7" i="14"/>
  <c r="BM23" i="14"/>
  <c r="BT23" i="14" s="1"/>
  <c r="BK23" i="14"/>
  <c r="DT15" i="14"/>
  <c r="EN15" i="14" s="1"/>
  <c r="DR15" i="14"/>
  <c r="FC63" i="14" l="1"/>
  <c r="FO63" i="14"/>
  <c r="M38" i="33"/>
  <c r="M37" i="33"/>
  <c r="EF151" i="14"/>
  <c r="FD151" i="14"/>
  <c r="EX151" i="14"/>
  <c r="FJ153" i="14"/>
  <c r="ER153" i="14"/>
  <c r="EF153" i="14"/>
  <c r="FP71" i="14"/>
  <c r="DY63" i="14"/>
  <c r="ET55" i="14"/>
  <c r="BG31" i="39"/>
  <c r="BJ31" i="39" s="1"/>
  <c r="CH31" i="39" s="1"/>
  <c r="CN31" i="39" s="1"/>
  <c r="CU47" i="14"/>
  <c r="HW55" i="14"/>
  <c r="G55" i="14"/>
  <c r="EA55" i="14"/>
  <c r="BP39" i="14"/>
  <c r="FF55" i="14"/>
  <c r="CL7" i="14"/>
  <c r="CO7" i="14" s="1"/>
  <c r="DU31" i="14"/>
  <c r="F55" i="14"/>
  <c r="BQ39" i="14"/>
  <c r="EA47" i="14"/>
  <c r="HP55" i="14"/>
  <c r="BQ55" i="14"/>
  <c r="GK47" i="14"/>
  <c r="EN39" i="14"/>
  <c r="AL55" i="14"/>
  <c r="BC185" i="14"/>
  <c r="FP111" i="14"/>
  <c r="EE63" i="14"/>
  <c r="EL87" i="14"/>
  <c r="BR38" i="39"/>
  <c r="FP119" i="14"/>
  <c r="CD63" i="14"/>
  <c r="ER71" i="14"/>
  <c r="FD79" i="14"/>
  <c r="ER79" i="14"/>
  <c r="FP79" i="14"/>
  <c r="BE55" i="14"/>
  <c r="AL31" i="14"/>
  <c r="HP47" i="14"/>
  <c r="CV47" i="14"/>
  <c r="AL47" i="14"/>
  <c r="CV55" i="14"/>
  <c r="CV39" i="14"/>
  <c r="G39" i="14"/>
  <c r="EA39" i="14"/>
  <c r="BQ47" i="14"/>
  <c r="BQ31" i="14"/>
  <c r="G47" i="14"/>
  <c r="AZ7" i="14"/>
  <c r="G31" i="14"/>
  <c r="AL39" i="14"/>
  <c r="EH47" i="14"/>
  <c r="N47" i="14"/>
  <c r="EH39" i="14"/>
  <c r="EH55" i="14"/>
  <c r="CW7" i="14"/>
  <c r="CZ7" i="14" s="1"/>
  <c r="DC55" i="14"/>
  <c r="AS47" i="14"/>
  <c r="GR47" i="14"/>
  <c r="N31" i="14"/>
  <c r="N39" i="14"/>
  <c r="AS39" i="14"/>
  <c r="DC31" i="14"/>
  <c r="BX39" i="14"/>
  <c r="AX23" i="14"/>
  <c r="BR23" i="14" s="1"/>
  <c r="ES15" i="14"/>
  <c r="N55" i="14"/>
  <c r="AS31" i="14"/>
  <c r="GR55" i="14"/>
  <c r="HW47" i="14"/>
  <c r="DC47" i="14"/>
  <c r="DC39" i="14"/>
  <c r="FM55" i="14"/>
  <c r="AS55" i="14"/>
  <c r="BX31" i="14"/>
  <c r="BX47" i="14"/>
  <c r="BX55" i="14"/>
  <c r="EK23" i="14"/>
  <c r="ER23" i="14" s="1"/>
  <c r="EU23" i="14" s="1"/>
  <c r="BV23" i="14"/>
  <c r="N15" i="14"/>
  <c r="BK55" i="14"/>
  <c r="ET39" i="14"/>
  <c r="DO55" i="14"/>
  <c r="HD55" i="14"/>
  <c r="CD31" i="14"/>
  <c r="AF55" i="14"/>
  <c r="BK47" i="14"/>
  <c r="AF31" i="14"/>
  <c r="CU39" i="14"/>
  <c r="CK7" i="14"/>
  <c r="CN7" i="14" s="1"/>
  <c r="CU55" i="14"/>
  <c r="BN23" i="14"/>
  <c r="BU23" i="14" s="1"/>
  <c r="EN47" i="14"/>
  <c r="DI47" i="14"/>
  <c r="AA7" i="14"/>
  <c r="CJ55" i="14"/>
  <c r="Z31" i="14"/>
  <c r="CJ31" i="14"/>
  <c r="Z39" i="14"/>
  <c r="Z47" i="14"/>
  <c r="CD39" i="14"/>
  <c r="BK31" i="14"/>
  <c r="DU39" i="14"/>
  <c r="BK39" i="14"/>
  <c r="CP47" i="14"/>
  <c r="HO55" i="14"/>
  <c r="AK47" i="14"/>
  <c r="GJ47" i="14"/>
  <c r="BP47" i="14"/>
  <c r="HO47" i="14"/>
  <c r="X7" i="14"/>
  <c r="CP31" i="14"/>
  <c r="CP55" i="14"/>
  <c r="AD7" i="14"/>
  <c r="BP55" i="14"/>
  <c r="F47" i="14"/>
  <c r="DZ55" i="14"/>
  <c r="DZ39" i="14"/>
  <c r="AK31" i="14"/>
  <c r="CJ39" i="14"/>
  <c r="FY55" i="14"/>
  <c r="FY47" i="14"/>
  <c r="EZ39" i="14"/>
  <c r="BE39" i="14"/>
  <c r="DO31" i="14"/>
  <c r="CJ47" i="14"/>
  <c r="AY31" i="14"/>
  <c r="II55" i="14"/>
  <c r="BE47" i="14"/>
  <c r="DO39" i="14"/>
  <c r="II47" i="14"/>
  <c r="HD47" i="14"/>
  <c r="DO47" i="14"/>
  <c r="GX55" i="14"/>
  <c r="FS47" i="14"/>
  <c r="EZ47" i="14"/>
  <c r="IO55" i="14"/>
  <c r="IO47" i="14"/>
  <c r="EZ55" i="14"/>
  <c r="DU47" i="14"/>
  <c r="CP39" i="14"/>
  <c r="HJ55" i="14"/>
  <c r="AF47" i="14"/>
  <c r="DU55" i="14"/>
  <c r="HJ47" i="14"/>
  <c r="GE47" i="14"/>
  <c r="DQ7" i="14"/>
  <c r="DT7" i="14" s="1"/>
  <c r="FE55" i="14"/>
  <c r="FE47" i="14"/>
  <c r="AK39" i="14"/>
  <c r="F31" i="14"/>
  <c r="DZ47" i="14"/>
  <c r="F39" i="14"/>
  <c r="BP31" i="14"/>
  <c r="GJ55" i="14"/>
  <c r="FD39" i="14"/>
  <c r="AG7" i="14"/>
  <c r="CU31" i="14"/>
  <c r="BW23" i="14"/>
  <c r="IC47" i="14"/>
  <c r="AY55" i="14"/>
  <c r="AI7" i="14"/>
  <c r="GL47" i="14" s="1"/>
  <c r="IC55" i="14"/>
  <c r="AY47" i="14"/>
  <c r="HG15" i="14"/>
  <c r="GX47" i="14"/>
  <c r="FS55" i="14"/>
  <c r="DI39" i="14"/>
  <c r="T39" i="14"/>
  <c r="DI55" i="14"/>
  <c r="CD47" i="14"/>
  <c r="EN55" i="14"/>
  <c r="T55" i="14"/>
  <c r="T31" i="14"/>
  <c r="AY39" i="14"/>
  <c r="DI31" i="14"/>
  <c r="ER7" i="14"/>
  <c r="ET7" i="14" s="1"/>
  <c r="DG7" i="14"/>
  <c r="DJ7" i="14" s="1"/>
  <c r="EJ63" i="14"/>
  <c r="EX63" i="14"/>
  <c r="DX63" i="14"/>
  <c r="ER63" i="14"/>
  <c r="EP63" i="14"/>
  <c r="FE39" i="14"/>
  <c r="FF39" i="14" s="1"/>
  <c r="FJ63" i="14"/>
  <c r="FB63" i="14"/>
  <c r="EV63" i="14"/>
  <c r="ED63" i="14"/>
  <c r="FH63" i="14"/>
  <c r="FN63" i="14"/>
  <c r="EF63" i="14"/>
  <c r="EL63" i="14"/>
  <c r="FP63" i="14"/>
  <c r="DZ63" i="14"/>
  <c r="BZ31" i="39"/>
  <c r="CC31" i="39" s="1"/>
  <c r="CL31" i="39" s="1"/>
  <c r="CO31" i="39" s="1"/>
  <c r="FD111" i="14"/>
  <c r="DZ111" i="14"/>
  <c r="EL111" i="14"/>
  <c r="EX111" i="14"/>
  <c r="FJ111" i="14"/>
  <c r="ER111" i="14"/>
  <c r="EL79" i="14"/>
  <c r="EX79" i="14"/>
  <c r="FJ79" i="14"/>
  <c r="J119" i="14"/>
  <c r="J151" i="14"/>
  <c r="J63" i="14"/>
  <c r="J103" i="14"/>
  <c r="J153" i="14"/>
  <c r="J143" i="14"/>
  <c r="J135" i="14"/>
  <c r="J127" i="14"/>
  <c r="J87" i="14"/>
  <c r="J111" i="14"/>
  <c r="J79" i="14"/>
  <c r="J95" i="14"/>
  <c r="F63" i="14"/>
  <c r="L63" i="14" s="1"/>
  <c r="J71" i="14"/>
  <c r="AH7" i="14"/>
  <c r="AZ31" i="39"/>
  <c r="DU15" i="14"/>
  <c r="EO15" i="14" s="1"/>
  <c r="GK23" i="14"/>
  <c r="GQ23" i="14" s="1"/>
  <c r="G14" i="39"/>
  <c r="BW45" i="39"/>
  <c r="AY45" i="39"/>
  <c r="BZ45" i="39" s="1"/>
  <c r="CC45" i="39" s="1"/>
  <c r="CL45" i="39" s="1"/>
  <c r="BC45" i="39"/>
  <c r="AX45" i="39"/>
  <c r="BR45" i="39"/>
  <c r="P15" i="39" s="1"/>
  <c r="N14" i="39"/>
  <c r="N15" i="39"/>
  <c r="AK38" i="39"/>
  <c r="AY38" i="39"/>
  <c r="BZ38" i="39" s="1"/>
  <c r="CC38" i="39" s="1"/>
  <c r="CL38" i="39" s="1"/>
  <c r="AX38" i="39"/>
  <c r="BY38" i="39" s="1"/>
  <c r="BV52" i="39"/>
  <c r="BW52" i="39"/>
  <c r="AT45" i="39"/>
  <c r="BI31" i="39"/>
  <c r="BL31" i="39" s="1"/>
  <c r="CJ31" i="39" s="1"/>
  <c r="BR52" i="39"/>
  <c r="P16" i="39" s="1"/>
  <c r="BY52" i="39"/>
  <c r="CB52" i="39" s="1"/>
  <c r="CK52" i="39" s="1"/>
  <c r="BF38" i="39"/>
  <c r="BH52" i="39"/>
  <c r="BK52" i="39" s="1"/>
  <c r="CI52" i="39" s="1"/>
  <c r="BF52" i="39"/>
  <c r="BF45" i="39"/>
  <c r="BZ52" i="39"/>
  <c r="CC52" i="39" s="1"/>
  <c r="CL52" i="39" s="1"/>
  <c r="BW38" i="39"/>
  <c r="BV45" i="39"/>
  <c r="P13" i="39"/>
  <c r="BX31" i="39"/>
  <c r="BU38" i="39"/>
  <c r="BX38" i="39" s="1"/>
  <c r="BV38" i="39"/>
  <c r="BU52" i="39"/>
  <c r="AZ52" i="39"/>
  <c r="BG52" i="39"/>
  <c r="BH45" i="39"/>
  <c r="BK45" i="39" s="1"/>
  <c r="CI45" i="39" s="1"/>
  <c r="CO45" i="39" s="1"/>
  <c r="BU45" i="39"/>
  <c r="BR39" i="14"/>
  <c r="CW39" i="14"/>
  <c r="AM39" i="14"/>
  <c r="IM15" i="14"/>
  <c r="GA15" i="14"/>
  <c r="AN52" i="39"/>
  <c r="FJ71" i="14"/>
  <c r="EF71" i="14"/>
  <c r="DZ71" i="14"/>
  <c r="EX71" i="14"/>
  <c r="EL71" i="14"/>
  <c r="BI15" i="14"/>
  <c r="BL15" i="14" s="1"/>
  <c r="BS15" i="14" s="1"/>
  <c r="AV15" i="14"/>
  <c r="BP15" i="14" s="1"/>
  <c r="AU15" i="14"/>
  <c r="AX15" i="14" s="1"/>
  <c r="BR15" i="14" s="1"/>
  <c r="GX23" i="14"/>
  <c r="HD23" i="14" s="1"/>
  <c r="EC7" i="14"/>
  <c r="EA7" i="14"/>
  <c r="ED7" i="14" s="1"/>
  <c r="HV23" i="14"/>
  <c r="IB23" i="14" s="1"/>
  <c r="IF23" i="14"/>
  <c r="IL23" i="14" s="1"/>
  <c r="O7" i="14"/>
  <c r="R7" i="14"/>
  <c r="N7" i="14"/>
  <c r="HI23" i="14"/>
  <c r="HO23" i="14" s="1"/>
  <c r="G15" i="39"/>
  <c r="G17" i="39" s="1"/>
  <c r="AJ45" i="39"/>
  <c r="AQ31" i="39"/>
  <c r="AW45" i="39"/>
  <c r="I13" i="39"/>
  <c r="AP45" i="39"/>
  <c r="AN45" i="39"/>
  <c r="AK45" i="39"/>
  <c r="BC38" i="39"/>
  <c r="S13" i="39"/>
  <c r="AN38" i="39"/>
  <c r="AO45" i="39"/>
  <c r="K15" i="39"/>
  <c r="AW38" i="39"/>
  <c r="AP38" i="39"/>
  <c r="AO38" i="39"/>
  <c r="R14" i="39"/>
  <c r="R17" i="39" s="1"/>
  <c r="AJ38" i="39"/>
  <c r="K14" i="39"/>
  <c r="AT38" i="39"/>
  <c r="AP52" i="39"/>
  <c r="AW52" i="39"/>
  <c r="BK15" i="14"/>
  <c r="BN15" i="14" s="1"/>
  <c r="BU15" i="14" s="1"/>
  <c r="BM15" i="14"/>
  <c r="BT15" i="14" s="1"/>
  <c r="BW15" i="14" s="1"/>
  <c r="AJ52" i="39"/>
  <c r="BC52" i="39"/>
  <c r="EJ15" i="14"/>
  <c r="EQ15" i="14" s="1"/>
  <c r="ET15" i="14" s="1"/>
  <c r="EH15" i="14"/>
  <c r="EK15" i="14" s="1"/>
  <c r="ER15" i="14" s="1"/>
  <c r="AO52" i="39"/>
  <c r="CP31" i="39" l="1"/>
  <c r="CA31" i="39"/>
  <c r="CD31" i="39" s="1"/>
  <c r="CM31" i="39" s="1"/>
  <c r="AZ45" i="39"/>
  <c r="CO52" i="39"/>
  <c r="CW31" i="14"/>
  <c r="CM7" i="14"/>
  <c r="CP7" i="14" s="1"/>
  <c r="BX23" i="14"/>
  <c r="BX15" i="14"/>
  <c r="H39" i="14"/>
  <c r="BR47" i="14"/>
  <c r="EB39" i="14"/>
  <c r="GL55" i="14"/>
  <c r="FG47" i="14"/>
  <c r="BR31" i="14"/>
  <c r="EB47" i="14"/>
  <c r="H31" i="14"/>
  <c r="H47" i="14"/>
  <c r="FG55" i="14"/>
  <c r="HQ47" i="14"/>
  <c r="HQ55" i="14"/>
  <c r="AM55" i="14"/>
  <c r="CW55" i="14"/>
  <c r="CW47" i="14"/>
  <c r="H55" i="14"/>
  <c r="AM47" i="14"/>
  <c r="AJ7" i="14"/>
  <c r="AM31" i="14"/>
  <c r="EB55" i="14"/>
  <c r="BR55" i="14"/>
  <c r="EU15" i="14"/>
  <c r="BX45" i="39"/>
  <c r="BH38" i="39"/>
  <c r="BK38" i="39" s="1"/>
  <c r="CI38" i="39" s="1"/>
  <c r="CO38" i="39" s="1"/>
  <c r="BG38" i="39"/>
  <c r="D14" i="39" s="1"/>
  <c r="Y14" i="39" s="1"/>
  <c r="I14" i="39"/>
  <c r="BG45" i="39"/>
  <c r="BJ45" i="39" s="1"/>
  <c r="CH45" i="39" s="1"/>
  <c r="N17" i="39"/>
  <c r="BY45" i="39"/>
  <c r="BX52" i="39"/>
  <c r="AZ38" i="39"/>
  <c r="CA52" i="39"/>
  <c r="CD52" i="39" s="1"/>
  <c r="CM52" i="39" s="1"/>
  <c r="BJ52" i="39"/>
  <c r="CH52" i="39" s="1"/>
  <c r="CN52" i="39" s="1"/>
  <c r="BI52" i="39"/>
  <c r="BL52" i="39" s="1"/>
  <c r="CJ52" i="39" s="1"/>
  <c r="CP52" i="39" s="1"/>
  <c r="CA38" i="39"/>
  <c r="CD38" i="39" s="1"/>
  <c r="CM38" i="39" s="1"/>
  <c r="CB38" i="39"/>
  <c r="CK38" i="39" s="1"/>
  <c r="AQ45" i="39"/>
  <c r="BV15" i="14"/>
  <c r="I15" i="39"/>
  <c r="K17" i="39"/>
  <c r="J13" i="39"/>
  <c r="O13" i="39"/>
  <c r="B13" i="39"/>
  <c r="U13" i="39" s="1"/>
  <c r="D13" i="39"/>
  <c r="Y13" i="39" s="1"/>
  <c r="AQ38" i="39"/>
  <c r="P14" i="39"/>
  <c r="P17" i="39" s="1"/>
  <c r="D16" i="39"/>
  <c r="I16" i="39"/>
  <c r="AQ52" i="39"/>
  <c r="B16" i="39"/>
  <c r="U16" i="39" s="1"/>
  <c r="U52" i="1" s="1"/>
  <c r="AE43" i="44" l="1"/>
  <c r="R49" i="1"/>
  <c r="AE46" i="44"/>
  <c r="AE47" i="44" s="1"/>
  <c r="R50" i="1"/>
  <c r="AE43" i="46"/>
  <c r="R51" i="1"/>
  <c r="S14" i="39"/>
  <c r="BI38" i="39"/>
  <c r="BL38" i="39" s="1"/>
  <c r="CJ38" i="39" s="1"/>
  <c r="CP38" i="39" s="1"/>
  <c r="X14" i="39" s="1"/>
  <c r="C16" i="39"/>
  <c r="W16" i="39" s="1"/>
  <c r="BI45" i="39"/>
  <c r="BL45" i="39" s="1"/>
  <c r="CJ45" i="39" s="1"/>
  <c r="BJ38" i="39"/>
  <c r="CA45" i="39"/>
  <c r="CD45" i="39" s="1"/>
  <c r="CM45" i="39" s="1"/>
  <c r="CB45" i="39"/>
  <c r="CK45" i="39" s="1"/>
  <c r="CN45" i="39" s="1"/>
  <c r="Z15" i="39" s="1"/>
  <c r="V14" i="39"/>
  <c r="B15" i="39"/>
  <c r="U15" i="39" s="1"/>
  <c r="I17" i="39"/>
  <c r="D15" i="39"/>
  <c r="Y15" i="39" s="1"/>
  <c r="X13" i="39"/>
  <c r="C13" i="39"/>
  <c r="W13" i="39" s="1"/>
  <c r="B14" i="39"/>
  <c r="U14" i="39" s="1"/>
  <c r="Q13" i="39"/>
  <c r="Z13" i="39"/>
  <c r="L13" i="39"/>
  <c r="H13" i="39"/>
  <c r="V13" i="39"/>
  <c r="H14" i="39"/>
  <c r="O14" i="39"/>
  <c r="L15" i="39"/>
  <c r="J16" i="39"/>
  <c r="O16" i="39"/>
  <c r="L16" i="39"/>
  <c r="Z16" i="39"/>
  <c r="H15" i="39"/>
  <c r="V15" i="39"/>
  <c r="Y16" i="39"/>
  <c r="U51" i="1" s="1"/>
  <c r="H16" i="39"/>
  <c r="V16" i="39"/>
  <c r="CP45" i="39" l="1"/>
  <c r="X15" i="39" s="1"/>
  <c r="J14" i="39"/>
  <c r="C15" i="39"/>
  <c r="W15" i="39" s="1"/>
  <c r="AE46" i="47"/>
  <c r="AE47" i="47" s="1"/>
  <c r="U50" i="1"/>
  <c r="AE46" i="46"/>
  <c r="AE47" i="46" s="1"/>
  <c r="R52" i="1"/>
  <c r="AE45" i="46"/>
  <c r="AE45" i="44"/>
  <c r="AE39" i="44"/>
  <c r="AE41" i="44" s="1"/>
  <c r="AE43" i="47"/>
  <c r="U49" i="1"/>
  <c r="C14" i="39"/>
  <c r="W14" i="39" s="1"/>
  <c r="W17" i="39" s="1"/>
  <c r="CH38" i="39"/>
  <c r="CN38" i="39" s="1"/>
  <c r="Z14" i="39" s="1"/>
  <c r="L14" i="39"/>
  <c r="Q14" i="39"/>
  <c r="U17" i="39"/>
  <c r="S15" i="39"/>
  <c r="D17" i="39"/>
  <c r="S17" i="39" s="1"/>
  <c r="Y17" i="39"/>
  <c r="B17" i="39"/>
  <c r="O17" i="39" s="1"/>
  <c r="J15" i="39"/>
  <c r="X16" i="39"/>
  <c r="Q16" i="39"/>
  <c r="S16" i="39"/>
  <c r="O15" i="39"/>
  <c r="Q15" i="39"/>
  <c r="AE39" i="46" l="1"/>
  <c r="AE41" i="46" s="1"/>
  <c r="AE45" i="47"/>
  <c r="AE39" i="47"/>
  <c r="AE41" i="47" s="1"/>
  <c r="C17" i="39"/>
  <c r="Q17" i="39" s="1"/>
  <c r="L17" i="39"/>
  <c r="Z17" i="39"/>
  <c r="H17" i="39"/>
  <c r="V17" i="39"/>
  <c r="N71" i="14"/>
  <c r="BW71" i="14" s="1"/>
  <c r="X17" i="39" l="1"/>
  <c r="J17" i="39"/>
  <c r="CE71" i="14"/>
  <c r="CM71" i="14"/>
  <c r="BP71" i="14"/>
  <c r="N111" i="14"/>
  <c r="CM111" i="14" s="1"/>
  <c r="N119" i="14"/>
  <c r="BP119" i="14" s="1"/>
  <c r="N103" i="14"/>
  <c r="BP103" i="14" s="1"/>
  <c r="N151" i="14"/>
  <c r="CE151" i="14" s="1"/>
  <c r="N87" i="14"/>
  <c r="CM87" i="14" s="1"/>
  <c r="N143" i="14"/>
  <c r="CM143" i="14" s="1"/>
  <c r="N79" i="14"/>
  <c r="CM79" i="14" s="1"/>
  <c r="N135" i="14"/>
  <c r="BP135" i="14" s="1"/>
  <c r="N153" i="14"/>
  <c r="CE153" i="14" s="1"/>
  <c r="N127" i="14"/>
  <c r="CM127" i="14" s="1"/>
  <c r="N95" i="14"/>
  <c r="CE95" i="14" s="1"/>
  <c r="K35" i="33"/>
  <c r="K37" i="33" s="1"/>
  <c r="Z20" i="17" l="1"/>
  <c r="L35" i="40"/>
  <c r="U25" i="33"/>
  <c r="M35" i="40"/>
  <c r="N63" i="14"/>
  <c r="BW135" i="14"/>
  <c r="CM135" i="14"/>
  <c r="CE79" i="14"/>
  <c r="BP79" i="14"/>
  <c r="BP151" i="14"/>
  <c r="CM151" i="14"/>
  <c r="BW153" i="14"/>
  <c r="CM153" i="14"/>
  <c r="CE119" i="14"/>
  <c r="BW119" i="14"/>
  <c r="CE127" i="14"/>
  <c r="BW127" i="14"/>
  <c r="BP95" i="14"/>
  <c r="CM95" i="14"/>
  <c r="BP143" i="14"/>
  <c r="CE143" i="14"/>
  <c r="BW103" i="14"/>
  <c r="CE103" i="14"/>
  <c r="CE87" i="14"/>
  <c r="BP87" i="14"/>
  <c r="CE111" i="14"/>
  <c r="BP111" i="14"/>
  <c r="CE135" i="14"/>
  <c r="BW79" i="14"/>
  <c r="BW151" i="14"/>
  <c r="BP153" i="14"/>
  <c r="CM119" i="14"/>
  <c r="BP127" i="14"/>
  <c r="BW95" i="14"/>
  <c r="BW143" i="14"/>
  <c r="CM103" i="14"/>
  <c r="BW87" i="14"/>
  <c r="BW111" i="14"/>
  <c r="U119" i="14" l="1"/>
  <c r="AB79" i="14"/>
  <c r="BD127" i="14"/>
  <c r="BD143" i="14"/>
  <c r="BJ143" i="14"/>
  <c r="AB63" i="14"/>
  <c r="U79" i="14"/>
  <c r="AW151" i="14"/>
  <c r="AW153" i="14"/>
  <c r="AW95" i="14"/>
  <c r="AB143" i="14"/>
  <c r="AB71" i="14"/>
  <c r="AP87" i="14"/>
  <c r="AI151" i="14"/>
  <c r="AW63" i="14"/>
  <c r="AI63" i="14"/>
  <c r="U111" i="14"/>
  <c r="BD95" i="14"/>
  <c r="AB87" i="14"/>
  <c r="AP95" i="14"/>
  <c r="BW63" i="14"/>
  <c r="AB103" i="14"/>
  <c r="AI153" i="14"/>
  <c r="AI119" i="14"/>
  <c r="AP111" i="14"/>
  <c r="AI143" i="14"/>
  <c r="BJ127" i="14"/>
  <c r="AB151" i="14"/>
  <c r="U143" i="14"/>
  <c r="U127" i="14"/>
  <c r="AB135" i="14"/>
  <c r="AB95" i="14"/>
  <c r="BJ153" i="14"/>
  <c r="U151" i="14"/>
  <c r="U71" i="14"/>
  <c r="AP135" i="14"/>
  <c r="BJ151" i="14"/>
  <c r="AW79" i="14"/>
  <c r="BJ95" i="14"/>
  <c r="AI111" i="14"/>
  <c r="AI71" i="14"/>
  <c r="BD103" i="14"/>
  <c r="BJ119" i="14"/>
  <c r="BD79" i="14"/>
  <c r="AI79" i="14"/>
  <c r="AI103" i="14"/>
  <c r="U63" i="14"/>
  <c r="BD135" i="14"/>
  <c r="AI127" i="14"/>
  <c r="U135" i="14"/>
  <c r="AW71" i="14"/>
  <c r="BJ103" i="14"/>
  <c r="BD151" i="14"/>
  <c r="AB127" i="14"/>
  <c r="AW87" i="14"/>
  <c r="AW135" i="14"/>
  <c r="U103" i="14"/>
  <c r="AW143" i="14"/>
  <c r="BJ135" i="14"/>
  <c r="BD87" i="14"/>
  <c r="AP143" i="14"/>
  <c r="BJ71" i="14"/>
  <c r="BD119" i="14"/>
  <c r="AP119" i="14"/>
  <c r="BJ87" i="14"/>
  <c r="AB153" i="14"/>
  <c r="AI135" i="14"/>
  <c r="AW103" i="14"/>
  <c r="AW119" i="14"/>
  <c r="CE63" i="14"/>
  <c r="BJ111" i="14"/>
  <c r="BJ79" i="14"/>
  <c r="BD111" i="14"/>
  <c r="BP63" i="14"/>
  <c r="BJ63" i="14"/>
  <c r="AP153" i="14"/>
  <c r="AP71" i="14"/>
  <c r="AP103" i="14"/>
  <c r="AB119" i="14"/>
  <c r="AW127" i="14"/>
  <c r="AW111" i="14"/>
  <c r="AI95" i="14"/>
  <c r="AP151" i="14"/>
  <c r="AP79" i="14"/>
  <c r="U95" i="14"/>
  <c r="U153" i="14"/>
  <c r="BD153" i="14"/>
  <c r="AI87" i="14"/>
  <c r="AB111" i="14"/>
  <c r="AP63" i="14"/>
  <c r="U87" i="14"/>
  <c r="BD63" i="14"/>
  <c r="BD71" i="14"/>
  <c r="AP127" i="14"/>
  <c r="CM63" i="14"/>
  <c r="M34" i="33"/>
  <c r="M32" i="33"/>
  <c r="M30" i="33"/>
  <c r="M28" i="33"/>
  <c r="M26" i="33"/>
  <c r="M24" i="33"/>
  <c r="M22" i="33"/>
  <c r="M20" i="33"/>
  <c r="M18" i="33"/>
  <c r="M16" i="33"/>
  <c r="M14" i="33"/>
  <c r="O119" i="14"/>
  <c r="BX119" i="14" s="1"/>
  <c r="O111" i="14"/>
  <c r="CN111" i="14" s="1"/>
  <c r="O103" i="14"/>
  <c r="BX103" i="14" s="1"/>
  <c r="O151" i="14"/>
  <c r="CF151" i="14" s="1"/>
  <c r="O87" i="14"/>
  <c r="BQ87" i="14" s="1"/>
  <c r="O143" i="14"/>
  <c r="BQ143" i="14" s="1"/>
  <c r="K36" i="33"/>
  <c r="K39" i="33" s="1"/>
  <c r="O79" i="14"/>
  <c r="BQ79" i="14" s="1"/>
  <c r="O127" i="14"/>
  <c r="BX127" i="14" s="1"/>
  <c r="O135" i="14"/>
  <c r="CF135" i="14" s="1"/>
  <c r="O153" i="14"/>
  <c r="CN153" i="14" s="1"/>
  <c r="O95" i="14"/>
  <c r="CN95" i="14" s="1"/>
  <c r="O71" i="14"/>
  <c r="BQ71" i="14" s="1"/>
  <c r="M12" i="33"/>
  <c r="Z21" i="17" l="1"/>
  <c r="M12" i="40"/>
  <c r="V13" i="33"/>
  <c r="L12" i="40"/>
  <c r="L14" i="40"/>
  <c r="M14" i="40"/>
  <c r="V14" i="33"/>
  <c r="M16" i="40"/>
  <c r="V15" i="33"/>
  <c r="L16" i="40"/>
  <c r="M18" i="40"/>
  <c r="V16" i="33"/>
  <c r="L18" i="40"/>
  <c r="M20" i="40"/>
  <c r="V17" i="33"/>
  <c r="L20" i="40"/>
  <c r="M22" i="40"/>
  <c r="V18" i="33"/>
  <c r="L22" i="40"/>
  <c r="M24" i="40"/>
  <c r="V19" i="33"/>
  <c r="L24" i="40"/>
  <c r="M36" i="33"/>
  <c r="M26" i="40"/>
  <c r="V20" i="33"/>
  <c r="L26" i="40"/>
  <c r="M28" i="40"/>
  <c r="V21" i="33"/>
  <c r="L28" i="40"/>
  <c r="M30" i="40"/>
  <c r="V22" i="33"/>
  <c r="L30" i="40"/>
  <c r="M32" i="40"/>
  <c r="V23" i="33"/>
  <c r="L32" i="40"/>
  <c r="M34" i="40"/>
  <c r="L34" i="40"/>
  <c r="V24" i="33"/>
  <c r="P71" i="14"/>
  <c r="BR71" i="14" s="1"/>
  <c r="P135" i="14"/>
  <c r="BY135" i="14" s="1"/>
  <c r="P127" i="14"/>
  <c r="CO127" i="14" s="1"/>
  <c r="P79" i="14"/>
  <c r="CG79" i="14" s="1"/>
  <c r="P153" i="14"/>
  <c r="BY153" i="14" s="1"/>
  <c r="P95" i="14"/>
  <c r="CG95" i="14" s="1"/>
  <c r="BQ95" i="14"/>
  <c r="BQ135" i="14"/>
  <c r="BX153" i="14"/>
  <c r="BX71" i="14"/>
  <c r="BX79" i="14"/>
  <c r="BQ127" i="14"/>
  <c r="BX95" i="14"/>
  <c r="CN135" i="14"/>
  <c r="BQ153" i="14"/>
  <c r="CF71" i="14"/>
  <c r="CF79" i="14"/>
  <c r="CN127" i="14"/>
  <c r="O63" i="14"/>
  <c r="BY127" i="14"/>
  <c r="CF111" i="14"/>
  <c r="BQ111" i="14"/>
  <c r="CN151" i="14"/>
  <c r="BX151" i="14"/>
  <c r="CN103" i="14"/>
  <c r="BQ103" i="14"/>
  <c r="CF119" i="14"/>
  <c r="BQ119" i="14"/>
  <c r="CN87" i="14"/>
  <c r="CF87" i="14"/>
  <c r="BX143" i="14"/>
  <c r="CF143" i="14"/>
  <c r="P143" i="14"/>
  <c r="CF95" i="14"/>
  <c r="P87" i="14"/>
  <c r="BX135" i="14"/>
  <c r="P151" i="14"/>
  <c r="P103" i="14"/>
  <c r="CF153" i="14"/>
  <c r="P111" i="14"/>
  <c r="CN71" i="14"/>
  <c r="BX111" i="14"/>
  <c r="BQ151" i="14"/>
  <c r="CF103" i="14"/>
  <c r="CN79" i="14"/>
  <c r="P119" i="14"/>
  <c r="CN119" i="14"/>
  <c r="BX87" i="14"/>
  <c r="CF127" i="14"/>
  <c r="CN143" i="14"/>
  <c r="BR127" i="14" l="1"/>
  <c r="L36" i="40"/>
  <c r="M39" i="33"/>
  <c r="BR153" i="14"/>
  <c r="V25" i="33"/>
  <c r="CG127" i="14"/>
  <c r="CO153" i="14"/>
  <c r="CG153" i="14"/>
  <c r="M36" i="40"/>
  <c r="CG71" i="14"/>
  <c r="BY71" i="14"/>
  <c r="CO71" i="14"/>
  <c r="BY79" i="14"/>
  <c r="BR79" i="14"/>
  <c r="CO135" i="14"/>
  <c r="CO95" i="14"/>
  <c r="CO79" i="14"/>
  <c r="CG135" i="14"/>
  <c r="BR95" i="14"/>
  <c r="BR135" i="14"/>
  <c r="BY95" i="14"/>
  <c r="CG151" i="14"/>
  <c r="BR151" i="14"/>
  <c r="CO151" i="14"/>
  <c r="BY151" i="14"/>
  <c r="BR87" i="14"/>
  <c r="CO87" i="14"/>
  <c r="BY87" i="14"/>
  <c r="CG87" i="14"/>
  <c r="BY143" i="14"/>
  <c r="CO143" i="14"/>
  <c r="BR143" i="14"/>
  <c r="CG143" i="14"/>
  <c r="BE119" i="14"/>
  <c r="AC79" i="14"/>
  <c r="AJ151" i="14"/>
  <c r="CN63" i="14"/>
  <c r="BE153" i="14"/>
  <c r="AQ103" i="14"/>
  <c r="BK71" i="14"/>
  <c r="V119" i="14"/>
  <c r="AX143" i="14"/>
  <c r="V71" i="14"/>
  <c r="AC111" i="14"/>
  <c r="BE71" i="14"/>
  <c r="V63" i="14"/>
  <c r="AJ153" i="14"/>
  <c r="BK135" i="14"/>
  <c r="AJ119" i="14"/>
  <c r="AX151" i="14"/>
  <c r="BE63" i="14"/>
  <c r="AQ95" i="14"/>
  <c r="AJ95" i="14"/>
  <c r="AQ63" i="14"/>
  <c r="BE135" i="14"/>
  <c r="BQ63" i="14"/>
  <c r="BK103" i="14"/>
  <c r="AQ111" i="14"/>
  <c r="BE151" i="14"/>
  <c r="V153" i="14"/>
  <c r="V103" i="14"/>
  <c r="BE103" i="14"/>
  <c r="BE87" i="14"/>
  <c r="AX119" i="14"/>
  <c r="V87" i="14"/>
  <c r="AC153" i="14"/>
  <c r="AX71" i="14"/>
  <c r="CF63" i="14"/>
  <c r="AC71" i="14"/>
  <c r="BE79" i="14"/>
  <c r="BK79" i="14"/>
  <c r="AC103" i="14"/>
  <c r="AJ71" i="14"/>
  <c r="AQ87" i="14"/>
  <c r="BE127" i="14"/>
  <c r="AQ135" i="14"/>
  <c r="AX135" i="14"/>
  <c r="AX87" i="14"/>
  <c r="AJ111" i="14"/>
  <c r="BK119" i="14"/>
  <c r="AQ119" i="14"/>
  <c r="BK95" i="14"/>
  <c r="BK87" i="14"/>
  <c r="AX95" i="14"/>
  <c r="AQ127" i="14"/>
  <c r="V135" i="14"/>
  <c r="AX111" i="14"/>
  <c r="AJ63" i="14"/>
  <c r="V111" i="14"/>
  <c r="AC127" i="14"/>
  <c r="BE95" i="14"/>
  <c r="V95" i="14"/>
  <c r="AJ79" i="14"/>
  <c r="V143" i="14"/>
  <c r="AJ135" i="14"/>
  <c r="BK127" i="14"/>
  <c r="AJ143" i="14"/>
  <c r="AX79" i="14"/>
  <c r="AC95" i="14"/>
  <c r="AC119" i="14"/>
  <c r="AC63" i="14"/>
  <c r="AJ103" i="14"/>
  <c r="BE111" i="14"/>
  <c r="BX63" i="14"/>
  <c r="AX127" i="14"/>
  <c r="AC87" i="14"/>
  <c r="BK111" i="14"/>
  <c r="AX153" i="14"/>
  <c r="AC135" i="14"/>
  <c r="BK143" i="14"/>
  <c r="BE143" i="14"/>
  <c r="AC143" i="14"/>
  <c r="AQ79" i="14"/>
  <c r="BK151" i="14"/>
  <c r="AX63" i="14"/>
  <c r="AJ87" i="14"/>
  <c r="AQ153" i="14"/>
  <c r="AC151" i="14"/>
  <c r="V127" i="14"/>
  <c r="BK63" i="14"/>
  <c r="AQ143" i="14"/>
  <c r="AQ71" i="14"/>
  <c r="BK153" i="14"/>
  <c r="V79" i="14"/>
  <c r="AJ127" i="14"/>
  <c r="AQ151" i="14"/>
  <c r="AX103" i="14"/>
  <c r="V151" i="14"/>
  <c r="P63" i="14"/>
  <c r="BY119" i="14"/>
  <c r="CG119" i="14"/>
  <c r="CO119" i="14"/>
  <c r="BR119" i="14"/>
  <c r="CO111" i="14"/>
  <c r="BY111" i="14"/>
  <c r="BR111" i="14"/>
  <c r="CG111" i="14"/>
  <c r="BR103" i="14"/>
  <c r="CG103" i="14"/>
  <c r="BY103" i="14"/>
  <c r="CO103" i="14"/>
  <c r="BF71" i="14" l="1"/>
  <c r="BF127" i="14"/>
  <c r="BL135" i="14"/>
  <c r="CO63" i="14"/>
  <c r="BF151" i="14"/>
  <c r="W135" i="14"/>
  <c r="AR119" i="14"/>
  <c r="BL119" i="14"/>
  <c r="BL71" i="14"/>
  <c r="AY127" i="14"/>
  <c r="AD111" i="14"/>
  <c r="W79" i="14"/>
  <c r="AD135" i="14"/>
  <c r="AR143" i="14"/>
  <c r="AR87" i="14"/>
  <c r="BL151" i="14"/>
  <c r="BF87" i="14"/>
  <c r="AY103" i="14"/>
  <c r="BF135" i="14"/>
  <c r="AR127" i="14"/>
  <c r="AD153" i="14"/>
  <c r="AK153" i="14"/>
  <c r="BL87" i="14"/>
  <c r="AD95" i="14"/>
  <c r="AK127" i="14"/>
  <c r="AK143" i="14"/>
  <c r="BL63" i="14"/>
  <c r="AY151" i="14"/>
  <c r="W153" i="14"/>
  <c r="AR151" i="14"/>
  <c r="AY63" i="14"/>
  <c r="AD119" i="14"/>
  <c r="AD143" i="14"/>
  <c r="W119" i="14"/>
  <c r="AY153" i="14"/>
  <c r="AR111" i="14"/>
  <c r="BL111" i="14"/>
  <c r="BF119" i="14"/>
  <c r="BY63" i="14"/>
  <c r="BF111" i="14"/>
  <c r="AK135" i="14"/>
  <c r="AK103" i="14"/>
  <c r="BF63" i="14"/>
  <c r="BR63" i="14"/>
  <c r="AR153" i="14"/>
  <c r="W143" i="14"/>
  <c r="AY143" i="14"/>
  <c r="AR135" i="14"/>
  <c r="W111" i="14"/>
  <c r="AY87" i="14"/>
  <c r="AK151" i="14"/>
  <c r="AD127" i="14"/>
  <c r="AR95" i="14"/>
  <c r="AY111" i="14"/>
  <c r="AR79" i="14"/>
  <c r="AR71" i="14"/>
  <c r="AD151" i="14"/>
  <c r="AD79" i="14"/>
  <c r="AD71" i="14"/>
  <c r="AD87" i="14"/>
  <c r="W71" i="14"/>
  <c r="BF103" i="14"/>
  <c r="BF153" i="14"/>
  <c r="BL143" i="14"/>
  <c r="AK71" i="14"/>
  <c r="AY71" i="14"/>
  <c r="AD103" i="14"/>
  <c r="BL153" i="14"/>
  <c r="AK119" i="14"/>
  <c r="BL79" i="14"/>
  <c r="CG63" i="14"/>
  <c r="AY135" i="14"/>
  <c r="AR63" i="14"/>
  <c r="AY79" i="14"/>
  <c r="BF95" i="14"/>
  <c r="AK63" i="14"/>
  <c r="W63" i="14"/>
  <c r="W95" i="14"/>
  <c r="BL103" i="14"/>
  <c r="AK79" i="14"/>
  <c r="BF143" i="14"/>
  <c r="BL95" i="14"/>
  <c r="BF79" i="14"/>
  <c r="W103" i="14"/>
  <c r="AK95" i="14"/>
  <c r="W87" i="14"/>
  <c r="AD63" i="14"/>
  <c r="AK111" i="14"/>
  <c r="AY95" i="14"/>
  <c r="AR103" i="14"/>
  <c r="W151" i="14"/>
  <c r="AY119" i="14"/>
  <c r="AK87" i="14"/>
  <c r="W127" i="14"/>
  <c r="BL127" i="14"/>
  <c r="K36" i="40"/>
  <c r="K35" i="40"/>
  <c r="AF22" i="55"/>
</calcChain>
</file>

<file path=xl/comments1.xml><?xml version="1.0" encoding="utf-8"?>
<comments xmlns="http://schemas.openxmlformats.org/spreadsheetml/2006/main">
  <authors>
    <author>ducation</author>
    <author>SWEET</author>
  </authors>
  <commentList>
    <comment ref="G36" authorId="0">
      <text>
        <r>
          <rPr>
            <b/>
            <sz val="10"/>
            <color indexed="81"/>
            <rFont val="Tahoma"/>
            <family val="2"/>
          </rPr>
          <t>حساب الطاقة النظرية بالنسبة للمتوسطة غير نمطية، هي  40  تلميذ في مجموع عدد الأقسام العدية والمتخصصة معا</t>
        </r>
        <r>
          <rPr>
            <b/>
            <sz val="9"/>
            <color indexed="81"/>
            <rFont val="Tahoma"/>
            <family val="2"/>
          </rPr>
          <t xml:space="preserve"> </t>
        </r>
      </text>
    </comment>
    <comment ref="V46" authorId="1">
      <text>
        <r>
          <rPr>
            <b/>
            <sz val="10"/>
            <color indexed="81"/>
            <rFont val="Tahoma"/>
            <family val="2"/>
          </rPr>
          <t>يتعلق الامر بقاعات الدرس العادية التي تم تـجزئتها الى قسمين لضرورة التمدرس</t>
        </r>
      </text>
    </comment>
  </commentList>
</comments>
</file>

<file path=xl/comments2.xml><?xml version="1.0" encoding="utf-8"?>
<comments xmlns="http://schemas.openxmlformats.org/spreadsheetml/2006/main">
  <authors>
    <author>M.E.N-D.I.E-S.D.B.D</author>
  </authors>
  <commentList>
    <comment ref="D16" authorId="0">
      <text>
        <r>
          <rPr>
            <b/>
            <sz val="8"/>
            <color indexed="81"/>
            <rFont val="Tahoma"/>
            <family val="2"/>
          </rPr>
          <t xml:space="preserve">
</t>
        </r>
        <r>
          <rPr>
            <b/>
            <sz val="9"/>
            <color indexed="81"/>
            <rFont val="Tahoma"/>
            <family val="2"/>
          </rPr>
          <t>يتعلق الأمر بالمسجلين في السنة الماضية الذين تم تحويلهم الى متوسطات أخرى، الهذف من هذه العملية التحكم في التسرب المدرسي.</t>
        </r>
      </text>
    </comment>
  </commentList>
</comments>
</file>

<file path=xl/comments3.xml><?xml version="1.0" encoding="utf-8"?>
<comments xmlns="http://schemas.openxmlformats.org/spreadsheetml/2006/main">
  <authors>
    <author>M.E.N-D.I.E-S.D.B.D</author>
  </authors>
  <commentList>
    <comment ref="D16" authorId="0">
      <text>
        <r>
          <rPr>
            <b/>
            <sz val="8"/>
            <color indexed="81"/>
            <rFont val="Tahoma"/>
            <family val="2"/>
          </rPr>
          <t xml:space="preserve">
</t>
        </r>
        <r>
          <rPr>
            <b/>
            <sz val="9"/>
            <color indexed="81"/>
            <rFont val="Tahoma"/>
            <family val="2"/>
          </rPr>
          <t>يتعلق الأمر بالمسجلين في السنة الماضية الذين تم تحويلهم الى متوسطات أخرى، الهذف من هذه العملية التحكم في التسرب المدرسي.</t>
        </r>
      </text>
    </comment>
  </commentList>
</comments>
</file>

<file path=xl/comments4.xml><?xml version="1.0" encoding="utf-8"?>
<comments xmlns="http://schemas.openxmlformats.org/spreadsheetml/2006/main">
  <authors>
    <author>M.E.N-D.I.E-S.D.B.D</author>
  </authors>
  <commentList>
    <comment ref="D16" authorId="0">
      <text>
        <r>
          <rPr>
            <b/>
            <sz val="8"/>
            <color indexed="81"/>
            <rFont val="Tahoma"/>
            <family val="2"/>
          </rPr>
          <t xml:space="preserve">
</t>
        </r>
        <r>
          <rPr>
            <b/>
            <sz val="9"/>
            <color indexed="81"/>
            <rFont val="Tahoma"/>
            <family val="2"/>
          </rPr>
          <t>يتعلق الأمر بالمسجلين في السنة الماضية الذين تم تحويلهم الى متوسطات أخرى، الهذف من هذه العملية التحكم في التسرب المدرسي.</t>
        </r>
      </text>
    </comment>
  </commentList>
</comments>
</file>

<file path=xl/comments5.xml><?xml version="1.0" encoding="utf-8"?>
<comments xmlns="http://schemas.openxmlformats.org/spreadsheetml/2006/main">
  <authors>
    <author>M.E.N-D.I.E-S.D.B.D</author>
  </authors>
  <commentList>
    <comment ref="D16" authorId="0">
      <text>
        <r>
          <rPr>
            <b/>
            <sz val="8"/>
            <color indexed="81"/>
            <rFont val="Tahoma"/>
            <family val="2"/>
          </rPr>
          <t xml:space="preserve">
</t>
        </r>
        <r>
          <rPr>
            <b/>
            <sz val="9"/>
            <color indexed="81"/>
            <rFont val="Tahoma"/>
            <family val="2"/>
          </rPr>
          <t>يتعلق الأمر بالمسجلين في السنة الماضية الذين تم تحويلهم الى متوسطات أخرى، الهذف من هذه العملية التحكم في التسرب المدرسي.</t>
        </r>
      </text>
    </comment>
  </commentList>
</comments>
</file>

<file path=xl/sharedStrings.xml><?xml version="1.0" encoding="utf-8"?>
<sst xmlns="http://schemas.openxmlformats.org/spreadsheetml/2006/main" count="10703" uniqueCount="1477">
  <si>
    <t>السنة الدراسية :</t>
  </si>
  <si>
    <t>الدفتـر الإحصائي</t>
  </si>
  <si>
    <t>متوسطـــة :</t>
  </si>
  <si>
    <t>مديرية التربية لولاية :</t>
  </si>
  <si>
    <t>الإستقصاء المدرسي</t>
  </si>
  <si>
    <t>وزارة التربية الوطنية</t>
  </si>
  <si>
    <t>التعليـــم المتوســــط
Enseignement Moyen</t>
  </si>
  <si>
    <t>الجمهورية الجزائرية الديمقراطية الشعبية</t>
  </si>
  <si>
    <t>المجموع العام</t>
  </si>
  <si>
    <t>19 سنة فأكثر</t>
  </si>
  <si>
    <t>18 سنة</t>
  </si>
  <si>
    <t>17 سنة</t>
  </si>
  <si>
    <t>16 سنة</t>
  </si>
  <si>
    <t>15 سنة</t>
  </si>
  <si>
    <t>14 سنة</t>
  </si>
  <si>
    <t>13 سنة</t>
  </si>
  <si>
    <t>12 سنة</t>
  </si>
  <si>
    <t>11 سنة</t>
  </si>
  <si>
    <t>10 سنوات وأقل</t>
  </si>
  <si>
    <t>إنـــاث</t>
  </si>
  <si>
    <t>مجموع</t>
  </si>
  <si>
    <t>السن</t>
  </si>
  <si>
    <t xml:space="preserve">4 متوسط </t>
  </si>
  <si>
    <t xml:space="preserve">3 متوسط </t>
  </si>
  <si>
    <t xml:space="preserve">2 متوسط </t>
  </si>
  <si>
    <t>1 متوسط</t>
  </si>
  <si>
    <t>المستوى الدراسي والجنس</t>
  </si>
  <si>
    <t>منهم أجانب</t>
  </si>
  <si>
    <t>المجموع</t>
  </si>
  <si>
    <t>نســاء</t>
  </si>
  <si>
    <t>مواد التدريـس</t>
  </si>
  <si>
    <t xml:space="preserve">  المجموع</t>
  </si>
  <si>
    <t>أقـل من 5 ساعات</t>
  </si>
  <si>
    <t>من 5 إلى 9 سا</t>
  </si>
  <si>
    <t>من 10 إلى 14 سا</t>
  </si>
  <si>
    <t>من 15 إلى 18 سا</t>
  </si>
  <si>
    <t>عـدد ساعات التدريس والجنس</t>
  </si>
  <si>
    <t>التربية البدنية والرياضية</t>
  </si>
  <si>
    <t>التربية التشكيلية</t>
  </si>
  <si>
    <t>التربية الموسيقية</t>
  </si>
  <si>
    <t>علوم الطبيعة والحياة</t>
  </si>
  <si>
    <t>العلوم الفيزيائية والتكنولوجية</t>
  </si>
  <si>
    <t>الرياضيـات</t>
  </si>
  <si>
    <t>اللغــة الأنجليزية</t>
  </si>
  <si>
    <t>اللغــة الفرنسية</t>
  </si>
  <si>
    <t>التاريخ والجغرافيا</t>
  </si>
  <si>
    <t>اللغــة الأمازيغية</t>
  </si>
  <si>
    <t>اللغــة العربية</t>
  </si>
  <si>
    <t>الإعلام الآلي</t>
  </si>
  <si>
    <t>نساء</t>
  </si>
  <si>
    <t>شهادات أخـرى</t>
  </si>
  <si>
    <t>شهادة البكالوريا</t>
  </si>
  <si>
    <t>شهادة البكالوريا + 1</t>
  </si>
  <si>
    <t>شهادة البكالوريا + 2</t>
  </si>
  <si>
    <t>شهادة البكالوريا + 3</t>
  </si>
  <si>
    <t>شهادة معاهـد التكوين</t>
  </si>
  <si>
    <t>شهادة الليسانس</t>
  </si>
  <si>
    <t>شهادة الماجيستر</t>
  </si>
  <si>
    <t>المؤهل العلمي والجنس</t>
  </si>
  <si>
    <t>الرياضيات</t>
  </si>
  <si>
    <t>مــــواد التكوين</t>
  </si>
  <si>
    <t>عامل مهني - مستوى 1</t>
  </si>
  <si>
    <t>عامل مهني - صنف 3</t>
  </si>
  <si>
    <t>عامل مهني مستوى 2 - صنف 2</t>
  </si>
  <si>
    <t>عامل مهني - صنف 2</t>
  </si>
  <si>
    <t>عامل مهني-مستوى 2- ص 2- بواب مؤسسة</t>
  </si>
  <si>
    <t>عامل مهني - صنف 2 - بواب مؤسسة</t>
  </si>
  <si>
    <t>عامل مهني - مستوى 3 - صنف 1</t>
  </si>
  <si>
    <t>عامل مهني - صنف 1</t>
  </si>
  <si>
    <t>العمال المهنيين</t>
  </si>
  <si>
    <t>سائق سيارة - مستوى 1</t>
  </si>
  <si>
    <t>سائق سيارة - مستوى 2</t>
  </si>
  <si>
    <t>سائق سيارة - صنف 1</t>
  </si>
  <si>
    <t>سائقو السيارات</t>
  </si>
  <si>
    <t>عون الوقاية - مستوى 1</t>
  </si>
  <si>
    <t>عون الوقاية - مستوى 2</t>
  </si>
  <si>
    <t>أعوان الوقاية والأمن</t>
  </si>
  <si>
    <t>عامل مهني - مستوى 2 - بياضة مرقعة</t>
  </si>
  <si>
    <t>عامل مهني - صنف 2 - بياضة مرقعة</t>
  </si>
  <si>
    <t>عامل مهني - مستوى 3 - مسؤولة غسيل</t>
  </si>
  <si>
    <t>عامل مهني - صنف 1 - مسؤولة غسيل</t>
  </si>
  <si>
    <t>عامل مهني - مستوى 2 - طباخ ص 2</t>
  </si>
  <si>
    <t>عامل مهني - مستوى 3 - طباخ ص 1</t>
  </si>
  <si>
    <t>عامل مهني - صنف 2 - طباخ</t>
  </si>
  <si>
    <t>عامل مهني - صنف 1 - طباخ</t>
  </si>
  <si>
    <t>خارج الصنف - مسؤول مطبخ</t>
  </si>
  <si>
    <t>عامل مهني - مستوى 3 - مخزني</t>
  </si>
  <si>
    <t>عامل مهني - صنف 1 - مخزني</t>
  </si>
  <si>
    <t>خارج الصنف - مسؤول مخزن</t>
  </si>
  <si>
    <t>الموظفين المهنيين (المطبخ - المخزن - البياضة)</t>
  </si>
  <si>
    <t>عون حفظ البيانات</t>
  </si>
  <si>
    <t>موظفو التوثيـق</t>
  </si>
  <si>
    <t>عـون تمريض</t>
  </si>
  <si>
    <t>ممرض مؤهل</t>
  </si>
  <si>
    <t>موظفو الصحة</t>
  </si>
  <si>
    <t>عون تقني للمخبر</t>
  </si>
  <si>
    <t>معاون تقني للمخبر</t>
  </si>
  <si>
    <t>تقني للمخبر</t>
  </si>
  <si>
    <t>ملحق المخبر</t>
  </si>
  <si>
    <t>موظفو المخابـر</t>
  </si>
  <si>
    <t>كاتب</t>
  </si>
  <si>
    <t xml:space="preserve">عون إدارة </t>
  </si>
  <si>
    <t>عون إدارة رئيسي</t>
  </si>
  <si>
    <t>الموظفين العاملين بالإدارة</t>
  </si>
  <si>
    <t>مساعد المصالح الإقتصادية</t>
  </si>
  <si>
    <t>مساعد رئيسي للمصالح الإقتصادية</t>
  </si>
  <si>
    <t>نائب مقتصد</t>
  </si>
  <si>
    <t>نائب مقتصد مسير</t>
  </si>
  <si>
    <t>مقتصد</t>
  </si>
  <si>
    <t>مقتصد رئيسي</t>
  </si>
  <si>
    <t>موظفو المصالح الإقتصادية</t>
  </si>
  <si>
    <t>مساعد التربية</t>
  </si>
  <si>
    <t>مساعد رئيسي للتربية</t>
  </si>
  <si>
    <t>مستشار التربية</t>
  </si>
  <si>
    <t>مستشار رئيسي للتربية</t>
  </si>
  <si>
    <t>الموظفين العاملين بالإدارة (المتابعة التربـوية)</t>
  </si>
  <si>
    <t>مدير متوسطة</t>
  </si>
  <si>
    <t>الإطـــــار المهني</t>
  </si>
  <si>
    <t>المجمـــوع</t>
  </si>
  <si>
    <t>متعاقـــــدون</t>
  </si>
  <si>
    <t>متربصـــون</t>
  </si>
  <si>
    <t>مرسمـــــون</t>
  </si>
  <si>
    <t>المناصب الشاغـرة</t>
  </si>
  <si>
    <t>المناصب المشغولة</t>
  </si>
  <si>
    <t>المناصب المفتوحة</t>
  </si>
  <si>
    <t>الوضعية الإدارية والجنس</t>
  </si>
  <si>
    <t>منهم داخليين</t>
  </si>
  <si>
    <t>منهم نصف داخليين</t>
  </si>
  <si>
    <t>مجموع التلاميـــذ</t>
  </si>
  <si>
    <t>الأفواج التربوية</t>
  </si>
  <si>
    <t>مجموع الأساتذة</t>
  </si>
  <si>
    <t>نســــاء</t>
  </si>
  <si>
    <t>إطار أخر</t>
  </si>
  <si>
    <t>أستاذ التعليم الثانوي</t>
  </si>
  <si>
    <t>الإطار المهني
والجنس</t>
  </si>
  <si>
    <t>التلاميــــــذ</t>
  </si>
  <si>
    <t>منهم أجانـب</t>
  </si>
  <si>
    <t>منهم المنتقلون المعيدون لمـرة واحـدة في المتوسط</t>
  </si>
  <si>
    <t>منهم المنتقلون دون إعــادة في أي سنة من المتوسط</t>
  </si>
  <si>
    <t>مجموع المنتقلون</t>
  </si>
  <si>
    <t>الجنسية والجنس</t>
  </si>
  <si>
    <t>الناجحــون في الإمتحان</t>
  </si>
  <si>
    <t>الحاضرون</t>
  </si>
  <si>
    <t>المسجلون</t>
  </si>
  <si>
    <t xml:space="preserve">  نجـاح في الإمتحان والإنتقال إلى السنة الأولى ثانوي</t>
  </si>
  <si>
    <t>مـواد التدريس</t>
  </si>
  <si>
    <t>هيئات أخرى</t>
  </si>
  <si>
    <t>المؤسسات العمومية</t>
  </si>
  <si>
    <t>النقابـــــات</t>
  </si>
  <si>
    <t>المفتشيــات</t>
  </si>
  <si>
    <t>مديريــات التربيــة</t>
  </si>
  <si>
    <t>الإطار المهني والجنس</t>
  </si>
  <si>
    <t>الإطــار والجنس</t>
  </si>
  <si>
    <t>60 فأكثـر</t>
  </si>
  <si>
    <t>59 سنة</t>
  </si>
  <si>
    <t>58 سنة</t>
  </si>
  <si>
    <t>57 سنة</t>
  </si>
  <si>
    <t>56 سنة</t>
  </si>
  <si>
    <t>55 سنة</t>
  </si>
  <si>
    <t>54-50 سنة</t>
  </si>
  <si>
    <t>49-45 سنة</t>
  </si>
  <si>
    <t>44-40 سنة</t>
  </si>
  <si>
    <t>39-35 سنة</t>
  </si>
  <si>
    <t>أقل من 35 سنة</t>
  </si>
  <si>
    <t>الســن</t>
  </si>
  <si>
    <t>المجموع العـام</t>
  </si>
  <si>
    <t>المجمـوع</t>
  </si>
  <si>
    <t>متريصـــون</t>
  </si>
  <si>
    <t>الوضعية الإداريــة</t>
  </si>
  <si>
    <t>مــواد التدريـس</t>
  </si>
  <si>
    <t>الســن  و الجنس</t>
  </si>
  <si>
    <t xml:space="preserve">    2.4 - توزيع الموظفين الإداريين حسب الجنس، السن، الإطــار المهني </t>
  </si>
  <si>
    <t>عامل مهني - مستوى 2 - ص 2 - بواب مؤسسة</t>
  </si>
  <si>
    <t>مدير المتوسطة</t>
  </si>
  <si>
    <t>الثانوية 3</t>
  </si>
  <si>
    <t>الثانوية 2</t>
  </si>
  <si>
    <t>الثانوية 1</t>
  </si>
  <si>
    <t>الإبتدائيـة 8</t>
  </si>
  <si>
    <t>الإبتدائيـة 7</t>
  </si>
  <si>
    <t>الإبتدائيـة 6</t>
  </si>
  <si>
    <t>الإبتدائيـة 5</t>
  </si>
  <si>
    <t>الإبتدائيـة 4</t>
  </si>
  <si>
    <t>الإبتدائيـة 3</t>
  </si>
  <si>
    <t>الإبتدائيـة 2</t>
  </si>
  <si>
    <t>الإبتدائيـة 1</t>
  </si>
  <si>
    <t>3.8 - مقاطعات المتوسطــة في إنتقـال التلاميـذ : الثانوية الملحقة لها</t>
  </si>
  <si>
    <t>3.8 - مقاطعات المتوسطــة في إنتقـال التلاميـذ : الإبتدائيـات الملحقة بها</t>
  </si>
  <si>
    <t>مجموع المتوسط</t>
  </si>
  <si>
    <t>4 متوسط</t>
  </si>
  <si>
    <r>
      <t xml:space="preserve">IIIV - تذكير بأهم معطيات السنة الماضية - </t>
    </r>
    <r>
      <rPr>
        <b/>
        <sz val="11"/>
        <color indexed="10"/>
        <rFont val="Arial"/>
        <family val="2"/>
      </rPr>
      <t>التلاميذ</t>
    </r>
  </si>
  <si>
    <t>3 متوسط</t>
  </si>
  <si>
    <t>2 متوسط</t>
  </si>
  <si>
    <r>
      <t xml:space="preserve">IIIV - معطيات السنة الماضية - </t>
    </r>
    <r>
      <rPr>
        <b/>
        <sz val="9"/>
        <color indexed="10"/>
        <rFont val="Arial"/>
        <family val="2"/>
      </rPr>
      <t>الأفواج التربوية</t>
    </r>
  </si>
  <si>
    <t>توزيع التلاميذ المسجلين حسب المستوى الدراسي</t>
  </si>
  <si>
    <t>IIV - أقسام الرياضة والدراسة</t>
  </si>
  <si>
    <t>توزيع الأساتذة حسب الإطـــار والجنس</t>
  </si>
  <si>
    <t xml:space="preserve">IV - اللغة الآمازيغية </t>
  </si>
  <si>
    <r>
      <t xml:space="preserve">2.5 - </t>
    </r>
    <r>
      <rPr>
        <b/>
        <sz val="10"/>
        <color indexed="10"/>
        <rFont val="Arial"/>
        <family val="2"/>
      </rPr>
      <t>المنتقلون</t>
    </r>
    <r>
      <rPr>
        <b/>
        <sz val="10"/>
        <color indexed="18"/>
        <rFont val="Arial"/>
        <family val="2"/>
      </rPr>
      <t xml:space="preserve"> إلى السنة الأولى ثانوي حسب الجنس و</t>
    </r>
    <r>
      <rPr>
        <b/>
        <sz val="10"/>
        <color indexed="10"/>
        <rFont val="Arial"/>
        <family val="2"/>
      </rPr>
      <t xml:space="preserve">كيفية الإنتقال </t>
    </r>
    <r>
      <rPr>
        <b/>
        <sz val="10"/>
        <color indexed="18"/>
        <rFont val="Arial"/>
        <family val="2"/>
      </rPr>
      <t>وعدد الإعادة</t>
    </r>
  </si>
  <si>
    <r>
      <t xml:space="preserve">1.5 - الناجحون في امتحان </t>
    </r>
    <r>
      <rPr>
        <b/>
        <sz val="12"/>
        <color indexed="10"/>
        <rFont val="Arial"/>
        <family val="2"/>
      </rPr>
      <t>شهادة التعليم المتوسط</t>
    </r>
    <r>
      <rPr>
        <b/>
        <sz val="12"/>
        <color indexed="18"/>
        <rFont val="Arial"/>
        <family val="2"/>
      </rPr>
      <t xml:space="preserve"> حسب الجنس</t>
    </r>
  </si>
  <si>
    <t>المناصب الشاغــرة</t>
  </si>
  <si>
    <r>
      <t xml:space="preserve">1.4 - توزيع المناصب </t>
    </r>
    <r>
      <rPr>
        <b/>
        <sz val="12"/>
        <color indexed="10"/>
        <rFont val="Times New Roman"/>
        <family val="1"/>
      </rPr>
      <t>المفتوحـة</t>
    </r>
    <r>
      <rPr>
        <b/>
        <sz val="12"/>
        <color indexed="18"/>
        <rFont val="Times New Roman"/>
        <family val="1"/>
      </rPr>
      <t xml:space="preserve"> للموظفين </t>
    </r>
    <r>
      <rPr>
        <b/>
        <sz val="12"/>
        <color indexed="10"/>
        <rFont val="Times New Roman"/>
        <family val="1"/>
      </rPr>
      <t>الإداريين</t>
    </r>
    <r>
      <rPr>
        <b/>
        <sz val="12"/>
        <color indexed="18"/>
        <rFont val="Times New Roman"/>
        <family val="1"/>
      </rPr>
      <t xml:space="preserve"> حسب </t>
    </r>
    <r>
      <rPr>
        <b/>
        <sz val="12"/>
        <color indexed="10"/>
        <rFont val="Times New Roman"/>
        <family val="1"/>
      </rPr>
      <t xml:space="preserve">الإطــار - </t>
    </r>
    <r>
      <rPr>
        <b/>
        <sz val="12"/>
        <color indexed="18"/>
        <rFont val="Times New Roman"/>
        <family val="1"/>
      </rPr>
      <t>تابـع</t>
    </r>
  </si>
  <si>
    <r>
      <t xml:space="preserve">1.4 - توزيع المناصب </t>
    </r>
    <r>
      <rPr>
        <b/>
        <sz val="12"/>
        <color indexed="10"/>
        <rFont val="Times New Roman"/>
        <family val="1"/>
      </rPr>
      <t>الشاغــرة</t>
    </r>
    <r>
      <rPr>
        <b/>
        <sz val="12"/>
        <color indexed="18"/>
        <rFont val="Times New Roman"/>
        <family val="1"/>
      </rPr>
      <t xml:space="preserve"> للموظفين </t>
    </r>
    <r>
      <rPr>
        <b/>
        <sz val="12"/>
        <color indexed="10"/>
        <rFont val="Times New Roman"/>
        <family val="1"/>
      </rPr>
      <t>الإداريين</t>
    </r>
    <r>
      <rPr>
        <b/>
        <sz val="12"/>
        <color indexed="18"/>
        <rFont val="Times New Roman"/>
        <family val="1"/>
      </rPr>
      <t xml:space="preserve"> حسب </t>
    </r>
    <r>
      <rPr>
        <b/>
        <sz val="12"/>
        <color indexed="10"/>
        <rFont val="Times New Roman"/>
        <family val="1"/>
      </rPr>
      <t>الإطــار</t>
    </r>
  </si>
  <si>
    <t>المتعاقـــــدون</t>
  </si>
  <si>
    <r>
      <t xml:space="preserve">1.4 - توزيع المناصب </t>
    </r>
    <r>
      <rPr>
        <b/>
        <sz val="12"/>
        <color indexed="10"/>
        <rFont val="Times New Roman"/>
        <family val="1"/>
      </rPr>
      <t>المشغولة</t>
    </r>
    <r>
      <rPr>
        <b/>
        <sz val="12"/>
        <color indexed="18"/>
        <rFont val="Times New Roman"/>
        <family val="1"/>
      </rPr>
      <t xml:space="preserve"> للموظفين </t>
    </r>
    <r>
      <rPr>
        <b/>
        <sz val="12"/>
        <color indexed="10"/>
        <rFont val="Times New Roman"/>
        <family val="1"/>
      </rPr>
      <t>الإداريين</t>
    </r>
    <r>
      <rPr>
        <b/>
        <sz val="12"/>
        <color indexed="18"/>
        <rFont val="Times New Roman"/>
        <family val="1"/>
      </rPr>
      <t xml:space="preserve"> حسب </t>
    </r>
    <r>
      <rPr>
        <b/>
        <sz val="12"/>
        <color indexed="10"/>
        <rFont val="Times New Roman"/>
        <family val="1"/>
      </rPr>
      <t xml:space="preserve">الإطــار - </t>
    </r>
    <r>
      <rPr>
        <b/>
        <sz val="12"/>
        <color indexed="18"/>
        <rFont val="Times New Roman"/>
        <family val="1"/>
      </rPr>
      <t>تابـع</t>
    </r>
  </si>
  <si>
    <r>
      <t xml:space="preserve">1.4 - توزيع المناصب </t>
    </r>
    <r>
      <rPr>
        <b/>
        <sz val="12"/>
        <color indexed="10"/>
        <rFont val="Times New Roman"/>
        <family val="1"/>
      </rPr>
      <t>المشغولة</t>
    </r>
    <r>
      <rPr>
        <b/>
        <sz val="12"/>
        <color indexed="18"/>
        <rFont val="Times New Roman"/>
        <family val="1"/>
      </rPr>
      <t xml:space="preserve"> للموظفين </t>
    </r>
    <r>
      <rPr>
        <b/>
        <sz val="12"/>
        <color indexed="10"/>
        <rFont val="Times New Roman"/>
        <family val="1"/>
      </rPr>
      <t>الإداريين</t>
    </r>
    <r>
      <rPr>
        <b/>
        <sz val="12"/>
        <color indexed="18"/>
        <rFont val="Times New Roman"/>
        <family val="1"/>
      </rPr>
      <t xml:space="preserve"> حسب </t>
    </r>
    <r>
      <rPr>
        <b/>
        <sz val="12"/>
        <color indexed="10"/>
        <rFont val="Times New Roman"/>
        <family val="1"/>
      </rPr>
      <t>الإطــار</t>
    </r>
  </si>
  <si>
    <t>المتربصون</t>
  </si>
  <si>
    <t>المرسمـــــون</t>
  </si>
  <si>
    <t>المناصب المفتوحـة</t>
  </si>
  <si>
    <r>
      <t xml:space="preserve">1.4 - توزيع المناصب </t>
    </r>
    <r>
      <rPr>
        <b/>
        <sz val="12"/>
        <color indexed="10"/>
        <rFont val="Times New Roman"/>
        <family val="1"/>
      </rPr>
      <t>المفتوحـة</t>
    </r>
    <r>
      <rPr>
        <b/>
        <sz val="12"/>
        <color indexed="18"/>
        <rFont val="Times New Roman"/>
        <family val="1"/>
      </rPr>
      <t xml:space="preserve"> للموظفين </t>
    </r>
    <r>
      <rPr>
        <b/>
        <sz val="12"/>
        <color indexed="10"/>
        <rFont val="Times New Roman"/>
        <family val="1"/>
      </rPr>
      <t>الإداريين</t>
    </r>
    <r>
      <rPr>
        <b/>
        <sz val="12"/>
        <color indexed="18"/>
        <rFont val="Times New Roman"/>
        <family val="1"/>
      </rPr>
      <t xml:space="preserve"> حسب </t>
    </r>
    <r>
      <rPr>
        <b/>
        <sz val="12"/>
        <color indexed="10"/>
        <rFont val="Times New Roman"/>
        <family val="1"/>
      </rPr>
      <t>الإطــار</t>
    </r>
  </si>
  <si>
    <t>مجموع الشهادات</t>
  </si>
  <si>
    <r>
      <t>11.3 - توزيع الأساتذة حسب الجنس، مواد التدريس و</t>
    </r>
    <r>
      <rPr>
        <b/>
        <sz val="11"/>
        <color indexed="10"/>
        <rFont val="Times New Roman"/>
        <family val="1"/>
      </rPr>
      <t xml:space="preserve">المؤهل العلمي - </t>
    </r>
    <r>
      <rPr>
        <b/>
        <sz val="11"/>
        <color indexed="18"/>
        <rFont val="Times New Roman"/>
        <family val="1"/>
      </rPr>
      <t>تابـع</t>
    </r>
  </si>
  <si>
    <r>
      <t>11.3 - توزيع الأساتذة حسب الجنس، مواد التدريس و</t>
    </r>
    <r>
      <rPr>
        <b/>
        <sz val="11"/>
        <color indexed="10"/>
        <rFont val="Times New Roman"/>
        <family val="1"/>
      </rPr>
      <t>المؤهل العلمي</t>
    </r>
  </si>
  <si>
    <r>
      <t xml:space="preserve">10.3 - الأساتذة المشتغلين </t>
    </r>
    <r>
      <rPr>
        <b/>
        <sz val="7"/>
        <color indexed="10"/>
        <rFont val="Times New Roman"/>
        <family val="1"/>
      </rPr>
      <t>جزء من الوقت</t>
    </r>
    <r>
      <rPr>
        <b/>
        <sz val="7"/>
        <color indexed="18"/>
        <rFont val="Times New Roman"/>
        <family val="1"/>
      </rPr>
      <t xml:space="preserve"> المعنيين بإستكمال الحجم الساعي في مواد أخرى</t>
    </r>
  </si>
  <si>
    <r>
      <t xml:space="preserve">10.3 - الأساتذة المشتغلين </t>
    </r>
    <r>
      <rPr>
        <b/>
        <sz val="8"/>
        <color indexed="10"/>
        <rFont val="Times New Roman"/>
        <family val="1"/>
      </rPr>
      <t>جزء من الوقت</t>
    </r>
    <r>
      <rPr>
        <b/>
        <sz val="8"/>
        <color indexed="18"/>
        <rFont val="Times New Roman"/>
        <family val="1"/>
      </rPr>
      <t xml:space="preserve"> المعنيين بإستكمال الحجم الساعي في مواد أخرى</t>
    </r>
  </si>
  <si>
    <t>ع ف والتكنولوجية</t>
  </si>
  <si>
    <t>اللغة العربية</t>
  </si>
  <si>
    <r>
      <t xml:space="preserve">9.3 - توزيع الأساتذة المشتغلين </t>
    </r>
    <r>
      <rPr>
        <b/>
        <sz val="12"/>
        <color indexed="10"/>
        <rFont val="Times New Roman"/>
        <family val="1"/>
      </rPr>
      <t>جزء من الوقت</t>
    </r>
    <r>
      <rPr>
        <b/>
        <sz val="12"/>
        <color indexed="18"/>
        <rFont val="Times New Roman"/>
        <family val="1"/>
      </rPr>
      <t xml:space="preserve"> (أسبوعيا) حسب مواد التدريس وعدد ساعات التدريس - </t>
    </r>
    <r>
      <rPr>
        <b/>
        <sz val="12"/>
        <color indexed="10"/>
        <rFont val="Times New Roman"/>
        <family val="1"/>
      </rPr>
      <t>تابـع</t>
    </r>
  </si>
  <si>
    <r>
      <t xml:space="preserve">9.3 - توزيع الأساتذة المشتغلين </t>
    </r>
    <r>
      <rPr>
        <b/>
        <sz val="12"/>
        <color indexed="10"/>
        <rFont val="Times New Roman"/>
        <family val="1"/>
      </rPr>
      <t>جزء من الوقت</t>
    </r>
    <r>
      <rPr>
        <b/>
        <sz val="12"/>
        <color indexed="18"/>
        <rFont val="Times New Roman"/>
        <family val="1"/>
      </rPr>
      <t xml:space="preserve"> (أسبوعيا) حسب مواد التدريس وعدد ساعات التدريس</t>
    </r>
  </si>
  <si>
    <r>
      <t xml:space="preserve">8.3 - توزيع الأساتذة حسب </t>
    </r>
    <r>
      <rPr>
        <b/>
        <sz val="12"/>
        <color indexed="10"/>
        <rFont val="Times New Roman"/>
        <family val="1"/>
      </rPr>
      <t>مواد التكوين</t>
    </r>
    <r>
      <rPr>
        <b/>
        <sz val="12"/>
        <color indexed="18"/>
        <rFont val="Times New Roman"/>
        <family val="1"/>
      </rPr>
      <t xml:space="preserve"> ومـواد التدريس بما فيهم المتعاقدين والمكلفين جزئيا على مادة أخرى - </t>
    </r>
    <r>
      <rPr>
        <b/>
        <sz val="12"/>
        <color indexed="10"/>
        <rFont val="Times New Roman"/>
        <family val="1"/>
      </rPr>
      <t>تابـع</t>
    </r>
  </si>
  <si>
    <r>
      <t xml:space="preserve">8.3 - توزيع الأساتذة حسب </t>
    </r>
    <r>
      <rPr>
        <b/>
        <sz val="12"/>
        <color indexed="10"/>
        <rFont val="Times New Roman"/>
        <family val="1"/>
      </rPr>
      <t>مواد التكوين</t>
    </r>
    <r>
      <rPr>
        <b/>
        <sz val="12"/>
        <color indexed="18"/>
        <rFont val="Times New Roman"/>
        <family val="1"/>
      </rPr>
      <t xml:space="preserve"> ومـواد التدريس بما فيهم المتعاقدين والمكلفين جزئيا على مادة أخرى</t>
    </r>
  </si>
  <si>
    <r>
      <t>7.3 - توزيع الأساتذة (</t>
    </r>
    <r>
      <rPr>
        <b/>
        <sz val="12"/>
        <color indexed="10"/>
        <rFont val="Times New Roman"/>
        <family val="1"/>
      </rPr>
      <t>المتعاقدون</t>
    </r>
    <r>
      <rPr>
        <b/>
        <sz val="12"/>
        <color indexed="18"/>
        <rFont val="Times New Roman"/>
        <family val="1"/>
      </rPr>
      <t xml:space="preserve">) حسب الجنس، السن ومـواد التدريس - </t>
    </r>
    <r>
      <rPr>
        <b/>
        <sz val="12"/>
        <color indexed="10"/>
        <rFont val="Times New Roman"/>
        <family val="1"/>
      </rPr>
      <t>تابـع</t>
    </r>
  </si>
  <si>
    <r>
      <t>7.3 - توزيع الأساتذة (</t>
    </r>
    <r>
      <rPr>
        <b/>
        <sz val="12"/>
        <color indexed="10"/>
        <rFont val="Times New Roman"/>
        <family val="1"/>
      </rPr>
      <t>المتعاقدون</t>
    </r>
    <r>
      <rPr>
        <b/>
        <sz val="12"/>
        <color indexed="18"/>
        <rFont val="Times New Roman"/>
        <family val="1"/>
      </rPr>
      <t>) حسب الجنس، السن ومـواد التدريس</t>
    </r>
  </si>
  <si>
    <r>
      <t xml:space="preserve">5.3 - توزيع الأساتذة </t>
    </r>
    <r>
      <rPr>
        <b/>
        <sz val="11"/>
        <color indexed="10"/>
        <rFont val="Times New Roman"/>
        <family val="1"/>
      </rPr>
      <t xml:space="preserve">المنتدبـون </t>
    </r>
    <r>
      <rPr>
        <b/>
        <sz val="11"/>
        <color indexed="18"/>
        <rFont val="Times New Roman"/>
        <family val="1"/>
      </rPr>
      <t xml:space="preserve">لـدى مختلف الهيئات حسب الجنس ومواد التدريس - </t>
    </r>
    <r>
      <rPr>
        <b/>
        <sz val="11"/>
        <color indexed="10"/>
        <rFont val="Times New Roman"/>
        <family val="1"/>
      </rPr>
      <t>تابــع</t>
    </r>
  </si>
  <si>
    <r>
      <t xml:space="preserve">5.3 - توزيع الأساتذة </t>
    </r>
    <r>
      <rPr>
        <b/>
        <sz val="11"/>
        <color indexed="10"/>
        <rFont val="Times New Roman"/>
        <family val="1"/>
      </rPr>
      <t xml:space="preserve">المنتدبـون </t>
    </r>
    <r>
      <rPr>
        <b/>
        <sz val="11"/>
        <color indexed="18"/>
        <rFont val="Times New Roman"/>
        <family val="1"/>
      </rPr>
      <t>لـدى مختلف الهيئات حسب الجنس ومواد التدريس</t>
    </r>
  </si>
  <si>
    <t>منهم متعاقدون</t>
  </si>
  <si>
    <t>أستاذ المدرسة الابتدائية</t>
  </si>
  <si>
    <t>أستاذ رئيسي ابتدائية</t>
  </si>
  <si>
    <r>
      <t>أستاذ المتوسط</t>
    </r>
    <r>
      <rPr>
        <b/>
        <sz val="8"/>
        <color indexed="10"/>
        <rFont val="Arial"/>
        <family val="2"/>
      </rPr>
      <t>&amp;</t>
    </r>
    <r>
      <rPr>
        <b/>
        <sz val="8"/>
        <color indexed="30"/>
        <rFont val="Arial"/>
        <family val="2"/>
      </rPr>
      <t>الأساسي</t>
    </r>
  </si>
  <si>
    <t>أستاذ للمـادة</t>
  </si>
  <si>
    <t>أستاذ منسق</t>
  </si>
  <si>
    <t xml:space="preserve">أستاذ رئيسي </t>
  </si>
  <si>
    <r>
      <t xml:space="preserve">4.3 - توزيع الأساتذة حسب </t>
    </r>
    <r>
      <rPr>
        <b/>
        <sz val="12"/>
        <color indexed="10"/>
        <rFont val="Times New Roman"/>
        <family val="1"/>
      </rPr>
      <t>السـن</t>
    </r>
    <r>
      <rPr>
        <b/>
        <sz val="12"/>
        <color indexed="18"/>
        <rFont val="Times New Roman"/>
        <family val="1"/>
      </rPr>
      <t>، الجنس والإطــارالمهني بما فيهم المتعاقدين على مناصب شاغرة</t>
    </r>
  </si>
  <si>
    <t>أستاذ التعليم المتوسط - الأساسي</t>
  </si>
  <si>
    <t>أستاذ رئيسي للتعليم المتوسط</t>
  </si>
  <si>
    <t>متعاقـدون</t>
  </si>
  <si>
    <r>
      <t>3.3 - توزيع الأساتذة حسب الجنس، الإطــارالمهني، و</t>
    </r>
    <r>
      <rPr>
        <b/>
        <sz val="11"/>
        <color indexed="10"/>
        <rFont val="Times New Roman"/>
        <family val="1"/>
      </rPr>
      <t xml:space="preserve">الوضعبة الإداريــة </t>
    </r>
  </si>
  <si>
    <t>متريصـون</t>
  </si>
  <si>
    <t>مرسمـون</t>
  </si>
  <si>
    <r>
      <t xml:space="preserve">2.3 - توزيع الأساتذة  حسب الجنس، </t>
    </r>
    <r>
      <rPr>
        <b/>
        <sz val="11"/>
        <color indexed="10"/>
        <rFont val="Times New Roman"/>
        <family val="1"/>
      </rPr>
      <t>الإطار المهني</t>
    </r>
    <r>
      <rPr>
        <b/>
        <sz val="11"/>
        <color indexed="18"/>
        <rFont val="Times New Roman"/>
        <family val="1"/>
      </rPr>
      <t xml:space="preserve"> والوضعية الإداريـة بما فيهم المتعاقدين على المناصب الشاغرة</t>
    </r>
  </si>
  <si>
    <r>
      <t xml:space="preserve">2.3 - توزيع الأساتذة  حسب الجنس، </t>
    </r>
    <r>
      <rPr>
        <b/>
        <sz val="12"/>
        <color indexed="10"/>
        <rFont val="Times New Roman"/>
        <family val="1"/>
      </rPr>
      <t>الإطار المهني</t>
    </r>
    <r>
      <rPr>
        <b/>
        <sz val="12"/>
        <color indexed="18"/>
        <rFont val="Times New Roman"/>
        <family val="1"/>
      </rPr>
      <t xml:space="preserve"> والوضعية الإداريـة بما فيهم المتعاقدين على المناصب الشاغرة</t>
    </r>
  </si>
  <si>
    <r>
      <t xml:space="preserve">1.3 - توزيع المناصب المالية للأساتذة، </t>
    </r>
    <r>
      <rPr>
        <b/>
        <sz val="12"/>
        <color indexed="10"/>
        <rFont val="Times New Roman"/>
        <family val="1"/>
      </rPr>
      <t>المناصب الشاغـرة</t>
    </r>
  </si>
  <si>
    <t>مجموع المناصب المشغولة</t>
  </si>
  <si>
    <r>
      <t xml:space="preserve">1.3 - توزيع المناصب المالية للأساتذة حسب الجنس، الوضعية الإدارية ومواد التدريس - </t>
    </r>
    <r>
      <rPr>
        <b/>
        <sz val="12"/>
        <color indexed="10"/>
        <rFont val="Times New Roman"/>
        <family val="1"/>
      </rPr>
      <t>المناصب المشغولـة - متعلقـدون</t>
    </r>
  </si>
  <si>
    <t>متوسط 3</t>
  </si>
  <si>
    <t>فئات أخرى</t>
  </si>
  <si>
    <t>أبناء لبقطاع</t>
  </si>
  <si>
    <t>المعوزين</t>
  </si>
  <si>
    <t>التضامن الوطني</t>
  </si>
  <si>
    <t>متوسط 2</t>
  </si>
  <si>
    <t>متوسط 1</t>
  </si>
  <si>
    <t>المنزل</t>
  </si>
  <si>
    <t>مركز العلاج</t>
  </si>
  <si>
    <t>المستشفى</t>
  </si>
  <si>
    <t>متعددة</t>
  </si>
  <si>
    <t>أخرى</t>
  </si>
  <si>
    <t>الكتابة</t>
  </si>
  <si>
    <t>التعلم</t>
  </si>
  <si>
    <t>الكلام</t>
  </si>
  <si>
    <t>السمعي</t>
  </si>
  <si>
    <t>البصري</t>
  </si>
  <si>
    <t>القلبية</t>
  </si>
  <si>
    <t>السلوكي</t>
  </si>
  <si>
    <t>العصبي</t>
  </si>
  <si>
    <t>الحركي</t>
  </si>
  <si>
    <t>متوسط 4</t>
  </si>
  <si>
    <r>
      <t xml:space="preserve">1.3 - توزيع المناصب المالية للأساتذة حسب الجنس، الوضعية الإدارية ومواد التدريس - </t>
    </r>
    <r>
      <rPr>
        <b/>
        <sz val="12"/>
        <color indexed="10"/>
        <rFont val="Times New Roman"/>
        <family val="1"/>
      </rPr>
      <t>المناصب المشغولـة - متربصون</t>
    </r>
  </si>
  <si>
    <r>
      <t xml:space="preserve">1.3 - توزيع المناصب المالية للأساتذة حسب الجنس، الوضعية الإدارية ومواد التدريس - </t>
    </r>
    <r>
      <rPr>
        <b/>
        <sz val="12"/>
        <color indexed="10"/>
        <rFont val="Times New Roman"/>
        <family val="1"/>
      </rPr>
      <t>المناصب المشغولـة - مرسمون</t>
    </r>
  </si>
  <si>
    <r>
      <t xml:space="preserve">1.3 - توزيع المناصب المالية للأساتذة، </t>
    </r>
    <r>
      <rPr>
        <b/>
        <sz val="12"/>
        <color indexed="10"/>
        <rFont val="Times New Roman"/>
        <family val="1"/>
      </rPr>
      <t>المناصب المفتوحـة</t>
    </r>
  </si>
  <si>
    <r>
      <t xml:space="preserve"> 17.2 - توزيع التلاميذ المستفيدين من </t>
    </r>
    <r>
      <rPr>
        <b/>
        <sz val="12"/>
        <color indexed="10"/>
        <rFont val="Times New Roman"/>
        <family val="1"/>
      </rPr>
      <t>الكتاب المدرسي</t>
    </r>
    <r>
      <rPr>
        <b/>
        <sz val="12"/>
        <color indexed="18"/>
        <rFont val="Times New Roman"/>
        <family val="1"/>
      </rPr>
      <t xml:space="preserve"> حسب الجنس والمستوى الدراسي</t>
    </r>
  </si>
  <si>
    <r>
      <t xml:space="preserve">    16.2 - توزيع التلاميذ المستفيدين من </t>
    </r>
    <r>
      <rPr>
        <b/>
        <sz val="11"/>
        <color indexed="10"/>
        <rFont val="Times New Roman"/>
        <family val="1"/>
      </rPr>
      <t xml:space="preserve">المنحة المدرسية الخاصة </t>
    </r>
    <r>
      <rPr>
        <b/>
        <sz val="11"/>
        <rFont val="Times New Roman"/>
        <family val="1"/>
      </rPr>
      <t>( الإعانة الوطنية ) حسب الجنس والمستوى الدراسي</t>
    </r>
  </si>
  <si>
    <r>
      <t xml:space="preserve">15.2 - توزيع المؤطرون على التلاميذ </t>
    </r>
    <r>
      <rPr>
        <b/>
        <sz val="9"/>
        <color indexed="10"/>
        <rFont val="Times New Roman"/>
        <family val="1"/>
      </rPr>
      <t>المرضى</t>
    </r>
    <r>
      <rPr>
        <b/>
        <sz val="9"/>
        <color indexed="18"/>
        <rFont val="Times New Roman"/>
        <family val="1"/>
      </rPr>
      <t xml:space="preserve"> المتكفل بهم حسب </t>
    </r>
    <r>
      <rPr>
        <b/>
        <sz val="9"/>
        <color indexed="10"/>
        <rFont val="Times New Roman"/>
        <family val="1"/>
      </rPr>
      <t>مكان الإستشفاء</t>
    </r>
  </si>
  <si>
    <r>
      <t xml:space="preserve">15.2 - توزيع التلاميذ </t>
    </r>
    <r>
      <rPr>
        <b/>
        <sz val="12"/>
        <color indexed="10"/>
        <rFont val="Times New Roman"/>
        <family val="1"/>
      </rPr>
      <t>المرضى</t>
    </r>
    <r>
      <rPr>
        <b/>
        <sz val="12"/>
        <color indexed="18"/>
        <rFont val="Times New Roman"/>
        <family val="1"/>
      </rPr>
      <t xml:space="preserve"> المتكفل بهم حسب </t>
    </r>
    <r>
      <rPr>
        <b/>
        <sz val="12"/>
        <color indexed="10"/>
        <rFont val="Times New Roman"/>
        <family val="1"/>
      </rPr>
      <t>مكان الإستشفاء</t>
    </r>
    <r>
      <rPr>
        <b/>
        <sz val="12"/>
        <color indexed="18"/>
        <rFont val="Times New Roman"/>
        <family val="1"/>
      </rPr>
      <t>، الجنس والمستوى الدراسي</t>
    </r>
  </si>
  <si>
    <r>
      <t xml:space="preserve">14.2 - توزيع التلاميذ </t>
    </r>
    <r>
      <rPr>
        <b/>
        <sz val="12"/>
        <color indexed="10"/>
        <rFont val="Times New Roman"/>
        <family val="1"/>
      </rPr>
      <t>المسجلين</t>
    </r>
    <r>
      <rPr>
        <b/>
        <sz val="12"/>
        <color indexed="18"/>
        <rFont val="Times New Roman"/>
        <family val="1"/>
      </rPr>
      <t xml:space="preserve"> حسب نوعية </t>
    </r>
    <r>
      <rPr>
        <b/>
        <sz val="12"/>
        <color indexed="10"/>
        <rFont val="Times New Roman"/>
        <family val="1"/>
      </rPr>
      <t>الإضطراب الصحي</t>
    </r>
    <r>
      <rPr>
        <b/>
        <sz val="12"/>
        <color indexed="18"/>
        <rFont val="Times New Roman"/>
        <family val="1"/>
      </rPr>
      <t xml:space="preserve"> ،الجنس والمستوى الدراسي</t>
    </r>
  </si>
  <si>
    <t>نصف داخلي</t>
  </si>
  <si>
    <t>داخلي</t>
  </si>
  <si>
    <t>خــــــــارجي</t>
  </si>
  <si>
    <r>
      <t xml:space="preserve"> 13.2 - توزيع التلاميذ حسب </t>
    </r>
    <r>
      <rPr>
        <b/>
        <sz val="12"/>
        <color indexed="10"/>
        <rFont val="Times New Roman"/>
        <family val="1"/>
      </rPr>
      <t>النظام</t>
    </r>
    <r>
      <rPr>
        <b/>
        <sz val="12"/>
        <color indexed="18"/>
        <rFont val="Times New Roman"/>
        <family val="1"/>
      </rPr>
      <t xml:space="preserve"> الدراسي والمستوى الدراسي المستفيدون من </t>
    </r>
    <r>
      <rPr>
        <b/>
        <sz val="12"/>
        <color indexed="10"/>
        <rFont val="Times New Roman"/>
        <family val="1"/>
      </rPr>
      <t>المنح</t>
    </r>
  </si>
  <si>
    <r>
      <t xml:space="preserve"> 13.2 - توزيع التلاميذ حسب </t>
    </r>
    <r>
      <rPr>
        <b/>
        <sz val="12"/>
        <color indexed="10"/>
        <rFont val="Times New Roman"/>
        <family val="1"/>
      </rPr>
      <t>النظام</t>
    </r>
    <r>
      <rPr>
        <b/>
        <sz val="12"/>
        <color indexed="18"/>
        <rFont val="Times New Roman"/>
        <family val="1"/>
      </rPr>
      <t xml:space="preserve"> الدراسي والمستوى الدراسي</t>
    </r>
  </si>
  <si>
    <r>
      <t xml:space="preserve">12.2 -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المعيدون</t>
    </r>
    <r>
      <rPr>
        <b/>
        <sz val="11"/>
        <color indexed="18"/>
        <rFont val="Times New Roman"/>
        <family val="1"/>
      </rPr>
      <t xml:space="preserve">) حسب الجنس، السن ولمستوى الدراسي </t>
    </r>
    <r>
      <rPr>
        <b/>
        <sz val="11"/>
        <color indexed="10"/>
        <rFont val="Times New Roman"/>
        <family val="1"/>
      </rPr>
      <t>المنتقلون</t>
    </r>
    <r>
      <rPr>
        <b/>
        <sz val="11"/>
        <color indexed="18"/>
        <rFont val="Times New Roman"/>
        <family val="1"/>
      </rPr>
      <t xml:space="preserve"> إلى متوسطـات الولايات الأخرى</t>
    </r>
  </si>
  <si>
    <r>
      <t xml:space="preserve">12.2 - توزيع التلاميذ </t>
    </r>
    <r>
      <rPr>
        <b/>
        <sz val="12"/>
        <color indexed="10"/>
        <rFont val="Times New Roman"/>
        <family val="1"/>
      </rPr>
      <t>المسجلين</t>
    </r>
    <r>
      <rPr>
        <b/>
        <sz val="12"/>
        <color indexed="18"/>
        <rFont val="Times New Roman"/>
        <family val="1"/>
      </rPr>
      <t xml:space="preserve"> (</t>
    </r>
    <r>
      <rPr>
        <b/>
        <sz val="12"/>
        <color indexed="10"/>
        <rFont val="Times New Roman"/>
        <family val="1"/>
      </rPr>
      <t>المعيدون</t>
    </r>
    <r>
      <rPr>
        <b/>
        <sz val="12"/>
        <color indexed="18"/>
        <rFont val="Times New Roman"/>
        <family val="1"/>
      </rPr>
      <t xml:space="preserve">) حسب الجنس، السن ولمستوى الدراسي </t>
    </r>
    <r>
      <rPr>
        <b/>
        <sz val="12"/>
        <color indexed="10"/>
        <rFont val="Times New Roman"/>
        <family val="1"/>
      </rPr>
      <t>المنتقلون</t>
    </r>
    <r>
      <rPr>
        <b/>
        <sz val="12"/>
        <color indexed="18"/>
        <rFont val="Times New Roman"/>
        <family val="1"/>
      </rPr>
      <t xml:space="preserve"> إلى متوسطـات الولايات الأخرى</t>
    </r>
  </si>
  <si>
    <r>
      <t xml:space="preserve">11.2 -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المعيدون</t>
    </r>
    <r>
      <rPr>
        <b/>
        <sz val="11"/>
        <color indexed="18"/>
        <rFont val="Times New Roman"/>
        <family val="1"/>
      </rPr>
      <t xml:space="preserve">) حسب الجنس، السن ولمستوى الدراسي </t>
    </r>
    <r>
      <rPr>
        <b/>
        <sz val="11"/>
        <color indexed="10"/>
        <rFont val="Times New Roman"/>
        <family val="1"/>
      </rPr>
      <t>المنتقلون</t>
    </r>
    <r>
      <rPr>
        <b/>
        <sz val="11"/>
        <color indexed="18"/>
        <rFont val="Times New Roman"/>
        <family val="1"/>
      </rPr>
      <t xml:space="preserve"> إلى متوسطـات أخرى للولاية نفسها</t>
    </r>
  </si>
  <si>
    <r>
      <t xml:space="preserve">11.2 - توزيع التلاميذ </t>
    </r>
    <r>
      <rPr>
        <b/>
        <sz val="12"/>
        <color indexed="10"/>
        <rFont val="Times New Roman"/>
        <family val="1"/>
      </rPr>
      <t>المسجلين</t>
    </r>
    <r>
      <rPr>
        <b/>
        <sz val="12"/>
        <color indexed="18"/>
        <rFont val="Times New Roman"/>
        <family val="1"/>
      </rPr>
      <t xml:space="preserve"> (</t>
    </r>
    <r>
      <rPr>
        <b/>
        <sz val="12"/>
        <color indexed="10"/>
        <rFont val="Times New Roman"/>
        <family val="1"/>
      </rPr>
      <t>المعيدون</t>
    </r>
    <r>
      <rPr>
        <b/>
        <sz val="12"/>
        <color indexed="18"/>
        <rFont val="Times New Roman"/>
        <family val="1"/>
      </rPr>
      <t xml:space="preserve">) حسب الجنس، السن ولمستوى الدراسي </t>
    </r>
    <r>
      <rPr>
        <b/>
        <sz val="12"/>
        <color indexed="10"/>
        <rFont val="Times New Roman"/>
        <family val="1"/>
      </rPr>
      <t>المنتقلون</t>
    </r>
    <r>
      <rPr>
        <b/>
        <sz val="12"/>
        <color indexed="18"/>
        <rFont val="Times New Roman"/>
        <family val="1"/>
      </rPr>
      <t xml:space="preserve"> إلى متوسطـات أخرى للولاية نفسها</t>
    </r>
  </si>
  <si>
    <r>
      <t xml:space="preserve">10.2 -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المنتقلون</t>
    </r>
    <r>
      <rPr>
        <b/>
        <sz val="11"/>
        <color indexed="18"/>
        <rFont val="Times New Roman"/>
        <family val="1"/>
      </rPr>
      <t xml:space="preserve"> إلى متوسطـات الولايات الأخرى</t>
    </r>
  </si>
  <si>
    <r>
      <t xml:space="preserve">9.2 -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المنتقلون</t>
    </r>
    <r>
      <rPr>
        <b/>
        <sz val="11"/>
        <color indexed="18"/>
        <rFont val="Times New Roman"/>
        <family val="1"/>
      </rPr>
      <t xml:space="preserve"> إلى متوسطـات أخرى للولاية نفسها</t>
    </r>
  </si>
  <si>
    <r>
      <t xml:space="preserve">8.2 -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المعيدون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الولايات الأخرى</t>
    </r>
  </si>
  <si>
    <r>
      <t xml:space="preserve">8.2 - توزيع التلاميذ </t>
    </r>
    <r>
      <rPr>
        <b/>
        <sz val="12"/>
        <color indexed="10"/>
        <rFont val="Times New Roman"/>
        <family val="1"/>
      </rPr>
      <t>المسجلين</t>
    </r>
    <r>
      <rPr>
        <b/>
        <sz val="12"/>
        <color indexed="18"/>
        <rFont val="Times New Roman"/>
        <family val="1"/>
      </rPr>
      <t xml:space="preserve"> (</t>
    </r>
    <r>
      <rPr>
        <b/>
        <sz val="12"/>
        <color indexed="10"/>
        <rFont val="Times New Roman"/>
        <family val="1"/>
      </rPr>
      <t>المعيدون</t>
    </r>
    <r>
      <rPr>
        <b/>
        <sz val="12"/>
        <color indexed="18"/>
        <rFont val="Times New Roman"/>
        <family val="1"/>
      </rPr>
      <t xml:space="preserve">) حسب الجنس، السن ولمستوى الدراسي </t>
    </r>
    <r>
      <rPr>
        <b/>
        <sz val="12"/>
        <color indexed="10"/>
        <rFont val="Times New Roman"/>
        <family val="1"/>
      </rPr>
      <t>القادمون</t>
    </r>
    <r>
      <rPr>
        <b/>
        <sz val="12"/>
        <color indexed="18"/>
        <rFont val="Times New Roman"/>
        <family val="1"/>
      </rPr>
      <t xml:space="preserve"> من متوسطـات الولايات الأخرى</t>
    </r>
  </si>
  <si>
    <r>
      <t xml:space="preserve">7.2 -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المعيدون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أخرى للولاية نفسها</t>
    </r>
  </si>
  <si>
    <r>
      <t xml:space="preserve">7.2 - توزيع التلاميذ </t>
    </r>
    <r>
      <rPr>
        <b/>
        <sz val="12"/>
        <color indexed="10"/>
        <rFont val="Times New Roman"/>
        <family val="1"/>
      </rPr>
      <t>المسجلين</t>
    </r>
    <r>
      <rPr>
        <b/>
        <sz val="12"/>
        <color indexed="18"/>
        <rFont val="Times New Roman"/>
        <family val="1"/>
      </rPr>
      <t xml:space="preserve"> (</t>
    </r>
    <r>
      <rPr>
        <b/>
        <sz val="12"/>
        <color indexed="10"/>
        <rFont val="Times New Roman"/>
        <family val="1"/>
      </rPr>
      <t>المعيدون</t>
    </r>
    <r>
      <rPr>
        <b/>
        <sz val="12"/>
        <color indexed="18"/>
        <rFont val="Times New Roman"/>
        <family val="1"/>
      </rPr>
      <t xml:space="preserve">) حسب الجنس، السن ولمستوى الدراسي </t>
    </r>
    <r>
      <rPr>
        <b/>
        <sz val="12"/>
        <color indexed="10"/>
        <rFont val="Times New Roman"/>
        <family val="1"/>
      </rPr>
      <t>القادمون</t>
    </r>
    <r>
      <rPr>
        <b/>
        <sz val="12"/>
        <color indexed="18"/>
        <rFont val="Times New Roman"/>
        <family val="1"/>
      </rPr>
      <t xml:space="preserve"> من متوسطـات أخرى للولاية نفسها</t>
    </r>
  </si>
  <si>
    <r>
      <t xml:space="preserve">6.2 -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الولايات الأخرى - </t>
    </r>
    <r>
      <rPr>
        <b/>
        <sz val="11"/>
        <color indexed="10"/>
        <rFont val="Times New Roman"/>
        <family val="1"/>
      </rPr>
      <t>تابــع</t>
    </r>
  </si>
  <si>
    <r>
      <t xml:space="preserve">6.2 -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القادمون من متوسطـات الولايات الأخرى - </t>
    </r>
    <r>
      <rPr>
        <b/>
        <sz val="11"/>
        <color indexed="10"/>
        <rFont val="Times New Roman"/>
        <family val="1"/>
      </rPr>
      <t>تابــع</t>
    </r>
  </si>
  <si>
    <r>
      <t xml:space="preserve">6.2 -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الولايات الأخرى</t>
    </r>
  </si>
  <si>
    <t>المطرودين</t>
  </si>
  <si>
    <t>المتخلين</t>
  </si>
  <si>
    <t>المنفصلين مؤقتا</t>
  </si>
  <si>
    <r>
      <t xml:space="preserve">5.2 -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أخرى للولاية نفسها - </t>
    </r>
    <r>
      <rPr>
        <b/>
        <sz val="11"/>
        <color indexed="10"/>
        <rFont val="Times New Roman"/>
        <family val="1"/>
      </rPr>
      <t>تابــع</t>
    </r>
  </si>
  <si>
    <r>
      <t xml:space="preserve">5.2 -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أخرى للولاية نفسها</t>
    </r>
  </si>
  <si>
    <r>
      <t xml:space="preserve">4.2 - توزيع التلاميذ </t>
    </r>
    <r>
      <rPr>
        <b/>
        <sz val="12"/>
        <color indexed="10"/>
        <rFont val="Times New Roman"/>
        <family val="1"/>
      </rPr>
      <t>المتخلين والمطرودين</t>
    </r>
    <r>
      <rPr>
        <b/>
        <sz val="12"/>
        <color indexed="18"/>
        <rFont val="Times New Roman"/>
        <family val="1"/>
      </rPr>
      <t xml:space="preserve"> خلال الموسم الماضي حسب الجنس والمستوى الدراسي</t>
    </r>
  </si>
  <si>
    <t>الأجانب</t>
  </si>
  <si>
    <r>
      <t xml:space="preserve">3.2 - توزيع التلاميذ </t>
    </r>
    <r>
      <rPr>
        <b/>
        <sz val="12"/>
        <color indexed="10"/>
        <rFont val="Times New Roman"/>
        <family val="1"/>
      </rPr>
      <t>المعيدين</t>
    </r>
    <r>
      <rPr>
        <b/>
        <sz val="12"/>
        <color indexed="18"/>
        <rFont val="Times New Roman"/>
        <family val="1"/>
      </rPr>
      <t xml:space="preserve"> حسب السن، الجنس والمستوى الدراسي - </t>
    </r>
    <r>
      <rPr>
        <b/>
        <sz val="12"/>
        <color indexed="10"/>
        <rFont val="Times New Roman"/>
        <family val="1"/>
      </rPr>
      <t>تابــع</t>
    </r>
  </si>
  <si>
    <r>
      <t xml:space="preserve">2.2 - توزيع التلاميذ </t>
    </r>
    <r>
      <rPr>
        <b/>
        <sz val="12"/>
        <color indexed="10"/>
        <rFont val="Times New Roman"/>
        <family val="1"/>
      </rPr>
      <t>المعيدين</t>
    </r>
    <r>
      <rPr>
        <b/>
        <sz val="12"/>
        <color indexed="18"/>
        <rFont val="Times New Roman"/>
        <family val="1"/>
      </rPr>
      <t xml:space="preserve"> حسب السن، الجنس والمستوى الدراسي - </t>
    </r>
    <r>
      <rPr>
        <b/>
        <sz val="12"/>
        <color indexed="10"/>
        <rFont val="Times New Roman"/>
        <family val="1"/>
      </rPr>
      <t>تابــع</t>
    </r>
  </si>
  <si>
    <r>
      <t xml:space="preserve">2.2 - توزيع التلاميذ </t>
    </r>
    <r>
      <rPr>
        <b/>
        <sz val="12"/>
        <color indexed="10"/>
        <rFont val="Times New Roman"/>
        <family val="1"/>
      </rPr>
      <t>المعيدين</t>
    </r>
    <r>
      <rPr>
        <b/>
        <sz val="12"/>
        <color indexed="18"/>
        <rFont val="Times New Roman"/>
        <family val="1"/>
      </rPr>
      <t xml:space="preserve"> حسب السن، الجنس والمستوى الدراسي</t>
    </r>
  </si>
  <si>
    <r>
      <t xml:space="preserve">2.2 - توزيع التلاميذ </t>
    </r>
    <r>
      <rPr>
        <b/>
        <sz val="12"/>
        <color indexed="10"/>
        <rFont val="Times New Roman"/>
        <family val="1"/>
      </rPr>
      <t>المسجلين</t>
    </r>
    <r>
      <rPr>
        <b/>
        <sz val="12"/>
        <color indexed="18"/>
        <rFont val="Times New Roman"/>
        <family val="1"/>
      </rPr>
      <t xml:space="preserve"> حسب السن، الجنس والمستوى الدراسي - </t>
    </r>
    <r>
      <rPr>
        <b/>
        <sz val="12"/>
        <color indexed="10"/>
        <rFont val="Times New Roman"/>
        <family val="1"/>
      </rPr>
      <t>تابــع</t>
    </r>
  </si>
  <si>
    <r>
      <t xml:space="preserve">2.2 - توزيع التلاميذ </t>
    </r>
    <r>
      <rPr>
        <b/>
        <sz val="12"/>
        <color indexed="10"/>
        <rFont val="Times New Roman"/>
        <family val="1"/>
      </rPr>
      <t>المسجلين</t>
    </r>
    <r>
      <rPr>
        <b/>
        <sz val="12"/>
        <color indexed="18"/>
        <rFont val="Times New Roman"/>
        <family val="1"/>
      </rPr>
      <t xml:space="preserve"> حسب السن، الجنس والمستوى الدراسي</t>
    </r>
  </si>
  <si>
    <r>
      <t xml:space="preserve">1.2- توزيع </t>
    </r>
    <r>
      <rPr>
        <b/>
        <sz val="12"/>
        <color indexed="10"/>
        <rFont val="Times New Roman"/>
        <family val="1"/>
      </rPr>
      <t>الأفـواج التربوية</t>
    </r>
    <r>
      <rPr>
        <b/>
        <sz val="12"/>
        <color indexed="18"/>
        <rFont val="Times New Roman"/>
        <family val="1"/>
      </rPr>
      <t xml:space="preserve"> </t>
    </r>
  </si>
  <si>
    <r>
      <t>تابــع</t>
    </r>
    <r>
      <rPr>
        <b/>
        <sz val="12"/>
        <color indexed="18"/>
        <rFont val="Times New Roman"/>
        <family val="1"/>
      </rPr>
      <t xml:space="preserve"> -</t>
    </r>
    <r>
      <rPr>
        <b/>
        <sz val="12"/>
        <color indexed="18"/>
        <rFont val="Arial"/>
        <family val="2"/>
      </rPr>
      <t xml:space="preserve"> تحديد وتشخيص المؤسسة (</t>
    </r>
    <r>
      <rPr>
        <b/>
        <sz val="12"/>
        <color indexed="10"/>
        <rFont val="Arial"/>
        <family val="2"/>
      </rPr>
      <t>الهياكــل القاعديــة</t>
    </r>
    <r>
      <rPr>
        <b/>
        <sz val="12"/>
        <color indexed="18"/>
        <rFont val="Arial"/>
        <family val="2"/>
      </rPr>
      <t>)</t>
    </r>
  </si>
  <si>
    <r>
      <t>تابــع</t>
    </r>
    <r>
      <rPr>
        <b/>
        <sz val="12"/>
        <color indexed="18"/>
        <rFont val="Times New Roman"/>
        <family val="1"/>
      </rPr>
      <t xml:space="preserve"> -</t>
    </r>
    <r>
      <rPr>
        <b/>
        <sz val="12"/>
        <color indexed="18"/>
        <rFont val="Arial"/>
        <family val="2"/>
      </rPr>
      <t xml:space="preserve"> تحديد وتشخيص المؤسسة (</t>
    </r>
    <r>
      <rPr>
        <b/>
        <sz val="12"/>
        <color indexed="10"/>
        <rFont val="Arial"/>
        <family val="2"/>
      </rPr>
      <t>القاعــــات</t>
    </r>
    <r>
      <rPr>
        <b/>
        <sz val="12"/>
        <color indexed="18"/>
        <rFont val="Arial"/>
        <family val="2"/>
      </rPr>
      <t>)</t>
    </r>
  </si>
  <si>
    <r>
      <t>تابــع</t>
    </r>
    <r>
      <rPr>
        <b/>
        <sz val="12"/>
        <color indexed="18"/>
        <rFont val="Times New Roman"/>
        <family val="1"/>
      </rPr>
      <t xml:space="preserve"> -</t>
    </r>
    <r>
      <rPr>
        <b/>
        <sz val="12"/>
        <color indexed="18"/>
        <rFont val="Arial"/>
        <family val="2"/>
      </rPr>
      <t xml:space="preserve"> تحديد وتشخيص المؤسسة</t>
    </r>
  </si>
  <si>
    <r>
      <t>I</t>
    </r>
    <r>
      <rPr>
        <b/>
        <sz val="12"/>
        <color indexed="18"/>
        <rFont val="Arial"/>
        <family val="2"/>
      </rPr>
      <t xml:space="preserve"> - تحديد وتشخيص المؤسسة</t>
    </r>
  </si>
  <si>
    <t>نسبة الرجال</t>
  </si>
  <si>
    <t>نسبة النساء</t>
  </si>
  <si>
    <t>نسبة المجموع</t>
  </si>
  <si>
    <t>رجال</t>
  </si>
  <si>
    <t>النسبة</t>
  </si>
  <si>
    <t>النساء</t>
  </si>
  <si>
    <t xml:space="preserve">المعـدل </t>
  </si>
  <si>
    <t>الرجال</t>
  </si>
  <si>
    <t>مفتوحة</t>
  </si>
  <si>
    <t xml:space="preserve">نسبتهم من المجموع </t>
  </si>
  <si>
    <t>عدد الأساتذة</t>
  </si>
  <si>
    <t>نسبة مشاركة النساء</t>
  </si>
  <si>
    <t>معدل الاستذات/الأساتذة</t>
  </si>
  <si>
    <t>اساتذة التعليم المتوسط  م . للمـادة</t>
  </si>
  <si>
    <t>اساتذة التعليم المتوسط المنسقيين</t>
  </si>
  <si>
    <t>الاساتذة الرئيسيين للتعليم المتوسط</t>
  </si>
  <si>
    <t>نسبة التعاقـد</t>
  </si>
  <si>
    <t xml:space="preserve">متعاقـد عليها </t>
  </si>
  <si>
    <t xml:space="preserve">مشغولة </t>
  </si>
  <si>
    <r>
      <t xml:space="preserve">أستاذ التعليم المتوسط - </t>
    </r>
    <r>
      <rPr>
        <b/>
        <sz val="10"/>
        <color indexed="10"/>
        <rFont val="Times New Roman"/>
        <family val="1"/>
      </rPr>
      <t>التربية البدنية والرياضية</t>
    </r>
  </si>
  <si>
    <t>توزيع اساتذة التعليم المتوسط حسب المؤهل العلمي  -</t>
  </si>
  <si>
    <t xml:space="preserve">مجموع الأساتذة </t>
  </si>
  <si>
    <t>نسبة الأساتذة  الاجانب</t>
  </si>
  <si>
    <t>نسبة التأهيل الأساتذة</t>
  </si>
  <si>
    <t>معدل الاستذات على الأساتذة و نسبة مشاركتهن</t>
  </si>
  <si>
    <t>نسبة الأساتذة الذين يدرسون الإعلام الآلي</t>
  </si>
  <si>
    <t xml:space="preserve">نسبة الأساتذة الذين لا يؤدون الحجم الساعي </t>
  </si>
  <si>
    <t>نسبة تطابق مواد التكوين ومـواد التدريس</t>
  </si>
  <si>
    <r>
      <t xml:space="preserve">نسبة الاساتذة الذين تتجاوز أعمارهم </t>
    </r>
    <r>
      <rPr>
        <b/>
        <sz val="8"/>
        <color indexed="10"/>
        <rFont val="Arial"/>
        <family val="2"/>
      </rPr>
      <t>55</t>
    </r>
    <r>
      <rPr>
        <b/>
        <sz val="10"/>
        <color indexed="10"/>
        <rFont val="Arial"/>
        <family val="2"/>
      </rPr>
      <t xml:space="preserve"> سنة</t>
    </r>
  </si>
  <si>
    <t>توزيع اساتذة التعليم المتوسط حسب الإطار المهني</t>
  </si>
  <si>
    <t xml:space="preserve">اساتذة التعليم المتوسط </t>
  </si>
  <si>
    <r>
      <t>أستاذ التعليم المتوسط -</t>
    </r>
    <r>
      <rPr>
        <b/>
        <sz val="10"/>
        <color indexed="10"/>
        <rFont val="Arial"/>
        <family val="2"/>
      </rPr>
      <t xml:space="preserve"> التربية البدنية والرياضية</t>
    </r>
  </si>
  <si>
    <r>
      <t xml:space="preserve">أستاذ التعليم المتوسط - </t>
    </r>
    <r>
      <rPr>
        <b/>
        <sz val="10"/>
        <color indexed="10"/>
        <rFont val="Times New Roman"/>
        <family val="1"/>
      </rPr>
      <t>التربية التشكيلية</t>
    </r>
  </si>
  <si>
    <r>
      <t>أستاذ التعليم المتوسط -</t>
    </r>
    <r>
      <rPr>
        <b/>
        <sz val="10"/>
        <color indexed="10"/>
        <rFont val="Arial"/>
        <family val="2"/>
      </rPr>
      <t xml:space="preserve"> التربية التشكيلية</t>
    </r>
  </si>
  <si>
    <r>
      <t xml:space="preserve">أستاذ التعليم المتوسط - </t>
    </r>
    <r>
      <rPr>
        <b/>
        <sz val="10"/>
        <color indexed="10"/>
        <rFont val="Times New Roman"/>
        <family val="1"/>
      </rPr>
      <t>التربية الموسيقية</t>
    </r>
  </si>
  <si>
    <t>المناصب المفتوحة - نسبة التعاقـد و نسبة الشغور</t>
  </si>
  <si>
    <r>
      <t xml:space="preserve">أستاذ التعليم المتوسط - </t>
    </r>
    <r>
      <rPr>
        <b/>
        <sz val="10"/>
        <color indexed="10"/>
        <rFont val="Times New Roman"/>
        <family val="1"/>
      </rPr>
      <t>علوم الطبيعة والحياة</t>
    </r>
  </si>
  <si>
    <r>
      <t xml:space="preserve">أستاذ التعليم المتوسط - </t>
    </r>
    <r>
      <rPr>
        <b/>
        <sz val="10"/>
        <color indexed="10"/>
        <rFont val="Times New Roman"/>
        <family val="1"/>
      </rPr>
      <t>العلوم الفيزيائية والتكنولوجية</t>
    </r>
  </si>
  <si>
    <r>
      <t xml:space="preserve">أستاذ التعليم المتوسط - </t>
    </r>
    <r>
      <rPr>
        <b/>
        <sz val="10"/>
        <color indexed="10"/>
        <rFont val="Times New Roman"/>
        <family val="1"/>
      </rPr>
      <t>الرياضيـات</t>
    </r>
  </si>
  <si>
    <t xml:space="preserve"> اللغــة الأنجليزية</t>
  </si>
  <si>
    <r>
      <t xml:space="preserve">أستاذ التعليم المتوسط - </t>
    </r>
    <r>
      <rPr>
        <b/>
        <sz val="10"/>
        <color indexed="10"/>
        <rFont val="Times New Roman"/>
        <family val="1"/>
      </rPr>
      <t>اللغــة الأنجليزية</t>
    </r>
  </si>
  <si>
    <r>
      <t xml:space="preserve">أستاذ التعليم المتوسط - </t>
    </r>
    <r>
      <rPr>
        <b/>
        <sz val="10"/>
        <color indexed="10"/>
        <rFont val="Times New Roman"/>
        <family val="1"/>
      </rPr>
      <t>اللغــة الفرنسية</t>
    </r>
  </si>
  <si>
    <r>
      <t xml:space="preserve">أستاذ التعليم المتوسط - </t>
    </r>
    <r>
      <rPr>
        <b/>
        <sz val="10"/>
        <color indexed="10"/>
        <rFont val="Times New Roman"/>
        <family val="1"/>
      </rPr>
      <t>التاريخ والجغرافيا</t>
    </r>
  </si>
  <si>
    <t xml:space="preserve"> اللغــة الأمازيغية</t>
  </si>
  <si>
    <r>
      <t xml:space="preserve">أستاذ التعليم المتوسط - </t>
    </r>
    <r>
      <rPr>
        <b/>
        <sz val="10"/>
        <color indexed="10"/>
        <rFont val="Times New Roman"/>
        <family val="1"/>
      </rPr>
      <t>اللغــة الأمازيغية</t>
    </r>
  </si>
  <si>
    <r>
      <t xml:space="preserve">أستاذ التعليم المتوسط - </t>
    </r>
    <r>
      <rPr>
        <b/>
        <sz val="10"/>
        <color indexed="10"/>
        <rFont val="Times New Roman"/>
        <family val="1"/>
      </rPr>
      <t>اللغــة العربية</t>
    </r>
  </si>
  <si>
    <r>
      <t xml:space="preserve">أستاذ التعليم المتوسط - </t>
    </r>
    <r>
      <rPr>
        <b/>
        <sz val="10"/>
        <color indexed="10"/>
        <rFont val="Times New Roman"/>
        <family val="1"/>
      </rPr>
      <t>المجموع</t>
    </r>
  </si>
  <si>
    <t>ذكـــور</t>
  </si>
  <si>
    <t>بنــات</t>
  </si>
  <si>
    <t>نسبة االمرضى المتكفل بهم</t>
  </si>
  <si>
    <t>التلاميذ المرضى</t>
  </si>
  <si>
    <t xml:space="preserve">نسبة هؤلاء المضطربين </t>
  </si>
  <si>
    <t xml:space="preserve">المعانون من الإضطراب </t>
  </si>
  <si>
    <t xml:space="preserve">الرابعة متوســط </t>
  </si>
  <si>
    <t xml:space="preserve">الثالثة متوســط </t>
  </si>
  <si>
    <t xml:space="preserve">الثانية متوســط </t>
  </si>
  <si>
    <t xml:space="preserve">الاولى متوســط </t>
  </si>
  <si>
    <t xml:space="preserve">مجموع المتوســط </t>
  </si>
  <si>
    <r>
      <t xml:space="preserve">نسبة الإجمالية للتلاميذ المرضى المتكفل بهم حسب مكان الإستشفاء   </t>
    </r>
    <r>
      <rPr>
        <b/>
        <sz val="12"/>
        <color indexed="10"/>
        <rFont val="Times New Roman"/>
        <family val="1"/>
      </rPr>
      <t>المنزل</t>
    </r>
  </si>
  <si>
    <r>
      <t xml:space="preserve">نسبة الإجمالية للتلاميذ المرضى المتكفل بهم حسب مكان الإستشفاء   </t>
    </r>
    <r>
      <rPr>
        <b/>
        <sz val="12"/>
        <color indexed="10"/>
        <rFont val="Times New Roman"/>
        <family val="1"/>
      </rPr>
      <t>مركز العلاج</t>
    </r>
  </si>
  <si>
    <r>
      <t xml:space="preserve">نسبة الإجمالية للتلاميذ المرضى المتكفل بهم حسب مكان الإستشفاء   </t>
    </r>
    <r>
      <rPr>
        <b/>
        <sz val="12"/>
        <color indexed="10"/>
        <rFont val="Times New Roman"/>
        <family val="1"/>
      </rPr>
      <t>المستشفى</t>
    </r>
  </si>
  <si>
    <r>
      <t xml:space="preserve">نسبة الإجمالية للتلاميذ المرضى المتكفل بهم في </t>
    </r>
    <r>
      <rPr>
        <b/>
        <sz val="12"/>
        <color indexed="10"/>
        <rFont val="Times New Roman"/>
        <family val="1"/>
      </rPr>
      <t>مكان الإستشفائهم</t>
    </r>
  </si>
  <si>
    <r>
      <t>نسبة الإجمالية للتلاميذ الذين يعانون من إضطراب صحــي -</t>
    </r>
    <r>
      <rPr>
        <b/>
        <sz val="12"/>
        <color indexed="10"/>
        <rFont val="Times New Roman"/>
        <family val="1"/>
      </rPr>
      <t xml:space="preserve"> إضطرابات متعددة</t>
    </r>
  </si>
  <si>
    <r>
      <t xml:space="preserve">نسبة الإجمالية للتلاميذ الذين يعانون من إضطراب صحــي - </t>
    </r>
    <r>
      <rPr>
        <b/>
        <sz val="12"/>
        <color indexed="10"/>
        <rFont val="Times New Roman"/>
        <family val="1"/>
      </rPr>
      <t xml:space="preserve">إضطرابات أخرى </t>
    </r>
  </si>
  <si>
    <r>
      <t xml:space="preserve">نسبة الإجمالية للتلاميذ الذين يعانون من إضطراب صحــي -  </t>
    </r>
    <r>
      <rPr>
        <b/>
        <sz val="12"/>
        <color indexed="10"/>
        <rFont val="Times New Roman"/>
        <family val="1"/>
      </rPr>
      <t>إضطراب المتعلق بصعوبة الكتابة</t>
    </r>
  </si>
  <si>
    <r>
      <t xml:space="preserve">نسبة الإجمالية للتلاميذ الذين يعانون من إضطراب صحــي  - </t>
    </r>
    <r>
      <rPr>
        <b/>
        <sz val="12"/>
        <color indexed="10"/>
        <rFont val="Times New Roman"/>
        <family val="1"/>
      </rPr>
      <t xml:space="preserve"> إضطراب التعلم والقراءة</t>
    </r>
  </si>
  <si>
    <r>
      <t xml:space="preserve">نسبة الإجمالية للتلاميذ الذين يعانون من إضطراب صحــي  - </t>
    </r>
    <r>
      <rPr>
        <b/>
        <sz val="12"/>
        <color indexed="10"/>
        <rFont val="Times New Roman"/>
        <family val="1"/>
      </rPr>
      <t>الإضطراب الكلام (صعوبة التكلم،...)</t>
    </r>
  </si>
  <si>
    <r>
      <t xml:space="preserve">نسبة الإجمالية للتلاميذ الذين يعانون من إضطراب صحــي  -  </t>
    </r>
    <r>
      <rPr>
        <b/>
        <sz val="12"/>
        <color indexed="10"/>
        <rFont val="Times New Roman"/>
        <family val="1"/>
      </rPr>
      <t>الإضطراب السمعي (صمم،...)</t>
    </r>
  </si>
  <si>
    <r>
      <t xml:space="preserve">نسبة الإجمالية للتلاميذ الذين يعانون من إضطراب صحــي  -  </t>
    </r>
    <r>
      <rPr>
        <b/>
        <sz val="12"/>
        <color indexed="10"/>
        <rFont val="Times New Roman"/>
        <family val="1"/>
      </rPr>
      <t>الإضطراب البصري</t>
    </r>
  </si>
  <si>
    <r>
      <t xml:space="preserve">نسبة الإجمالية للتلاميذ الذين يعانون من إضطراب صحــي  إضطراب - </t>
    </r>
    <r>
      <rPr>
        <b/>
        <sz val="12"/>
        <color indexed="10"/>
        <rFont val="Times New Roman"/>
        <family val="1"/>
      </rPr>
      <t>الأمراض القلبية والداخلية</t>
    </r>
  </si>
  <si>
    <r>
      <t>نسبة الإجمالية للتلاميذ الذين يعانون من إضطراب صحــي -</t>
    </r>
    <r>
      <rPr>
        <b/>
        <sz val="12"/>
        <color indexed="10"/>
        <rFont val="Times New Roman"/>
        <family val="1"/>
      </rPr>
      <t xml:space="preserve"> الإضطراب السلوكي (توحـد،...)</t>
    </r>
  </si>
  <si>
    <r>
      <t>نسبة الإجمالية للتلاميذ الذين يعانون من إضطراب صحــي -</t>
    </r>
    <r>
      <rPr>
        <b/>
        <sz val="12"/>
        <color indexed="10"/>
        <rFont val="Times New Roman"/>
        <family val="1"/>
      </rPr>
      <t xml:space="preserve"> الإضطراب العصبي</t>
    </r>
  </si>
  <si>
    <r>
      <t xml:space="preserve">نسبة الإجمالية للتلاميذ الذين يعانون من إضطراب صحــي - </t>
    </r>
    <r>
      <rPr>
        <b/>
        <sz val="12"/>
        <color indexed="10"/>
        <rFont val="Times New Roman"/>
        <family val="1"/>
      </rPr>
      <t xml:space="preserve">الإضطراب الحركي </t>
    </r>
  </si>
  <si>
    <r>
      <t xml:space="preserve">نسبة الإجمالية للتلاميذ الذين يعانون من </t>
    </r>
    <r>
      <rPr>
        <b/>
        <sz val="12"/>
        <color indexed="10"/>
        <rFont val="Times New Roman"/>
        <family val="1"/>
      </rPr>
      <t xml:space="preserve">إضطراب صحــي </t>
    </r>
  </si>
  <si>
    <t>نسبة المستفيدين</t>
  </si>
  <si>
    <t>التلاميذ المستفيدين</t>
  </si>
  <si>
    <t>نسبة التاطير</t>
  </si>
  <si>
    <t>مجموع التلاميذ</t>
  </si>
  <si>
    <r>
      <rPr>
        <b/>
        <sz val="12"/>
        <color indexed="21"/>
        <rFont val="Times New Roman"/>
        <family val="1"/>
      </rPr>
      <t xml:space="preserve">نسبة التلاميذ التعليـم المتوســط  المستفيدين من الكتاب المدرسي إطار </t>
    </r>
    <r>
      <rPr>
        <b/>
        <sz val="12"/>
        <color indexed="10"/>
        <rFont val="Times New Roman"/>
        <family val="1"/>
      </rPr>
      <t>مساعدة فـئات مختلفة</t>
    </r>
  </si>
  <si>
    <r>
      <rPr>
        <b/>
        <sz val="12"/>
        <color indexed="21"/>
        <rFont val="Times New Roman"/>
        <family val="1"/>
      </rPr>
      <t>نسبة التلاميذ التعليـم المتوســط  المستفيدين من الكتاب المدرسي في إطار</t>
    </r>
    <r>
      <rPr>
        <b/>
        <sz val="12"/>
        <color indexed="18"/>
        <rFont val="Times New Roman"/>
        <family val="1"/>
      </rPr>
      <t xml:space="preserve"> </t>
    </r>
    <r>
      <rPr>
        <b/>
        <sz val="12"/>
        <color indexed="10"/>
        <rFont val="Times New Roman"/>
        <family val="1"/>
      </rPr>
      <t>مساعدة أبناء قطـاع التربية</t>
    </r>
  </si>
  <si>
    <r>
      <t xml:space="preserve">نسبة التلاميذ التعليـم المتوســط  المستفيدين من الكتاب المدرسي في إطار </t>
    </r>
    <r>
      <rPr>
        <b/>
        <sz val="12"/>
        <color indexed="10"/>
        <rFont val="Times New Roman"/>
        <family val="1"/>
      </rPr>
      <t>مساعدة المعوزين</t>
    </r>
  </si>
  <si>
    <r>
      <rPr>
        <b/>
        <sz val="12"/>
        <color indexed="21"/>
        <rFont val="Times New Roman"/>
        <family val="1"/>
      </rPr>
      <t>نسبة التلاميذ التعليـم المتوســط  المستفيدين من الكتاب المدرسي في إطار</t>
    </r>
    <r>
      <rPr>
        <b/>
        <sz val="12"/>
        <color indexed="18"/>
        <rFont val="Times New Roman"/>
        <family val="1"/>
      </rPr>
      <t xml:space="preserve"> </t>
    </r>
    <r>
      <rPr>
        <b/>
        <sz val="12"/>
        <color indexed="10"/>
        <rFont val="Times New Roman"/>
        <family val="1"/>
      </rPr>
      <t>التضامن الوطني</t>
    </r>
  </si>
  <si>
    <t>نسبة الإجمالية للتلاميذ التعليـم المتوســط  المستفيدين من الكتاب المدرسي</t>
  </si>
  <si>
    <t>19 سـنـة</t>
  </si>
  <si>
    <t>18 سـنـة</t>
  </si>
  <si>
    <t>17 سـنـة</t>
  </si>
  <si>
    <t>16 سـنـة</t>
  </si>
  <si>
    <t>15 سـنـة</t>
  </si>
  <si>
    <t>14 سـنـة</t>
  </si>
  <si>
    <t>13 سـنـة</t>
  </si>
  <si>
    <t>12 سـنـة</t>
  </si>
  <si>
    <t>11 سـنـة</t>
  </si>
  <si>
    <t>10 سنوات</t>
  </si>
  <si>
    <r>
      <t xml:space="preserve">توزيع التلاميذ المتمدرسين والمعيدين في التعليم المتوسـط حسب الجنس والسن </t>
    </r>
    <r>
      <rPr>
        <b/>
        <sz val="12"/>
        <color indexed="10"/>
        <rFont val="Times New Roman"/>
        <family val="1"/>
      </rPr>
      <t>الرابعة متوسط</t>
    </r>
  </si>
  <si>
    <r>
      <t xml:space="preserve">توزيع التلاميذ المتمدرسين والمعيدين في التعليم المتوسـط حسب الجنس والسن  </t>
    </r>
    <r>
      <rPr>
        <b/>
        <sz val="12"/>
        <color indexed="10"/>
        <rFont val="Times New Roman"/>
        <family val="1"/>
      </rPr>
      <t>الثالثة متوسط</t>
    </r>
  </si>
  <si>
    <r>
      <t xml:space="preserve">توزيع التلاميذ المتمدرسين والمعيدين في التعليم المتوسـط حسب الجنس والسن  </t>
    </r>
    <r>
      <rPr>
        <b/>
        <sz val="12"/>
        <color indexed="10"/>
        <rFont val="Times New Roman"/>
        <family val="1"/>
      </rPr>
      <t>الثانية متوسط</t>
    </r>
  </si>
  <si>
    <r>
      <t xml:space="preserve">توزيع التلاميذ المتمدرسين والمعيدين في التعليم المتوسـط حسب الجنس والسن  </t>
    </r>
    <r>
      <rPr>
        <b/>
        <sz val="12"/>
        <color indexed="10"/>
        <rFont val="Times New Roman"/>
        <family val="1"/>
      </rPr>
      <t>الأولى متوسط</t>
    </r>
  </si>
  <si>
    <r>
      <rPr>
        <b/>
        <sz val="12"/>
        <color indexed="21"/>
        <rFont val="Times New Roman"/>
        <family val="1"/>
      </rPr>
      <t xml:space="preserve">نسبة التلاميذ التعليـم المتوســط  المستفيدين من منحة التمدرس إطار </t>
    </r>
    <r>
      <rPr>
        <b/>
        <sz val="12"/>
        <color indexed="10"/>
        <rFont val="Times New Roman"/>
        <family val="1"/>
      </rPr>
      <t>مساعدة فـئات مختلفة</t>
    </r>
  </si>
  <si>
    <r>
      <t xml:space="preserve">نسبة التلاميذ التعليـم المتوســط  المستفيدين من منحة التمدرس في في إطار </t>
    </r>
    <r>
      <rPr>
        <b/>
        <sz val="12"/>
        <color indexed="10"/>
        <rFont val="Times New Roman"/>
        <family val="1"/>
      </rPr>
      <t>مساعدة المعوزين</t>
    </r>
  </si>
  <si>
    <r>
      <rPr>
        <b/>
        <sz val="12"/>
        <color indexed="21"/>
        <rFont val="Times New Roman"/>
        <family val="1"/>
      </rPr>
      <t>نسبة التلاميذ التعليـم المتوســط  المستفيدين من منحة التمدرس في إطار</t>
    </r>
    <r>
      <rPr>
        <b/>
        <sz val="12"/>
        <color indexed="18"/>
        <rFont val="Times New Roman"/>
        <family val="1"/>
      </rPr>
      <t xml:space="preserve"> </t>
    </r>
    <r>
      <rPr>
        <b/>
        <sz val="12"/>
        <color indexed="10"/>
        <rFont val="Times New Roman"/>
        <family val="1"/>
      </rPr>
      <t>التضامن الوطني</t>
    </r>
  </si>
  <si>
    <t>نسبة الإجمالية للتلاميذ المستفيدين من منحـة التمدرس</t>
  </si>
  <si>
    <t>إنــــاث</t>
  </si>
  <si>
    <t>المعيدين</t>
  </si>
  <si>
    <t>المسجلين</t>
  </si>
  <si>
    <t>نسبة المستفيدين من النقل المدرسي</t>
  </si>
  <si>
    <t xml:space="preserve"> التلاميذ المستفيدين من النقل المدرسي</t>
  </si>
  <si>
    <t>مجموع تلاميذ المتوســط</t>
  </si>
  <si>
    <t xml:space="preserve">نسبة المستفيدين من المنح </t>
  </si>
  <si>
    <t xml:space="preserve"> التلاميذ المستفيدين من المنح </t>
  </si>
  <si>
    <t xml:space="preserve">نسبة إستغلال الداخلية </t>
  </si>
  <si>
    <t xml:space="preserve"> الطاقـة النظريـة للداخلية </t>
  </si>
  <si>
    <t xml:space="preserve"> التلاميذ الداخليين</t>
  </si>
  <si>
    <t xml:space="preserve">نسبة المستفيدين من الداخلية </t>
  </si>
  <si>
    <t xml:space="preserve"> التلاميذ المستفيدين من الداخلية</t>
  </si>
  <si>
    <t>نسبة إستغلال النصف الداخلية</t>
  </si>
  <si>
    <t xml:space="preserve"> الطاقـة النظريـة للنصف الداخلية</t>
  </si>
  <si>
    <t xml:space="preserve"> التلاميذ نصف الداخليين</t>
  </si>
  <si>
    <t>نسبة المستفيدين من نصف الداخلية</t>
  </si>
  <si>
    <t xml:space="preserve"> التلاميذ المستفيدين من نصف الداخلية</t>
  </si>
  <si>
    <t>نسبة المنتقلون</t>
  </si>
  <si>
    <t>المنتقلون المعيدون لمرة واحدة</t>
  </si>
  <si>
    <t>المسجلون في السنة الرابعة متوسط السنة الماضية</t>
  </si>
  <si>
    <t>المنتقلون بـدون إعــادة</t>
  </si>
  <si>
    <t xml:space="preserve">مجموع  الناجحون </t>
  </si>
  <si>
    <t>نسبة التسرب</t>
  </si>
  <si>
    <t>نسبة الإعادة الرابعة متوسط</t>
  </si>
  <si>
    <t>نسبة الإنتقال للسنة الأولى ثانوي</t>
  </si>
  <si>
    <t>نسبة الإعادة الصافية</t>
  </si>
  <si>
    <t xml:space="preserve">تعديل المسجلين في السنة الماضية </t>
  </si>
  <si>
    <t>نسبة االإعادة</t>
  </si>
  <si>
    <t>المسجلون في السنة الرابعة السنة الماضية</t>
  </si>
  <si>
    <t>المعيدون للسنة الرابعة</t>
  </si>
  <si>
    <t>نسبة الإنتقال الصافية</t>
  </si>
  <si>
    <t>مجموع التلاميذ المنتقلون</t>
  </si>
  <si>
    <t>المعيدون المنتقلون من متوسطـات الولايات الأخرى</t>
  </si>
  <si>
    <t>المعيدون المنتقلون من متوسطـات أخرى للولاية نفسها</t>
  </si>
  <si>
    <t>الناجحون المنتقلون من متوسطـات الولايات الأخرى</t>
  </si>
  <si>
    <t>الناجحون المنتقلون من متوسطـات أخرى للولاية نفسها</t>
  </si>
  <si>
    <t>مجموع التلاميذ القادمون</t>
  </si>
  <si>
    <t>المعيدون القادمون من متوسطـات الولايات الأخرى</t>
  </si>
  <si>
    <t>المعيدون القادمون من متوسطـات أخرى للولاية نفسها</t>
  </si>
  <si>
    <t>الناجحون القادمون من متوسطـات الولايات الأخرى</t>
  </si>
  <si>
    <t>الناجحون القادمون من متوسطـات أخرى للولاية نفسها</t>
  </si>
  <si>
    <t>نسبة الإنتقال</t>
  </si>
  <si>
    <t>المنتقلون  للسنة الأولى ثانوي</t>
  </si>
  <si>
    <t xml:space="preserve">نسبة الإعادة الثالثة متوســط </t>
  </si>
  <si>
    <t>نسبة الإنتقال لسنة الرابعة</t>
  </si>
  <si>
    <t>المسجلون في السنة الثالثة السنة الماضية</t>
  </si>
  <si>
    <t>المعيدون للسنة الثالثة</t>
  </si>
  <si>
    <t xml:space="preserve">المنتقلون  للسنة الرابعة متوســط </t>
  </si>
  <si>
    <t>نسبة التلاميذ المستفيدين من النقل المدرسي</t>
  </si>
  <si>
    <t>نسبة التلاميذ المتوسـط المستفيدين من الداخلية</t>
  </si>
  <si>
    <t xml:space="preserve">نسبة التلاميذ المتوســط نصف داخليين المستفيدين من المنح </t>
  </si>
  <si>
    <t>نسبة التلاميذ المتوســط المستفيدين من نصف الداخلية</t>
  </si>
  <si>
    <t>نسبة المنتقلون لثانوي المعيدون لمرة واحدة في المتوسط</t>
  </si>
  <si>
    <t>نسبة المنتقلون للثانوي بدون إعـادة في المتوسط</t>
  </si>
  <si>
    <t>نسبة المنتقلون للثانوي</t>
  </si>
  <si>
    <t>نسبة  الناجحون في امتحان شهادة التعليم المتوسط</t>
  </si>
  <si>
    <t xml:space="preserve">نسبة تسرب تلاميذ الرابعة متوسط  حسب الجنس </t>
  </si>
  <si>
    <t xml:space="preserve">نسبة إعادة تلاميذ الرابعة متوسط  حسب الجنس </t>
  </si>
  <si>
    <t xml:space="preserve">نسبة إنتقال تلاميذ الرابعة متوســط حسب الجنس </t>
  </si>
  <si>
    <t xml:space="preserve">نسبة تسرب تلاميذ الثالثة متوســط  حسب الجنس </t>
  </si>
  <si>
    <t xml:space="preserve">نسبة إعادة تلاميذ الثالثة متوســط  حسب الجنس </t>
  </si>
  <si>
    <t>نسبة إنتقال تلاميذ الثالثة متوسـط حسب الجنس</t>
  </si>
  <si>
    <t>الرابعة متوسط</t>
  </si>
  <si>
    <t>الثالثة متوسط</t>
  </si>
  <si>
    <t>الثانية متوسط</t>
  </si>
  <si>
    <t>الاولى متوسط</t>
  </si>
  <si>
    <t xml:space="preserve">نسبة الإعادة الثانية متوســط </t>
  </si>
  <si>
    <t xml:space="preserve">نسبة الإنتقال لسنة الثالثة متوســط </t>
  </si>
  <si>
    <t>المسجلون في السنة الثانية السنة الماضية</t>
  </si>
  <si>
    <t xml:space="preserve">المعيدون للسنة الثانية متوســط </t>
  </si>
  <si>
    <t xml:space="preserve">المنتقلون  للسنة الثالثة متوســط </t>
  </si>
  <si>
    <r>
      <t xml:space="preserve">نسبة الإعادة </t>
    </r>
    <r>
      <rPr>
        <b/>
        <sz val="10"/>
        <color indexed="17"/>
        <rFont val="Arial"/>
        <family val="2"/>
      </rPr>
      <t xml:space="preserve">السنة الاولى متوســط </t>
    </r>
  </si>
  <si>
    <t xml:space="preserve">نسبة الإنتقال لسنة الثانية </t>
  </si>
  <si>
    <t>المسجلون في السنة الاولى متوســط السنة الماضية</t>
  </si>
  <si>
    <t xml:space="preserve">المعيدون للسنة الاولى متوســط </t>
  </si>
  <si>
    <t>المسجلون في الاولى متوســط السنة الماضية</t>
  </si>
  <si>
    <t xml:space="preserve">المنتقلون  للسنة الثانية متوســط </t>
  </si>
  <si>
    <r>
      <t>نسبة</t>
    </r>
    <r>
      <rPr>
        <b/>
        <sz val="12"/>
        <color indexed="28"/>
        <rFont val="Times New Roman"/>
        <family val="1"/>
      </rPr>
      <t xml:space="preserve"> التلاميذ التعليم المتوســط </t>
    </r>
    <r>
      <rPr>
        <b/>
        <sz val="12"/>
        <color indexed="10"/>
        <rFont val="Times New Roman"/>
        <family val="1"/>
      </rPr>
      <t>المطرودين</t>
    </r>
    <r>
      <rPr>
        <b/>
        <sz val="12"/>
        <color indexed="28"/>
        <rFont val="Times New Roman"/>
        <family val="1"/>
      </rPr>
      <t xml:space="preserve"> عن الدراسة حسب الجنس والمستوى الدراسي</t>
    </r>
  </si>
  <si>
    <r>
      <t xml:space="preserve">التلاميذ التعليم المتوســط </t>
    </r>
    <r>
      <rPr>
        <b/>
        <sz val="12"/>
        <color indexed="10"/>
        <rFont val="Times New Roman"/>
        <family val="1"/>
      </rPr>
      <t>المطرودين</t>
    </r>
    <r>
      <rPr>
        <b/>
        <sz val="12"/>
        <color indexed="28"/>
        <rFont val="Times New Roman"/>
        <family val="1"/>
      </rPr>
      <t xml:space="preserve"> عن الدراسة حسب الجنس والمستوى الدراسي</t>
    </r>
  </si>
  <si>
    <r>
      <t>نسبة</t>
    </r>
    <r>
      <rPr>
        <b/>
        <sz val="12"/>
        <color indexed="28"/>
        <rFont val="Times New Roman"/>
        <family val="1"/>
      </rPr>
      <t xml:space="preserve"> التلاميذ التعليم المتوســط </t>
    </r>
    <r>
      <rPr>
        <b/>
        <sz val="12"/>
        <color indexed="10"/>
        <rFont val="Times New Roman"/>
        <family val="1"/>
      </rPr>
      <t>المتخلين</t>
    </r>
    <r>
      <rPr>
        <b/>
        <sz val="12"/>
        <color indexed="28"/>
        <rFont val="Times New Roman"/>
        <family val="1"/>
      </rPr>
      <t xml:space="preserve"> عن الدراسة حسب الجنس والمستوى الدراسي</t>
    </r>
  </si>
  <si>
    <r>
      <t xml:space="preserve">التلاميذ التعليم المتوســط </t>
    </r>
    <r>
      <rPr>
        <b/>
        <sz val="12"/>
        <color indexed="10"/>
        <rFont val="Times New Roman"/>
        <family val="1"/>
      </rPr>
      <t>المتخلين</t>
    </r>
    <r>
      <rPr>
        <b/>
        <sz val="12"/>
        <color indexed="28"/>
        <rFont val="Times New Roman"/>
        <family val="1"/>
      </rPr>
      <t xml:space="preserve"> عن الدراسة حسب الجنس والمستوى الدراسي</t>
    </r>
  </si>
  <si>
    <r>
      <t>نسبة</t>
    </r>
    <r>
      <rPr>
        <b/>
        <sz val="12"/>
        <color indexed="28"/>
        <rFont val="Times New Roman"/>
        <family val="1"/>
      </rPr>
      <t xml:space="preserve"> التلاميذ التعليم المتوســط </t>
    </r>
    <r>
      <rPr>
        <b/>
        <sz val="12"/>
        <color indexed="10"/>
        <rFont val="Times New Roman"/>
        <family val="1"/>
      </rPr>
      <t>المنفصلين مؤقتا</t>
    </r>
    <r>
      <rPr>
        <b/>
        <sz val="12"/>
        <color indexed="28"/>
        <rFont val="Times New Roman"/>
        <family val="1"/>
      </rPr>
      <t xml:space="preserve"> عن الدراسة حسب الجنس والمستوى الدراسي</t>
    </r>
  </si>
  <si>
    <r>
      <t xml:space="preserve">التلاميذ التعليم المتوســط </t>
    </r>
    <r>
      <rPr>
        <b/>
        <sz val="12"/>
        <color indexed="10"/>
        <rFont val="Times New Roman"/>
        <family val="1"/>
      </rPr>
      <t>المنفصلين مؤقتا</t>
    </r>
    <r>
      <rPr>
        <b/>
        <sz val="12"/>
        <color indexed="28"/>
        <rFont val="Times New Roman"/>
        <family val="1"/>
      </rPr>
      <t xml:space="preserve"> عن الدراسة حسب الجنس والمستوى الدراسي</t>
    </r>
  </si>
  <si>
    <t xml:space="preserve">نسبة تسرب تلاميذ الثانية متوســط  حسب الجنس </t>
  </si>
  <si>
    <t xml:space="preserve">نسبة إعادة تلاميذ الثانية متوســط  حسب الجنس </t>
  </si>
  <si>
    <t xml:space="preserve">نسبة إنتقال تلاميذ الثانية متوســط  حسب الجنس </t>
  </si>
  <si>
    <t xml:space="preserve">نسبة تسرب تلاميذ الاولى متوســط  حسب الجنس </t>
  </si>
  <si>
    <t xml:space="preserve">نسبة إعادة تلاميذ الاولى متوســط حسب الجنس </t>
  </si>
  <si>
    <t xml:space="preserve">نسبة إنتقال تلاميذ الأولى متوسـط حسب الجنس </t>
  </si>
  <si>
    <t>ذكـور</t>
  </si>
  <si>
    <t>إنـاث</t>
  </si>
  <si>
    <t>نسبة ن داخليين</t>
  </si>
  <si>
    <t>النصف الداخليين</t>
  </si>
  <si>
    <t>التلاميذ</t>
  </si>
  <si>
    <t>نسبة الداخليين</t>
  </si>
  <si>
    <t>الداخليين</t>
  </si>
  <si>
    <t xml:space="preserve">معـدل الأفواج </t>
  </si>
  <si>
    <t xml:space="preserve">الأفواج </t>
  </si>
  <si>
    <t>نسبة النمو</t>
  </si>
  <si>
    <t>التلاميذ للسنة الحالية</t>
  </si>
  <si>
    <t>التلاميذ للسنة الماضية</t>
  </si>
  <si>
    <t>أغراض أخرى</t>
  </si>
  <si>
    <t>للتدريس</t>
  </si>
  <si>
    <t xml:space="preserve"> أغراض أخرى</t>
  </si>
  <si>
    <t>أغـراض إدارية</t>
  </si>
  <si>
    <t xml:space="preserve"> التعليم الثانوي</t>
  </si>
  <si>
    <t xml:space="preserve"> التعليـم الإبتدائي</t>
  </si>
  <si>
    <t>التعليـم المتوسط</t>
  </si>
  <si>
    <t>19 سـنـة فأكثر</t>
  </si>
  <si>
    <t>نسبة النساء على الرجال</t>
  </si>
  <si>
    <t>نسبة التأطير الاجمالية</t>
  </si>
  <si>
    <t>مجموع أساتذة اللغـة</t>
  </si>
  <si>
    <t xml:space="preserve">مجموع التلاميذ </t>
  </si>
  <si>
    <t>نسبة نمــــو التلاميذ حسب الجنس</t>
  </si>
  <si>
    <t>الأولى متوسط</t>
  </si>
  <si>
    <t>نسبة التلاميذ على الطاقة النظرية للتدرس</t>
  </si>
  <si>
    <t>نسبة الحجرات مستعملة :</t>
  </si>
  <si>
    <t>المتوسط</t>
  </si>
  <si>
    <t>الإجمالية</t>
  </si>
  <si>
    <t>قاعات الدرس العادية المستعملة لـ :</t>
  </si>
  <si>
    <t>المخابر</t>
  </si>
  <si>
    <t xml:space="preserve">  المـدرج</t>
  </si>
  <si>
    <t xml:space="preserve">  الورشات</t>
  </si>
  <si>
    <t>القاعات العادية الموجـودة</t>
  </si>
  <si>
    <r>
      <t xml:space="preserve">توزيع التلاميذ </t>
    </r>
    <r>
      <rPr>
        <b/>
        <sz val="12"/>
        <color indexed="10"/>
        <rFont val="Times New Roman"/>
        <family val="1"/>
      </rPr>
      <t>المتمدرسين</t>
    </r>
    <r>
      <rPr>
        <b/>
        <sz val="12"/>
        <color indexed="30"/>
        <rFont val="Times New Roman"/>
        <family val="1"/>
      </rPr>
      <t xml:space="preserve"> وا</t>
    </r>
    <r>
      <rPr>
        <b/>
        <sz val="12"/>
        <color indexed="10"/>
        <rFont val="Times New Roman"/>
        <family val="1"/>
      </rPr>
      <t xml:space="preserve">لمعيدين </t>
    </r>
    <r>
      <rPr>
        <b/>
        <sz val="12"/>
        <color indexed="30"/>
        <rFont val="Times New Roman"/>
        <family val="1"/>
      </rPr>
      <t>في التعليم المتوسـط حسب الجنس والسن   مجموع المتوسط</t>
    </r>
  </si>
  <si>
    <t>نسبة التلاميذ النصف داخليين للأقسام الرياضة والدراسة في التعليـم المتوســط</t>
  </si>
  <si>
    <t>نسبة التلاميذ الداخليين للأقسام الرياضة والدراسة في التعليـم المتوســط</t>
  </si>
  <si>
    <t>معـدل الأفــواج التربوية للأقسام الرياضة والدراسة في التعليـم المتوســط</t>
  </si>
  <si>
    <t>نسبة تأطير أقسام اللغة الآمازيغية</t>
  </si>
  <si>
    <t>معـدل الأفــواج التربوية للأقسام اللغـة الآمازيغيـة في التعليـم المتوســط</t>
  </si>
  <si>
    <t xml:space="preserve">معـدل الأفـواج التربوية التعليـم المتوسـط </t>
  </si>
  <si>
    <t>نسبة مشاركة البنات حسب المستوى الدراسي للسنة الماضية</t>
  </si>
  <si>
    <t>معدل الإنات على الذكور حسب المستوى الدراسي  للسنة الماضية</t>
  </si>
  <si>
    <t xml:space="preserve">نسبة مشاركة البنات حسب المستوى الدراسي للسنة الحالية </t>
  </si>
  <si>
    <t>معدل الإنات على الذكور حسب المستوى الدراسي  للسنة الحالية</t>
  </si>
  <si>
    <t>نسبة إستغلال الحجرات</t>
  </si>
  <si>
    <t xml:space="preserve"> 1 - الحجرات والمرافق : </t>
  </si>
  <si>
    <t>المؤشرات</t>
  </si>
  <si>
    <t>توزيع التلاميذ المرضى المتكفل بهم حسب مكان الإستشفاء، الجنس والمستوى الدراسي</t>
  </si>
  <si>
    <t>توزيع التلاميذ المسجلين حسب نوعية الإضطراب الصحي ،الجنس و المستوى الدراسي</t>
  </si>
  <si>
    <t xml:space="preserve">توزيع التلاميذ حسب الجنس، النظام الدراسي، المستوى الدراسي والمستفيدين من المنحة المدرسية </t>
  </si>
  <si>
    <t>نتائج إمتحان شهادة التعليم المتوسط</t>
  </si>
  <si>
    <t>13</t>
  </si>
  <si>
    <t>10</t>
  </si>
  <si>
    <t xml:space="preserve">توزيع الأفواج التربوية حسب المستوى الدراسي </t>
  </si>
  <si>
    <t>التنظيم التربوي</t>
  </si>
  <si>
    <t>صفحة</t>
  </si>
  <si>
    <t>المحتويات</t>
  </si>
  <si>
    <t>المـطـروديــن</t>
  </si>
  <si>
    <t>المـتـخـلـيــن</t>
  </si>
  <si>
    <t>الوضعية الدراسية</t>
  </si>
  <si>
    <t>منهم الأجانب</t>
  </si>
  <si>
    <t>المستوى الدراسي</t>
  </si>
  <si>
    <t>الأفــواج التربوية</t>
  </si>
  <si>
    <t xml:space="preserve">            المستوى الدراسي</t>
  </si>
  <si>
    <t>نســـاء</t>
  </si>
  <si>
    <t>مكـان الإستشفاء</t>
  </si>
  <si>
    <t>المؤطــرون</t>
  </si>
  <si>
    <t>إضطرابات متعددة</t>
  </si>
  <si>
    <t>إضطرابات أخرى</t>
  </si>
  <si>
    <t>إضطراب التعلم والقراءة</t>
  </si>
  <si>
    <r>
      <t>الإضطراب السمعي</t>
    </r>
    <r>
      <rPr>
        <sz val="9"/>
        <rFont val="Times New Roman"/>
        <family val="1"/>
      </rPr>
      <t xml:space="preserve"> (</t>
    </r>
    <r>
      <rPr>
        <b/>
        <sz val="9"/>
        <rFont val="Times New Roman"/>
        <family val="1"/>
      </rPr>
      <t>صمم</t>
    </r>
    <r>
      <rPr>
        <sz val="9"/>
        <rFont val="Times New Roman"/>
        <family val="1"/>
      </rPr>
      <t>،...)</t>
    </r>
  </si>
  <si>
    <t>الإضطراب البصري</t>
  </si>
  <si>
    <r>
      <t xml:space="preserve">الإضطراب السلوكي </t>
    </r>
    <r>
      <rPr>
        <sz val="9"/>
        <rFont val="Times New Roman"/>
        <family val="1"/>
      </rPr>
      <t>(</t>
    </r>
    <r>
      <rPr>
        <b/>
        <sz val="9"/>
        <rFont val="Times New Roman"/>
        <family val="1"/>
      </rPr>
      <t>توحـد،</t>
    </r>
    <r>
      <rPr>
        <sz val="9"/>
        <rFont val="Times New Roman"/>
        <family val="1"/>
      </rPr>
      <t>...)</t>
    </r>
  </si>
  <si>
    <t>الإضطراب العصبي</t>
  </si>
  <si>
    <t>الإضطراب الحركي</t>
  </si>
  <si>
    <t>نوعية الإضطراب الصحي</t>
  </si>
  <si>
    <t>المستفيدون من المنحة المدرسية</t>
  </si>
  <si>
    <t>المجموع حسب النظام</t>
  </si>
  <si>
    <t>النظام
الدراسي</t>
  </si>
  <si>
    <t>النظام الدراسي</t>
  </si>
  <si>
    <t xml:space="preserve">مـــواد التدريـس </t>
  </si>
  <si>
    <t>الإطــار المهني والجنس</t>
  </si>
  <si>
    <t>مـواد التدريـس</t>
  </si>
  <si>
    <t>مـــواد التدريـــس</t>
  </si>
  <si>
    <t>متربصـون</t>
  </si>
  <si>
    <t>الســــن والجنس</t>
  </si>
  <si>
    <t>عامل مهني- مستوى 2- ص 2-بواب مؤسسة</t>
  </si>
  <si>
    <t>المناصـــــب</t>
  </si>
  <si>
    <t xml:space="preserve">  الإمضـــاء</t>
  </si>
  <si>
    <t xml:space="preserve">  التاريــــخ</t>
  </si>
  <si>
    <t>م</t>
  </si>
  <si>
    <t>بعد المتوسطة عن الطريق</t>
  </si>
  <si>
    <r>
      <t>م</t>
    </r>
    <r>
      <rPr>
        <b/>
        <vertAlign val="superscript"/>
        <sz val="10"/>
        <rFont val="Times New Roman"/>
        <family val="1"/>
      </rPr>
      <t>2</t>
    </r>
  </si>
  <si>
    <t xml:space="preserve">  3 - معلومات حـول الهياكـل القاعدية</t>
  </si>
  <si>
    <t xml:space="preserve"> المساحـة المبنية</t>
  </si>
  <si>
    <t xml:space="preserve"> سنـة الإنشـاء</t>
  </si>
  <si>
    <t xml:space="preserve"> خارجي </t>
  </si>
  <si>
    <t>طاقتهــــا النظريــة</t>
  </si>
  <si>
    <t xml:space="preserve"> الهاتـــف</t>
  </si>
  <si>
    <t xml:space="preserve">  3.1 - عنــــوان المتوسطـــة</t>
  </si>
  <si>
    <t>الرقم التسلسلي البلدي :</t>
  </si>
  <si>
    <t>الإضطراب المتعلق بصعوبة الكتابة</t>
  </si>
  <si>
    <t>المساعدة العامة</t>
  </si>
  <si>
    <t>الرقم التسلسلي البلدي</t>
  </si>
  <si>
    <t>التي تـم تـقـسيمها</t>
  </si>
  <si>
    <t>عدد الأجهـزة المركزية</t>
  </si>
  <si>
    <t>عدد الأجهـزة العادية</t>
  </si>
  <si>
    <t>عدد الأجهزة الصالحة</t>
  </si>
  <si>
    <t>عدد الأجهزة الموجودة</t>
  </si>
  <si>
    <t xml:space="preserve">المجموع </t>
  </si>
  <si>
    <t>لفرنسية</t>
  </si>
  <si>
    <t>أمازيغية</t>
  </si>
  <si>
    <t>انجليزية</t>
  </si>
  <si>
    <t>رياضيـات</t>
  </si>
  <si>
    <t>فيزيائ</t>
  </si>
  <si>
    <t>موسيقة</t>
  </si>
  <si>
    <t>تشكيلية</t>
  </si>
  <si>
    <t>رياضية</t>
  </si>
  <si>
    <t>الأستاذ المكون في التعليم المتوسط</t>
  </si>
  <si>
    <t>أستاذ التعليم المتوسط  منسق</t>
  </si>
  <si>
    <t>أستاذ التعليم المتوسط  للمـادة</t>
  </si>
  <si>
    <t>أستاذ رئيسي للمدرسة ابتدائية</t>
  </si>
  <si>
    <t>أستاذ المكون</t>
  </si>
  <si>
    <t xml:space="preserve">Dénomination du collège    </t>
  </si>
  <si>
    <t xml:space="preserve">المنتقلون إلى السنة الأولى ثانوي  و كيفية الإنتقال و الإعادة </t>
  </si>
  <si>
    <t xml:space="preserve"> معلومات عامة متعلقة بالمتوسطة، تسمية المتوسطة،الموقع، الوسط، النمط، النظام الدراسي، سنة البناء والإنشـاء، النظام التربوي</t>
  </si>
  <si>
    <r>
      <t xml:space="preserve">إضطراب الكلام </t>
    </r>
    <r>
      <rPr>
        <sz val="9"/>
        <rFont val="Times New Roman"/>
        <family val="1"/>
      </rPr>
      <t>(</t>
    </r>
    <r>
      <rPr>
        <b/>
        <sz val="9"/>
        <rFont val="Times New Roman"/>
        <family val="1"/>
      </rPr>
      <t>صعوبة التكلم،</t>
    </r>
    <r>
      <rPr>
        <sz val="9"/>
        <rFont val="Times New Roman"/>
        <family val="1"/>
      </rPr>
      <t>...)</t>
    </r>
  </si>
  <si>
    <t>فهـرس الدفتر الإحصائي الخاص بالتعليم المتوسط</t>
  </si>
  <si>
    <t>مجموع منهم متعاقدون</t>
  </si>
  <si>
    <t>مجموع منهم أجانب</t>
  </si>
  <si>
    <r>
      <t>6.3 - توزيع الأساتذة (</t>
    </r>
    <r>
      <rPr>
        <b/>
        <sz val="12"/>
        <color indexed="10"/>
        <rFont val="Times New Roman"/>
        <family val="1"/>
      </rPr>
      <t>المرسمون</t>
    </r>
    <r>
      <rPr>
        <b/>
        <sz val="12"/>
        <color indexed="18"/>
        <rFont val="Times New Roman"/>
        <family val="1"/>
      </rPr>
      <t xml:space="preserve"> و </t>
    </r>
    <r>
      <rPr>
        <b/>
        <sz val="12"/>
        <color indexed="10"/>
        <rFont val="Times New Roman"/>
        <family val="1"/>
      </rPr>
      <t>المتربصون</t>
    </r>
    <r>
      <rPr>
        <b/>
        <sz val="12"/>
        <color indexed="18"/>
        <rFont val="Times New Roman"/>
        <family val="1"/>
      </rPr>
      <t>) حسب الجنس، السن ومـواد التدريس</t>
    </r>
  </si>
  <si>
    <r>
      <t>6.3 - توزيع الأساتذة (</t>
    </r>
    <r>
      <rPr>
        <b/>
        <sz val="12"/>
        <color indexed="10"/>
        <rFont val="Times New Roman"/>
        <family val="1"/>
      </rPr>
      <t>المرسمون</t>
    </r>
    <r>
      <rPr>
        <b/>
        <sz val="12"/>
        <color indexed="18"/>
        <rFont val="Times New Roman"/>
        <family val="1"/>
      </rPr>
      <t xml:space="preserve"> و </t>
    </r>
    <r>
      <rPr>
        <b/>
        <sz val="12"/>
        <color indexed="10"/>
        <rFont val="Times New Roman"/>
        <family val="1"/>
      </rPr>
      <t>المتربصون</t>
    </r>
    <r>
      <rPr>
        <b/>
        <sz val="12"/>
        <color indexed="18"/>
        <rFont val="Times New Roman"/>
        <family val="1"/>
      </rPr>
      <t xml:space="preserve">) حسب الجنس، السن ومـواد التدريس - </t>
    </r>
    <r>
      <rPr>
        <b/>
        <sz val="12"/>
        <color indexed="10"/>
        <rFont val="Times New Roman"/>
        <family val="1"/>
      </rPr>
      <t>تابــع</t>
    </r>
  </si>
  <si>
    <r>
      <t xml:space="preserve">9.3 - توزيع الأساتذة المشتغلين </t>
    </r>
    <r>
      <rPr>
        <b/>
        <sz val="10"/>
        <color indexed="10"/>
        <rFont val="Times New Roman"/>
        <family val="1"/>
      </rPr>
      <t>جزء من الوقت</t>
    </r>
    <r>
      <rPr>
        <b/>
        <sz val="10"/>
        <color indexed="18"/>
        <rFont val="Times New Roman"/>
        <family val="1"/>
      </rPr>
      <t xml:space="preserve"> (أسبوعيا) حسب مواد التدريس وعدد ساعات التدريس - </t>
    </r>
    <r>
      <rPr>
        <b/>
        <sz val="10"/>
        <color indexed="10"/>
        <rFont val="Times New Roman"/>
        <family val="1"/>
      </rPr>
      <t>تابـع</t>
    </r>
  </si>
  <si>
    <r>
      <t xml:space="preserve">3.8 - توزيع المناصب المالية للأساتذة، </t>
    </r>
    <r>
      <rPr>
        <b/>
        <sz val="12"/>
        <color indexed="10"/>
        <rFont val="Times New Roman"/>
        <family val="1"/>
      </rPr>
      <t>المناصب المفتوحـة</t>
    </r>
  </si>
  <si>
    <r>
      <t xml:space="preserve">3.8 - توزيع المناصب المالية للأساتذة حسب الجنس، الوضعية الإدارية ومواد التدريس - </t>
    </r>
    <r>
      <rPr>
        <b/>
        <sz val="12"/>
        <color indexed="10"/>
        <rFont val="Times New Roman"/>
        <family val="1"/>
      </rPr>
      <t>المناصب المشغولـة - مرسمون</t>
    </r>
  </si>
  <si>
    <r>
      <t xml:space="preserve">3.8 - توزيع المناصب المالية للأساتذة حسب الجنس، الوضعية الإدارية ومواد التدريس - </t>
    </r>
    <r>
      <rPr>
        <b/>
        <sz val="12"/>
        <color indexed="10"/>
        <rFont val="Times New Roman"/>
        <family val="1"/>
      </rPr>
      <t>المناصب المشغولـة - متربصون</t>
    </r>
  </si>
  <si>
    <r>
      <t xml:space="preserve">3.8 - توزيع المناصب المالية للأساتذة، </t>
    </r>
    <r>
      <rPr>
        <b/>
        <sz val="12"/>
        <color indexed="10"/>
        <rFont val="Times New Roman"/>
        <family val="1"/>
      </rPr>
      <t>المناصب الشاغـرة</t>
    </r>
  </si>
  <si>
    <t>عدد الأجهزة للتعويض</t>
  </si>
  <si>
    <t xml:space="preserve">إضطراب الأمراض الداخلية و القلبية </t>
  </si>
  <si>
    <t>أجانب</t>
  </si>
  <si>
    <t>المنتقلون</t>
  </si>
  <si>
    <t>الاساتذة الرئيسيين للمدرسة ابتدائية</t>
  </si>
  <si>
    <t>الاساتذة المدرسة الابتدائية</t>
  </si>
  <si>
    <t xml:space="preserve">اساتذة التعليم المتوسط و الأساسي </t>
  </si>
  <si>
    <t>الاساتذة المكونيين في التعليم المتوسط</t>
  </si>
  <si>
    <t>نسبة التلاميذ المتوسط الداخليين المستفيدين من المنحة المدرسية</t>
  </si>
  <si>
    <t>التاريخ و الجغرافيا</t>
  </si>
  <si>
    <r>
      <t xml:space="preserve">3.8 - توزيع المناصب المالية للأساتذة حسب الجنس، الوضعية الإدارية ومواد التدريس - </t>
    </r>
    <r>
      <rPr>
        <b/>
        <sz val="12"/>
        <color indexed="10"/>
        <rFont val="Times New Roman"/>
        <family val="1"/>
      </rPr>
      <t>المناصب المشغولـة - متعاقـدون</t>
    </r>
  </si>
  <si>
    <t>أستاذ التعليم المتوسط</t>
  </si>
  <si>
    <t>أستاذ التعليم الإبتدائي</t>
  </si>
  <si>
    <t>متوسط</t>
  </si>
  <si>
    <t xml:space="preserve">النجاح في الامتحان و الانتقال الى السنة الاولى ثانوي </t>
  </si>
  <si>
    <t>/</t>
  </si>
  <si>
    <t>الإستقصاء  المدرسي  الشامل</t>
  </si>
  <si>
    <t>Enquête  Scolaire Exhaustive</t>
  </si>
  <si>
    <t>Mois d'octobre</t>
  </si>
  <si>
    <t>Livret Statistique</t>
  </si>
  <si>
    <r>
      <t>إذا كان الجواب ب"</t>
    </r>
    <r>
      <rPr>
        <b/>
        <sz val="9"/>
        <color indexed="10"/>
        <rFont val="Times New Roman"/>
        <family val="1"/>
      </rPr>
      <t>نعم</t>
    </r>
    <r>
      <rPr>
        <b/>
        <sz val="9"/>
        <color indexed="62"/>
        <rFont val="Times New Roman"/>
        <family val="1"/>
      </rPr>
      <t xml:space="preserve">" ضع رقم </t>
    </r>
    <r>
      <rPr>
        <b/>
        <sz val="9"/>
        <color indexed="10"/>
        <rFont val="Times New Roman"/>
        <family val="1"/>
      </rPr>
      <t>1</t>
    </r>
    <r>
      <rPr>
        <b/>
        <sz val="9"/>
        <color indexed="62"/>
        <rFont val="Times New Roman"/>
        <family val="1"/>
      </rPr>
      <t xml:space="preserve"> و إذا كان ب"</t>
    </r>
    <r>
      <rPr>
        <b/>
        <sz val="9"/>
        <color indexed="10"/>
        <rFont val="Times New Roman"/>
        <family val="1"/>
      </rPr>
      <t>لا</t>
    </r>
    <r>
      <rPr>
        <b/>
        <sz val="9"/>
        <color indexed="62"/>
        <rFont val="Times New Roman"/>
        <family val="1"/>
      </rPr>
      <t xml:space="preserve">" ضع رقم </t>
    </r>
    <r>
      <rPr>
        <b/>
        <sz val="9"/>
        <color indexed="10"/>
        <rFont val="Times New Roman"/>
        <family val="1"/>
      </rPr>
      <t>0</t>
    </r>
    <r>
      <rPr>
        <b/>
        <sz val="9"/>
        <color indexed="62"/>
        <rFont val="Times New Roman"/>
        <family val="1"/>
      </rPr>
      <t xml:space="preserve">    </t>
    </r>
  </si>
  <si>
    <t>الصيغة الصحيحة</t>
  </si>
  <si>
    <t>الصيغة الخاطئة</t>
  </si>
  <si>
    <t>تسميـــــــة المتوسطـــــة</t>
  </si>
  <si>
    <t xml:space="preserve"> نــوع البنــاء</t>
  </si>
  <si>
    <t xml:space="preserve">ملعـــب رياضــــــــــــــــة ؟  </t>
  </si>
  <si>
    <t xml:space="preserve">  المــــــــــــــــدرج </t>
  </si>
  <si>
    <t xml:space="preserve">  الورشــــــــــــــــات </t>
  </si>
  <si>
    <t xml:space="preserve">المخابـــــــــــــــــر  </t>
  </si>
  <si>
    <t xml:space="preserve">التعليـم المتوســط </t>
  </si>
  <si>
    <t xml:space="preserve">التي أعيد فتحها فقط </t>
  </si>
  <si>
    <t xml:space="preserve">منهـا الجديـدة فقط </t>
  </si>
  <si>
    <t xml:space="preserve">قاعــــــــــات العــــــــــلاج ؟ </t>
  </si>
  <si>
    <t xml:space="preserve">نادي صحي منصب ؟ </t>
  </si>
  <si>
    <t>نسـاء</t>
  </si>
  <si>
    <t>توزيع التلاميذ المتخلين و المطرودين خلال الموسم الماضي حسب الجنس والمستوى الدراسي و توزيع التلاميذ المنفصلين مؤقتا</t>
  </si>
  <si>
    <t xml:space="preserve">ريفـي </t>
  </si>
  <si>
    <t xml:space="preserve">شبـه حضري </t>
  </si>
  <si>
    <t xml:space="preserve">حضري </t>
  </si>
  <si>
    <t xml:space="preserve">غيــر نمطيـة </t>
  </si>
  <si>
    <t xml:space="preserve">مواد التكوين </t>
  </si>
  <si>
    <t>مــواد التدريـس والجنس</t>
  </si>
  <si>
    <t>عند نسخ الخلايا تجنب النسخ العام و إقتصار على نسخ الأرقام فقط للمحافظة على برمجية المساعدة العامة</t>
  </si>
  <si>
    <t>Se contenter de la copie des chiffres pour préserver la programmation</t>
  </si>
  <si>
    <t>Ne jamais couper les cellules lors d'une copie pour éviter la déprogrammation</t>
  </si>
  <si>
    <t>تجنب قص الخلايا عند لصقها أو نقلها الى خلايا أخرى لما تسببه من إتلاف البرمجية</t>
  </si>
  <si>
    <t xml:space="preserve">رقـم الحساب الخزينة  </t>
  </si>
  <si>
    <t xml:space="preserve">رقـم التعريـف الوطني  </t>
  </si>
  <si>
    <t>مساحتهـا  ؟</t>
  </si>
  <si>
    <t xml:space="preserve">منهم بنات ؟ </t>
  </si>
  <si>
    <t>ملاحظة أسـاسـيـة      Remarque Essentielle</t>
  </si>
  <si>
    <t>المساحة الرسمية للقاعة العادية : 62  م²</t>
  </si>
  <si>
    <t>1 و 2 متوسط</t>
  </si>
  <si>
    <t>3 و 4 متوسط</t>
  </si>
  <si>
    <t>شهر أكتوبر</t>
  </si>
  <si>
    <r>
      <t>ملاحظة :</t>
    </r>
    <r>
      <rPr>
        <b/>
        <sz val="10"/>
        <color indexed="10"/>
        <rFont val="Arial"/>
        <family val="2"/>
      </rPr>
      <t xml:space="preserve"> يتعين على المديرين إضافة تعليق مكـتوب في الخانة التي لا تشمل على كل الحالات الخاصة الموجودة في المؤسسة</t>
    </r>
  </si>
  <si>
    <t>معدل الأفواج على قاعات المستعملة</t>
  </si>
  <si>
    <t>معدل االتلاميذ على لأفواج التربوية</t>
  </si>
  <si>
    <t xml:space="preserve">نسبة إستعمال الحجرات </t>
  </si>
  <si>
    <t>الأجانب المسجلين</t>
  </si>
  <si>
    <t xml:space="preserve">أستاذ التعليم المتوسط </t>
  </si>
  <si>
    <t>المسجلات</t>
  </si>
  <si>
    <t>الناجحون</t>
  </si>
  <si>
    <t>النجحات</t>
  </si>
  <si>
    <t>المنتقلون المعيدون لمـرة</t>
  </si>
  <si>
    <t>المنتقلات بـدون إعــادة</t>
  </si>
  <si>
    <t>المنتقلات المعيدون لمـرة</t>
  </si>
  <si>
    <t>الناجحات في الإمتحان</t>
  </si>
  <si>
    <t>مجموع التلاميــــــذ</t>
  </si>
  <si>
    <t xml:space="preserve"> توزيع التلاميذ المسجلين في اللغـة الآمازيغيــــة</t>
  </si>
  <si>
    <t>توزيع الأساتذة في اللغـة الآمازيغيــــة</t>
  </si>
  <si>
    <t xml:space="preserve"> توزيع التلاميذ المسجلين في أقســام الرياضة والدراسة</t>
  </si>
  <si>
    <t>أستاذ منسق للتعليم المتوسط</t>
  </si>
  <si>
    <t xml:space="preserve">مساعد رئيسي للتربية </t>
  </si>
  <si>
    <t>مستشار رئيس للتربية</t>
  </si>
  <si>
    <t xml:space="preserve">مشرف  التربية </t>
  </si>
  <si>
    <t xml:space="preserve">مشرف رئيسي للتربية  </t>
  </si>
  <si>
    <t xml:space="preserve">    </t>
  </si>
  <si>
    <t xml:space="preserve">المـتـخلين </t>
  </si>
  <si>
    <t xml:space="preserve">المساحـة المخصصة للتوسيع </t>
  </si>
  <si>
    <t xml:space="preserve">  من 5 إلى 9 ساعة</t>
  </si>
  <si>
    <t xml:space="preserve">  من 10 إلى 14 ساعة</t>
  </si>
  <si>
    <t xml:space="preserve">  أقـل من 5 ساعات</t>
  </si>
  <si>
    <t>بنـــات</t>
  </si>
  <si>
    <t>نسبة التخلـي</t>
  </si>
  <si>
    <t>نسبة الإعادة السنة  الرابعة متوسـط</t>
  </si>
  <si>
    <t xml:space="preserve">المعيدون للسنة الرابعة متوسـط </t>
  </si>
  <si>
    <t>المعيدون القادمون من</t>
  </si>
  <si>
    <t>المنتقلون للسنة الأولى ثانوي</t>
  </si>
  <si>
    <r>
      <t>مؤشرات إحصائية حـول</t>
    </r>
    <r>
      <rPr>
        <b/>
        <sz val="12"/>
        <color indexed="18"/>
        <rFont val="Times New Roman"/>
        <family val="1"/>
      </rPr>
      <t xml:space="preserve"> : نسبة </t>
    </r>
    <r>
      <rPr>
        <b/>
        <sz val="12"/>
        <color indexed="10"/>
        <rFont val="Times New Roman"/>
        <family val="1"/>
      </rPr>
      <t>تسرب</t>
    </r>
    <r>
      <rPr>
        <b/>
        <sz val="12"/>
        <color indexed="18"/>
        <rFont val="Times New Roman"/>
        <family val="1"/>
      </rPr>
      <t xml:space="preserve"> تلاميذ </t>
    </r>
    <r>
      <rPr>
        <b/>
        <sz val="12"/>
        <color indexed="10"/>
        <rFont val="Times New Roman"/>
        <family val="1"/>
      </rPr>
      <t>الرابعة متوسـط</t>
    </r>
    <r>
      <rPr>
        <b/>
        <sz val="12"/>
        <color indexed="18"/>
        <rFont val="Times New Roman"/>
        <family val="1"/>
      </rPr>
      <t xml:space="preserve"> حسب الجنس</t>
    </r>
  </si>
  <si>
    <r>
      <t>مؤشرات إحصائية حـول</t>
    </r>
    <r>
      <rPr>
        <b/>
        <sz val="12"/>
        <color indexed="18"/>
        <rFont val="Times New Roman"/>
        <family val="1"/>
      </rPr>
      <t xml:space="preserve"> : نسبة </t>
    </r>
    <r>
      <rPr>
        <b/>
        <sz val="12"/>
        <color indexed="10"/>
        <rFont val="Times New Roman"/>
        <family val="1"/>
      </rPr>
      <t>إعادة</t>
    </r>
    <r>
      <rPr>
        <b/>
        <sz val="12"/>
        <color indexed="18"/>
        <rFont val="Times New Roman"/>
        <family val="1"/>
      </rPr>
      <t xml:space="preserve"> تلاميذ </t>
    </r>
    <r>
      <rPr>
        <b/>
        <sz val="12"/>
        <color indexed="10"/>
        <rFont val="Times New Roman"/>
        <family val="1"/>
      </rPr>
      <t>الرابعة متوسط</t>
    </r>
    <r>
      <rPr>
        <b/>
        <sz val="12"/>
        <color indexed="18"/>
        <rFont val="Times New Roman"/>
        <family val="1"/>
      </rPr>
      <t xml:space="preserve"> حسب الجنس</t>
    </r>
  </si>
  <si>
    <r>
      <rPr>
        <b/>
        <sz val="12"/>
        <color indexed="18"/>
        <rFont val="Times New Roman"/>
        <family val="1"/>
      </rPr>
      <t xml:space="preserve">نسبة </t>
    </r>
    <r>
      <rPr>
        <b/>
        <sz val="12"/>
        <color indexed="10"/>
        <rFont val="Times New Roman"/>
        <family val="1"/>
      </rPr>
      <t>إنتقال</t>
    </r>
    <r>
      <rPr>
        <b/>
        <sz val="12"/>
        <color indexed="18"/>
        <rFont val="Times New Roman"/>
        <family val="1"/>
      </rPr>
      <t xml:space="preserve"> تلاميذ </t>
    </r>
    <r>
      <rPr>
        <b/>
        <sz val="12"/>
        <color indexed="10"/>
        <rFont val="Times New Roman"/>
        <family val="1"/>
      </rPr>
      <t>الرابعة متوسـط</t>
    </r>
    <r>
      <rPr>
        <b/>
        <sz val="12"/>
        <color indexed="18"/>
        <rFont val="Times New Roman"/>
        <family val="1"/>
      </rPr>
      <t xml:space="preserve"> حسب الجنس</t>
    </r>
  </si>
  <si>
    <t>المعيديــن</t>
  </si>
  <si>
    <t>نسبة الإعادة السنة الثالثة متوسـط</t>
  </si>
  <si>
    <t>نسبة الإنتقال للسنة الرابعة متوسط</t>
  </si>
  <si>
    <t xml:space="preserve">المعيدون للسنة الثالثة متوســط </t>
  </si>
  <si>
    <t>المنتقلون  للسنة الرابعة متوسط</t>
  </si>
  <si>
    <r>
      <t>مؤشرات إحصائية حـول</t>
    </r>
    <r>
      <rPr>
        <b/>
        <sz val="12"/>
        <color indexed="18"/>
        <rFont val="Times New Roman"/>
        <family val="1"/>
      </rPr>
      <t xml:space="preserve">  نسبة </t>
    </r>
    <r>
      <rPr>
        <b/>
        <sz val="12"/>
        <color indexed="10"/>
        <rFont val="Times New Roman"/>
        <family val="1"/>
      </rPr>
      <t>تسرب</t>
    </r>
    <r>
      <rPr>
        <b/>
        <sz val="12"/>
        <color indexed="18"/>
        <rFont val="Times New Roman"/>
        <family val="1"/>
      </rPr>
      <t xml:space="preserve"> تلاميذ </t>
    </r>
    <r>
      <rPr>
        <b/>
        <sz val="12"/>
        <color indexed="10"/>
        <rFont val="Times New Roman"/>
        <family val="1"/>
      </rPr>
      <t>الثالثة متوسـط</t>
    </r>
    <r>
      <rPr>
        <b/>
        <sz val="12"/>
        <color indexed="18"/>
        <rFont val="Times New Roman"/>
        <family val="1"/>
      </rPr>
      <t xml:space="preserve">  حسب  الجنس</t>
    </r>
  </si>
  <si>
    <r>
      <t>مؤشرات إحصائية حـول</t>
    </r>
    <r>
      <rPr>
        <b/>
        <sz val="12"/>
        <color indexed="18"/>
        <rFont val="Times New Roman"/>
        <family val="1"/>
      </rPr>
      <t xml:space="preserve">  نسبة </t>
    </r>
    <r>
      <rPr>
        <b/>
        <sz val="12"/>
        <color indexed="10"/>
        <rFont val="Times New Roman"/>
        <family val="1"/>
      </rPr>
      <t>إعادة</t>
    </r>
    <r>
      <rPr>
        <b/>
        <sz val="12"/>
        <color indexed="18"/>
        <rFont val="Times New Roman"/>
        <family val="1"/>
      </rPr>
      <t xml:space="preserve"> تلاميذ </t>
    </r>
    <r>
      <rPr>
        <b/>
        <sz val="12"/>
        <color indexed="10"/>
        <rFont val="Times New Roman"/>
        <family val="1"/>
      </rPr>
      <t>الثالثة متوسط</t>
    </r>
    <r>
      <rPr>
        <b/>
        <sz val="12"/>
        <color indexed="18"/>
        <rFont val="Times New Roman"/>
        <family val="1"/>
      </rPr>
      <t xml:space="preserve">  حسب الجنس</t>
    </r>
  </si>
  <si>
    <r>
      <rPr>
        <b/>
        <sz val="12"/>
        <color indexed="18"/>
        <rFont val="Times New Roman"/>
        <family val="1"/>
      </rPr>
      <t xml:space="preserve">نسبة </t>
    </r>
    <r>
      <rPr>
        <b/>
        <sz val="12"/>
        <color indexed="10"/>
        <rFont val="Times New Roman"/>
        <family val="1"/>
      </rPr>
      <t>إنتقال</t>
    </r>
    <r>
      <rPr>
        <b/>
        <sz val="12"/>
        <color indexed="18"/>
        <rFont val="Times New Roman"/>
        <family val="1"/>
      </rPr>
      <t xml:space="preserve"> تلاميذ </t>
    </r>
    <r>
      <rPr>
        <b/>
        <sz val="12"/>
        <color indexed="10"/>
        <rFont val="Times New Roman"/>
        <family val="1"/>
      </rPr>
      <t>الثالثة متوسـط</t>
    </r>
    <r>
      <rPr>
        <b/>
        <sz val="12"/>
        <color indexed="18"/>
        <rFont val="Times New Roman"/>
        <family val="1"/>
      </rPr>
      <t xml:space="preserve"> حسب الجنس</t>
    </r>
  </si>
  <si>
    <t>نسبة الإعادة السنة الثانية متوسـط</t>
  </si>
  <si>
    <t>نسبة الإنتقال للسنة الثالثة متوسط</t>
  </si>
  <si>
    <t>المنتقلون  للسنة الثالثة متوسط</t>
  </si>
  <si>
    <r>
      <t>مؤشرات إحصائية حـول</t>
    </r>
    <r>
      <rPr>
        <b/>
        <sz val="12"/>
        <color indexed="18"/>
        <rFont val="Times New Roman"/>
        <family val="1"/>
      </rPr>
      <t xml:space="preserve"> : نسبة </t>
    </r>
    <r>
      <rPr>
        <b/>
        <sz val="12"/>
        <color indexed="10"/>
        <rFont val="Times New Roman"/>
        <family val="1"/>
      </rPr>
      <t>تسرب</t>
    </r>
    <r>
      <rPr>
        <b/>
        <sz val="12"/>
        <color indexed="18"/>
        <rFont val="Times New Roman"/>
        <family val="1"/>
      </rPr>
      <t xml:space="preserve"> تلاميذ </t>
    </r>
    <r>
      <rPr>
        <b/>
        <sz val="12"/>
        <color indexed="10"/>
        <rFont val="Times New Roman"/>
        <family val="1"/>
      </rPr>
      <t>الثانية متوسـط</t>
    </r>
    <r>
      <rPr>
        <b/>
        <sz val="12"/>
        <color indexed="18"/>
        <rFont val="Times New Roman"/>
        <family val="1"/>
      </rPr>
      <t xml:space="preserve"> حسب الجنس</t>
    </r>
  </si>
  <si>
    <r>
      <t>مؤشرات إحصائية حـول</t>
    </r>
    <r>
      <rPr>
        <b/>
        <sz val="12"/>
        <color indexed="18"/>
        <rFont val="Times New Roman"/>
        <family val="1"/>
      </rPr>
      <t xml:space="preserve"> : نسبة </t>
    </r>
    <r>
      <rPr>
        <b/>
        <sz val="12"/>
        <color indexed="10"/>
        <rFont val="Times New Roman"/>
        <family val="1"/>
      </rPr>
      <t>إعادة</t>
    </r>
    <r>
      <rPr>
        <b/>
        <sz val="12"/>
        <color indexed="18"/>
        <rFont val="Times New Roman"/>
        <family val="1"/>
      </rPr>
      <t xml:space="preserve"> تلاميذ </t>
    </r>
    <r>
      <rPr>
        <b/>
        <sz val="12"/>
        <color indexed="10"/>
        <rFont val="Times New Roman"/>
        <family val="1"/>
      </rPr>
      <t>الثانية متوسط</t>
    </r>
    <r>
      <rPr>
        <b/>
        <sz val="12"/>
        <color indexed="18"/>
        <rFont val="Times New Roman"/>
        <family val="1"/>
      </rPr>
      <t xml:space="preserve"> حسب الجنس</t>
    </r>
  </si>
  <si>
    <r>
      <rPr>
        <b/>
        <sz val="12"/>
        <color indexed="18"/>
        <rFont val="Times New Roman"/>
        <family val="1"/>
      </rPr>
      <t xml:space="preserve">نسبة </t>
    </r>
    <r>
      <rPr>
        <b/>
        <sz val="12"/>
        <color indexed="10"/>
        <rFont val="Times New Roman"/>
        <family val="1"/>
      </rPr>
      <t>إنتقال</t>
    </r>
    <r>
      <rPr>
        <b/>
        <sz val="12"/>
        <color indexed="18"/>
        <rFont val="Times New Roman"/>
        <family val="1"/>
      </rPr>
      <t xml:space="preserve"> تلاميذ </t>
    </r>
    <r>
      <rPr>
        <b/>
        <sz val="12"/>
        <color indexed="10"/>
        <rFont val="Times New Roman"/>
        <family val="1"/>
      </rPr>
      <t>الثانية متوسـط</t>
    </r>
    <r>
      <rPr>
        <b/>
        <sz val="12"/>
        <color indexed="18"/>
        <rFont val="Times New Roman"/>
        <family val="1"/>
      </rPr>
      <t xml:space="preserve"> حسب الجنس</t>
    </r>
  </si>
  <si>
    <t>متوسـط</t>
  </si>
  <si>
    <t>الماضية</t>
  </si>
  <si>
    <t>نسبة الإعادة السنة الأولى</t>
  </si>
  <si>
    <t>نسبة الإنتقال للسنة الثانية</t>
  </si>
  <si>
    <t>تعديل المسجلين في السنة</t>
  </si>
  <si>
    <t>نسبة الإعادة</t>
  </si>
  <si>
    <t>المسجلون في السنة الأولى متوسط السنة الماضية</t>
  </si>
  <si>
    <t>المعيدون للسنة الأولى</t>
  </si>
  <si>
    <t>المسجلون في السنة الأولى السنة الماضية</t>
  </si>
  <si>
    <t>المنتقلون  للسنة الثانية متوسط</t>
  </si>
  <si>
    <r>
      <t>مؤشرات إحصائية حـول</t>
    </r>
    <r>
      <rPr>
        <b/>
        <sz val="12"/>
        <color indexed="18"/>
        <rFont val="Times New Roman"/>
        <family val="1"/>
      </rPr>
      <t xml:space="preserve">   نسبة </t>
    </r>
    <r>
      <rPr>
        <b/>
        <sz val="12"/>
        <color indexed="10"/>
        <rFont val="Times New Roman"/>
        <family val="1"/>
      </rPr>
      <t>تسرب</t>
    </r>
    <r>
      <rPr>
        <b/>
        <sz val="12"/>
        <color indexed="18"/>
        <rFont val="Times New Roman"/>
        <family val="1"/>
      </rPr>
      <t xml:space="preserve"> تلاميذ </t>
    </r>
    <r>
      <rPr>
        <b/>
        <sz val="12"/>
        <color indexed="10"/>
        <rFont val="Times New Roman"/>
        <family val="1"/>
      </rPr>
      <t>الأولى متوسـط</t>
    </r>
    <r>
      <rPr>
        <b/>
        <sz val="12"/>
        <color indexed="18"/>
        <rFont val="Times New Roman"/>
        <family val="1"/>
      </rPr>
      <t xml:space="preserve">  حسب الجنس</t>
    </r>
  </si>
  <si>
    <r>
      <t xml:space="preserve">نسبة </t>
    </r>
    <r>
      <rPr>
        <b/>
        <sz val="12"/>
        <color indexed="10"/>
        <rFont val="Times New Roman"/>
        <family val="1"/>
      </rPr>
      <t>إعادة</t>
    </r>
    <r>
      <rPr>
        <b/>
        <sz val="12"/>
        <color indexed="18"/>
        <rFont val="Times New Roman"/>
        <family val="1"/>
      </rPr>
      <t xml:space="preserve"> تلاميذ </t>
    </r>
    <r>
      <rPr>
        <b/>
        <sz val="12"/>
        <color indexed="10"/>
        <rFont val="Times New Roman"/>
        <family val="1"/>
      </rPr>
      <t>الأولى متوسـط</t>
    </r>
    <r>
      <rPr>
        <b/>
        <sz val="12"/>
        <color indexed="18"/>
        <rFont val="Times New Roman"/>
        <family val="1"/>
      </rPr>
      <t xml:space="preserve"> حسب الجنس</t>
    </r>
  </si>
  <si>
    <r>
      <t xml:space="preserve">نسبة </t>
    </r>
    <r>
      <rPr>
        <b/>
        <sz val="12"/>
        <color indexed="10"/>
        <rFont val="Times New Roman"/>
        <family val="1"/>
      </rPr>
      <t>إنتقال</t>
    </r>
    <r>
      <rPr>
        <b/>
        <sz val="12"/>
        <color indexed="18"/>
        <rFont val="Times New Roman"/>
        <family val="1"/>
      </rPr>
      <t xml:space="preserve"> تلاميذ </t>
    </r>
    <r>
      <rPr>
        <b/>
        <sz val="12"/>
        <color indexed="10"/>
        <rFont val="Times New Roman"/>
        <family val="1"/>
      </rPr>
      <t>الأولى</t>
    </r>
    <r>
      <rPr>
        <b/>
        <sz val="12"/>
        <color indexed="18"/>
        <rFont val="Times New Roman"/>
        <family val="1"/>
      </rPr>
      <t xml:space="preserve"> متوسـط حسب الجنس </t>
    </r>
  </si>
  <si>
    <t xml:space="preserve">Résultats de l'enquête statistique exhaustive </t>
  </si>
  <si>
    <t>التعليم المتوسط</t>
  </si>
  <si>
    <t>%</t>
  </si>
  <si>
    <t>عــدد</t>
  </si>
  <si>
    <t>الذكـور</t>
  </si>
  <si>
    <t>البنات</t>
  </si>
  <si>
    <t>Nombre et Taux d'abandon</t>
  </si>
  <si>
    <t>Nombre et Taux de Redoublement</t>
  </si>
  <si>
    <t xml:space="preserve">Nombre et  Taux de Promotion des élèves </t>
  </si>
  <si>
    <t xml:space="preserve">   السنــــة الدراسيــــة :</t>
  </si>
  <si>
    <t>السنة الدراسية السابقة</t>
  </si>
  <si>
    <t>EFFECTIFS ET TAUX : PROMOTIONS - REDOUBLEMENTS - ABANDONS A LA FIN DE L'ANNEE SCOLAIRE :</t>
  </si>
  <si>
    <t>متوسطة</t>
  </si>
  <si>
    <t xml:space="preserve">عــــدد ونسب : الانتقــــال، الإعــــادة والتخلــي في نهايــــة السنــــة الدراسيــــة :  </t>
  </si>
  <si>
    <t>ضرورة الإجابة في الخانات المناسبة (صفر أو واحد) لإزالة اللون الأحمر</t>
  </si>
  <si>
    <t xml:space="preserve">نتائج الاستقصاء الإحصائي الشامل  </t>
  </si>
  <si>
    <t>المجموع  العام</t>
  </si>
  <si>
    <t>مجموع الجدد</t>
  </si>
  <si>
    <t>الولاية</t>
  </si>
  <si>
    <t xml:space="preserve">  2.1 - تحديـد الموقـع البلدية</t>
  </si>
  <si>
    <t xml:space="preserve">  1.1 - تسميــــة المتوسطة</t>
  </si>
  <si>
    <t>الثانوية او الثانويات الملحقة لها المتوسطة</t>
  </si>
  <si>
    <t>المدارس الإبتدائيـة  الملحقة بالمتوسطة</t>
  </si>
  <si>
    <t>ضرورة الإجابة في الخانات المناسبة )صفر أو واحد(لإزالة اللون الأحمر</t>
  </si>
  <si>
    <t>بمعدل القبول</t>
  </si>
  <si>
    <t>بشهادة التعليم المتوسط</t>
  </si>
  <si>
    <r>
      <t>ق 3 (</t>
    </r>
    <r>
      <rPr>
        <b/>
        <sz val="10"/>
        <color rgb="FFC00000"/>
        <rFont val="Times New Roman"/>
        <family val="1"/>
      </rPr>
      <t>360</t>
    </r>
    <r>
      <rPr>
        <b/>
        <sz val="10"/>
        <rFont val="Times New Roman"/>
        <family val="1"/>
      </rPr>
      <t xml:space="preserve">) </t>
    </r>
  </si>
  <si>
    <r>
      <t xml:space="preserve"> ق 4 (</t>
    </r>
    <r>
      <rPr>
        <b/>
        <sz val="10"/>
        <color rgb="FFC00000"/>
        <rFont val="Times New Roman"/>
        <family val="1"/>
      </rPr>
      <t>480</t>
    </r>
    <r>
      <rPr>
        <b/>
        <sz val="10"/>
        <rFont val="Times New Roman"/>
        <family val="1"/>
      </rPr>
      <t>)</t>
    </r>
  </si>
  <si>
    <r>
      <t>ق 5 (</t>
    </r>
    <r>
      <rPr>
        <b/>
        <sz val="10"/>
        <color rgb="FFC00000"/>
        <rFont val="Times New Roman"/>
        <family val="1"/>
      </rPr>
      <t>600</t>
    </r>
    <r>
      <rPr>
        <b/>
        <sz val="10"/>
        <rFont val="Times New Roman"/>
        <family val="1"/>
      </rPr>
      <t>)</t>
    </r>
  </si>
  <si>
    <r>
      <t>ق 6 (</t>
    </r>
    <r>
      <rPr>
        <b/>
        <sz val="10"/>
        <color rgb="FFC00000"/>
        <rFont val="Times New Roman"/>
        <family val="1"/>
      </rPr>
      <t>720</t>
    </r>
    <r>
      <rPr>
        <b/>
        <sz val="10"/>
        <rFont val="Times New Roman"/>
        <family val="1"/>
      </rPr>
      <t>)</t>
    </r>
  </si>
  <si>
    <t xml:space="preserve"> معطيات 30 أكتوبر للسنة الدراسية الماضية. </t>
  </si>
  <si>
    <t xml:space="preserve">            Données du 30 Octobre de l'année scolaire précédente.</t>
  </si>
  <si>
    <r>
      <rPr>
        <b/>
        <sz val="10"/>
        <color indexed="17"/>
        <rFont val="Times New Roman"/>
        <family val="1"/>
      </rPr>
      <t xml:space="preserve">المسجلين </t>
    </r>
    <r>
      <rPr>
        <b/>
        <sz val="10"/>
        <rFont val="Times New Roman"/>
        <family val="1"/>
      </rPr>
      <t xml:space="preserve">  المقارنة بين التلاميذ </t>
    </r>
    <r>
      <rPr>
        <b/>
        <sz val="10"/>
        <color indexed="10"/>
        <rFont val="Times New Roman"/>
        <family val="1"/>
      </rPr>
      <t>المسجلين</t>
    </r>
    <r>
      <rPr>
        <b/>
        <sz val="10"/>
        <rFont val="Times New Roman"/>
        <family val="1"/>
      </rPr>
      <t xml:space="preserve"> حسب الجنس والسن ( </t>
    </r>
    <r>
      <rPr>
        <b/>
        <sz val="10"/>
        <color indexed="10"/>
        <rFont val="Times New Roman"/>
        <family val="1"/>
      </rPr>
      <t xml:space="preserve">معطيات شهر أكتوبر للسنة الماضية </t>
    </r>
    <r>
      <rPr>
        <b/>
        <sz val="10"/>
        <rFont val="Times New Roman"/>
        <family val="1"/>
      </rPr>
      <t>)</t>
    </r>
  </si>
  <si>
    <t xml:space="preserve">السن </t>
  </si>
  <si>
    <r>
      <rPr>
        <b/>
        <sz val="10"/>
        <color indexed="17"/>
        <rFont val="Times New Roman"/>
        <family val="1"/>
      </rPr>
      <t xml:space="preserve">المسجلين </t>
    </r>
    <r>
      <rPr>
        <b/>
        <sz val="10"/>
        <rFont val="Times New Roman"/>
        <family val="1"/>
      </rPr>
      <t xml:space="preserve">  المقارنة بين التلاميذ </t>
    </r>
    <r>
      <rPr>
        <b/>
        <sz val="10"/>
        <color indexed="10"/>
        <rFont val="Times New Roman"/>
        <family val="1"/>
      </rPr>
      <t>المسجلين</t>
    </r>
    <r>
      <rPr>
        <b/>
        <sz val="10"/>
        <rFont val="Times New Roman"/>
        <family val="1"/>
      </rPr>
      <t xml:space="preserve"> و </t>
    </r>
    <r>
      <rPr>
        <b/>
        <sz val="10"/>
        <color indexed="10"/>
        <rFont val="Times New Roman"/>
        <family val="1"/>
      </rPr>
      <t>المعيدين</t>
    </r>
    <r>
      <rPr>
        <b/>
        <sz val="10"/>
        <rFont val="Times New Roman"/>
        <family val="1"/>
      </rPr>
      <t xml:space="preserve"> حسب الجنس والسن ( </t>
    </r>
    <r>
      <rPr>
        <b/>
        <sz val="10"/>
        <color indexed="10"/>
        <rFont val="Times New Roman"/>
        <family val="1"/>
      </rPr>
      <t xml:space="preserve">معطيات شهر أكتوبر للسنة الحالية </t>
    </r>
    <r>
      <rPr>
        <b/>
        <sz val="10"/>
        <rFont val="Times New Roman"/>
        <family val="1"/>
      </rPr>
      <t>).</t>
    </r>
  </si>
  <si>
    <t>Données du 30 Octobre de l'année scolaire actuelle.</t>
  </si>
  <si>
    <t xml:space="preserve">السنة الأولى متوسط </t>
  </si>
  <si>
    <t xml:space="preserve"> 1ere Année Moyenne</t>
  </si>
  <si>
    <r>
      <t>ق 7 (</t>
    </r>
    <r>
      <rPr>
        <b/>
        <sz val="10"/>
        <color rgb="FFC00000"/>
        <rFont val="Times New Roman"/>
        <family val="1"/>
      </rPr>
      <t>840</t>
    </r>
    <r>
      <rPr>
        <b/>
        <sz val="10"/>
        <rFont val="Times New Roman"/>
        <family val="1"/>
      </rPr>
      <t>)</t>
    </r>
  </si>
  <si>
    <r>
      <rPr>
        <b/>
        <sz val="8"/>
        <color indexed="60"/>
        <rFont val="Times New Roman"/>
        <family val="1"/>
      </rPr>
      <t xml:space="preserve">القادمون من متوسطات أخرى </t>
    </r>
    <r>
      <rPr>
        <b/>
        <sz val="8"/>
        <rFont val="Times New Roman"/>
        <family val="1"/>
      </rPr>
      <t xml:space="preserve"> المقارنة بين التلاميذ </t>
    </r>
    <r>
      <rPr>
        <b/>
        <sz val="8"/>
        <color indexed="10"/>
        <rFont val="Times New Roman"/>
        <family val="1"/>
      </rPr>
      <t>المسجلين</t>
    </r>
    <r>
      <rPr>
        <b/>
        <sz val="8"/>
        <rFont val="Times New Roman"/>
        <family val="1"/>
      </rPr>
      <t xml:space="preserve"> و </t>
    </r>
    <r>
      <rPr>
        <b/>
        <sz val="8"/>
        <color indexed="10"/>
        <rFont val="Times New Roman"/>
        <family val="1"/>
      </rPr>
      <t>المعيدين</t>
    </r>
    <r>
      <rPr>
        <b/>
        <sz val="8"/>
        <rFont val="Times New Roman"/>
        <family val="1"/>
      </rPr>
      <t xml:space="preserve"> حسب الجنس والسن ( </t>
    </r>
    <r>
      <rPr>
        <b/>
        <sz val="8"/>
        <color indexed="10"/>
        <rFont val="Times New Roman"/>
        <family val="1"/>
      </rPr>
      <t xml:space="preserve">معطيات شهر أكتوبر للسنة الحالية </t>
    </r>
    <r>
      <rPr>
        <b/>
        <sz val="8"/>
        <rFont val="Times New Roman"/>
        <family val="1"/>
      </rPr>
      <t>).</t>
    </r>
  </si>
  <si>
    <t xml:space="preserve"> 2eme Année Moyenne</t>
  </si>
  <si>
    <t xml:space="preserve">السنة الثانية متوسط </t>
  </si>
  <si>
    <t xml:space="preserve">السنة الثالثة متوسط </t>
  </si>
  <si>
    <t xml:space="preserve">السنة الرابعة متوسط </t>
  </si>
  <si>
    <t xml:space="preserve"> 4eme Année Moyenne</t>
  </si>
  <si>
    <t xml:space="preserve"> 3eme Année Moyenne</t>
  </si>
  <si>
    <r>
      <t xml:space="preserve">13-1 - Il concerne les élèves Inscrits </t>
    </r>
    <r>
      <rPr>
        <b/>
        <sz val="11"/>
        <color indexed="10"/>
        <rFont val="Calibri"/>
        <family val="2"/>
      </rPr>
      <t>Transferés</t>
    </r>
    <r>
      <rPr>
        <b/>
        <sz val="11"/>
        <color indexed="8"/>
        <rFont val="Calibri"/>
        <family val="2"/>
      </rPr>
      <t xml:space="preserve"> vers d'autres collèges (Publiques ou Privées).</t>
    </r>
  </si>
  <si>
    <t>لطلب أي توضيـح يرجى الإتصال بمديرية التربية (مصلحة البرمجة والمتابعة)للولاية</t>
  </si>
  <si>
    <r>
      <rPr>
        <b/>
        <sz val="11"/>
        <color indexed="62"/>
        <rFont val="Times New Roman"/>
        <family val="1"/>
      </rPr>
      <t xml:space="preserve"> ضع </t>
    </r>
    <r>
      <rPr>
        <b/>
        <sz val="11"/>
        <color indexed="10"/>
        <rFont val="Times New Roman"/>
        <family val="1"/>
      </rPr>
      <t>الع</t>
    </r>
    <r>
      <rPr>
        <b/>
        <sz val="11"/>
        <color indexed="10"/>
        <rFont val="Times New Roman"/>
        <family val="1"/>
      </rPr>
      <t xml:space="preserve">دد الملائم  </t>
    </r>
    <r>
      <rPr>
        <b/>
        <u/>
        <sz val="11"/>
        <color indexed="62"/>
        <rFont val="Times New Roman"/>
        <family val="1"/>
      </rPr>
      <t xml:space="preserve">في الخانة المناسبة </t>
    </r>
  </si>
  <si>
    <t>الإستقصاء المدرسي الشامل</t>
  </si>
  <si>
    <t>لشهر أكتوبر</t>
  </si>
  <si>
    <t>La Salle Polyvalente.</t>
  </si>
  <si>
    <t xml:space="preserve">للنشاطات الفنيــة ؟  </t>
  </si>
  <si>
    <t>للنشاطات الفنيــة</t>
  </si>
  <si>
    <t xml:space="preserve">للنشاطات الرياضية ؟  </t>
  </si>
  <si>
    <t>للنشاطات الرياضية</t>
  </si>
  <si>
    <t xml:space="preserve">كــمــكــتــبــــــــــة  ؟  </t>
  </si>
  <si>
    <t>كــمــكــتــبــــــــــة</t>
  </si>
  <si>
    <t>كمخبر للإعلام الآلي</t>
  </si>
  <si>
    <t>Le laboratoire informatique</t>
  </si>
  <si>
    <t xml:space="preserve">هـل هو مجهــــز </t>
  </si>
  <si>
    <t xml:space="preserve">هـل هو متصل بالأنترنت </t>
  </si>
  <si>
    <t xml:space="preserve">عدد الأجهزة الموجودة ؟  </t>
  </si>
  <si>
    <t xml:space="preserve">عدد الأجهزة الصالحة ؟  </t>
  </si>
  <si>
    <t xml:space="preserve">عدد الأجهزة للتعويض ؟  </t>
  </si>
  <si>
    <t>Informations relatives aux infrastructures de base</t>
  </si>
  <si>
    <t xml:space="preserve"> يوجد الربـط بشبكـة المـــاء ؟ </t>
  </si>
  <si>
    <t xml:space="preserve">تــوجد صهاريــج الميــاه ؟ </t>
  </si>
  <si>
    <t xml:space="preserve"> الربط بشبكة الماء </t>
  </si>
  <si>
    <t xml:space="preserve"> توجد صهاريـج الميـاه </t>
  </si>
  <si>
    <t xml:space="preserve"> يوجـد خــزان المـاء ؟ </t>
  </si>
  <si>
    <t xml:space="preserve">  أجهــزة تبريـد الميـاه </t>
  </si>
  <si>
    <t xml:space="preserve"> يوجـد خــزان المـاء </t>
  </si>
  <si>
    <t xml:space="preserve">أجهــزة تبريـد الميـاه موجودة ؟ </t>
  </si>
  <si>
    <t xml:space="preserve">عـددهـــــا ؟  </t>
  </si>
  <si>
    <t xml:space="preserve">عـدد أجهــزة تبريـد الميـاه </t>
  </si>
  <si>
    <t xml:space="preserve">منها المخصصة للبنات ؟  </t>
  </si>
  <si>
    <t xml:space="preserve">  المراحيض</t>
  </si>
  <si>
    <t xml:space="preserve">المراحيض مخصصة للبنات </t>
  </si>
  <si>
    <t>Réseau d'éléctricité</t>
  </si>
  <si>
    <t xml:space="preserve"> الربط بشبكة الكهرباء </t>
  </si>
  <si>
    <t xml:space="preserve">مكيفــات هوائيــة  موجودة ؟ </t>
  </si>
  <si>
    <t xml:space="preserve">مكيفـات هوائية  موجودة </t>
  </si>
  <si>
    <t>Ventilateurs</t>
  </si>
  <si>
    <t xml:space="preserve">القاعات المكيفة </t>
  </si>
  <si>
    <t xml:space="preserve">عدد المكيفات الهوائية الصالحة ؟ </t>
  </si>
  <si>
    <t xml:space="preserve">المكيفات الهوائية الصالحة </t>
  </si>
  <si>
    <t xml:space="preserve">عدد المكيفات الهوئية  للتعويض ؟ </t>
  </si>
  <si>
    <t xml:space="preserve">المكيفات الهوئية للتعويض </t>
  </si>
  <si>
    <t xml:space="preserve">مروحيات سقفية موجودة ؟ </t>
  </si>
  <si>
    <t xml:space="preserve">مروحيات سقفية موجودة </t>
  </si>
  <si>
    <t xml:space="preserve">عدد قاعات الدرس بالمروحيات ؟ </t>
  </si>
  <si>
    <t xml:space="preserve">عدد الأقسام بالمروحيات </t>
  </si>
  <si>
    <t>Réseau de Gaz</t>
  </si>
  <si>
    <t xml:space="preserve"> الربط بشبكة الغاز </t>
  </si>
  <si>
    <t>Chauffage</t>
  </si>
  <si>
    <t xml:space="preserve"> التدفئة  موجودة </t>
  </si>
  <si>
    <t xml:space="preserve"> التدفئـــــة شغالــــــة ؟ </t>
  </si>
  <si>
    <t xml:space="preserve">التدفئـــــة شغالــــــة </t>
  </si>
  <si>
    <t xml:space="preserve">التدفئـــة مركـزيــــة ؟ </t>
  </si>
  <si>
    <t xml:space="preserve">قاعات الدرس المجهزة (ت المركـزية)؟ </t>
  </si>
  <si>
    <t xml:space="preserve">التدفئـــة مركـزيــــة  </t>
  </si>
  <si>
    <t xml:space="preserve">التدفئـــــــة عاديــــة ؟ </t>
  </si>
  <si>
    <t xml:space="preserve">قاعات الدرس المجهزة (التدفئة العادية)؟ </t>
  </si>
  <si>
    <t xml:space="preserve">التدفئـــــــة عاديــــة </t>
  </si>
  <si>
    <t xml:space="preserve">عدد قاعات الدرس المجهزة </t>
  </si>
  <si>
    <t xml:space="preserve">عدد الأجهزة الموجودة ؟ </t>
  </si>
  <si>
    <t xml:space="preserve">  عدد الأجهزة الصالحة ؟ </t>
  </si>
  <si>
    <t>Materiel utilisé</t>
  </si>
  <si>
    <t xml:space="preserve">عدد الأجهزة للتعويض ؟ </t>
  </si>
  <si>
    <t>Materiel à réformer</t>
  </si>
  <si>
    <r>
      <t xml:space="preserve">التعليـــم المتوســــط
</t>
    </r>
    <r>
      <rPr>
        <b/>
        <sz val="16"/>
        <rFont val="Arial"/>
        <family val="2"/>
      </rPr>
      <t>Enseignement Moyen</t>
    </r>
  </si>
  <si>
    <t xml:space="preserve">مجموع المستفيدين ؟ </t>
  </si>
  <si>
    <t xml:space="preserve">  لأسباب أخــــــرى  </t>
  </si>
  <si>
    <t xml:space="preserve"> قاعات الدرس المغلقة بسبب نقص التلاميذ  </t>
  </si>
  <si>
    <t xml:space="preserve">بسبب عــدم صلاحيتها  </t>
  </si>
  <si>
    <t xml:space="preserve">  أغراض أخــــــرى  </t>
  </si>
  <si>
    <t xml:space="preserve">أغـراض إداريـــة  </t>
  </si>
  <si>
    <t xml:space="preserve"> التعليم الثانـــوي  </t>
  </si>
  <si>
    <t xml:space="preserve">  التعليـم الإبتــــدائي  </t>
  </si>
  <si>
    <t xml:space="preserve">صلـب  </t>
  </si>
  <si>
    <t xml:space="preserve">نصـف صلب  </t>
  </si>
  <si>
    <t xml:space="preserve">جاهـز  </t>
  </si>
  <si>
    <t xml:space="preserve">البريد الإلكتروني </t>
  </si>
  <si>
    <t>سنــة البنــاء</t>
  </si>
  <si>
    <t xml:space="preserve">  4.1 - النمــط  المتوسطة</t>
  </si>
  <si>
    <t xml:space="preserve">  5.1 - البنــاء والإنشـاء المتوسطة</t>
  </si>
  <si>
    <t xml:space="preserve">  6.1 - الوسـط </t>
  </si>
  <si>
    <t xml:space="preserve">  7.1 - النظـام </t>
  </si>
  <si>
    <t xml:space="preserve">  8.1 - مساحة المتوسطة الكلية</t>
  </si>
  <si>
    <t xml:space="preserve">  2.2 - نــوع البنــاء</t>
  </si>
  <si>
    <t xml:space="preserve">  3.2 - قاعات الدرس المتخصصـــــــــــــــة </t>
  </si>
  <si>
    <t xml:space="preserve"> الفاكـس</t>
  </si>
  <si>
    <t xml:space="preserve">المتوسطة مزوﱠدة  بالماء الصالح للشرب ؟ </t>
  </si>
  <si>
    <t xml:space="preserve">المتوسطة مزوﱠدة بمضخات الماء ؟ </t>
  </si>
  <si>
    <t xml:space="preserve">المتوسطة  مزوﱠدة  بالكهـرباء ؟ </t>
  </si>
  <si>
    <t>ضرورة الإجابة في الخانات المناسبة لإزالة اللون الأحمر</t>
  </si>
  <si>
    <r>
      <t>إذا كان الجواب "</t>
    </r>
    <r>
      <rPr>
        <b/>
        <sz val="10"/>
        <color indexed="10"/>
        <rFont val="Times New Roman"/>
        <family val="1"/>
      </rPr>
      <t>نعم</t>
    </r>
    <r>
      <rPr>
        <b/>
        <sz val="10"/>
        <color indexed="62"/>
        <rFont val="Times New Roman"/>
        <family val="1"/>
      </rPr>
      <t xml:space="preserve">" ضع رقم </t>
    </r>
    <r>
      <rPr>
        <b/>
        <sz val="10"/>
        <color indexed="10"/>
        <rFont val="Times New Roman"/>
        <family val="1"/>
      </rPr>
      <t>1</t>
    </r>
    <r>
      <rPr>
        <b/>
        <sz val="10"/>
        <color indexed="62"/>
        <rFont val="Times New Roman"/>
        <family val="1"/>
      </rPr>
      <t xml:space="preserve"> و إذا كان ب"</t>
    </r>
    <r>
      <rPr>
        <b/>
        <sz val="10"/>
        <color indexed="10"/>
        <rFont val="Times New Roman"/>
        <family val="1"/>
      </rPr>
      <t>لا</t>
    </r>
    <r>
      <rPr>
        <b/>
        <sz val="10"/>
        <color indexed="62"/>
        <rFont val="Times New Roman"/>
        <family val="1"/>
      </rPr>
      <t xml:space="preserve">" ضع  </t>
    </r>
    <r>
      <rPr>
        <b/>
        <sz val="10"/>
        <color indexed="10"/>
        <rFont val="Times New Roman"/>
        <family val="1"/>
      </rPr>
      <t>0</t>
    </r>
    <r>
      <rPr>
        <b/>
        <sz val="10"/>
        <color indexed="62"/>
        <rFont val="Times New Roman"/>
        <family val="1"/>
      </rPr>
      <t xml:space="preserve">    </t>
    </r>
  </si>
  <si>
    <t xml:space="preserve">جناح إداري موجود في حجرات الدرس ؟ </t>
  </si>
  <si>
    <t>جناح إداري موجودة</t>
  </si>
  <si>
    <t xml:space="preserve">هل جهاز الهاتف موجود ؟ </t>
  </si>
  <si>
    <t xml:space="preserve">هل الهاتف شغال ؟ </t>
  </si>
  <si>
    <t>الربط بشبكة الكهـرباء</t>
  </si>
  <si>
    <t>الربـط بشبكـة المـــاء</t>
  </si>
  <si>
    <t>أجهــزة تبريـد الميـاه موجودة</t>
  </si>
  <si>
    <r>
      <rPr>
        <b/>
        <sz val="12"/>
        <color indexed="62"/>
        <rFont val="Times New Roman"/>
        <family val="1"/>
      </rPr>
      <t xml:space="preserve"> ضع </t>
    </r>
    <r>
      <rPr>
        <b/>
        <sz val="12"/>
        <color indexed="10"/>
        <rFont val="Times New Roman"/>
        <family val="1"/>
      </rPr>
      <t xml:space="preserve">العدد الملائم  </t>
    </r>
    <r>
      <rPr>
        <b/>
        <u/>
        <sz val="12"/>
        <color indexed="62"/>
        <rFont val="Times New Roman"/>
        <family val="1"/>
      </rPr>
      <t xml:space="preserve">في الخانة المناسبة </t>
    </r>
  </si>
  <si>
    <t>عدد المكاتب الموجودة</t>
  </si>
  <si>
    <t>عدد المكاتب المستعملة</t>
  </si>
  <si>
    <t>المشتغلة في حجرات الدرس</t>
  </si>
  <si>
    <t>المكاتب الموجودة الصالحة</t>
  </si>
  <si>
    <t>المكاتب التي تتطلب الترميم</t>
  </si>
  <si>
    <t>المكاتب المكيفة</t>
  </si>
  <si>
    <t>مكيفات المكاتب للتعويض</t>
  </si>
  <si>
    <t>التدفئـة موجودة في المكاتب</t>
  </si>
  <si>
    <t>شغالــــــة</t>
  </si>
  <si>
    <t>عاديــــــــة</t>
  </si>
  <si>
    <t>المكاتب المجهزة</t>
  </si>
  <si>
    <t>الأجهزة الصالحة</t>
  </si>
  <si>
    <t>الأجهزة الموجودة</t>
  </si>
  <si>
    <t>الأجهزة للتعويض</t>
  </si>
  <si>
    <t>الجناح الإداري متصل</t>
  </si>
  <si>
    <t>هـو  مجهــــز</t>
  </si>
  <si>
    <t>الأجهـزة المركزية</t>
  </si>
  <si>
    <t>الأجهـزة العادية</t>
  </si>
  <si>
    <t/>
  </si>
  <si>
    <t>.L'internat</t>
  </si>
  <si>
    <t xml:space="preserve">  إدارة المتوسطـــة :</t>
  </si>
  <si>
    <t xml:space="preserve">   وضعية مرافق إدارة المتوسطـــة :</t>
  </si>
  <si>
    <t xml:space="preserve"> التدفئـة في إدارة المتوسطـــة :</t>
  </si>
  <si>
    <t xml:space="preserve">   الإعـلام الآلــي على مستوى إدارة المتوسطـــة.</t>
  </si>
  <si>
    <t xml:space="preserve">  الإعـلام الآلــي على مستوى إدارة المتوسطـــة.</t>
  </si>
  <si>
    <t xml:space="preserve">.Informations relatives à l'administration du Collège </t>
  </si>
  <si>
    <t xml:space="preserve">.L'administration du Collège </t>
  </si>
  <si>
    <t>.Etat des locaux de l'administration du Collège</t>
  </si>
  <si>
    <t xml:space="preserve">.Le Chauffage dans l'administration du Collège </t>
  </si>
  <si>
    <t>.L'informatique dans l'administration du Collège</t>
  </si>
  <si>
    <t>التدفئـــــــة مركـزيــــــــة</t>
  </si>
  <si>
    <t>شبكـة الغاز</t>
  </si>
  <si>
    <r>
      <t xml:space="preserve">  Succès à l'examen et admission en 1</t>
    </r>
    <r>
      <rPr>
        <b/>
        <vertAlign val="superscript"/>
        <sz val="12"/>
        <rFont val="Times New Roman"/>
        <family val="1"/>
      </rPr>
      <t>ère</t>
    </r>
    <r>
      <rPr>
        <b/>
        <sz val="12"/>
        <rFont val="Times New Roman"/>
        <family val="1"/>
      </rPr>
      <t xml:space="preserve"> A.S</t>
    </r>
  </si>
  <si>
    <t>مادة التكوين :</t>
  </si>
  <si>
    <t xml:space="preserve">    Discipline de Formation :</t>
  </si>
  <si>
    <t>60 سنة فأكثـر</t>
  </si>
  <si>
    <t>Global</t>
  </si>
  <si>
    <t>المؤهل أو الشهادة</t>
  </si>
  <si>
    <t>شهادة ماستر</t>
  </si>
  <si>
    <t>شهادة ليسانس التعليم</t>
  </si>
  <si>
    <t>شهادة الدراسات العليا</t>
  </si>
  <si>
    <t>شهادة ليسانس مهنية</t>
  </si>
  <si>
    <t>شهادة تثبت مستوى التأهيل</t>
  </si>
  <si>
    <t>عدد ساعات التدريس</t>
  </si>
  <si>
    <t>أكثـر من 20 ساعة</t>
  </si>
  <si>
    <t>من 15 إلى 20  ساعة</t>
  </si>
  <si>
    <t>من 10 إلى 14  ساعة</t>
  </si>
  <si>
    <t>من 05 إلى 09 ساعة</t>
  </si>
  <si>
    <t>أقــل من 05 ساعة</t>
  </si>
  <si>
    <t xml:space="preserve">المستفيدين من النقـــــل المـــدرسي </t>
  </si>
  <si>
    <t>.La Demi-Pension</t>
  </si>
  <si>
    <t xml:space="preserve">   نصـــف الداخليـــــــــــــة.</t>
  </si>
  <si>
    <t xml:space="preserve">  الداخليـــــــــــــــــــــــــــة.</t>
  </si>
  <si>
    <t>.Professeur formateur de l'enseignement moyen</t>
  </si>
  <si>
    <t>Professeur principal de l'enseignement moyen.</t>
  </si>
  <si>
    <t>Professeur de l'enseignement moyen.</t>
  </si>
  <si>
    <t>Professeur coordinateur de l'enseignement moyen.</t>
  </si>
  <si>
    <t>Professeurs de l'école primaire.</t>
  </si>
  <si>
    <t>أساتذة المدرسة الابتدائية.</t>
  </si>
  <si>
    <t>أستاذ التعليم المتوسط.</t>
  </si>
  <si>
    <t>أستاذ منسق للتعليم المتوسط.</t>
  </si>
  <si>
    <t>أستاذ رئيسي للتعليم المتوسط.</t>
  </si>
  <si>
    <t>الأستاذ المكون في التعليم المتوسط.</t>
  </si>
  <si>
    <t>اللغــة العـربيــة.</t>
  </si>
  <si>
    <t xml:space="preserve">  معطيات 30 أكتوبر للسنة الدراسية الحالية. </t>
  </si>
  <si>
    <t xml:space="preserve">  4 - معلومات حـول هياكـل الدعم.</t>
  </si>
  <si>
    <t>6 - مقاطعة المتوسطــة في إنتقـال التلاميـذ :</t>
  </si>
  <si>
    <t xml:space="preserve"> 1-1 تسميــــة المتوسطـــة</t>
  </si>
  <si>
    <t>7 - معلومات حـول إدارة المتوسطـــة.</t>
  </si>
  <si>
    <t xml:space="preserve">1.7 -هيكل الإدارة موجود ؟ </t>
  </si>
  <si>
    <t xml:space="preserve"> 2.7 - الربط بشبكة الكهـرباء ؟ </t>
  </si>
  <si>
    <t xml:space="preserve">3.7- الخط الهاتفي موجود ؟ </t>
  </si>
  <si>
    <t xml:space="preserve">   4.7 -  الربـط بشبكـة المـــاء ؟ </t>
  </si>
  <si>
    <t xml:space="preserve"> 5.7 -  أجهــزة تبريـد الميـاه موجودة ؟ </t>
  </si>
  <si>
    <t xml:space="preserve">   6.7 -  الربـط بشبكـة الغـــاز ؟ </t>
  </si>
  <si>
    <t xml:space="preserve">  3.8 - منها  المشتغلة في حجرات الدرس ؟ </t>
  </si>
  <si>
    <t xml:space="preserve">   1.8 - عدد المكاتب الموجودة  ؟ </t>
  </si>
  <si>
    <t xml:space="preserve">   2.8 - عدد المكاتب المستعملة ؟ </t>
  </si>
  <si>
    <t xml:space="preserve">  4.8 - عدد المكاتب الموجودة الصالحة ؟ </t>
  </si>
  <si>
    <t xml:space="preserve">  5.8 - عدد المكاتب التي تتطلب الترميم ؟ </t>
  </si>
  <si>
    <t xml:space="preserve">  6.8 - عدد المكاتب المكيفة ؟ </t>
  </si>
  <si>
    <t xml:space="preserve">  7.8 - عدد مكيفات المكاتب للتعويض ؟ </t>
  </si>
  <si>
    <t xml:space="preserve">2.9 - التدفئـة شغالـة ؟ </t>
  </si>
  <si>
    <t xml:space="preserve">3.9 - التدفئـــــــة مركـزيـــــــــــة ؟ </t>
  </si>
  <si>
    <t xml:space="preserve">4.9 - التدفئـة عاديـــة ؟ </t>
  </si>
  <si>
    <t xml:space="preserve">5.9 - عدد المكاتب المجهزة ؟ </t>
  </si>
  <si>
    <t xml:space="preserve">6.9 - عدد الأجهزة الموجودة ؟ </t>
  </si>
  <si>
    <r>
      <t>7.9</t>
    </r>
    <r>
      <rPr>
        <b/>
        <sz val="10"/>
        <color theme="9" tint="-0.499984740745262"/>
        <rFont val="Times New Roman"/>
        <family val="1"/>
      </rPr>
      <t xml:space="preserve"> - عدد الأجهزة</t>
    </r>
    <r>
      <rPr>
        <b/>
        <sz val="11"/>
        <color theme="9" tint="-0.499984740745262"/>
        <rFont val="Times New Roman"/>
        <family val="1"/>
      </rPr>
      <t xml:space="preserve"> الصالحة ؟ </t>
    </r>
  </si>
  <si>
    <t xml:space="preserve">8.9 - عدد الأجهزة للتعويض ؟ </t>
  </si>
  <si>
    <t xml:space="preserve">3.10 - عدد الأجهزة الموجودة ؟ </t>
  </si>
  <si>
    <t xml:space="preserve">4.10 - عدد الأجهـزة المركزية ؟ </t>
  </si>
  <si>
    <t xml:space="preserve">5.10 -عدد الأجهـزة العادية ؟ </t>
  </si>
  <si>
    <t xml:space="preserve">6.10 -عدد الأجهزة الصالحة ؟ </t>
  </si>
  <si>
    <t xml:space="preserve">7.10 -عدد الأجهزة للتعويض ؟ </t>
  </si>
  <si>
    <r>
      <t>12 - توزيع التلاميذ المسجلين (</t>
    </r>
    <r>
      <rPr>
        <b/>
        <sz val="11"/>
        <color rgb="FFFF0000"/>
        <rFont val="Times New Roman"/>
        <family val="1"/>
      </rPr>
      <t>المجموع</t>
    </r>
    <r>
      <rPr>
        <b/>
        <sz val="11"/>
        <rFont val="Times New Roman"/>
        <family val="1"/>
      </rPr>
      <t>) حسب الجنس والسن .</t>
    </r>
  </si>
  <si>
    <r>
      <t>1-12- منهم : التلاميذ المسجلين (</t>
    </r>
    <r>
      <rPr>
        <b/>
        <sz val="10.5"/>
        <color rgb="FFFF0000"/>
        <rFont val="Times New Roman"/>
        <family val="1"/>
      </rPr>
      <t>المجموع</t>
    </r>
    <r>
      <rPr>
        <b/>
        <sz val="10.5"/>
        <rFont val="Times New Roman"/>
        <family val="1"/>
      </rPr>
      <t xml:space="preserve">) </t>
    </r>
    <r>
      <rPr>
        <b/>
        <sz val="10.5"/>
        <color rgb="FF0070C0"/>
        <rFont val="Times New Roman"/>
        <family val="1"/>
      </rPr>
      <t>القادمون</t>
    </r>
    <r>
      <rPr>
        <b/>
        <sz val="10.5"/>
        <rFont val="Times New Roman"/>
        <family val="1"/>
      </rPr>
      <t xml:space="preserve"> من متوسطات أخرى. </t>
    </r>
  </si>
  <si>
    <r>
      <t>2-12- منهم :  التلاميذ المسجلين (</t>
    </r>
    <r>
      <rPr>
        <b/>
        <sz val="11"/>
        <color rgb="FFFF0000"/>
        <rFont val="Times New Roman"/>
        <family val="1"/>
      </rPr>
      <t>المجموع</t>
    </r>
    <r>
      <rPr>
        <b/>
        <sz val="11"/>
        <rFont val="Times New Roman"/>
        <family val="1"/>
      </rPr>
      <t xml:space="preserve">) من </t>
    </r>
    <r>
      <rPr>
        <b/>
        <sz val="11"/>
        <color rgb="FF0070C0"/>
        <rFont val="Times New Roman"/>
        <family val="1"/>
      </rPr>
      <t>جنسية أجنبية</t>
    </r>
    <r>
      <rPr>
        <b/>
        <sz val="11"/>
        <rFont val="Times New Roman"/>
        <family val="1"/>
      </rPr>
      <t>.</t>
    </r>
  </si>
  <si>
    <r>
      <t>13 - توزيع التلاميذ المسجلين (</t>
    </r>
    <r>
      <rPr>
        <b/>
        <sz val="11"/>
        <color rgb="FFFF0000"/>
        <rFont val="Times New Roman"/>
        <family val="1"/>
      </rPr>
      <t>المعيدون</t>
    </r>
    <r>
      <rPr>
        <b/>
        <sz val="11"/>
        <rFont val="Times New Roman"/>
        <family val="1"/>
      </rPr>
      <t>) حسب الجنس والسن.</t>
    </r>
  </si>
  <si>
    <r>
      <t>1-13- منهم : التلاميذ المسجلين (</t>
    </r>
    <r>
      <rPr>
        <b/>
        <sz val="10.7"/>
        <color rgb="FFFF0000"/>
        <rFont val="Times New Roman"/>
        <family val="1"/>
      </rPr>
      <t>المعيدون</t>
    </r>
    <r>
      <rPr>
        <b/>
        <sz val="10.7"/>
        <rFont val="Times New Roman"/>
        <family val="1"/>
      </rPr>
      <t xml:space="preserve">) </t>
    </r>
    <r>
      <rPr>
        <b/>
        <sz val="10.7"/>
        <color rgb="FF0070C0"/>
        <rFont val="Times New Roman"/>
        <family val="1"/>
      </rPr>
      <t>القادمون</t>
    </r>
    <r>
      <rPr>
        <b/>
        <sz val="10.7"/>
        <rFont val="Times New Roman"/>
        <family val="1"/>
      </rPr>
      <t xml:space="preserve"> من متوسطات  أخرى.</t>
    </r>
  </si>
  <si>
    <t>11- Répartition des élèves par genre et par âge.</t>
  </si>
  <si>
    <r>
      <t>12 - Répartition des élèves inscrits (</t>
    </r>
    <r>
      <rPr>
        <b/>
        <sz val="9"/>
        <color rgb="FFFF0000"/>
        <rFont val="Arial"/>
        <family val="2"/>
      </rPr>
      <t>Total</t>
    </r>
    <r>
      <rPr>
        <b/>
        <sz val="9"/>
        <rFont val="Arial"/>
        <family val="2"/>
      </rPr>
      <t>) par genre et par âge.</t>
    </r>
  </si>
  <si>
    <r>
      <t>12-1 - dont élèves inscrits (</t>
    </r>
    <r>
      <rPr>
        <b/>
        <sz val="9"/>
        <color rgb="FFFF0000"/>
        <rFont val="Arial"/>
        <family val="2"/>
      </rPr>
      <t>Total</t>
    </r>
    <r>
      <rPr>
        <b/>
        <sz val="9"/>
        <rFont val="Arial"/>
        <family val="2"/>
      </rPr>
      <t xml:space="preserve">) </t>
    </r>
    <r>
      <rPr>
        <b/>
        <sz val="9"/>
        <color rgb="FF0070C0"/>
        <rFont val="Arial"/>
        <family val="2"/>
      </rPr>
      <t>Provenant</t>
    </r>
    <r>
      <rPr>
        <b/>
        <sz val="9"/>
        <rFont val="Arial"/>
        <family val="2"/>
      </rPr>
      <t xml:space="preserve"> des autres collèges.</t>
    </r>
  </si>
  <si>
    <r>
      <t>12-2 - dont élèves Inscrits (</t>
    </r>
    <r>
      <rPr>
        <b/>
        <sz val="9"/>
        <color rgb="FFFF0000"/>
        <rFont val="Arial"/>
        <family val="2"/>
      </rPr>
      <t>Total</t>
    </r>
    <r>
      <rPr>
        <b/>
        <sz val="9"/>
        <color theme="1"/>
        <rFont val="Arial"/>
        <family val="2"/>
      </rPr>
      <t xml:space="preserve">) de </t>
    </r>
    <r>
      <rPr>
        <b/>
        <sz val="9"/>
        <color rgb="FF0070C0"/>
        <rFont val="Arial"/>
        <family val="2"/>
      </rPr>
      <t>nationalité étrangère</t>
    </r>
    <r>
      <rPr>
        <b/>
        <sz val="9"/>
        <color theme="1"/>
        <rFont val="Arial"/>
        <family val="2"/>
      </rPr>
      <t xml:space="preserve"> </t>
    </r>
    <r>
      <rPr>
        <b/>
        <sz val="9"/>
        <color indexed="8"/>
        <rFont val="Arial"/>
        <family val="2"/>
      </rPr>
      <t>.</t>
    </r>
  </si>
  <si>
    <r>
      <t>13 - Répartition des élèves inscrits (</t>
    </r>
    <r>
      <rPr>
        <b/>
        <sz val="9"/>
        <color rgb="FFFF0000"/>
        <rFont val="Arial"/>
        <family val="2"/>
      </rPr>
      <t>Redoublants</t>
    </r>
    <r>
      <rPr>
        <b/>
        <sz val="9"/>
        <rFont val="Arial"/>
        <family val="2"/>
      </rPr>
      <t>) par genre et par âge.</t>
    </r>
  </si>
  <si>
    <r>
      <t>13-1 - dont élèves Inscrits (</t>
    </r>
    <r>
      <rPr>
        <b/>
        <sz val="9"/>
        <color rgb="FFFF0000"/>
        <rFont val="Arial"/>
        <family val="2"/>
      </rPr>
      <t>redoublants</t>
    </r>
    <r>
      <rPr>
        <b/>
        <sz val="9"/>
        <rFont val="Arial"/>
        <family val="2"/>
      </rPr>
      <t xml:space="preserve">) </t>
    </r>
    <r>
      <rPr>
        <b/>
        <sz val="9"/>
        <color rgb="FF0070C0"/>
        <rFont val="Arial"/>
        <family val="2"/>
      </rPr>
      <t>Provenant</t>
    </r>
    <r>
      <rPr>
        <b/>
        <sz val="9"/>
        <rFont val="Arial"/>
        <family val="2"/>
      </rPr>
      <t xml:space="preserve"> des autres collèges.</t>
    </r>
  </si>
  <si>
    <t>11 - توزيع التلاميذ حسب الجنس والسن .</t>
  </si>
  <si>
    <t xml:space="preserve">1-11- ايتعلق الأمر بالمسجلين في السنة الماضية المحولون حاليا الى متوسطات أخرى أو مؤسسات التربية والتعليم الخاصة. </t>
  </si>
  <si>
    <r>
      <t xml:space="preserve">12 - توزيع التلاميذ المسجلين حسب الجنس والسن يمثل </t>
    </r>
    <r>
      <rPr>
        <b/>
        <sz val="11"/>
        <color rgb="FFFF0000"/>
        <rFont val="Times New Roman"/>
        <family val="1"/>
      </rPr>
      <t>المجموع</t>
    </r>
    <r>
      <rPr>
        <b/>
        <sz val="11"/>
        <rFont val="Times New Roman"/>
        <family val="1"/>
      </rPr>
      <t xml:space="preserve"> .</t>
    </r>
  </si>
  <si>
    <r>
      <t>12-Répartition des inscrits par genre et par âge constitue le (</t>
    </r>
    <r>
      <rPr>
        <b/>
        <sz val="9"/>
        <color rgb="FFFF0000"/>
        <rFont val="Arial"/>
        <family val="2"/>
      </rPr>
      <t>Total</t>
    </r>
    <r>
      <rPr>
        <b/>
        <sz val="9"/>
        <rFont val="Arial"/>
        <family val="2"/>
      </rPr>
      <t>).</t>
    </r>
  </si>
  <si>
    <r>
      <t>1-12-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المنتقلين والمعيدين معا</t>
    </r>
    <r>
      <rPr>
        <b/>
        <sz val="10.5"/>
        <rFont val="Times New Roman"/>
        <family val="1"/>
      </rPr>
      <t xml:space="preserve">) . </t>
    </r>
  </si>
  <si>
    <r>
      <t xml:space="preserve">12-1 -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Promus et Redoublants</t>
    </r>
    <r>
      <rPr>
        <b/>
        <sz val="9"/>
        <rFont val="Calibri"/>
        <family val="2"/>
      </rPr>
      <t>) .</t>
    </r>
  </si>
  <si>
    <r>
      <t>1-13-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المعيدين فقط</t>
    </r>
    <r>
      <rPr>
        <b/>
        <sz val="10.5"/>
        <rFont val="Times New Roman"/>
        <family val="1"/>
      </rPr>
      <t xml:space="preserve">) . </t>
    </r>
  </si>
  <si>
    <r>
      <t xml:space="preserve">13-1 -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Redoublants uniquement</t>
    </r>
    <r>
      <rPr>
        <b/>
        <sz val="9"/>
        <rFont val="Calibri"/>
        <family val="2"/>
      </rPr>
      <t>) .</t>
    </r>
  </si>
  <si>
    <t>14 - توزيع التلاميذ حسب الجنس والسن .</t>
  </si>
  <si>
    <r>
      <t>15 - توزيع التلاميذ المسجلين (</t>
    </r>
    <r>
      <rPr>
        <b/>
        <sz val="11"/>
        <color rgb="FFFF0000"/>
        <rFont val="Times New Roman"/>
        <family val="1"/>
      </rPr>
      <t>المجموع</t>
    </r>
    <r>
      <rPr>
        <b/>
        <sz val="11"/>
        <rFont val="Times New Roman"/>
        <family val="1"/>
      </rPr>
      <t>) حسب الجنس والسن .</t>
    </r>
  </si>
  <si>
    <r>
      <t>1-15- منهم : التلاميذ المسجلين (</t>
    </r>
    <r>
      <rPr>
        <b/>
        <sz val="10.5"/>
        <color rgb="FFFF0000"/>
        <rFont val="Times New Roman"/>
        <family val="1"/>
      </rPr>
      <t>المجموع</t>
    </r>
    <r>
      <rPr>
        <b/>
        <sz val="10.5"/>
        <rFont val="Times New Roman"/>
        <family val="1"/>
      </rPr>
      <t xml:space="preserve">) </t>
    </r>
    <r>
      <rPr>
        <b/>
        <sz val="10.5"/>
        <color rgb="FF0070C0"/>
        <rFont val="Times New Roman"/>
        <family val="1"/>
      </rPr>
      <t>القادمون</t>
    </r>
    <r>
      <rPr>
        <b/>
        <sz val="10.5"/>
        <rFont val="Times New Roman"/>
        <family val="1"/>
      </rPr>
      <t xml:space="preserve"> من متوسطات أخرى. </t>
    </r>
  </si>
  <si>
    <r>
      <t>2-15- منهم :  التلاميذ المسجلين (</t>
    </r>
    <r>
      <rPr>
        <b/>
        <sz val="11"/>
        <color rgb="FFFF0000"/>
        <rFont val="Times New Roman"/>
        <family val="1"/>
      </rPr>
      <t>المجموع</t>
    </r>
    <r>
      <rPr>
        <b/>
        <sz val="11"/>
        <rFont val="Times New Roman"/>
        <family val="1"/>
      </rPr>
      <t xml:space="preserve">) من </t>
    </r>
    <r>
      <rPr>
        <b/>
        <sz val="11"/>
        <color rgb="FF0070C0"/>
        <rFont val="Times New Roman"/>
        <family val="1"/>
      </rPr>
      <t>جنسية أجنبية</t>
    </r>
    <r>
      <rPr>
        <b/>
        <sz val="11"/>
        <rFont val="Times New Roman"/>
        <family val="1"/>
      </rPr>
      <t>.</t>
    </r>
  </si>
  <si>
    <r>
      <t>16 - توزيع التلاميذ المسجلين (</t>
    </r>
    <r>
      <rPr>
        <b/>
        <sz val="11"/>
        <color rgb="FFFF0000"/>
        <rFont val="Times New Roman"/>
        <family val="1"/>
      </rPr>
      <t>المعيدون</t>
    </r>
    <r>
      <rPr>
        <b/>
        <sz val="11"/>
        <rFont val="Times New Roman"/>
        <family val="1"/>
      </rPr>
      <t>) حسب الجنس والسن.</t>
    </r>
  </si>
  <si>
    <r>
      <t>1-16- منهم : التلاميذ المسجلين (</t>
    </r>
    <r>
      <rPr>
        <b/>
        <sz val="10.7"/>
        <color rgb="FFFF0000"/>
        <rFont val="Times New Roman"/>
        <family val="1"/>
      </rPr>
      <t>المعيدون</t>
    </r>
    <r>
      <rPr>
        <b/>
        <sz val="10.7"/>
        <rFont val="Times New Roman"/>
        <family val="1"/>
      </rPr>
      <t xml:space="preserve">) </t>
    </r>
    <r>
      <rPr>
        <b/>
        <sz val="10.7"/>
        <color rgb="FF0070C0"/>
        <rFont val="Times New Roman"/>
        <family val="1"/>
      </rPr>
      <t>القادمون</t>
    </r>
    <r>
      <rPr>
        <b/>
        <sz val="10.7"/>
        <rFont val="Times New Roman"/>
        <family val="1"/>
      </rPr>
      <t xml:space="preserve"> من متوسطات  أخرى.</t>
    </r>
  </si>
  <si>
    <r>
      <t>16-1 - dont élèves Inscrits (</t>
    </r>
    <r>
      <rPr>
        <b/>
        <sz val="9"/>
        <color rgb="FFFF0000"/>
        <rFont val="Arial"/>
        <family val="2"/>
      </rPr>
      <t>redoublants</t>
    </r>
    <r>
      <rPr>
        <b/>
        <sz val="9"/>
        <rFont val="Arial"/>
        <family val="2"/>
      </rPr>
      <t xml:space="preserve">) </t>
    </r>
    <r>
      <rPr>
        <b/>
        <sz val="9"/>
        <color rgb="FF0070C0"/>
        <rFont val="Arial"/>
        <family val="2"/>
      </rPr>
      <t>Provenant</t>
    </r>
    <r>
      <rPr>
        <b/>
        <sz val="9"/>
        <rFont val="Arial"/>
        <family val="2"/>
      </rPr>
      <t xml:space="preserve"> des autres collèges.</t>
    </r>
  </si>
  <si>
    <r>
      <t>16 - Répartition des élèves inscrits (</t>
    </r>
    <r>
      <rPr>
        <b/>
        <sz val="9"/>
        <color rgb="FFFF0000"/>
        <rFont val="Arial"/>
        <family val="2"/>
      </rPr>
      <t>Redoublants</t>
    </r>
    <r>
      <rPr>
        <b/>
        <sz val="9"/>
        <rFont val="Arial"/>
        <family val="2"/>
      </rPr>
      <t>) par genre et par âge.</t>
    </r>
  </si>
  <si>
    <r>
      <t>15-2 - dont élèves Inscrits (</t>
    </r>
    <r>
      <rPr>
        <b/>
        <sz val="9"/>
        <color rgb="FFFF0000"/>
        <rFont val="Arial"/>
        <family val="2"/>
      </rPr>
      <t>Total</t>
    </r>
    <r>
      <rPr>
        <b/>
        <sz val="9"/>
        <color theme="1"/>
        <rFont val="Arial"/>
        <family val="2"/>
      </rPr>
      <t xml:space="preserve">) de </t>
    </r>
    <r>
      <rPr>
        <b/>
        <sz val="9"/>
        <color rgb="FF0070C0"/>
        <rFont val="Arial"/>
        <family val="2"/>
      </rPr>
      <t>nationalité étrangère</t>
    </r>
    <r>
      <rPr>
        <b/>
        <sz val="9"/>
        <color theme="1"/>
        <rFont val="Arial"/>
        <family val="2"/>
      </rPr>
      <t xml:space="preserve"> </t>
    </r>
    <r>
      <rPr>
        <b/>
        <sz val="9"/>
        <color indexed="8"/>
        <rFont val="Arial"/>
        <family val="2"/>
      </rPr>
      <t>.</t>
    </r>
  </si>
  <si>
    <r>
      <t>15-1 - dont élèves inscrits (</t>
    </r>
    <r>
      <rPr>
        <b/>
        <sz val="9"/>
        <color rgb="FFFF0000"/>
        <rFont val="Arial"/>
        <family val="2"/>
      </rPr>
      <t>Total</t>
    </r>
    <r>
      <rPr>
        <b/>
        <sz val="9"/>
        <rFont val="Arial"/>
        <family val="2"/>
      </rPr>
      <t xml:space="preserve">) </t>
    </r>
    <r>
      <rPr>
        <b/>
        <sz val="9"/>
        <color rgb="FF0070C0"/>
        <rFont val="Arial"/>
        <family val="2"/>
      </rPr>
      <t>Provenant</t>
    </r>
    <r>
      <rPr>
        <b/>
        <sz val="9"/>
        <rFont val="Arial"/>
        <family val="2"/>
      </rPr>
      <t xml:space="preserve"> des autres collèges.</t>
    </r>
  </si>
  <si>
    <r>
      <t>1-16-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المعيدين فقط</t>
    </r>
    <r>
      <rPr>
        <b/>
        <sz val="10.5"/>
        <rFont val="Times New Roman"/>
        <family val="1"/>
      </rPr>
      <t xml:space="preserve">) . </t>
    </r>
  </si>
  <si>
    <r>
      <t>1-15-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المنتقلين والمعيدين معا</t>
    </r>
    <r>
      <rPr>
        <b/>
        <sz val="10.5"/>
        <rFont val="Times New Roman"/>
        <family val="1"/>
      </rPr>
      <t xml:space="preserve">) . </t>
    </r>
  </si>
  <si>
    <r>
      <t xml:space="preserve">15 - توزيع التلاميذ المسجلين حسب الجنس والسن يمثل </t>
    </r>
    <r>
      <rPr>
        <b/>
        <sz val="11"/>
        <color rgb="FFFF0000"/>
        <rFont val="Times New Roman"/>
        <family val="1"/>
      </rPr>
      <t>المجموع</t>
    </r>
    <r>
      <rPr>
        <b/>
        <sz val="11"/>
        <rFont val="Times New Roman"/>
        <family val="1"/>
      </rPr>
      <t xml:space="preserve"> .</t>
    </r>
  </si>
  <si>
    <r>
      <t>15 - Répartition des élèves inscrits (</t>
    </r>
    <r>
      <rPr>
        <b/>
        <sz val="9"/>
        <color rgb="FFFF0000"/>
        <rFont val="Arial"/>
        <family val="2"/>
      </rPr>
      <t>Total</t>
    </r>
    <r>
      <rPr>
        <b/>
        <sz val="9"/>
        <rFont val="Arial"/>
        <family val="2"/>
      </rPr>
      <t>) par genre et par âge.</t>
    </r>
  </si>
  <si>
    <t>14 - Répartition des élèves par genre et par âge.</t>
  </si>
  <si>
    <t xml:space="preserve">1-14- ايتعلق الأمر بالمسجلين في السنة الماضية المحولون حاليا الى متوسطات أخرى أو مؤسسات التربية والتعليم الخاصة. </t>
  </si>
  <si>
    <r>
      <t xml:space="preserve">14-1 - Il concerne les élèves Inscrits </t>
    </r>
    <r>
      <rPr>
        <b/>
        <sz val="11"/>
        <color indexed="10"/>
        <rFont val="Calibri"/>
        <family val="2"/>
      </rPr>
      <t>Transferés</t>
    </r>
    <r>
      <rPr>
        <b/>
        <sz val="11"/>
        <color indexed="8"/>
        <rFont val="Calibri"/>
        <family val="2"/>
      </rPr>
      <t xml:space="preserve"> vers d'autres collèges (Publiques ou Privées).</t>
    </r>
  </si>
  <si>
    <r>
      <t>15-Répartition des inscrits par genre et par âge constitue le (</t>
    </r>
    <r>
      <rPr>
        <b/>
        <sz val="9"/>
        <color rgb="FFFF0000"/>
        <rFont val="Arial"/>
        <family val="2"/>
      </rPr>
      <t>Total</t>
    </r>
    <r>
      <rPr>
        <b/>
        <sz val="9"/>
        <rFont val="Arial"/>
        <family val="2"/>
      </rPr>
      <t>).</t>
    </r>
  </si>
  <si>
    <r>
      <t xml:space="preserve">15-1 -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Promus et Redoublants</t>
    </r>
    <r>
      <rPr>
        <b/>
        <sz val="9"/>
        <rFont val="Calibri"/>
        <family val="2"/>
      </rPr>
      <t>) .</t>
    </r>
  </si>
  <si>
    <r>
      <t xml:space="preserve">16-1 -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Redoublants uniquement</t>
    </r>
    <r>
      <rPr>
        <b/>
        <sz val="9"/>
        <rFont val="Calibri"/>
        <family val="2"/>
      </rPr>
      <t>) .</t>
    </r>
  </si>
  <si>
    <t xml:space="preserve">   المستوى الدراسي والجنس</t>
  </si>
  <si>
    <t>17 - توزيع التلاميذ حسب الجنس و السن .</t>
  </si>
  <si>
    <r>
      <t>18 - توزيع التلاميذ المسجلين (</t>
    </r>
    <r>
      <rPr>
        <b/>
        <sz val="11"/>
        <color rgb="FFFF0000"/>
        <rFont val="Times New Roman"/>
        <family val="1"/>
      </rPr>
      <t>المجموع</t>
    </r>
    <r>
      <rPr>
        <b/>
        <sz val="11"/>
        <rFont val="Times New Roman"/>
        <family val="1"/>
      </rPr>
      <t>) حسب الجنس والسن .</t>
    </r>
  </si>
  <si>
    <r>
      <t>1-18- منهم : التلاميذ المسجلين (</t>
    </r>
    <r>
      <rPr>
        <b/>
        <sz val="10.5"/>
        <color rgb="FFFF0000"/>
        <rFont val="Times New Roman"/>
        <family val="1"/>
      </rPr>
      <t>المجموع</t>
    </r>
    <r>
      <rPr>
        <b/>
        <sz val="10.5"/>
        <rFont val="Times New Roman"/>
        <family val="1"/>
      </rPr>
      <t xml:space="preserve">) </t>
    </r>
    <r>
      <rPr>
        <b/>
        <sz val="10.5"/>
        <color rgb="FF0070C0"/>
        <rFont val="Times New Roman"/>
        <family val="1"/>
      </rPr>
      <t>القادمون</t>
    </r>
    <r>
      <rPr>
        <b/>
        <sz val="10.5"/>
        <rFont val="Times New Roman"/>
        <family val="1"/>
      </rPr>
      <t xml:space="preserve"> من متوسطات أخرى. </t>
    </r>
  </si>
  <si>
    <r>
      <t>2-18- منهم :  التلاميذ المسجلين (</t>
    </r>
    <r>
      <rPr>
        <b/>
        <sz val="11"/>
        <color rgb="FFFF0000"/>
        <rFont val="Times New Roman"/>
        <family val="1"/>
      </rPr>
      <t>المجموع</t>
    </r>
    <r>
      <rPr>
        <b/>
        <sz val="11"/>
        <rFont val="Times New Roman"/>
        <family val="1"/>
      </rPr>
      <t xml:space="preserve">) من </t>
    </r>
    <r>
      <rPr>
        <b/>
        <sz val="11"/>
        <color rgb="FF0070C0"/>
        <rFont val="Times New Roman"/>
        <family val="1"/>
      </rPr>
      <t>جنسية أجنبية</t>
    </r>
    <r>
      <rPr>
        <b/>
        <sz val="11"/>
        <rFont val="Times New Roman"/>
        <family val="1"/>
      </rPr>
      <t>.</t>
    </r>
  </si>
  <si>
    <r>
      <t>19 - توزيع التلاميذ المسجلين (</t>
    </r>
    <r>
      <rPr>
        <b/>
        <sz val="11"/>
        <color rgb="FFFF0000"/>
        <rFont val="Times New Roman"/>
        <family val="1"/>
      </rPr>
      <t>المعيدون</t>
    </r>
    <r>
      <rPr>
        <b/>
        <sz val="11"/>
        <rFont val="Times New Roman"/>
        <family val="1"/>
      </rPr>
      <t>) حسب الجنس والسن.</t>
    </r>
  </si>
  <si>
    <r>
      <t>1-19- منهم : التلاميذ المسجلين (</t>
    </r>
    <r>
      <rPr>
        <b/>
        <sz val="10.7"/>
        <color rgb="FFFF0000"/>
        <rFont val="Times New Roman"/>
        <family val="1"/>
      </rPr>
      <t>المعيدون</t>
    </r>
    <r>
      <rPr>
        <b/>
        <sz val="10.7"/>
        <rFont val="Times New Roman"/>
        <family val="1"/>
      </rPr>
      <t xml:space="preserve">) </t>
    </r>
    <r>
      <rPr>
        <b/>
        <sz val="10.7"/>
        <color rgb="FF0070C0"/>
        <rFont val="Times New Roman"/>
        <family val="1"/>
      </rPr>
      <t>القادمون</t>
    </r>
    <r>
      <rPr>
        <b/>
        <sz val="10.7"/>
        <rFont val="Times New Roman"/>
        <family val="1"/>
      </rPr>
      <t xml:space="preserve"> من متوسطات  أخرى.</t>
    </r>
  </si>
  <si>
    <r>
      <t>1-19-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المعيدين فقط</t>
    </r>
    <r>
      <rPr>
        <b/>
        <sz val="10.5"/>
        <rFont val="Times New Roman"/>
        <family val="1"/>
      </rPr>
      <t xml:space="preserve">) . </t>
    </r>
  </si>
  <si>
    <r>
      <t>1-18-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المنتقلين والمعيدين معا</t>
    </r>
    <r>
      <rPr>
        <b/>
        <sz val="10.5"/>
        <rFont val="Times New Roman"/>
        <family val="1"/>
      </rPr>
      <t xml:space="preserve">) . </t>
    </r>
  </si>
  <si>
    <r>
      <t xml:space="preserve">18 - توزيع التلاميذ المسجلين حسب الجنس والسن يمثل </t>
    </r>
    <r>
      <rPr>
        <b/>
        <sz val="11"/>
        <color rgb="FFFF0000"/>
        <rFont val="Times New Roman"/>
        <family val="1"/>
      </rPr>
      <t>المجموع</t>
    </r>
    <r>
      <rPr>
        <b/>
        <sz val="11"/>
        <rFont val="Times New Roman"/>
        <family val="1"/>
      </rPr>
      <t xml:space="preserve"> .</t>
    </r>
  </si>
  <si>
    <t xml:space="preserve">1-17- ايتعلق الأمر بالمسجلين في السنة الماضية المحولون حاليا الى متوسطات أخرى أو مؤسسات التربية والتعليم الخاصة. </t>
  </si>
  <si>
    <r>
      <t xml:space="preserve">17-1 - Il concerne les élèves Inscrits </t>
    </r>
    <r>
      <rPr>
        <b/>
        <sz val="11"/>
        <color indexed="10"/>
        <rFont val="Calibri"/>
        <family val="2"/>
      </rPr>
      <t>Transferés</t>
    </r>
    <r>
      <rPr>
        <b/>
        <sz val="11"/>
        <color indexed="8"/>
        <rFont val="Calibri"/>
        <family val="2"/>
      </rPr>
      <t xml:space="preserve"> vers d'autres collèges (Publiques ou Privées).</t>
    </r>
  </si>
  <si>
    <r>
      <t>18-Répartition des inscrits par genre et par âge constitue le (</t>
    </r>
    <r>
      <rPr>
        <b/>
        <sz val="9"/>
        <color rgb="FFFF0000"/>
        <rFont val="Arial"/>
        <family val="2"/>
      </rPr>
      <t>Total</t>
    </r>
    <r>
      <rPr>
        <b/>
        <sz val="9"/>
        <rFont val="Arial"/>
        <family val="2"/>
      </rPr>
      <t>).</t>
    </r>
  </si>
  <si>
    <r>
      <t xml:space="preserve">18-1 -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Promus et Redoublants</t>
    </r>
    <r>
      <rPr>
        <b/>
        <sz val="9"/>
        <rFont val="Calibri"/>
        <family val="2"/>
      </rPr>
      <t>) .</t>
    </r>
  </si>
  <si>
    <r>
      <t xml:space="preserve">19-1 -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Redoublants uniquement</t>
    </r>
    <r>
      <rPr>
        <b/>
        <sz val="9"/>
        <rFont val="Calibri"/>
        <family val="2"/>
      </rPr>
      <t>) .</t>
    </r>
  </si>
  <si>
    <r>
      <t>19-1 - dont élèves Inscrits (</t>
    </r>
    <r>
      <rPr>
        <b/>
        <sz val="9"/>
        <color rgb="FFFF0000"/>
        <rFont val="Arial"/>
        <family val="2"/>
      </rPr>
      <t>redoublants</t>
    </r>
    <r>
      <rPr>
        <b/>
        <sz val="9"/>
        <rFont val="Arial"/>
        <family val="2"/>
      </rPr>
      <t xml:space="preserve">) </t>
    </r>
    <r>
      <rPr>
        <b/>
        <sz val="9"/>
        <color rgb="FF0070C0"/>
        <rFont val="Arial"/>
        <family val="2"/>
      </rPr>
      <t>Provenant</t>
    </r>
    <r>
      <rPr>
        <b/>
        <sz val="9"/>
        <rFont val="Arial"/>
        <family val="2"/>
      </rPr>
      <t xml:space="preserve"> des autres collèges.</t>
    </r>
  </si>
  <si>
    <r>
      <t>19 - Répartition des élèves inscrits (</t>
    </r>
    <r>
      <rPr>
        <b/>
        <sz val="9"/>
        <color rgb="FFFF0000"/>
        <rFont val="Arial"/>
        <family val="2"/>
      </rPr>
      <t>Redoublants</t>
    </r>
    <r>
      <rPr>
        <b/>
        <sz val="9"/>
        <rFont val="Arial"/>
        <family val="2"/>
      </rPr>
      <t>) par genre et par âge.</t>
    </r>
  </si>
  <si>
    <r>
      <t>18-2 - dont élèves Inscrits (</t>
    </r>
    <r>
      <rPr>
        <b/>
        <sz val="9"/>
        <color rgb="FFFF0000"/>
        <rFont val="Arial"/>
        <family val="2"/>
      </rPr>
      <t>Total</t>
    </r>
    <r>
      <rPr>
        <b/>
        <sz val="9"/>
        <color theme="1"/>
        <rFont val="Arial"/>
        <family val="2"/>
      </rPr>
      <t xml:space="preserve">) de </t>
    </r>
    <r>
      <rPr>
        <b/>
        <sz val="9"/>
        <color rgb="FF0070C0"/>
        <rFont val="Arial"/>
        <family val="2"/>
      </rPr>
      <t>nationalité étrangère</t>
    </r>
    <r>
      <rPr>
        <b/>
        <sz val="9"/>
        <color theme="1"/>
        <rFont val="Arial"/>
        <family val="2"/>
      </rPr>
      <t xml:space="preserve"> </t>
    </r>
    <r>
      <rPr>
        <b/>
        <sz val="9"/>
        <color indexed="8"/>
        <rFont val="Arial"/>
        <family val="2"/>
      </rPr>
      <t>.</t>
    </r>
  </si>
  <si>
    <r>
      <t>18-1 - dont élèves inscrits (</t>
    </r>
    <r>
      <rPr>
        <b/>
        <sz val="9"/>
        <color rgb="FFFF0000"/>
        <rFont val="Arial"/>
        <family val="2"/>
      </rPr>
      <t>Total</t>
    </r>
    <r>
      <rPr>
        <b/>
        <sz val="9"/>
        <rFont val="Arial"/>
        <family val="2"/>
      </rPr>
      <t xml:space="preserve">) </t>
    </r>
    <r>
      <rPr>
        <b/>
        <sz val="9"/>
        <color rgb="FF0070C0"/>
        <rFont val="Arial"/>
        <family val="2"/>
      </rPr>
      <t>Provenant</t>
    </r>
    <r>
      <rPr>
        <b/>
        <sz val="9"/>
        <rFont val="Arial"/>
        <family val="2"/>
      </rPr>
      <t xml:space="preserve"> des autres collèges.</t>
    </r>
  </si>
  <si>
    <r>
      <t>18 - Répartition des élèves inscrits (</t>
    </r>
    <r>
      <rPr>
        <b/>
        <sz val="9"/>
        <color rgb="FFFF0000"/>
        <rFont val="Arial"/>
        <family val="2"/>
      </rPr>
      <t>Total</t>
    </r>
    <r>
      <rPr>
        <b/>
        <sz val="9"/>
        <rFont val="Arial"/>
        <family val="2"/>
      </rPr>
      <t>) par genre et par âge.</t>
    </r>
  </si>
  <si>
    <t>18 - Répartition des élèves par genre et par âge.</t>
  </si>
  <si>
    <t>20 - توزيع التلاميذ حسب الجنس و السن .</t>
  </si>
  <si>
    <r>
      <t>21 - توزيع التلاميذ المسجلين (</t>
    </r>
    <r>
      <rPr>
        <b/>
        <sz val="11"/>
        <color rgb="FFFF0000"/>
        <rFont val="Times New Roman"/>
        <family val="1"/>
      </rPr>
      <t>المجموع</t>
    </r>
    <r>
      <rPr>
        <b/>
        <sz val="11"/>
        <rFont val="Times New Roman"/>
        <family val="1"/>
      </rPr>
      <t>) حسب الجنس والسن .</t>
    </r>
  </si>
  <si>
    <r>
      <t>1-21- منهم : التلاميذ المسجلين (</t>
    </r>
    <r>
      <rPr>
        <b/>
        <sz val="10.5"/>
        <color rgb="FFFF0000"/>
        <rFont val="Times New Roman"/>
        <family val="1"/>
      </rPr>
      <t>المجموع</t>
    </r>
    <r>
      <rPr>
        <b/>
        <sz val="10.5"/>
        <rFont val="Times New Roman"/>
        <family val="1"/>
      </rPr>
      <t xml:space="preserve">) </t>
    </r>
    <r>
      <rPr>
        <b/>
        <sz val="10.5"/>
        <color rgb="FF0070C0"/>
        <rFont val="Times New Roman"/>
        <family val="1"/>
      </rPr>
      <t>القادمون</t>
    </r>
    <r>
      <rPr>
        <b/>
        <sz val="10.5"/>
        <rFont val="Times New Roman"/>
        <family val="1"/>
      </rPr>
      <t xml:space="preserve"> من متوسطات أخرى. </t>
    </r>
  </si>
  <si>
    <r>
      <t>2-21- منهم :  التلاميذ المسجلين (</t>
    </r>
    <r>
      <rPr>
        <b/>
        <sz val="11"/>
        <color rgb="FFFF0000"/>
        <rFont val="Times New Roman"/>
        <family val="1"/>
      </rPr>
      <t>المجموع</t>
    </r>
    <r>
      <rPr>
        <b/>
        <sz val="11"/>
        <rFont val="Times New Roman"/>
        <family val="1"/>
      </rPr>
      <t xml:space="preserve">) من </t>
    </r>
    <r>
      <rPr>
        <b/>
        <sz val="11"/>
        <color rgb="FF0070C0"/>
        <rFont val="Times New Roman"/>
        <family val="1"/>
      </rPr>
      <t>جنسية أجنبية</t>
    </r>
    <r>
      <rPr>
        <b/>
        <sz val="11"/>
        <rFont val="Times New Roman"/>
        <family val="1"/>
      </rPr>
      <t>.</t>
    </r>
  </si>
  <si>
    <r>
      <t>22 - توزيع التلاميذ المسجلين (</t>
    </r>
    <r>
      <rPr>
        <b/>
        <sz val="11"/>
        <color rgb="FFFF0000"/>
        <rFont val="Times New Roman"/>
        <family val="1"/>
      </rPr>
      <t>المعيدون</t>
    </r>
    <r>
      <rPr>
        <b/>
        <sz val="11"/>
        <rFont val="Times New Roman"/>
        <family val="1"/>
      </rPr>
      <t>) حسب الجنس والسن.</t>
    </r>
  </si>
  <si>
    <r>
      <t>1-22- منهم : التلاميذ المسجلين (</t>
    </r>
    <r>
      <rPr>
        <b/>
        <sz val="10.7"/>
        <color rgb="FFFF0000"/>
        <rFont val="Times New Roman"/>
        <family val="1"/>
      </rPr>
      <t>المعيدون</t>
    </r>
    <r>
      <rPr>
        <b/>
        <sz val="10.7"/>
        <rFont val="Times New Roman"/>
        <family val="1"/>
      </rPr>
      <t xml:space="preserve">) </t>
    </r>
    <r>
      <rPr>
        <b/>
        <sz val="10.7"/>
        <color rgb="FF0070C0"/>
        <rFont val="Times New Roman"/>
        <family val="1"/>
      </rPr>
      <t>القادمون</t>
    </r>
    <r>
      <rPr>
        <b/>
        <sz val="10.7"/>
        <rFont val="Times New Roman"/>
        <family val="1"/>
      </rPr>
      <t xml:space="preserve"> من متوسطات  أخرى.</t>
    </r>
  </si>
  <si>
    <r>
      <t>22-1 - dont élèves Inscrits (</t>
    </r>
    <r>
      <rPr>
        <b/>
        <sz val="9"/>
        <color rgb="FFFF0000"/>
        <rFont val="Arial"/>
        <family val="2"/>
      </rPr>
      <t>redoublants</t>
    </r>
    <r>
      <rPr>
        <b/>
        <sz val="9"/>
        <rFont val="Arial"/>
        <family val="2"/>
      </rPr>
      <t xml:space="preserve">) </t>
    </r>
    <r>
      <rPr>
        <b/>
        <sz val="9"/>
        <color rgb="FF0070C0"/>
        <rFont val="Arial"/>
        <family val="2"/>
      </rPr>
      <t>Provenant</t>
    </r>
    <r>
      <rPr>
        <b/>
        <sz val="9"/>
        <rFont val="Arial"/>
        <family val="2"/>
      </rPr>
      <t xml:space="preserve"> des autres collèges.</t>
    </r>
  </si>
  <si>
    <r>
      <t>22 - Répartition des élèves inscrits (</t>
    </r>
    <r>
      <rPr>
        <b/>
        <sz val="9"/>
        <color rgb="FFFF0000"/>
        <rFont val="Arial"/>
        <family val="2"/>
      </rPr>
      <t>Redoublants</t>
    </r>
    <r>
      <rPr>
        <b/>
        <sz val="9"/>
        <rFont val="Arial"/>
        <family val="2"/>
      </rPr>
      <t>) par genre et par âge.</t>
    </r>
  </si>
  <si>
    <r>
      <t>21-2 - dont élèves Inscrits (</t>
    </r>
    <r>
      <rPr>
        <b/>
        <sz val="9"/>
        <color rgb="FFFF0000"/>
        <rFont val="Arial"/>
        <family val="2"/>
      </rPr>
      <t>Total</t>
    </r>
    <r>
      <rPr>
        <b/>
        <sz val="9"/>
        <color theme="1"/>
        <rFont val="Arial"/>
        <family val="2"/>
      </rPr>
      <t xml:space="preserve">) de </t>
    </r>
    <r>
      <rPr>
        <b/>
        <sz val="9"/>
        <color rgb="FF0070C0"/>
        <rFont val="Arial"/>
        <family val="2"/>
      </rPr>
      <t>nationalité étrangère</t>
    </r>
    <r>
      <rPr>
        <b/>
        <sz val="9"/>
        <color theme="1"/>
        <rFont val="Arial"/>
        <family val="2"/>
      </rPr>
      <t xml:space="preserve"> </t>
    </r>
    <r>
      <rPr>
        <b/>
        <sz val="9"/>
        <color indexed="8"/>
        <rFont val="Arial"/>
        <family val="2"/>
      </rPr>
      <t>.</t>
    </r>
  </si>
  <si>
    <r>
      <t>21-1 - dont élèves inscrits (</t>
    </r>
    <r>
      <rPr>
        <b/>
        <sz val="9"/>
        <color rgb="FFFF0000"/>
        <rFont val="Arial"/>
        <family val="2"/>
      </rPr>
      <t>Total</t>
    </r>
    <r>
      <rPr>
        <b/>
        <sz val="9"/>
        <rFont val="Arial"/>
        <family val="2"/>
      </rPr>
      <t xml:space="preserve">) </t>
    </r>
    <r>
      <rPr>
        <b/>
        <sz val="9"/>
        <color rgb="FF0070C0"/>
        <rFont val="Arial"/>
        <family val="2"/>
      </rPr>
      <t>Provenant</t>
    </r>
    <r>
      <rPr>
        <b/>
        <sz val="9"/>
        <rFont val="Arial"/>
        <family val="2"/>
      </rPr>
      <t xml:space="preserve"> des autres collèges.</t>
    </r>
  </si>
  <si>
    <r>
      <t>21 - Répartition des élèves inscrits (</t>
    </r>
    <r>
      <rPr>
        <b/>
        <sz val="9"/>
        <color rgb="FFFF0000"/>
        <rFont val="Arial"/>
        <family val="2"/>
      </rPr>
      <t>Total</t>
    </r>
    <r>
      <rPr>
        <b/>
        <sz val="9"/>
        <rFont val="Arial"/>
        <family val="2"/>
      </rPr>
      <t>) par genre et par âge.</t>
    </r>
  </si>
  <si>
    <t>20 - Répartition des élèves par genre et par âge.</t>
  </si>
  <si>
    <t xml:space="preserve">1-20- ايتعلق الأمر بالمسجلين في السنة الماضية المحولون حاليا الى متوسطات أخرى أو مؤسسات التربية والتعليم الخاصة. </t>
  </si>
  <si>
    <r>
      <t xml:space="preserve">21 - توزيع التلاميذ المسجلين حسب الجنس والسن يمثل </t>
    </r>
    <r>
      <rPr>
        <b/>
        <sz val="11"/>
        <color rgb="FFFF0000"/>
        <rFont val="Times New Roman"/>
        <family val="1"/>
      </rPr>
      <t>المجموع</t>
    </r>
    <r>
      <rPr>
        <b/>
        <sz val="11"/>
        <rFont val="Times New Roman"/>
        <family val="1"/>
      </rPr>
      <t xml:space="preserve"> .</t>
    </r>
  </si>
  <si>
    <r>
      <t>1-21-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المنتقلين والمعيدين معا</t>
    </r>
    <r>
      <rPr>
        <b/>
        <sz val="10.5"/>
        <rFont val="Times New Roman"/>
        <family val="1"/>
      </rPr>
      <t xml:space="preserve">) . </t>
    </r>
  </si>
  <si>
    <r>
      <t>1-22-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المعيدين فقط</t>
    </r>
    <r>
      <rPr>
        <b/>
        <sz val="10.5"/>
        <rFont val="Times New Roman"/>
        <family val="1"/>
      </rPr>
      <t xml:space="preserve">) . </t>
    </r>
  </si>
  <si>
    <r>
      <t xml:space="preserve">22-1 -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Redoublants uniquement</t>
    </r>
    <r>
      <rPr>
        <b/>
        <sz val="9"/>
        <rFont val="Calibri"/>
        <family val="2"/>
      </rPr>
      <t>) .</t>
    </r>
  </si>
  <si>
    <r>
      <t xml:space="preserve">21-1 -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Promus et Redoublants</t>
    </r>
    <r>
      <rPr>
        <b/>
        <sz val="9"/>
        <rFont val="Calibri"/>
        <family val="2"/>
      </rPr>
      <t>) .</t>
    </r>
  </si>
  <si>
    <r>
      <t>21-Répartition des inscrits par genre et par âge constitue le (</t>
    </r>
    <r>
      <rPr>
        <b/>
        <sz val="9"/>
        <color rgb="FFFF0000"/>
        <rFont val="Arial"/>
        <family val="2"/>
      </rPr>
      <t>Total</t>
    </r>
    <r>
      <rPr>
        <b/>
        <sz val="9"/>
        <rFont val="Arial"/>
        <family val="2"/>
      </rPr>
      <t>).</t>
    </r>
  </si>
  <si>
    <r>
      <t xml:space="preserve">20-1 - Il concerne les élèves Inscrits </t>
    </r>
    <r>
      <rPr>
        <b/>
        <sz val="11"/>
        <color indexed="10"/>
        <rFont val="Calibri"/>
        <family val="2"/>
      </rPr>
      <t>Transferés</t>
    </r>
    <r>
      <rPr>
        <b/>
        <sz val="11"/>
        <color indexed="8"/>
        <rFont val="Calibri"/>
        <family val="2"/>
      </rPr>
      <t xml:space="preserve"> vers d'autres collèges (Publiques ou Privées).</t>
    </r>
  </si>
  <si>
    <t xml:space="preserve"> مجموع الأساتذة المرسمين والمتربصين معا.</t>
  </si>
  <si>
    <t xml:space="preserve"> منهم الأساتذة الأجانب</t>
  </si>
  <si>
    <t>المجموع  العام  للأساتذة.</t>
  </si>
  <si>
    <t>Total des Professeurs Titulaires et Stagiaires.</t>
  </si>
  <si>
    <t>Dont Professeurs Etrangers</t>
  </si>
  <si>
    <t>Total Général des Professeurs.</t>
  </si>
  <si>
    <t xml:space="preserve"> مجموع الأساتذة .</t>
  </si>
  <si>
    <t>الأساتذة  حسب الحجم الساعي</t>
  </si>
  <si>
    <t>الأساتذة  حسب المؤهل</t>
  </si>
  <si>
    <t>اللغــة الأمازيغية.</t>
  </si>
  <si>
    <t>التاريخ والجغرافيا.</t>
  </si>
  <si>
    <t>اللغــة الفرنسية.</t>
  </si>
  <si>
    <t>اللغــة الأنجليزية.</t>
  </si>
  <si>
    <t>الرياضيـات.</t>
  </si>
  <si>
    <t>Mathématiques.</t>
  </si>
  <si>
    <t xml:space="preserve">        Discipline de Formation :</t>
  </si>
  <si>
    <t>علوم الطبيعة والحياة.</t>
  </si>
  <si>
    <t>التربية الموسيقية.</t>
  </si>
  <si>
    <t>التربية التشكيلية.</t>
  </si>
  <si>
    <t>التربية البدنية والرياضية.</t>
  </si>
  <si>
    <t xml:space="preserve">       Discipline de Formation :</t>
  </si>
  <si>
    <t>الإعلام الآلي.</t>
  </si>
  <si>
    <t>Informatique.</t>
  </si>
  <si>
    <t>Langue arabe.</t>
  </si>
  <si>
    <t>Langue amazighe.</t>
  </si>
  <si>
    <t>Histoire et géographie.</t>
  </si>
  <si>
    <t>Langue française.</t>
  </si>
  <si>
    <t>Langue anglaise.</t>
  </si>
  <si>
    <t>Sc. Physiques et technologie.</t>
  </si>
  <si>
    <t>Sciences de la nature et de la vie.</t>
  </si>
  <si>
    <t>Education musicale.</t>
  </si>
  <si>
    <t>Education physique et sportive.</t>
  </si>
  <si>
    <t>Education en arts graphiques.</t>
  </si>
  <si>
    <t>العلوم الفيزيائية والتكنولوجيا.</t>
  </si>
  <si>
    <t>العلوم الفيزيائية والتكنولوجيا</t>
  </si>
  <si>
    <t>متعاقدون</t>
  </si>
  <si>
    <t>أساتذة المدرسة الابتدائية</t>
  </si>
  <si>
    <t>مجموع الأساتذة المتعاقدين</t>
  </si>
  <si>
    <t>مرسمــون</t>
  </si>
  <si>
    <t>المجموع  العام  للأساتذة</t>
  </si>
  <si>
    <t xml:space="preserve"> مجموع الأساتذة المرسمين والمتربصين</t>
  </si>
  <si>
    <t>المجمـوع العام  للأساتذة</t>
  </si>
  <si>
    <t>مجموع الأساتذة الأجانب</t>
  </si>
  <si>
    <r>
      <t>2.33 -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</si>
  <si>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t>3.33- توزيع الأساتذة حسب الجنس والمؤهل أو الشهادة المطابقة للرتبة الحالية.</t>
  </si>
  <si>
    <t>4.33- توزيع الأساتذة حسب الجنس وعدد ساعات التدريس المؤداة أسبوعيا.</t>
  </si>
  <si>
    <t>33.4-Répartition des professeurs par genre et selon la charge horaire hebdomadaire assurée.</t>
  </si>
  <si>
    <t>34.4-Répartition des professeurs par genre et selon la charge horaire hebdomadaire assurée.</t>
  </si>
  <si>
    <t>3.34- توزيع الأساتذة حسب الجنس والمؤهل أو الشهادة المطابقة للرتبة الحالية.</t>
  </si>
  <si>
    <t>4.34- توزيع الأساتذة حسب الجنس وعدد ساعات التدريس المؤداة أسبوعيا.</t>
  </si>
  <si>
    <t>3.35- توزيع الأساتذة حسب الجنس والمؤهل أو الشهادة المطابقة للرتبة الحالية.</t>
  </si>
  <si>
    <t>4.35- توزيع الأساتذة حسب الجنس وعدد ساعات التدريس المؤداة أسبوعيا.</t>
  </si>
  <si>
    <t>35.4-Répartition des professeurs par genre et selon la charge horaire hebdomadaire assurée.</t>
  </si>
  <si>
    <t>3.36- توزيع الأساتذة حسب الجنس والمؤهل أو الشهادة المطابقة للرتبة الحالية.</t>
  </si>
  <si>
    <t>4.36- توزيع الأساتذة حسب الجنس وعدد ساعات التدريس المؤداة أسبوعيا.</t>
  </si>
  <si>
    <t>36.4-Répartition des professeurs par genre et selon la charge horaire hebdomadaire assurée.</t>
  </si>
  <si>
    <t>3.37- توزيع الأساتذة حسب الجنس والمؤهل أو الشهادة المطابقة للرتبة الحالية.</t>
  </si>
  <si>
    <t>4.37- توزيع الأساتذة حسب الجنس وعدد ساعات التدريس المؤداة أسبوعيا.</t>
  </si>
  <si>
    <t>37.4-Répartition des professeurs par genre et selon la charge horaire hebdomadaire assurée.</t>
  </si>
  <si>
    <t>3.38- توزيع الأساتذة حسب الجنس والمؤهل أو الشهادة المطابقة للرتبة الحالية.</t>
  </si>
  <si>
    <t>4.38- توزيع الأساتذة حسب الجنس وعدد ساعات التدريس المؤداة أسبوعيا.</t>
  </si>
  <si>
    <t>38.4-Répartition des professeurs par genre et selon la charge horaire hebdomadaire assurée.</t>
  </si>
  <si>
    <t>3.39- توزيع الأساتذة حسب الجنس والمؤهل أو الشهادة المطابقة للرتبة الحالية.</t>
  </si>
  <si>
    <t>4.39- توزيع الأساتذة حسب الجنس وعدد ساعات التدريس المؤداة أسبوعيا.</t>
  </si>
  <si>
    <t>39.4-Répartition des professeurs par genre et selon la charge horaire hebdomadaire assurée.</t>
  </si>
  <si>
    <t>3.40- توزيع الأساتذة حسب الجنس والمؤهل أو الشهادة المطابقة للرتبة الحالية.</t>
  </si>
  <si>
    <t>4.40- توزيع الأساتذة حسب الجنس وعدد ساعات التدريس المؤداة أسبوعيا.</t>
  </si>
  <si>
    <t>40.4-Répartition des professeurs par genre et selon la charge horaire hebdomadaire assurée.</t>
  </si>
  <si>
    <t>3.41- توزيع الأساتذة حسب الجنس والمؤهل أو الشهادة المطابقة للرتبة الحالية.</t>
  </si>
  <si>
    <t>4.41- توزيع الأساتذة حسب الجنس وعدد ساعات التدريس المؤداة أسبوعيا.</t>
  </si>
  <si>
    <t>41.4-Répartition des professeurs par genre et selon la charge horaire hebdomadaire assurée.</t>
  </si>
  <si>
    <t>3.42- توزيع الأساتذة حسب الجنس والمؤهل أو الشهادة المطابقة للرتبة الحالية.</t>
  </si>
  <si>
    <t>4.42- توزيع الأساتذة حسب الجنس وعدد ساعات التدريس المؤداة أسبوعيا.</t>
  </si>
  <si>
    <t>42.4-Répartition des professeurs par genre et selon la charge horaire hebdomadaire assurée.</t>
  </si>
  <si>
    <t>3.43- توزيع الأساتذة حسب الجنس والمؤهل أو الشهادة المطابقة للرتبة الحالية.</t>
  </si>
  <si>
    <t>4.43- توزيع الأساتذة حسب الجنس وعدد ساعات التدريس المؤداة أسبوعيا.</t>
  </si>
  <si>
    <t>43.4-Répartition des professeurs par genre et selon la charge horaire hebdomadaire assurée.</t>
  </si>
  <si>
    <r>
      <t>43.1-Professeurs par genre, âge et grade (</t>
    </r>
    <r>
      <rPr>
        <b/>
        <sz val="10"/>
        <color rgb="FFFF0000"/>
        <rFont val="Times New Roman"/>
        <family val="1"/>
      </rPr>
      <t>Titulaires et Stagiares</t>
    </r>
    <r>
      <rPr>
        <b/>
        <sz val="10"/>
        <rFont val="Times New Roman"/>
        <family val="1"/>
      </rPr>
      <t>).</t>
    </r>
  </si>
  <si>
    <r>
      <t xml:space="preserve">    1.43 -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</si>
  <si>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 xml:space="preserve">    1.42 -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</si>
  <si>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42.1-Professeurs par genre, âge et grade (</t>
    </r>
    <r>
      <rPr>
        <b/>
        <sz val="10"/>
        <color rgb="FFFF0000"/>
        <rFont val="Times New Roman"/>
        <family val="1"/>
      </rPr>
      <t>Titulaires et Stagiares</t>
    </r>
    <r>
      <rPr>
        <b/>
        <sz val="10"/>
        <rFont val="Times New Roman"/>
        <family val="1"/>
      </rPr>
      <t>).</t>
    </r>
  </si>
  <si>
    <r>
      <t>41.1-Professeurs par genre, âge et grade (</t>
    </r>
    <r>
      <rPr>
        <b/>
        <sz val="10"/>
        <color rgb="FFFF0000"/>
        <rFont val="Times New Roman"/>
        <family val="1"/>
      </rPr>
      <t>Titulaires et Stagiares</t>
    </r>
    <r>
      <rPr>
        <b/>
        <sz val="10"/>
        <rFont val="Times New Roman"/>
        <family val="1"/>
      </rPr>
      <t>).</t>
    </r>
  </si>
  <si>
    <r>
      <t xml:space="preserve">    1.41 -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</si>
  <si>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2.41 -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</si>
  <si>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41.2-Professeurs par genre et par âge (</t>
    </r>
    <r>
      <rPr>
        <b/>
        <sz val="8"/>
        <color rgb="FFFF0000"/>
        <rFont val="Times New Roman"/>
        <family val="1"/>
      </rPr>
      <t>Contractuels Seulement</t>
    </r>
    <r>
      <rPr>
        <b/>
        <sz val="8"/>
        <rFont val="Times New Roman"/>
        <family val="1"/>
      </rPr>
      <t>).</t>
    </r>
  </si>
  <si>
    <r>
      <t>43.2-Professeurs par genre et par âge (</t>
    </r>
    <r>
      <rPr>
        <b/>
        <sz val="8"/>
        <color rgb="FFFF0000"/>
        <rFont val="Times New Roman"/>
        <family val="1"/>
      </rPr>
      <t>Contractuels Seulement</t>
    </r>
    <r>
      <rPr>
        <b/>
        <sz val="8"/>
        <rFont val="Times New Roman"/>
        <family val="1"/>
      </rPr>
      <t>).</t>
    </r>
  </si>
  <si>
    <r>
      <t>2.43 -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</si>
  <si>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42.2-Professeurs par genre et par âge (</t>
    </r>
    <r>
      <rPr>
        <b/>
        <sz val="8"/>
        <color rgb="FFFF0000"/>
        <rFont val="Times New Roman"/>
        <family val="1"/>
      </rPr>
      <t>Contractuels Seulement</t>
    </r>
    <r>
      <rPr>
        <b/>
        <sz val="8"/>
        <rFont val="Times New Roman"/>
        <family val="1"/>
      </rPr>
      <t>).</t>
    </r>
  </si>
  <si>
    <r>
      <t>2.42 -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</si>
  <si>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40.1-Professeurs par genre, âge et grade (</t>
    </r>
    <r>
      <rPr>
        <b/>
        <sz val="10"/>
        <color rgb="FFFF0000"/>
        <rFont val="Times New Roman"/>
        <family val="1"/>
      </rPr>
      <t>Titulaires et Stagiares</t>
    </r>
    <r>
      <rPr>
        <b/>
        <sz val="10"/>
        <rFont val="Times New Roman"/>
        <family val="1"/>
      </rPr>
      <t>).</t>
    </r>
  </si>
  <si>
    <r>
      <t xml:space="preserve">    1.40 -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</si>
  <si>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2.40 -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</si>
  <si>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40.2-Professeurs par genre et par âge (</t>
    </r>
    <r>
      <rPr>
        <b/>
        <sz val="8"/>
        <color rgb="FFFF0000"/>
        <rFont val="Times New Roman"/>
        <family val="1"/>
      </rPr>
      <t>Contractuels Seulement</t>
    </r>
    <r>
      <rPr>
        <b/>
        <sz val="8"/>
        <rFont val="Times New Roman"/>
        <family val="1"/>
      </rPr>
      <t>).</t>
    </r>
  </si>
  <si>
    <r>
      <t>39.1-Professeurs par genre, âge et grade (</t>
    </r>
    <r>
      <rPr>
        <b/>
        <sz val="10"/>
        <color rgb="FFFF0000"/>
        <rFont val="Times New Roman"/>
        <family val="1"/>
      </rPr>
      <t>Titulaires et Stagiares</t>
    </r>
    <r>
      <rPr>
        <b/>
        <sz val="10"/>
        <rFont val="Times New Roman"/>
        <family val="1"/>
      </rPr>
      <t>).</t>
    </r>
  </si>
  <si>
    <r>
      <t xml:space="preserve">    1.39 -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</si>
  <si>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2.39 -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</si>
  <si>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39.2-Professeurs par genre et par âge (</t>
    </r>
    <r>
      <rPr>
        <b/>
        <sz val="8"/>
        <color rgb="FFFF0000"/>
        <rFont val="Times New Roman"/>
        <family val="1"/>
      </rPr>
      <t>Contractuels Seulement</t>
    </r>
    <r>
      <rPr>
        <b/>
        <sz val="8"/>
        <rFont val="Times New Roman"/>
        <family val="1"/>
      </rPr>
      <t>).</t>
    </r>
  </si>
  <si>
    <r>
      <t>38.1-Professeurs par genre, âge et grade (</t>
    </r>
    <r>
      <rPr>
        <b/>
        <sz val="10"/>
        <color rgb="FFFF0000"/>
        <rFont val="Times New Roman"/>
        <family val="1"/>
      </rPr>
      <t>Titulaires et Stagiares</t>
    </r>
    <r>
      <rPr>
        <b/>
        <sz val="10"/>
        <rFont val="Times New Roman"/>
        <family val="1"/>
      </rPr>
      <t>).</t>
    </r>
  </si>
  <si>
    <r>
      <t xml:space="preserve">    1.38 -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</si>
  <si>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2.38 -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</si>
  <si>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38.2-Professeurs par genre et par âge (</t>
    </r>
    <r>
      <rPr>
        <b/>
        <sz val="8"/>
        <color rgb="FFFF0000"/>
        <rFont val="Times New Roman"/>
        <family val="1"/>
      </rPr>
      <t>Contractuels Seulement</t>
    </r>
    <r>
      <rPr>
        <b/>
        <sz val="8"/>
        <rFont val="Times New Roman"/>
        <family val="1"/>
      </rPr>
      <t>).</t>
    </r>
  </si>
  <si>
    <t>38.3-Répartition des professeurs par genre et selon le titre ou le diplôme correspondant au grade actuel.</t>
  </si>
  <si>
    <r>
      <t xml:space="preserve">    1.37 -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</si>
  <si>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37.1-Professeurs par genre, âge et grade (</t>
    </r>
    <r>
      <rPr>
        <b/>
        <sz val="10"/>
        <color rgb="FFFF0000"/>
        <rFont val="Times New Roman"/>
        <family val="1"/>
      </rPr>
      <t>Titulaires et Stagiares</t>
    </r>
    <r>
      <rPr>
        <b/>
        <sz val="10"/>
        <rFont val="Times New Roman"/>
        <family val="1"/>
      </rPr>
      <t>).</t>
    </r>
  </si>
  <si>
    <r>
      <t>2.37 -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</si>
  <si>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37.2-Professeurs par genre et par âge (</t>
    </r>
    <r>
      <rPr>
        <b/>
        <sz val="8"/>
        <color rgb="FFFF0000"/>
        <rFont val="Times New Roman"/>
        <family val="1"/>
      </rPr>
      <t>Contractuels Seulement</t>
    </r>
    <r>
      <rPr>
        <b/>
        <sz val="8"/>
        <rFont val="Times New Roman"/>
        <family val="1"/>
      </rPr>
      <t>).</t>
    </r>
  </si>
  <si>
    <r>
      <t xml:space="preserve">    1.36 -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</si>
  <si>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36.1-Professeurs par genre, âge et grade (</t>
    </r>
    <r>
      <rPr>
        <b/>
        <sz val="10"/>
        <color rgb="FFFF0000"/>
        <rFont val="Times New Roman"/>
        <family val="1"/>
      </rPr>
      <t>Titulaires et Stagiares</t>
    </r>
    <r>
      <rPr>
        <b/>
        <sz val="10"/>
        <rFont val="Times New Roman"/>
        <family val="1"/>
      </rPr>
      <t>).</t>
    </r>
  </si>
  <si>
    <r>
      <t>36.2-Professeurs par genre et par âge (</t>
    </r>
    <r>
      <rPr>
        <b/>
        <sz val="8"/>
        <color rgb="FFFF0000"/>
        <rFont val="Times New Roman"/>
        <family val="1"/>
      </rPr>
      <t>Contractuels Seulement</t>
    </r>
    <r>
      <rPr>
        <b/>
        <sz val="8"/>
        <rFont val="Times New Roman"/>
        <family val="1"/>
      </rPr>
      <t>).</t>
    </r>
  </si>
  <si>
    <r>
      <t>2.36 -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</si>
  <si>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35.1-Professeurs par genre, âge et grade (</t>
    </r>
    <r>
      <rPr>
        <b/>
        <sz val="10"/>
        <color rgb="FFFF0000"/>
        <rFont val="Times New Roman"/>
        <family val="1"/>
      </rPr>
      <t>Titulaires et Stagiares</t>
    </r>
    <r>
      <rPr>
        <b/>
        <sz val="10"/>
        <rFont val="Times New Roman"/>
        <family val="1"/>
      </rPr>
      <t>).</t>
    </r>
  </si>
  <si>
    <r>
      <t xml:space="preserve">    1.35 -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</si>
  <si>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2.35 -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</si>
  <si>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35.2-Professeurs par genre et par âge (</t>
    </r>
    <r>
      <rPr>
        <b/>
        <sz val="8"/>
        <color rgb="FFFF0000"/>
        <rFont val="Times New Roman"/>
        <family val="1"/>
      </rPr>
      <t>Contractuels Seulement</t>
    </r>
    <r>
      <rPr>
        <b/>
        <sz val="8"/>
        <rFont val="Times New Roman"/>
        <family val="1"/>
      </rPr>
      <t>).</t>
    </r>
  </si>
  <si>
    <r>
      <t xml:space="preserve">    1.34 -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</si>
  <si>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34.1-Professeurs par genre, âge et grade (</t>
    </r>
    <r>
      <rPr>
        <b/>
        <sz val="10"/>
        <color rgb="FFFF0000"/>
        <rFont val="Times New Roman"/>
        <family val="1"/>
      </rPr>
      <t>Titulaires et Stagiares</t>
    </r>
    <r>
      <rPr>
        <b/>
        <sz val="10"/>
        <rFont val="Times New Roman"/>
        <family val="1"/>
      </rPr>
      <t>).</t>
    </r>
  </si>
  <si>
    <r>
      <t>2.34 -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</si>
  <si>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34.2-Professeurs par genre et par âge (</t>
    </r>
    <r>
      <rPr>
        <b/>
        <sz val="8"/>
        <color rgb="FFFF0000"/>
        <rFont val="Times New Roman"/>
        <family val="1"/>
      </rPr>
      <t>Contractuels Seulement</t>
    </r>
    <r>
      <rPr>
        <b/>
        <sz val="8"/>
        <rFont val="Times New Roman"/>
        <family val="1"/>
      </rPr>
      <t>).</t>
    </r>
  </si>
  <si>
    <r>
      <t>33.1-Professeurs par genre, âge et grade (</t>
    </r>
    <r>
      <rPr>
        <b/>
        <sz val="10"/>
        <color rgb="FFFF0000"/>
        <rFont val="Times New Roman"/>
        <family val="1"/>
      </rPr>
      <t>Titulaires et Stagiares</t>
    </r>
    <r>
      <rPr>
        <b/>
        <sz val="10"/>
        <rFont val="Times New Roman"/>
        <family val="1"/>
      </rPr>
      <t>).</t>
    </r>
  </si>
  <si>
    <r>
      <t>33.2-Professeurs par genre et par âge (</t>
    </r>
    <r>
      <rPr>
        <b/>
        <sz val="8"/>
        <color rgb="FFFF0000"/>
        <rFont val="Times New Roman"/>
        <family val="1"/>
      </rPr>
      <t>Contractuels Seulement</t>
    </r>
    <r>
      <rPr>
        <b/>
        <sz val="8"/>
        <rFont val="Times New Roman"/>
        <family val="1"/>
      </rPr>
      <t>).</t>
    </r>
  </si>
  <si>
    <t>33.3-Répartition des professeurs par genre et selon le titre ou le diplôme correspondant au grade actuel.</t>
  </si>
  <si>
    <t>34.3-Répartition des professeurs par genre et selon le titre ou le diplôme correspondant au grade actuel.</t>
  </si>
  <si>
    <t>35.3-Répartition des professeurs par genre et selon le titre ou le diplôme correspondant au grade actuel.</t>
  </si>
  <si>
    <t>36.3-Répartition des professeurs par genre et selon le titre ou le diplôme correspondant au grade actuel.</t>
  </si>
  <si>
    <t>37.3-Répartition des professeurs par genre et selon le titre ou le diplôme correspondant au grade actuel.</t>
  </si>
  <si>
    <t>39.3-Répartition des professeurs par genre et selon le titre ou le diplôme correspondant au grade actuel.</t>
  </si>
  <si>
    <t>40.3-Répartition des professeurs par genre et selon le titre ou le diplôme correspondant au grade actuel.</t>
  </si>
  <si>
    <t>41.3-Répartition des professeurs par genre et selon le titre ou le diplôme correspondant au grade actuel.</t>
  </si>
  <si>
    <t>42.3-Répartition des professeurs par genre et selon le titre ou le diplôme correspondant au grade actuel.</t>
  </si>
  <si>
    <t>43.3-Répartition des professeurs par genre et selon le titre ou le diplôme correspondant au grade actuel.</t>
  </si>
  <si>
    <t xml:space="preserve">  توزيع المناصب المالية </t>
  </si>
  <si>
    <t xml:space="preserve">حوصلة </t>
  </si>
  <si>
    <t>تطابـق بين الجدولين 1.45 و 2.45</t>
  </si>
  <si>
    <t>علوم فيزيائية وتكنولوجيا</t>
  </si>
  <si>
    <t xml:space="preserve">  من 15 إلى 20 ساعة</t>
  </si>
  <si>
    <t xml:space="preserve">  أكثر من 20 ساعة</t>
  </si>
  <si>
    <r>
      <t xml:space="preserve">العلوم الفيزيائية </t>
    </r>
    <r>
      <rPr>
        <sz val="7"/>
        <rFont val="Times New Roman"/>
        <family val="1"/>
      </rPr>
      <t>والتكنولوجيا</t>
    </r>
  </si>
  <si>
    <t>المنتقلون القادمون من</t>
  </si>
  <si>
    <t xml:space="preserve">متوسطات أخرى. </t>
  </si>
  <si>
    <t>المسجلون المحولون إلى</t>
  </si>
  <si>
    <t xml:space="preserve">  1.3 - قاعـــــــة ريـاضـــــــة ؟</t>
  </si>
  <si>
    <t xml:space="preserve">  2.3 - النقـــــل المـــدرسي ؟</t>
  </si>
  <si>
    <t xml:space="preserve">  3.3- وحدة الكشـف نـمطية  ؟</t>
  </si>
  <si>
    <t xml:space="preserve">  4.3 - مكتبـــــــــــــــــــــــة ؟</t>
  </si>
  <si>
    <t xml:space="preserve"> قاعة درس عادية مستعملة كمكتبـة</t>
  </si>
  <si>
    <t xml:space="preserve"> قاعة متعددة الإختصاصات مستعملة كمكتبـة</t>
  </si>
  <si>
    <r>
      <t xml:space="preserve">  4.2 - قاعات الدرس </t>
    </r>
    <r>
      <rPr>
        <b/>
        <sz val="11"/>
        <color indexed="10"/>
        <rFont val="Times New Roman"/>
        <family val="1"/>
      </rPr>
      <t>المغلقة</t>
    </r>
    <r>
      <rPr>
        <b/>
        <sz val="11"/>
        <rFont val="Times New Roman"/>
        <family val="1"/>
      </rPr>
      <t xml:space="preserve"> حاليا :  </t>
    </r>
  </si>
  <si>
    <t xml:space="preserve">  5.3 - ساحــــــــــــــــــة ؟</t>
  </si>
  <si>
    <t xml:space="preserve">  6.3 - قاعة متعددة الإختصاصات مستعملة :</t>
  </si>
  <si>
    <t xml:space="preserve">  7.3 -  معلومات حـول الهياكـل القاعدية</t>
  </si>
  <si>
    <t xml:space="preserve">8.3 - يوجد الربط بشبكة الكهرباء ؟ </t>
  </si>
  <si>
    <t xml:space="preserve">  9.3 - الربـط بشبكـة الغـــــاز ؟ </t>
  </si>
  <si>
    <t xml:space="preserve"> </t>
  </si>
  <si>
    <t>الرقـم لدى الديوان الوطني للإمتحانات</t>
  </si>
  <si>
    <t xml:space="preserve">  1.1 - تسميـــــة المتوسطة</t>
  </si>
  <si>
    <r>
      <t xml:space="preserve">عدد </t>
    </r>
    <r>
      <rPr>
        <b/>
        <sz val="10"/>
        <rFont val="Arial"/>
        <family val="2"/>
      </rPr>
      <t>قاعات الدرس</t>
    </r>
    <r>
      <rPr>
        <b/>
        <sz val="11"/>
        <rFont val="Arial"/>
        <family val="2"/>
      </rPr>
      <t xml:space="preserve"> المجهزة للتدفئة ؟ </t>
    </r>
  </si>
  <si>
    <t xml:space="preserve"> مجموع الأساتذة.</t>
  </si>
  <si>
    <t>مواد التدريس</t>
  </si>
  <si>
    <t>الرتبة</t>
  </si>
  <si>
    <t xml:space="preserve">    32 - توزيع المناصب المالية المفتوحة  للأساتذة حسب  الرتبة  ومادة التدريس.</t>
  </si>
  <si>
    <t>32-Répartition des postes budgétaires ouverts par grade et discipline.</t>
  </si>
  <si>
    <r>
      <t xml:space="preserve">    1.33 -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r>
      <rPr>
        <b/>
        <i/>
        <sz val="10"/>
        <rFont val="Times New Roman"/>
        <family val="1"/>
      </rPr>
      <t>.</t>
    </r>
  </si>
  <si>
    <r>
      <t xml:space="preserve">    1.44 -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</si>
  <si>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44.1-Professeurs par genre, âge et grade (</t>
    </r>
    <r>
      <rPr>
        <b/>
        <sz val="10"/>
        <color rgb="FFFF0000"/>
        <rFont val="Times New Roman"/>
        <family val="1"/>
      </rPr>
      <t>Titulaires et Stagiares</t>
    </r>
    <r>
      <rPr>
        <b/>
        <sz val="10"/>
        <rFont val="Times New Roman"/>
        <family val="1"/>
      </rPr>
      <t>).</t>
    </r>
  </si>
  <si>
    <r>
      <t>2.44 -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</si>
  <si>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44.2-Professeurs par genre et par âge (</t>
    </r>
    <r>
      <rPr>
        <b/>
        <sz val="8"/>
        <color rgb="FFFF0000"/>
        <rFont val="Times New Roman"/>
        <family val="1"/>
      </rPr>
      <t>Contractuels Seulement</t>
    </r>
    <r>
      <rPr>
        <b/>
        <sz val="8"/>
        <rFont val="Times New Roman"/>
        <family val="1"/>
      </rPr>
      <t>).</t>
    </r>
  </si>
  <si>
    <t>3.44- توزيع الأساتذة حسب الجنس والمؤهل أو الشهادة المطابقة للرتبة الحالية.</t>
  </si>
  <si>
    <t>44.3-Répartition des professeurs par genre et selon le titre ou le diplôme correspondant au grade actuel.</t>
  </si>
  <si>
    <t>4.44- توزيع الأساتذة حسب الجنس وعدد ساعات التدريس المؤداة أسبوعيا.</t>
  </si>
  <si>
    <t>44.4-Répartition des professeurs par genre et selon la charge horaire hebdomadaire assurée.</t>
  </si>
  <si>
    <t xml:space="preserve">    1.45 - توزيع الأساتذة  حسب الجنس، الإطار المهني ومواد التدريس </t>
  </si>
  <si>
    <t xml:space="preserve">    1.46 - توزيع الأساتذة حسب الجنس، الإطــارالمهني، والوضعبة الإداريــة </t>
  </si>
  <si>
    <t xml:space="preserve">    2.48 - توزيع الأساتذة حسب مواد التدريس، الجنس وعدد ساعات التدريس المؤداة أسبوعيا </t>
  </si>
  <si>
    <r>
      <t xml:space="preserve">  2.49 - توزيع الأساتذة حسب الجنس، </t>
    </r>
    <r>
      <rPr>
        <b/>
        <sz val="11"/>
        <color indexed="30"/>
        <rFont val="Times New Roman"/>
        <family val="1"/>
      </rPr>
      <t>مواد التدريس</t>
    </r>
    <r>
      <rPr>
        <b/>
        <sz val="11"/>
        <rFont val="Times New Roman"/>
        <family val="1"/>
      </rPr>
      <t xml:space="preserve"> والمؤهل العلمي</t>
    </r>
  </si>
  <si>
    <t xml:space="preserve">    1.50 - توزيع الموظفين الإداريين حسب الجنس، الإطــار المهني والوضعية الإدارية </t>
  </si>
  <si>
    <t>Total des Professeurs</t>
  </si>
  <si>
    <t>Professeurs de l'école primaire</t>
  </si>
  <si>
    <t>Professeur de l'enseignement moyen</t>
  </si>
  <si>
    <t>Professeur coordinateur de l'enseignement moyen</t>
  </si>
  <si>
    <t>Professeur principal de l'enseignement moyen</t>
  </si>
  <si>
    <t>المرسمين والمتربصين معا</t>
  </si>
  <si>
    <t>الإطــار المهني</t>
  </si>
  <si>
    <t xml:space="preserve">مـــواد التدريـس  والجنس </t>
  </si>
  <si>
    <t>تطابـق بين الجدولين 1.46 و 2.46</t>
  </si>
  <si>
    <t xml:space="preserve">    2.46 - توزيع الأساتذة حسب السـن، الجنس والإطــارالمهني</t>
  </si>
  <si>
    <t>تطابـق بين الجدولين 2.48 و 2.45</t>
  </si>
  <si>
    <t>تطابـق بين الجدولين 2.49 و 2.45</t>
  </si>
  <si>
    <t>تطابـق بين الجدولين 2.47 و 2.45</t>
  </si>
  <si>
    <t>تطابـق بين الجدولين 1.47 و 2.45</t>
  </si>
  <si>
    <t>تطابـق بين الجدولين 1.46 و 1.45</t>
  </si>
  <si>
    <r>
      <t xml:space="preserve">  3.49 - توزيع الأساتذة (</t>
    </r>
    <r>
      <rPr>
        <b/>
        <sz val="11"/>
        <color rgb="FFFF0000"/>
        <rFont val="Times New Roman"/>
        <family val="1"/>
      </rPr>
      <t>المتعاقدون</t>
    </r>
    <r>
      <rPr>
        <b/>
        <sz val="11"/>
        <rFont val="Times New Roman"/>
        <family val="1"/>
      </rPr>
      <t xml:space="preserve">) حسب الجنس، </t>
    </r>
    <r>
      <rPr>
        <b/>
        <sz val="11"/>
        <color indexed="30"/>
        <rFont val="Times New Roman"/>
        <family val="1"/>
      </rPr>
      <t>مواد التدريس</t>
    </r>
    <r>
      <rPr>
        <b/>
        <sz val="11"/>
        <rFont val="Times New Roman"/>
        <family val="1"/>
      </rPr>
      <t xml:space="preserve"> والمؤهل العلمي</t>
    </r>
  </si>
  <si>
    <t xml:space="preserve"> تحديد و تشخيص المتوسطة </t>
  </si>
  <si>
    <t>تطابـق بين الجدولين 24 و 1.23</t>
  </si>
  <si>
    <t>تطابق الجدولين 1.23 و 2.23</t>
  </si>
  <si>
    <t>تطابـق بين الجداول 24 و 2.4 و 5.4</t>
  </si>
  <si>
    <t xml:space="preserve">    28 - توزيع الأفــواج التربوية حسب المستوى الدراسي</t>
  </si>
  <si>
    <t xml:space="preserve">    1.29 - توزيع الأفواج التربوية  والتلاميذ المسجلين حسب الجنس والمستوى الدراسي.</t>
  </si>
  <si>
    <t xml:space="preserve">    2.29 - توزيع الأساتذة حسب الجنس والإطـــار المهني</t>
  </si>
  <si>
    <t xml:space="preserve">  1.31 - الناجحون في امتحان شهادة التعليم المتوسط حسب الجنس</t>
  </si>
  <si>
    <t xml:space="preserve">  2.31 - المنتقلون إلى السنة الأولى ثانوي حسب الجنس وكيفية الإنتقال و الإعـادة</t>
  </si>
  <si>
    <r>
      <t xml:space="preserve">    3.31 - توزيع التلاميذ </t>
    </r>
    <r>
      <rPr>
        <b/>
        <sz val="12"/>
        <color indexed="10"/>
        <rFont val="Times New Roman"/>
        <family val="1"/>
      </rPr>
      <t>المتخلين والمطرودين</t>
    </r>
    <r>
      <rPr>
        <b/>
        <sz val="12"/>
        <rFont val="Times New Roman"/>
        <family val="1"/>
      </rPr>
      <t xml:space="preserve"> حسب الجنس والمستوى الدراسي </t>
    </r>
    <r>
      <rPr>
        <b/>
        <sz val="12"/>
        <color indexed="10"/>
        <rFont val="Times New Roman"/>
        <family val="1"/>
      </rPr>
      <t xml:space="preserve">خلال السنة الدراسية الماضية </t>
    </r>
  </si>
  <si>
    <r>
      <t xml:space="preserve">    4.31 - توزيع التلاميذ </t>
    </r>
    <r>
      <rPr>
        <b/>
        <sz val="12"/>
        <color rgb="FFFF0000"/>
        <rFont val="Times New Roman"/>
        <family val="1"/>
      </rPr>
      <t xml:space="preserve">المنفصلين مؤقتا </t>
    </r>
    <r>
      <rPr>
        <b/>
        <sz val="12"/>
        <rFont val="Times New Roman"/>
        <family val="1"/>
      </rPr>
      <t xml:space="preserve">حسب الجنس والمستوى الدراسي </t>
    </r>
    <r>
      <rPr>
        <b/>
        <sz val="12"/>
        <color indexed="10"/>
        <rFont val="Times New Roman"/>
        <family val="1"/>
      </rPr>
      <t xml:space="preserve">خلال السنة الدراسية الماضية </t>
    </r>
  </si>
  <si>
    <t xml:space="preserve">   المستوى الدراسي</t>
  </si>
  <si>
    <t xml:space="preserve">   المستوى الدراسي  </t>
  </si>
  <si>
    <t xml:space="preserve"> اللغـة الآمازيغيــــة</t>
  </si>
  <si>
    <t>Langue Amazighe</t>
  </si>
  <si>
    <t>Classes sport et études</t>
  </si>
  <si>
    <t xml:space="preserve">  أقســام الرياضة والدراسة</t>
  </si>
  <si>
    <t>قاعات الدرس العادية والمتخصصة المستعملة والهياكل الأخرى</t>
  </si>
  <si>
    <t>معلومات عامة حول هياكل الدعم التابعة للمتوسطة</t>
  </si>
  <si>
    <t>معلومات عامة حول الهياكل القاعدية التابعة للمتوسطة</t>
  </si>
  <si>
    <t>ملاحضات عامة عن وضعية المتوسطة  ومقاطعة المتوسطة</t>
  </si>
  <si>
    <t>معلومات حول إدارة المتوسطة</t>
  </si>
  <si>
    <t>وضعية التلاميذ المسجلين</t>
  </si>
  <si>
    <t xml:space="preserve">توزيع المسجلين والمعيدين حسب الجنس والسن للسنة أولى متوسط </t>
  </si>
  <si>
    <t xml:space="preserve">توزيع المسجلين والمعيدين حسب الجنس والسن للسنة الثانية متوسط </t>
  </si>
  <si>
    <t xml:space="preserve">توزيع المسجلين والمعيدين حسب الجنس والسن للسنة الثالثة متوسط </t>
  </si>
  <si>
    <t xml:space="preserve">توزيع المسجلين والمعيدين حسب الجنس والسن للسنة الرابعة متوسط </t>
  </si>
  <si>
    <t xml:space="preserve">حوصلة توزيع المسجلين والمعيدين حسب الجنس والسن حسب المستوى الدراسي </t>
  </si>
  <si>
    <t>توزيع المسجلين والمعيدين حسب السن الوافدون من مؤسسات الخاصة</t>
  </si>
  <si>
    <t>توزيع الأفواج التربوية حسب المستوى الدراسي  تعليم اللغـة الآمازيغيــــة</t>
  </si>
  <si>
    <t>توزيع التلاميذ المسجلين حسب الجنس،السن تعليم اللغـة الآمازيغيــــة</t>
  </si>
  <si>
    <t xml:space="preserve">توزيع  الأساتذة حسب الجنس و الاطار المهني تعليم اللغـة الآمازيغيــــة   </t>
  </si>
  <si>
    <t xml:space="preserve">توزيع الأفواج التربوية حسب المستوى الدراسي  أقسام الرياضة والدراسة        </t>
  </si>
  <si>
    <t xml:space="preserve">  توزيع التلاميذ المسجلين حسب الجنس أقسام الرياضة والدراسة</t>
  </si>
  <si>
    <t>التسرب المدرسي</t>
  </si>
  <si>
    <t>وضعية أساتذة التعليم المتوسط</t>
  </si>
  <si>
    <t>توزيع المناصب المالية المفتوحة للأسلتذة حسب الرتبة ومادة التدريس</t>
  </si>
  <si>
    <t>توزيع المناصب المشغولة حسب السن والرتبة  لمادة اللغة العربية</t>
  </si>
  <si>
    <t>توزيع المناصب المشغولة حسب السن والرتبة  لمادة اللغة الأمازيغية</t>
  </si>
  <si>
    <t>توزيع المناصب المشغولة حسب السن والرتبة  لمادة التاريخ والجغرافيا</t>
  </si>
  <si>
    <t>توزيع المناصب المشغولة حسب السن والرتبة  لمادة اللغة الفرنسية</t>
  </si>
  <si>
    <t>توزيع المناصب المشغولة حسب السن والرتبة  لمادة اللغة الأنجليزية</t>
  </si>
  <si>
    <t>توزيع المناصب المشغولة حسب السن والرتبة  لمادة الرياضيات</t>
  </si>
  <si>
    <t>توزيع المناصب المشغولة حسب السن  لمادة ع الفيزيائية والتكنولوجيا</t>
  </si>
  <si>
    <t>توزيع المناصب المشغولة حسب السن والرتبة  لمادة ع الطبيعة والحياة</t>
  </si>
  <si>
    <t>توزيع المناصب المشغولة حسب السن والرتبة  لمادة التربية الموسيقية</t>
  </si>
  <si>
    <t>توزيع المناصب المشغولة حسب السن والرتبة  لمادة التربية التشكيلية</t>
  </si>
  <si>
    <t>توزيع المناصب المشغولة حسب السن لمادة التربية البدنية والرياضية</t>
  </si>
  <si>
    <t>توزيع المناصب المشغولة حسب السن والرتبة  لمادة الإعلام الآلي</t>
  </si>
  <si>
    <t>توزيع الأساتذة الجدد حسب الجنس، الإطار المهني ومواد التدريس</t>
  </si>
  <si>
    <t>حوصلة توزيع الأساتذة حسب الجنس، الإطار المهني ومواد التدريس</t>
  </si>
  <si>
    <t>توزيع الأساتذة حسب الجنس، الإطار المهني والوضعية الإدارية</t>
  </si>
  <si>
    <t>الأساتذة المرسمون والمتربصون حسب الجنس، السن ومواد التدريس</t>
  </si>
  <si>
    <t>توزيع الأساتذة المتعاقدون حسب الجنس، السن ومواد التدريس</t>
  </si>
  <si>
    <t>حوصلة توزيع الأساتذة حسب الجنس، السن والإطار المهني</t>
  </si>
  <si>
    <t>توزيع الأساتذة حسب مواد التكوين و مواد التدريس    المكلفين جزئيا</t>
  </si>
  <si>
    <t>حوصلة توزيع الأساتذة حسب مواد التدريس والساعات التدريس المؤداة</t>
  </si>
  <si>
    <t xml:space="preserve">توزيع الأساتذة المشتغلين جزء من الوقت </t>
  </si>
  <si>
    <t>حوصلة توزيع الأساتذة حسب الجنس، مواد التدريس والمؤهل العلمي</t>
  </si>
  <si>
    <t>توزيع الأساتذة المتعاقدين حسب الجنس، مواد التدريس والمؤهل العلمي</t>
  </si>
  <si>
    <t>موظفو الإدارة والتربية</t>
  </si>
  <si>
    <t>توزيع الموظفين الإداريين حسب الجنس، الإطار المهني والوضعية الإدارية</t>
  </si>
  <si>
    <t>حوصلة عددونسب الإنتقال، الإعادة والخلي المدرسي</t>
  </si>
  <si>
    <t>توزيع الموظفين الإداريين حسب الجنس، الجنس والإطار المهني ج 1</t>
  </si>
  <si>
    <t>توزيع الموظفين الإداريين حسب الجنس، الجنس والإطار المهني ج 2</t>
  </si>
  <si>
    <t>حوصلة</t>
  </si>
  <si>
    <t>تطابـق بين الجدولين 1.50 و 3.50</t>
  </si>
  <si>
    <t>Chauffage Central</t>
  </si>
  <si>
    <t>Chauffage Ordinaire</t>
  </si>
  <si>
    <t>Climatiseurs  مكيفــات هوائيــة</t>
  </si>
  <si>
    <t>Ventilateurs مروحيات</t>
  </si>
  <si>
    <t xml:space="preserve">المتوسطة مزوﱠدة  بالغـــاز ؟ </t>
  </si>
  <si>
    <t xml:space="preserve">وضعية مراقد الداخلية   </t>
  </si>
  <si>
    <r>
      <rPr>
        <b/>
        <sz val="22"/>
        <rFont val="Arial"/>
        <family val="2"/>
      </rPr>
      <t>التعليـــم المتوســــط</t>
    </r>
    <r>
      <rPr>
        <b/>
        <sz val="20"/>
        <rFont val="Arial"/>
        <family val="2"/>
      </rPr>
      <t xml:space="preserve">
</t>
    </r>
    <r>
      <rPr>
        <b/>
        <sz val="18"/>
        <rFont val="Arial"/>
        <family val="2"/>
      </rPr>
      <t>Enseignement Moyen</t>
    </r>
  </si>
  <si>
    <t>تطابـق بين الجدولين 3.49 و 2.45</t>
  </si>
  <si>
    <t xml:space="preserve">عــدد المتخلين ونسب التخلــي </t>
  </si>
  <si>
    <t>عــدد المعيدين ونسب الإعــادة</t>
  </si>
  <si>
    <t>عــدد  المنتقـلين  ونسب الإنتقــال</t>
  </si>
  <si>
    <t>مستشار التوجيه والإرشاد المدرسي والمهني</t>
  </si>
  <si>
    <t>معاون تقني للمخبر والصيانة</t>
  </si>
  <si>
    <t>عون تقني للمخبر والصيانة</t>
  </si>
  <si>
    <t>مساعد تمريض رئيسي للصحة العمومية</t>
  </si>
  <si>
    <t>مساعد رئيسي للصحة العمومية</t>
  </si>
  <si>
    <t>مساعد وثائقي آمين محفوظات</t>
  </si>
  <si>
    <t>عامل مهني - مستوى 3</t>
  </si>
  <si>
    <t>عامل مهني - مستوى 2</t>
  </si>
  <si>
    <t xml:space="preserve">1.10 - هـل الإدارة مجهــــزة ؟ </t>
  </si>
  <si>
    <t xml:space="preserve">2.10 - هـل الإدارة متصلة بالأنترنت ؟ </t>
  </si>
  <si>
    <t>Serveurs</t>
  </si>
  <si>
    <t>Ordinateurs</t>
  </si>
  <si>
    <t>Connexion Internet</t>
  </si>
  <si>
    <t>Equipements Informatiques</t>
  </si>
  <si>
    <t>Administration équipée</t>
  </si>
  <si>
    <r>
      <t xml:space="preserve">5- ملاحظات عامة عن وضعية  المتوسطة في مختلف الجوانب المتعلقة  بها ( </t>
    </r>
    <r>
      <rPr>
        <b/>
        <sz val="10"/>
        <rFont val="Times New Roman"/>
        <family val="1"/>
      </rPr>
      <t>التوسيع، الترميم، التجهيز، الثأثيت</t>
    </r>
    <r>
      <rPr>
        <b/>
        <sz val="12"/>
        <rFont val="Times New Roman"/>
        <family val="1"/>
      </rPr>
      <t>، . . . . . .)</t>
    </r>
  </si>
  <si>
    <t>شهادة معاهـد تكوين الأساتذة</t>
  </si>
  <si>
    <t xml:space="preserve"> مجموع المرسمين والمتربصين معا.</t>
  </si>
  <si>
    <r>
      <t xml:space="preserve">  4.49 - توزيع الأساتذة (</t>
    </r>
    <r>
      <rPr>
        <b/>
        <sz val="11"/>
        <color rgb="FFFF0000"/>
        <rFont val="Times New Roman"/>
        <family val="1"/>
      </rPr>
      <t>المتعاقدون</t>
    </r>
    <r>
      <rPr>
        <b/>
        <sz val="11"/>
        <rFont val="Times New Roman"/>
        <family val="1"/>
      </rPr>
      <t xml:space="preserve">) حسب الجنس، </t>
    </r>
    <r>
      <rPr>
        <b/>
        <sz val="11"/>
        <color indexed="30"/>
        <rFont val="Times New Roman"/>
        <family val="1"/>
      </rPr>
      <t>مواد التدريس</t>
    </r>
    <r>
      <rPr>
        <b/>
        <sz val="11"/>
        <rFont val="Times New Roman"/>
        <family val="1"/>
      </rPr>
      <t xml:space="preserve"> والإطــار المهني</t>
    </r>
  </si>
  <si>
    <r>
      <rPr>
        <b/>
        <sz val="13"/>
        <color indexed="10"/>
        <rFont val="Arial"/>
        <family val="2"/>
      </rPr>
      <t>تنبيه</t>
    </r>
    <r>
      <rPr>
        <b/>
        <sz val="13"/>
        <color indexed="30"/>
        <rFont val="Arial"/>
        <family val="2"/>
      </rPr>
      <t xml:space="preserve"> - التدوين الصحيح لتسميـة المتوسطة في الخانة المناسبة يكون على النحو التالي (مثلا)     :                   </t>
    </r>
    <r>
      <rPr>
        <b/>
        <sz val="14"/>
        <color indexed="30"/>
        <rFont val="Arial"/>
        <family val="2"/>
      </rPr>
      <t xml:space="preserve"> </t>
    </r>
    <r>
      <rPr>
        <b/>
        <sz val="14"/>
        <color indexed="17"/>
        <rFont val="Arial"/>
        <family val="2"/>
      </rPr>
      <t>الأمير عبد القادر</t>
    </r>
    <r>
      <rPr>
        <b/>
        <sz val="13"/>
        <color indexed="17"/>
        <rFont val="Arial"/>
        <family val="2"/>
      </rPr>
      <t xml:space="preserve">   </t>
    </r>
    <r>
      <rPr>
        <b/>
        <sz val="13"/>
        <color indexed="30"/>
        <rFont val="Arial"/>
        <family val="2"/>
      </rPr>
      <t xml:space="preserve">                           عوض من  </t>
    </r>
    <r>
      <rPr>
        <b/>
        <u/>
        <sz val="13"/>
        <color indexed="10"/>
        <rFont val="Arial"/>
        <family val="2"/>
      </rPr>
      <t>متوسطة</t>
    </r>
    <r>
      <rPr>
        <sz val="13"/>
        <color indexed="30"/>
        <rFont val="Arial"/>
        <family val="2"/>
      </rPr>
      <t xml:space="preserve"> </t>
    </r>
    <r>
      <rPr>
        <b/>
        <u/>
        <sz val="13"/>
        <color indexed="60"/>
        <rFont val="Arial"/>
        <family val="2"/>
      </rPr>
      <t>الأمـيــر عبــــد القــــادر</t>
    </r>
    <r>
      <rPr>
        <b/>
        <sz val="13"/>
        <color indexed="30"/>
        <rFont val="Arial"/>
        <family val="2"/>
      </rPr>
      <t xml:space="preserve">  </t>
    </r>
    <r>
      <rPr>
        <b/>
        <u/>
        <sz val="13"/>
        <color indexed="10"/>
        <rFont val="Arial"/>
        <family val="2"/>
      </rPr>
      <t>بلدية  الجزائ</t>
    </r>
    <r>
      <rPr>
        <b/>
        <sz val="13"/>
        <color indexed="10"/>
        <rFont val="Arial"/>
        <family val="2"/>
      </rPr>
      <t xml:space="preserve">ر                                        </t>
    </r>
    <r>
      <rPr>
        <b/>
        <sz val="13"/>
        <rFont val="Arial"/>
        <family val="2"/>
      </rPr>
      <t xml:space="preserve">  (مع تفادي تمديد الحروف )</t>
    </r>
  </si>
  <si>
    <r>
      <t>إذا كان الجواب ب"</t>
    </r>
    <r>
      <rPr>
        <b/>
        <sz val="11"/>
        <color indexed="10"/>
        <rFont val="Times New Roman"/>
        <family val="1"/>
      </rPr>
      <t>نعم</t>
    </r>
    <r>
      <rPr>
        <b/>
        <sz val="11"/>
        <color indexed="62"/>
        <rFont val="Times New Roman"/>
        <family val="1"/>
      </rPr>
      <t xml:space="preserve">" ضع رقم </t>
    </r>
    <r>
      <rPr>
        <b/>
        <sz val="11"/>
        <color indexed="10"/>
        <rFont val="Times New Roman"/>
        <family val="1"/>
      </rPr>
      <t>1</t>
    </r>
    <r>
      <rPr>
        <b/>
        <sz val="11"/>
        <color indexed="62"/>
        <rFont val="Times New Roman"/>
        <family val="1"/>
      </rPr>
      <t xml:space="preserve"> و إذا كان ب"</t>
    </r>
    <r>
      <rPr>
        <b/>
        <sz val="11"/>
        <color indexed="10"/>
        <rFont val="Times New Roman"/>
        <family val="1"/>
      </rPr>
      <t>لا</t>
    </r>
    <r>
      <rPr>
        <b/>
        <sz val="11"/>
        <color indexed="62"/>
        <rFont val="Times New Roman"/>
        <family val="1"/>
      </rPr>
      <t xml:space="preserve">" ضع رقم </t>
    </r>
    <r>
      <rPr>
        <b/>
        <sz val="11"/>
        <color indexed="10"/>
        <rFont val="Times New Roman"/>
        <family val="1"/>
      </rPr>
      <t>0</t>
    </r>
    <r>
      <rPr>
        <b/>
        <sz val="11"/>
        <color indexed="62"/>
        <rFont val="Times New Roman"/>
        <family val="1"/>
      </rPr>
      <t xml:space="preserve">    </t>
    </r>
  </si>
  <si>
    <r>
      <rPr>
        <b/>
        <sz val="10"/>
        <color indexed="62"/>
        <rFont val="Times New Roman"/>
        <family val="1"/>
      </rPr>
      <t xml:space="preserve">  ضع </t>
    </r>
    <r>
      <rPr>
        <b/>
        <sz val="10"/>
        <color indexed="10"/>
        <rFont val="Times New Roman"/>
        <family val="1"/>
      </rPr>
      <t xml:space="preserve">العدد الملائم  </t>
    </r>
    <r>
      <rPr>
        <b/>
        <u/>
        <sz val="10"/>
        <color indexed="62"/>
        <rFont val="Times New Roman"/>
        <family val="1"/>
      </rPr>
      <t xml:space="preserve">في الخانة المناسبة  </t>
    </r>
  </si>
  <si>
    <t>Se contenter de la copie des chiffres pour préserver le contenu de l'aide générale.</t>
  </si>
  <si>
    <t>Ne jamais couper les cellules lors d'une copie pour éviter la déprogrammation.</t>
  </si>
  <si>
    <t>تجنب قص الخلايا عند لصقها أو نقلها الى خلايا أخرى لما تسببه من إتلاف البرمجية.</t>
  </si>
  <si>
    <t>عند نسخ الخلايا تجنب النسخ العام وإقتصار على نسخ الأرقام فقط للمحافظة على محتويات المساعدة العامة.</t>
  </si>
  <si>
    <r>
      <rPr>
        <b/>
        <sz val="14"/>
        <color indexed="56"/>
        <rFont val="Arial"/>
        <family val="2"/>
      </rPr>
      <t xml:space="preserve">ملاحظة أسـاسـيـة </t>
    </r>
    <r>
      <rPr>
        <b/>
        <sz val="12"/>
        <color indexed="56"/>
        <rFont val="Arial"/>
        <family val="2"/>
      </rPr>
      <t xml:space="preserve">     Remarque Importante</t>
    </r>
  </si>
  <si>
    <t xml:space="preserve">  إسم  مدير(ة) المتوسطة :</t>
  </si>
  <si>
    <t>وحدة الكشـف والمتابعة الصحية</t>
  </si>
  <si>
    <t xml:space="preserve">عدد الحافلات المستعملة ؟ </t>
  </si>
  <si>
    <t xml:space="preserve">عـدد المؤلفــات ؟ </t>
  </si>
  <si>
    <t xml:space="preserve"> عـــدد الكتـــب ؟ </t>
  </si>
  <si>
    <t xml:space="preserve">  كمخبر للإعلام الآلي ؟</t>
  </si>
  <si>
    <t xml:space="preserve">هـل هـو  مجهــــز ؟  </t>
  </si>
  <si>
    <r>
      <t xml:space="preserve">عدد أجهـزة </t>
    </r>
    <r>
      <rPr>
        <b/>
        <sz val="11"/>
        <color theme="9" tint="-0.499984740745262"/>
        <rFont val="Arial"/>
        <family val="2"/>
      </rPr>
      <t>التلاميذ</t>
    </r>
    <r>
      <rPr>
        <b/>
        <sz val="11"/>
        <rFont val="Arial"/>
        <family val="2"/>
      </rPr>
      <t xml:space="preserve"> ؟  </t>
    </r>
  </si>
  <si>
    <r>
      <t xml:space="preserve">عدد أجهـزة </t>
    </r>
    <r>
      <rPr>
        <b/>
        <sz val="11"/>
        <color theme="9" tint="-0.499984740745262"/>
        <rFont val="Arial"/>
        <family val="2"/>
      </rPr>
      <t>الأساتذة</t>
    </r>
    <r>
      <rPr>
        <b/>
        <sz val="11"/>
        <rFont val="Arial"/>
        <family val="2"/>
      </rPr>
      <t xml:space="preserve"> ؟  </t>
    </r>
  </si>
  <si>
    <t xml:space="preserve">توجد المراحيض  ؟  </t>
  </si>
  <si>
    <t xml:space="preserve">عدد المراحيض المستعملة ؟ </t>
  </si>
  <si>
    <t xml:space="preserve">تــوجد الفضـاءات لغسل الأيـدي ؟ </t>
  </si>
  <si>
    <t xml:space="preserve">عدد الحنفيات المياه الشغالة ؟ </t>
  </si>
  <si>
    <t xml:space="preserve"> عـدد الحنفيات  </t>
  </si>
  <si>
    <t xml:space="preserve">الحنفيات مخصصة للبنات </t>
  </si>
  <si>
    <t xml:space="preserve">عدد الأجهزة المازوت ؟ </t>
  </si>
  <si>
    <t xml:space="preserve">  عدد الأجهزة المازوت ؟ </t>
  </si>
  <si>
    <t xml:space="preserve">    إسم  مدير(ة) المتوسطة :</t>
  </si>
  <si>
    <r>
      <rPr>
        <b/>
        <sz val="11"/>
        <color indexed="17"/>
        <rFont val="Times New Roman"/>
        <family val="1"/>
      </rPr>
      <t xml:space="preserve">التخلي المدرسي حسب </t>
    </r>
    <r>
      <rPr>
        <b/>
        <sz val="11"/>
        <rFont val="Times New Roman"/>
        <family val="1"/>
      </rPr>
      <t xml:space="preserve">السن والجنس ( مقارنة </t>
    </r>
    <r>
      <rPr>
        <b/>
        <sz val="11"/>
        <color indexed="10"/>
        <rFont val="Times New Roman"/>
        <family val="1"/>
      </rPr>
      <t xml:space="preserve">معطيات شهر أكتوبر للسنة الحالية مع السنة الماضية </t>
    </r>
    <r>
      <rPr>
        <b/>
        <sz val="11"/>
        <rFont val="Times New Roman"/>
        <family val="1"/>
      </rPr>
      <t>)</t>
    </r>
  </si>
  <si>
    <t>التسرب المدرسي -  تطابق التخلي حسب السنة الدراسية مع مجموع المتخلين والمطرودين</t>
  </si>
  <si>
    <r>
      <t xml:space="preserve">1-11- منهم التلاميذ المسجلون </t>
    </r>
    <r>
      <rPr>
        <b/>
        <sz val="11"/>
        <color indexed="10"/>
        <rFont val="Times New Roman"/>
        <family val="1"/>
      </rPr>
      <t>المحولون</t>
    </r>
    <r>
      <rPr>
        <b/>
        <sz val="11"/>
        <rFont val="Times New Roman"/>
        <family val="1"/>
      </rPr>
      <t xml:space="preserve"> إلى متوسطات أخرى. </t>
    </r>
  </si>
  <si>
    <r>
      <t xml:space="preserve">11-1 - Dont Elèves Inscrits </t>
    </r>
    <r>
      <rPr>
        <b/>
        <sz val="9"/>
        <color indexed="10"/>
        <rFont val="Arial"/>
        <family val="2"/>
      </rPr>
      <t>Transferés</t>
    </r>
    <r>
      <rPr>
        <b/>
        <sz val="9"/>
        <color indexed="8"/>
        <rFont val="Arial"/>
        <family val="2"/>
      </rPr>
      <t xml:space="preserve"> vers d'autres collèges .</t>
    </r>
  </si>
  <si>
    <r>
      <t xml:space="preserve">14-1 - Dont Elèves Inscrits </t>
    </r>
    <r>
      <rPr>
        <b/>
        <sz val="9"/>
        <color indexed="10"/>
        <rFont val="Arial"/>
        <family val="2"/>
      </rPr>
      <t>Transferés</t>
    </r>
    <r>
      <rPr>
        <b/>
        <sz val="9"/>
        <color indexed="8"/>
        <rFont val="Arial"/>
        <family val="2"/>
      </rPr>
      <t xml:space="preserve"> vers d'autres collèges .</t>
    </r>
  </si>
  <si>
    <r>
      <t xml:space="preserve">1-14- منهم التلاميذ المسجلون </t>
    </r>
    <r>
      <rPr>
        <b/>
        <sz val="11"/>
        <color indexed="10"/>
        <rFont val="Times New Roman"/>
        <family val="1"/>
      </rPr>
      <t>المحولون</t>
    </r>
    <r>
      <rPr>
        <b/>
        <sz val="11"/>
        <rFont val="Times New Roman"/>
        <family val="1"/>
      </rPr>
      <t xml:space="preserve"> إلى متوسطات أخرى. </t>
    </r>
  </si>
  <si>
    <r>
      <t xml:space="preserve">1-17- منهم التلاميذ المسجلون </t>
    </r>
    <r>
      <rPr>
        <b/>
        <sz val="11"/>
        <color indexed="10"/>
        <rFont val="Times New Roman"/>
        <family val="1"/>
      </rPr>
      <t>المحولون</t>
    </r>
    <r>
      <rPr>
        <b/>
        <sz val="11"/>
        <rFont val="Times New Roman"/>
        <family val="1"/>
      </rPr>
      <t xml:space="preserve"> إلى متوسطات أخرى. </t>
    </r>
  </si>
  <si>
    <r>
      <t xml:space="preserve">18-1 - Dont Elèves Inscrits </t>
    </r>
    <r>
      <rPr>
        <b/>
        <sz val="9"/>
        <color indexed="10"/>
        <rFont val="Arial"/>
        <family val="2"/>
      </rPr>
      <t>Transferés</t>
    </r>
    <r>
      <rPr>
        <b/>
        <sz val="9"/>
        <color indexed="8"/>
        <rFont val="Arial"/>
        <family val="2"/>
      </rPr>
      <t xml:space="preserve"> vers d'autres collèges .</t>
    </r>
  </si>
  <si>
    <r>
      <t xml:space="preserve">20-1 - Dont Elèves Inscrits </t>
    </r>
    <r>
      <rPr>
        <b/>
        <sz val="9"/>
        <color indexed="10"/>
        <rFont val="Arial"/>
        <family val="2"/>
      </rPr>
      <t>Transferés</t>
    </r>
    <r>
      <rPr>
        <b/>
        <sz val="9"/>
        <color indexed="8"/>
        <rFont val="Arial"/>
        <family val="2"/>
      </rPr>
      <t xml:space="preserve"> vers d'autres collèges .</t>
    </r>
  </si>
  <si>
    <r>
      <t xml:space="preserve">1-20- منهم التلاميذ المسجلون </t>
    </r>
    <r>
      <rPr>
        <b/>
        <sz val="11"/>
        <color indexed="10"/>
        <rFont val="Times New Roman"/>
        <family val="1"/>
      </rPr>
      <t>المحولون</t>
    </r>
    <r>
      <rPr>
        <b/>
        <sz val="11"/>
        <rFont val="Times New Roman"/>
        <family val="1"/>
      </rPr>
      <t xml:space="preserve"> إلى متوسطات أخرى. </t>
    </r>
  </si>
  <si>
    <t xml:space="preserve">    30 - توزيع الأفواج التربوية  والتلاميذ المسجلين حسب الجنس  والمستوى الدراسي.</t>
  </si>
  <si>
    <t>Postes</t>
  </si>
  <si>
    <t>توزيع الأفواج التربوية</t>
  </si>
  <si>
    <t>حجم الأفواج التربوية</t>
  </si>
  <si>
    <r>
      <t xml:space="preserve">    2.50 - توزيع الموظفين الإداريين حسب الجنس، السن، الإطــار المهني</t>
    </r>
    <r>
      <rPr>
        <b/>
        <sz val="11"/>
        <color rgb="FFC00000"/>
        <rFont val="Times New Roman"/>
        <family val="1"/>
      </rPr>
      <t xml:space="preserve"> (الجدول 1-2)</t>
    </r>
  </si>
  <si>
    <r>
      <t xml:space="preserve">    3.50 -توزيع الموظفين الإداريين حسب الجنس، السن، الإطــار المهني </t>
    </r>
    <r>
      <rPr>
        <b/>
        <sz val="10"/>
        <color rgb="FFC00000"/>
        <rFont val="Times New Roman"/>
        <family val="1"/>
      </rPr>
      <t>(الجدول 2-2)</t>
    </r>
  </si>
  <si>
    <r>
      <t xml:space="preserve">    1.47 - توزيع الأساتذة (</t>
    </r>
    <r>
      <rPr>
        <b/>
        <sz val="11"/>
        <color rgb="FFC00000"/>
        <rFont val="Times New Roman"/>
        <family val="1"/>
      </rPr>
      <t>المرسمون والمتربصون</t>
    </r>
    <r>
      <rPr>
        <b/>
        <sz val="11"/>
        <rFont val="Times New Roman"/>
        <family val="1"/>
      </rPr>
      <t>)</t>
    </r>
    <r>
      <rPr>
        <b/>
        <sz val="11"/>
        <color indexed="10"/>
        <rFont val="Times New Roman"/>
        <family val="1"/>
      </rPr>
      <t xml:space="preserve"> </t>
    </r>
    <r>
      <rPr>
        <b/>
        <sz val="11"/>
        <rFont val="Times New Roman"/>
        <family val="1"/>
      </rPr>
      <t>حسب الجنس، السن ومـواد التدريس</t>
    </r>
  </si>
  <si>
    <r>
      <t xml:space="preserve">    2.47 - توزيع الأساتذة (</t>
    </r>
    <r>
      <rPr>
        <b/>
        <sz val="11"/>
        <color rgb="FFC00000"/>
        <rFont val="Times New Roman"/>
        <family val="1"/>
      </rPr>
      <t>المتعاقدون</t>
    </r>
    <r>
      <rPr>
        <b/>
        <sz val="11"/>
        <rFont val="Times New Roman"/>
        <family val="1"/>
      </rPr>
      <t>) حسب الجنس، السن ومـواد التدريس</t>
    </r>
  </si>
  <si>
    <r>
      <t xml:space="preserve">    3.45 - توزيع الأساتذة  </t>
    </r>
    <r>
      <rPr>
        <b/>
        <sz val="12"/>
        <color rgb="FFC00000"/>
        <rFont val="Times New Roman"/>
        <family val="1"/>
      </rPr>
      <t>الجدد فقط</t>
    </r>
    <r>
      <rPr>
        <b/>
        <sz val="12"/>
        <color indexed="10"/>
        <rFont val="Times New Roman"/>
        <family val="1"/>
      </rPr>
      <t xml:space="preserve"> </t>
    </r>
    <r>
      <rPr>
        <b/>
        <sz val="12"/>
        <rFont val="Times New Roman"/>
        <family val="1"/>
      </rPr>
      <t xml:space="preserve">حسب الجنس، الإطــار المهني ومواد التدريس </t>
    </r>
  </si>
  <si>
    <r>
      <rPr>
        <b/>
        <sz val="18"/>
        <color rgb="FFC00000"/>
        <rFont val="Calibri"/>
        <family val="2"/>
        <scheme val="minor"/>
      </rPr>
      <t>الجدد</t>
    </r>
    <r>
      <rPr>
        <b/>
        <sz val="18"/>
        <color rgb="FFFF0000"/>
        <rFont val="Calibri"/>
        <family val="2"/>
        <scheme val="minor"/>
      </rPr>
      <t xml:space="preserve"> </t>
    </r>
    <r>
      <rPr>
        <b/>
        <sz val="18"/>
        <color indexed="17"/>
        <rFont val="Calibri"/>
        <family val="2"/>
      </rPr>
      <t>يعني الذين تم توظيفهم مع الدخول المدرسي</t>
    </r>
  </si>
  <si>
    <r>
      <t xml:space="preserve">    2.45 - توزيع المناصب المالية </t>
    </r>
    <r>
      <rPr>
        <b/>
        <sz val="13"/>
        <color rgb="FFFF0000"/>
        <rFont val="Times New Roman"/>
        <family val="1"/>
      </rPr>
      <t>ا</t>
    </r>
    <r>
      <rPr>
        <b/>
        <sz val="13"/>
        <color rgb="FFC00000"/>
        <rFont val="Times New Roman"/>
        <family val="1"/>
      </rPr>
      <t>لمفتوحة  و</t>
    </r>
    <r>
      <rPr>
        <b/>
        <sz val="13"/>
        <color rgb="FFFF0000"/>
        <rFont val="Times New Roman"/>
        <family val="1"/>
      </rPr>
      <t>المشغولة</t>
    </r>
    <r>
      <rPr>
        <b/>
        <sz val="13"/>
        <rFont val="Times New Roman"/>
        <family val="1"/>
      </rPr>
      <t xml:space="preserve"> للأساتذة حسب الجنس، الوضعية الإدارية ومواد التدريس</t>
    </r>
  </si>
  <si>
    <r>
      <t>1.27 - توزيع التلاميذ المسجلين</t>
    </r>
    <r>
      <rPr>
        <b/>
        <sz val="12"/>
        <color rgb="FFFF0000"/>
        <rFont val="Times New Roman"/>
        <family val="1"/>
      </rPr>
      <t xml:space="preserve"> </t>
    </r>
    <r>
      <rPr>
        <b/>
        <sz val="12"/>
        <color rgb="FFC00000"/>
        <rFont val="Times New Roman"/>
        <family val="1"/>
      </rPr>
      <t>(  الوافدون منهم فقط من مؤسسات التربية والتعليم الخاصة )</t>
    </r>
  </si>
  <si>
    <r>
      <t>28-1-Répartition des élèves inscrits (</t>
    </r>
    <r>
      <rPr>
        <b/>
        <sz val="9"/>
        <color rgb="FFC00000"/>
        <rFont val="Arial"/>
        <family val="2"/>
      </rPr>
      <t>les provenant uniquement des étab. d'éducution et d'enseigment privés</t>
    </r>
    <r>
      <rPr>
        <b/>
        <sz val="9"/>
        <rFont val="Arial"/>
        <family val="2"/>
      </rPr>
      <t>).</t>
    </r>
  </si>
  <si>
    <r>
      <t xml:space="preserve">2.27 - توزيع التلاميذ المعيدين </t>
    </r>
    <r>
      <rPr>
        <b/>
        <sz val="12"/>
        <color rgb="FFC00000"/>
        <rFont val="Times New Roman"/>
        <family val="1"/>
      </rPr>
      <t>(  الوافدون منهم فقط من مؤسسات التربية والتعليم الخاصة )</t>
    </r>
  </si>
  <si>
    <r>
      <t>28-2-Répartition des élèves redoublants (</t>
    </r>
    <r>
      <rPr>
        <b/>
        <sz val="9"/>
        <color rgb="FFC00000"/>
        <rFont val="Arial"/>
        <family val="2"/>
      </rPr>
      <t>les provenant uniquement des étab. d'éducution et d'enseigment privés</t>
    </r>
    <r>
      <rPr>
        <b/>
        <sz val="9"/>
        <rFont val="Arial"/>
        <family val="2"/>
      </rPr>
      <t>).</t>
    </r>
  </si>
  <si>
    <r>
      <t xml:space="preserve">    24 - توزيع التلاميذ حسب الجنس، المستوى الدراسي والنظام الدراسي   </t>
    </r>
    <r>
      <rPr>
        <b/>
        <sz val="11"/>
        <color rgb="FFC00000"/>
        <rFont val="Times New Roman"/>
        <family val="1"/>
      </rPr>
      <t xml:space="preserve"> توزيع المستفيدين من المنحة المدرسية </t>
    </r>
  </si>
  <si>
    <r>
      <t xml:space="preserve">    25 - توزيع التلاميذ المسجلين حسب الجنس، المستوى الدراسي </t>
    </r>
    <r>
      <rPr>
        <b/>
        <sz val="11"/>
        <color rgb="FFC00000"/>
        <rFont val="Times New Roman"/>
        <family val="1"/>
      </rPr>
      <t>ونوعية الإضطراب الصحي</t>
    </r>
    <r>
      <rPr>
        <b/>
        <sz val="11"/>
        <rFont val="Times New Roman"/>
        <family val="1"/>
      </rPr>
      <t>.</t>
    </r>
  </si>
  <si>
    <r>
      <t xml:space="preserve">    26 - توزيع </t>
    </r>
    <r>
      <rPr>
        <b/>
        <sz val="11"/>
        <color rgb="FFC00000"/>
        <rFont val="Times New Roman"/>
        <family val="1"/>
      </rPr>
      <t>التلاميذ المرضى</t>
    </r>
    <r>
      <rPr>
        <b/>
        <sz val="11"/>
        <rFont val="Times New Roman"/>
        <family val="1"/>
      </rPr>
      <t xml:space="preserve"> المتكفل بهم حسب مكان الإستشفاء، الجنس والمستوى الدراسي</t>
    </r>
  </si>
  <si>
    <r>
      <t xml:space="preserve">    2.23 - توزيع التلاميذ </t>
    </r>
    <r>
      <rPr>
        <b/>
        <sz val="12"/>
        <color rgb="FF002060"/>
        <rFont val="Times New Roman"/>
        <family val="1"/>
      </rPr>
      <t>المعيدين</t>
    </r>
    <r>
      <rPr>
        <b/>
        <sz val="12"/>
        <rFont val="Times New Roman"/>
        <family val="1"/>
      </rPr>
      <t xml:space="preserve"> حسب الجنس، السن والمستوى الدراسي      </t>
    </r>
    <r>
      <rPr>
        <b/>
        <sz val="12"/>
        <color indexed="10"/>
        <rFont val="Times New Roman"/>
        <family val="1"/>
      </rPr>
      <t xml:space="preserve"> </t>
    </r>
    <r>
      <rPr>
        <b/>
        <sz val="12"/>
        <color rgb="FFC00000"/>
        <rFont val="Times New Roman"/>
        <family val="1"/>
      </rPr>
      <t xml:space="preserve"> ( الجدول العام )</t>
    </r>
  </si>
  <si>
    <r>
      <t xml:space="preserve">    1.23 - توزيع التلاميذ </t>
    </r>
    <r>
      <rPr>
        <b/>
        <sz val="12"/>
        <color rgb="FF002060"/>
        <rFont val="Times New Roman"/>
        <family val="1"/>
      </rPr>
      <t>المسجلين</t>
    </r>
    <r>
      <rPr>
        <b/>
        <sz val="12"/>
        <rFont val="Times New Roman"/>
        <family val="1"/>
      </rPr>
      <t xml:space="preserve"> حسب الجنس، السن والمستوى الدراسي       </t>
    </r>
    <r>
      <rPr>
        <b/>
        <sz val="12"/>
        <color rgb="FFC00000"/>
        <rFont val="Times New Roman"/>
        <family val="1"/>
      </rPr>
      <t xml:space="preserve"> ( الجدول العام )</t>
    </r>
  </si>
  <si>
    <r>
      <t xml:space="preserve">2.45 - توزيع المناصب المالية </t>
    </r>
    <r>
      <rPr>
        <b/>
        <sz val="13"/>
        <color rgb="FFFF0000"/>
        <rFont val="Times New Roman"/>
        <family val="1"/>
      </rPr>
      <t>ا</t>
    </r>
    <r>
      <rPr>
        <b/>
        <sz val="13"/>
        <color rgb="FFC00000"/>
        <rFont val="Times New Roman"/>
        <family val="1"/>
      </rPr>
      <t>لمفتوحة  و</t>
    </r>
    <r>
      <rPr>
        <b/>
        <sz val="13"/>
        <color rgb="FFFF0000"/>
        <rFont val="Times New Roman"/>
        <family val="1"/>
      </rPr>
      <t>المشغولة</t>
    </r>
    <r>
      <rPr>
        <b/>
        <sz val="13"/>
        <rFont val="Times New Roman"/>
        <family val="1"/>
      </rPr>
      <t xml:space="preserve"> للأساتذة  الوضعية الإدارية ومواد التدريس</t>
    </r>
  </si>
  <si>
    <t>مجمـوع  أساتذة</t>
  </si>
  <si>
    <r>
      <rPr>
        <b/>
        <sz val="12"/>
        <color theme="9" tint="-0.499984740745262"/>
        <rFont val="Times New Roman"/>
        <family val="1"/>
      </rPr>
      <t>المستعملة</t>
    </r>
    <r>
      <rPr>
        <b/>
        <sz val="12"/>
        <rFont val="Times New Roman"/>
        <family val="1"/>
      </rPr>
      <t xml:space="preserve"> حاليا لـ :     </t>
    </r>
  </si>
  <si>
    <r>
      <t xml:space="preserve">  1.2 - قاعات الدرس العادية </t>
    </r>
    <r>
      <rPr>
        <b/>
        <sz val="11"/>
        <color theme="9" tint="-0.499984740745262"/>
        <rFont val="Times New Roman"/>
        <family val="1"/>
      </rPr>
      <t>المستعملة</t>
    </r>
  </si>
  <si>
    <r>
      <t xml:space="preserve">  2 - القاعـات الدرس:</t>
    </r>
    <r>
      <rPr>
        <b/>
        <sz val="11"/>
        <color theme="9" tint="-0.499984740745262"/>
        <rFont val="Times New Roman"/>
        <family val="1"/>
      </rPr>
      <t xml:space="preserve">العادية </t>
    </r>
    <r>
      <rPr>
        <b/>
        <sz val="11"/>
        <rFont val="Times New Roman"/>
        <family val="1"/>
      </rPr>
      <t>الموجودة</t>
    </r>
  </si>
  <si>
    <t xml:space="preserve"> مخبـر الإعــلام الآلي متصل بالأنترنت ؟</t>
  </si>
  <si>
    <t xml:space="preserve"> يستعمل الأنترنت لأغـراض تربوية ؟  </t>
  </si>
  <si>
    <t xml:space="preserve"> الأجهزة المستعملة لأغـراض تربوية ؟</t>
  </si>
  <si>
    <t xml:space="preserve">منها بالمازوت ؟ </t>
  </si>
  <si>
    <r>
      <t xml:space="preserve">توجد التدفئة  (بالغاز أو </t>
    </r>
    <r>
      <rPr>
        <b/>
        <sz val="11"/>
        <color theme="9" tint="-0.499984740745262"/>
        <rFont val="Calibri"/>
        <family val="2"/>
        <scheme val="minor"/>
      </rPr>
      <t>المازوت</t>
    </r>
    <r>
      <rPr>
        <b/>
        <sz val="11"/>
        <color theme="1"/>
        <rFont val="Calibri"/>
        <family val="2"/>
        <scheme val="minor"/>
      </rPr>
      <t xml:space="preserve">) ؟ </t>
    </r>
  </si>
  <si>
    <r>
      <t xml:space="preserve">هل يستعمل </t>
    </r>
    <r>
      <rPr>
        <b/>
        <sz val="12"/>
        <color theme="9" tint="-0.499984740745262"/>
        <rFont val="Times New Roman"/>
        <family val="1"/>
      </rPr>
      <t>المازوت</t>
    </r>
    <r>
      <rPr>
        <b/>
        <sz val="12"/>
        <rFont val="Times New Roman"/>
        <family val="1"/>
      </rPr>
      <t xml:space="preserve"> كليا ؟ </t>
    </r>
  </si>
  <si>
    <r>
      <t xml:space="preserve">هل يستعمل </t>
    </r>
    <r>
      <rPr>
        <b/>
        <sz val="12"/>
        <color theme="9" tint="-0.499984740745262"/>
        <rFont val="Times New Roman"/>
        <family val="1"/>
      </rPr>
      <t>المازوت</t>
    </r>
    <r>
      <rPr>
        <b/>
        <sz val="12"/>
        <rFont val="Times New Roman"/>
        <family val="1"/>
      </rPr>
      <t xml:space="preserve"> جزئيا ؟ </t>
    </r>
  </si>
  <si>
    <t>ضرورة الإجابة في الخانات المناسبة (صفر أو عدد) لإزالة اللون الأحمر</t>
  </si>
  <si>
    <t xml:space="preserve">أجهزة الطاقة الشمسية منصبة ؟ </t>
  </si>
  <si>
    <t xml:space="preserve">هذه الطاقة تغطي إحتياجات تدفئة الماء ؟ </t>
  </si>
  <si>
    <t>ركن مخصص للمتوسطة التي تتوفر فيها الطاقة المتجددة</t>
  </si>
  <si>
    <t>دليل كيفية ملء الدفتـرالإحصائي</t>
  </si>
  <si>
    <t>غير منصبة ؟</t>
  </si>
  <si>
    <t xml:space="preserve"> تتوفر الطاقة المتجددة</t>
  </si>
  <si>
    <t xml:space="preserve">مكيفات مستعملة للتدفئة ؟ </t>
  </si>
  <si>
    <t xml:space="preserve">مجموع المكيفات </t>
  </si>
  <si>
    <t>1-3</t>
  </si>
  <si>
    <t>المسجلون السنة الماضية</t>
  </si>
  <si>
    <t>المسجلون الوافدون</t>
  </si>
  <si>
    <t>مجموع المسجلون</t>
  </si>
  <si>
    <t>تطابـق بين الجدولين 2.45 و 1.46</t>
  </si>
  <si>
    <t xml:space="preserve">    1.48 - توزيع الأساتذة حسب مواد التكوين ومواد التدريس  (تطابق مادة التكوين الأصلية  مع مادة تدريس الممارسة حاليا)</t>
  </si>
  <si>
    <r>
      <t xml:space="preserve"> 1.49 -توزيع الأساتذة </t>
    </r>
    <r>
      <rPr>
        <b/>
        <sz val="11"/>
        <color rgb="FF0070C0"/>
        <rFont val="Times New Roman"/>
        <family val="1"/>
      </rPr>
      <t>المكلفين</t>
    </r>
    <r>
      <rPr>
        <b/>
        <sz val="11"/>
        <rFont val="Times New Roman"/>
        <family val="1"/>
      </rPr>
      <t xml:space="preserve"> بالتدريس في مواد أخرى في إطار </t>
    </r>
    <r>
      <rPr>
        <b/>
        <sz val="11"/>
        <color rgb="FF0070C0"/>
        <rFont val="Times New Roman"/>
        <family val="1"/>
      </rPr>
      <t xml:space="preserve">إستكمال الحجم الساعي </t>
    </r>
    <r>
      <rPr>
        <b/>
        <sz val="11"/>
        <color rgb="FF002060"/>
        <rFont val="Times New Roman"/>
        <family val="1"/>
      </rPr>
      <t>حسب مواد التكوين</t>
    </r>
  </si>
  <si>
    <t>3</t>
  </si>
  <si>
    <t>عدد قاعات الدرس المكيفة</t>
  </si>
  <si>
    <t>ضرورة الإجابة في الخانات المناسبة           لإزالة اللون الأحمر</t>
  </si>
  <si>
    <t xml:space="preserve">هذه الطاقة تغطي إنارة الأقسام وساحة المتوسطة ؟ </t>
  </si>
  <si>
    <t xml:space="preserve">هذه الطاقة تغطي إحتياجات إنارة الأقسام فقط ؟ </t>
  </si>
  <si>
    <t>قاعات الدرس المعنية بالتدفئة</t>
  </si>
  <si>
    <t xml:space="preserve">  1.9- تجهيز تدفئـة المكاتب موجود ؟ </t>
  </si>
  <si>
    <t xml:space="preserve">   تحديد وتشخيص المتوسطة</t>
  </si>
  <si>
    <t xml:space="preserve"> وضعية التلاميذ المسجلين.</t>
  </si>
  <si>
    <t xml:space="preserve">   Situation des élèves inscrits. </t>
  </si>
  <si>
    <t xml:space="preserve">   التنظيــــــم التربــــــــوي</t>
  </si>
  <si>
    <t xml:space="preserve">   Organisation Pédagogique</t>
  </si>
  <si>
    <t xml:space="preserve"> نتائج إمتحان شهادة التعليم المتوسـط</t>
  </si>
  <si>
    <t xml:space="preserve"> Résultats a l'examen du B.E.M</t>
  </si>
  <si>
    <r>
      <t xml:space="preserve">   وضعية أساتذة التعليم المتوسط</t>
    </r>
    <r>
      <rPr>
        <b/>
        <sz val="10"/>
        <rFont val="Times New Roman"/>
        <family val="1"/>
      </rPr>
      <t>.</t>
    </r>
  </si>
  <si>
    <t xml:space="preserve"> Situation des professeurs de l'enseignement moyen. </t>
  </si>
  <si>
    <t xml:space="preserve">   وضعية أساتذة التعليم المتوسط.</t>
  </si>
  <si>
    <t xml:space="preserve">   موظفـــو الإدارة والتربيـة</t>
  </si>
  <si>
    <t xml:space="preserve">   Personnels d'administration et d'éducation</t>
  </si>
  <si>
    <t>مديريـة الدراسات الإحصائية والتقييم والإستشراف</t>
  </si>
  <si>
    <t>السنة الدراسية  2022 - 2023</t>
  </si>
  <si>
    <t xml:space="preserve"> تم مراجعة نسخة هذا الدفتر في30 ماي 2022 </t>
  </si>
  <si>
    <t>أم البواقي</t>
  </si>
  <si>
    <t>بلحاتم رابح</t>
  </si>
  <si>
    <t>عين مليلة</t>
  </si>
  <si>
    <t>حي 05 جويلية</t>
  </si>
  <si>
    <t>بن مهيدي نصيرة</t>
  </si>
  <si>
    <t>cem.nouvjuillet@gmail.com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</si>
</sst>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Année &quot;0"/>
    <numFmt numFmtId="165" formatCode="dd\ mmmm\ yyyy"/>
    <numFmt numFmtId="166" formatCode="_-* #,##0.00\ [$€-1]_-;\-* #,##0.00\ [$€-1]_-;_-* &quot;-&quot;??\ [$€-1]_-"/>
    <numFmt numFmtId="167" formatCode="#,##0&quot; &quot;"/>
    <numFmt numFmtId="168" formatCode="0.0%&quot; &quot;"/>
    <numFmt numFmtId="169" formatCode="0.0"/>
    <numFmt numFmtId="170" formatCode="0.00;[Red]0.00"/>
  </numFmts>
  <fonts count="505">
    <font>
      <sz val="11"/>
      <color theme="1"/>
      <name val="Calibri"/>
      <family val="2"/>
      <scheme val="minor"/>
    </font>
    <font>
      <sz val="10"/>
      <name val="Arial"/>
      <family val="2"/>
    </font>
    <font>
      <b/>
      <sz val="10"/>
      <name val="Arial"/>
      <family val="2"/>
    </font>
    <font>
      <b/>
      <sz val="8"/>
      <name val="Arial"/>
      <family val="2"/>
    </font>
    <font>
      <b/>
      <sz val="12"/>
      <name val="Arial"/>
      <family val="2"/>
    </font>
    <font>
      <b/>
      <sz val="36"/>
      <name val="Arial"/>
      <family val="2"/>
    </font>
    <font>
      <b/>
      <sz val="45"/>
      <color indexed="23"/>
      <name val="Arial"/>
      <family val="2"/>
    </font>
    <font>
      <b/>
      <sz val="10"/>
      <name val="Times New Roman"/>
      <family val="1"/>
    </font>
    <font>
      <b/>
      <sz val="45"/>
      <name val="Arial"/>
      <family val="2"/>
    </font>
    <font>
      <b/>
      <sz val="13"/>
      <name val="Arial"/>
      <family val="2"/>
    </font>
    <font>
      <b/>
      <sz val="18"/>
      <name val="Andalus"/>
      <family val="1"/>
    </font>
    <font>
      <b/>
      <sz val="20"/>
      <name val="Arial"/>
      <family val="2"/>
    </font>
    <font>
      <b/>
      <sz val="18"/>
      <name val="Arial"/>
      <family val="2"/>
    </font>
    <font>
      <b/>
      <sz val="14"/>
      <name val="Arial"/>
      <family val="2"/>
    </font>
    <font>
      <b/>
      <sz val="15"/>
      <name val="Arial"/>
      <family val="2"/>
    </font>
    <font>
      <sz val="11"/>
      <color indexed="8"/>
      <name val="Arial"/>
      <family val="2"/>
      <charset val="178"/>
    </font>
    <font>
      <sz val="11"/>
      <color indexed="8"/>
      <name val="Arial"/>
      <family val="2"/>
    </font>
    <font>
      <sz val="11"/>
      <color indexed="9"/>
      <name val="Arial"/>
      <family val="2"/>
      <charset val="178"/>
    </font>
    <font>
      <sz val="11"/>
      <color indexed="9"/>
      <name val="Arial"/>
      <family val="2"/>
    </font>
    <font>
      <sz val="10"/>
      <name val="Arial Rounded MT Bold"/>
      <family val="2"/>
    </font>
    <font>
      <sz val="11"/>
      <color indexed="20"/>
      <name val="Arial"/>
      <family val="2"/>
      <charset val="178"/>
    </font>
    <font>
      <b/>
      <sz val="11"/>
      <color indexed="52"/>
      <name val="Arial"/>
      <family val="2"/>
      <charset val="178"/>
    </font>
    <font>
      <b/>
      <sz val="11"/>
      <color indexed="9"/>
      <name val="Arial"/>
      <family val="2"/>
      <charset val="178"/>
    </font>
    <font>
      <sz val="10"/>
      <name val="Geneva"/>
    </font>
    <font>
      <i/>
      <sz val="11"/>
      <color indexed="23"/>
      <name val="Arial"/>
      <family val="2"/>
      <charset val="178"/>
    </font>
    <font>
      <sz val="10"/>
      <name val="Palatino"/>
    </font>
    <font>
      <sz val="11"/>
      <color indexed="17"/>
      <name val="Arial"/>
      <family val="2"/>
      <charset val="178"/>
    </font>
    <font>
      <b/>
      <sz val="15"/>
      <color indexed="56"/>
      <name val="Arial"/>
      <family val="2"/>
      <charset val="178"/>
    </font>
    <font>
      <b/>
      <sz val="13"/>
      <color indexed="56"/>
      <name val="Arial"/>
      <family val="2"/>
      <charset val="178"/>
    </font>
    <font>
      <b/>
      <sz val="11"/>
      <color indexed="56"/>
      <name val="Arial"/>
      <family val="2"/>
      <charset val="178"/>
    </font>
    <font>
      <sz val="11"/>
      <color indexed="62"/>
      <name val="Arial"/>
      <family val="2"/>
      <charset val="178"/>
    </font>
    <font>
      <sz val="11"/>
      <color indexed="52"/>
      <name val="Arial"/>
      <family val="2"/>
      <charset val="178"/>
    </font>
    <font>
      <sz val="11"/>
      <color indexed="60"/>
      <name val="Arial"/>
      <family val="2"/>
      <charset val="178"/>
    </font>
    <font>
      <b/>
      <sz val="11"/>
      <color indexed="63"/>
      <name val="Arial"/>
      <family val="2"/>
      <charset val="178"/>
    </font>
    <font>
      <sz val="10"/>
      <color indexed="10"/>
      <name val="Palatino"/>
    </font>
    <font>
      <sz val="10"/>
      <name val="N Helvetica Narrow"/>
    </font>
    <font>
      <sz val="10"/>
      <color indexed="12"/>
      <name val="Palatino"/>
    </font>
    <font>
      <b/>
      <sz val="18"/>
      <color indexed="56"/>
      <name val="Times New Roman"/>
      <family val="2"/>
      <charset val="178"/>
    </font>
    <font>
      <sz val="11"/>
      <color indexed="10"/>
      <name val="Arial"/>
      <family val="2"/>
      <charset val="178"/>
    </font>
    <font>
      <b/>
      <sz val="11"/>
      <color indexed="63"/>
      <name val="Arial"/>
      <family val="2"/>
    </font>
    <font>
      <sz val="11"/>
      <color indexed="62"/>
      <name val="Arial"/>
      <family val="2"/>
    </font>
    <font>
      <b/>
      <sz val="11"/>
      <color indexed="8"/>
      <name val="Arial"/>
      <family val="2"/>
    </font>
    <font>
      <sz val="11"/>
      <color indexed="17"/>
      <name val="Arial"/>
      <family val="2"/>
    </font>
    <font>
      <b/>
      <sz val="11"/>
      <color indexed="52"/>
      <name val="Arial"/>
      <family val="2"/>
    </font>
    <font>
      <b/>
      <sz val="11"/>
      <color indexed="9"/>
      <name val="Arial"/>
      <family val="2"/>
    </font>
    <font>
      <sz val="11"/>
      <color indexed="52"/>
      <name val="Arial"/>
      <family val="2"/>
    </font>
    <font>
      <sz val="11"/>
      <color indexed="20"/>
      <name val="Arial"/>
      <family val="2"/>
    </font>
    <font>
      <b/>
      <sz val="18"/>
      <color indexed="56"/>
      <name val="Times New Roman"/>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10"/>
      <name val="Arial"/>
      <family val="2"/>
    </font>
    <font>
      <i/>
      <sz val="11"/>
      <color indexed="23"/>
      <name val="Arial"/>
      <family val="2"/>
    </font>
    <font>
      <b/>
      <sz val="8"/>
      <color indexed="12"/>
      <name val="Arial"/>
      <family val="2"/>
    </font>
    <font>
      <b/>
      <sz val="9"/>
      <name val="Times New Roman"/>
      <family val="1"/>
    </font>
    <font>
      <sz val="11"/>
      <name val="Arial"/>
      <family val="2"/>
    </font>
    <font>
      <b/>
      <sz val="11"/>
      <name val="Times New Roman"/>
      <family val="1"/>
    </font>
    <font>
      <b/>
      <sz val="9"/>
      <name val="Arial"/>
      <family val="2"/>
    </font>
    <font>
      <sz val="10"/>
      <color indexed="12"/>
      <name val="Arial"/>
      <family val="2"/>
    </font>
    <font>
      <b/>
      <sz val="13"/>
      <name val="Times New Roman"/>
      <family val="1"/>
    </font>
    <font>
      <b/>
      <sz val="12"/>
      <name val="Times New Roman"/>
      <family val="1"/>
    </font>
    <font>
      <b/>
      <sz val="14"/>
      <name val="Times New Roman"/>
      <family val="1"/>
    </font>
    <font>
      <sz val="10"/>
      <name val="Arial"/>
      <family val="2"/>
    </font>
    <font>
      <b/>
      <sz val="15"/>
      <name val="Times New Roman"/>
      <family val="1"/>
    </font>
    <font>
      <sz val="8"/>
      <name val="Arial"/>
      <family val="2"/>
    </font>
    <font>
      <b/>
      <sz val="8"/>
      <color indexed="10"/>
      <name val="Arial"/>
      <family val="2"/>
    </font>
    <font>
      <sz val="8"/>
      <name val="Times New Roman"/>
      <family val="1"/>
    </font>
    <font>
      <b/>
      <sz val="14"/>
      <color indexed="18"/>
      <name val="Arial"/>
      <family val="2"/>
    </font>
    <font>
      <b/>
      <sz val="8"/>
      <name val="Times New Roman"/>
      <family val="1"/>
    </font>
    <font>
      <b/>
      <sz val="15"/>
      <color indexed="18"/>
      <name val="Arial"/>
      <family val="2"/>
    </font>
    <font>
      <b/>
      <sz val="9"/>
      <color indexed="10"/>
      <name val="Arial"/>
      <family val="2"/>
    </font>
    <font>
      <b/>
      <sz val="9"/>
      <color indexed="16"/>
      <name val="Arial"/>
      <family val="2"/>
    </font>
    <font>
      <sz val="8"/>
      <name val="Arabic Transparent"/>
      <charset val="178"/>
    </font>
    <font>
      <b/>
      <sz val="12"/>
      <color indexed="18"/>
      <name val="Times New Roman"/>
      <family val="1"/>
    </font>
    <font>
      <b/>
      <sz val="12"/>
      <color indexed="16"/>
      <name val="Arial"/>
      <family val="2"/>
    </font>
    <font>
      <b/>
      <sz val="12"/>
      <color indexed="9"/>
      <name val="Times New Roman"/>
      <family val="1"/>
    </font>
    <font>
      <b/>
      <sz val="11"/>
      <color indexed="9"/>
      <name val="Times New Roman"/>
      <family val="1"/>
    </font>
    <font>
      <sz val="8"/>
      <color indexed="23"/>
      <name val="Arabic Transparent"/>
      <charset val="178"/>
    </font>
    <font>
      <b/>
      <sz val="11"/>
      <color indexed="18"/>
      <name val="Arial"/>
      <family val="2"/>
    </font>
    <font>
      <b/>
      <sz val="9"/>
      <color indexed="10"/>
      <name val="Times New Roman"/>
      <family val="1"/>
    </font>
    <font>
      <b/>
      <sz val="11"/>
      <color indexed="10"/>
      <name val="Arial"/>
      <family val="2"/>
    </font>
    <font>
      <b/>
      <sz val="8"/>
      <color indexed="18"/>
      <name val="Times New Roman"/>
      <family val="1"/>
    </font>
    <font>
      <b/>
      <sz val="8"/>
      <color indexed="20"/>
      <name val="Arabic Transparent"/>
      <charset val="178"/>
    </font>
    <font>
      <sz val="7"/>
      <name val="Arabic Transparent"/>
      <charset val="178"/>
    </font>
    <font>
      <b/>
      <sz val="9"/>
      <color indexed="18"/>
      <name val="Arial"/>
      <family val="2"/>
    </font>
    <font>
      <b/>
      <sz val="10"/>
      <color indexed="9"/>
      <name val="Arial"/>
      <family val="2"/>
    </font>
    <font>
      <sz val="10"/>
      <name val="Times New Roman"/>
      <family val="1"/>
    </font>
    <font>
      <b/>
      <sz val="10"/>
      <color indexed="18"/>
      <name val="Arial"/>
      <family val="2"/>
    </font>
    <font>
      <b/>
      <sz val="10"/>
      <color indexed="10"/>
      <name val="Arial"/>
      <family val="2"/>
    </font>
    <font>
      <b/>
      <sz val="12"/>
      <color indexed="18"/>
      <name val="Arial"/>
      <family val="2"/>
    </font>
    <font>
      <b/>
      <sz val="12"/>
      <color indexed="10"/>
      <name val="Arial"/>
      <family val="2"/>
    </font>
    <font>
      <b/>
      <sz val="12"/>
      <color indexed="10"/>
      <name val="Times New Roman"/>
      <family val="1"/>
    </font>
    <font>
      <b/>
      <sz val="10"/>
      <color indexed="12"/>
      <name val="Times New Roman"/>
      <family val="1"/>
    </font>
    <font>
      <b/>
      <sz val="11"/>
      <color indexed="18"/>
      <name val="Times New Roman"/>
      <family val="1"/>
    </font>
    <font>
      <b/>
      <sz val="11"/>
      <color indexed="10"/>
      <name val="Times New Roman"/>
      <family val="1"/>
    </font>
    <font>
      <b/>
      <sz val="7"/>
      <color indexed="10"/>
      <name val="Times New Roman"/>
      <family val="1"/>
    </font>
    <font>
      <b/>
      <sz val="8"/>
      <color indexed="9"/>
      <name val="Arial"/>
      <family val="2"/>
    </font>
    <font>
      <b/>
      <sz val="7"/>
      <color indexed="18"/>
      <name val="Times New Roman"/>
      <family val="1"/>
    </font>
    <font>
      <b/>
      <sz val="8"/>
      <color indexed="10"/>
      <name val="Times New Roman"/>
      <family val="1"/>
    </font>
    <font>
      <b/>
      <sz val="9"/>
      <color indexed="9"/>
      <name val="Arial"/>
      <family val="2"/>
    </font>
    <font>
      <b/>
      <sz val="8"/>
      <color indexed="30"/>
      <name val="Arial"/>
      <family val="2"/>
    </font>
    <font>
      <sz val="8"/>
      <color indexed="8"/>
      <name val="Arabic Transparent"/>
      <charset val="178"/>
    </font>
    <font>
      <b/>
      <sz val="8"/>
      <name val="Arabic Transparent"/>
      <charset val="178"/>
    </font>
    <font>
      <b/>
      <sz val="9"/>
      <color indexed="18"/>
      <name val="Times New Roman"/>
      <family val="1"/>
    </font>
    <font>
      <b/>
      <sz val="10"/>
      <color indexed="20"/>
      <name val="Times New Roman"/>
      <family val="1"/>
    </font>
    <font>
      <sz val="8"/>
      <color indexed="20"/>
      <name val="Arabic Transparent"/>
      <charset val="178"/>
    </font>
    <font>
      <sz val="8"/>
      <color indexed="18"/>
      <name val="Arabic Transparent"/>
      <charset val="178"/>
    </font>
    <font>
      <b/>
      <sz val="10"/>
      <color indexed="13"/>
      <name val="Arial"/>
      <family val="2"/>
      <charset val="178"/>
    </font>
    <font>
      <sz val="10"/>
      <color indexed="16"/>
      <name val="Arial"/>
      <family val="2"/>
    </font>
    <font>
      <sz val="10"/>
      <color indexed="17"/>
      <name val="Arial"/>
      <family val="2"/>
    </font>
    <font>
      <b/>
      <sz val="14"/>
      <color indexed="17"/>
      <name val="Arial"/>
      <family val="2"/>
    </font>
    <font>
      <b/>
      <sz val="7"/>
      <color indexed="56"/>
      <name val="Arial"/>
      <family val="2"/>
    </font>
    <font>
      <b/>
      <sz val="8"/>
      <color indexed="56"/>
      <name val="Arial"/>
      <family val="2"/>
    </font>
    <font>
      <sz val="8"/>
      <color indexed="18"/>
      <name val="Arial"/>
      <family val="2"/>
    </font>
    <font>
      <b/>
      <sz val="8"/>
      <color indexed="17"/>
      <name val="Times New Roman"/>
      <family val="1"/>
    </font>
    <font>
      <b/>
      <sz val="10"/>
      <color indexed="10"/>
      <name val="Times New Roman"/>
      <family val="1"/>
    </font>
    <font>
      <b/>
      <sz val="10"/>
      <color indexed="18"/>
      <name val="Times New Roman"/>
      <family val="1"/>
    </font>
    <font>
      <b/>
      <sz val="10"/>
      <color indexed="12"/>
      <name val="Arial"/>
      <family val="2"/>
    </font>
    <font>
      <b/>
      <sz val="11"/>
      <color indexed="12"/>
      <name val="Arial"/>
      <family val="2"/>
    </font>
    <font>
      <b/>
      <sz val="15"/>
      <color indexed="17"/>
      <name val="Arial"/>
      <family val="2"/>
    </font>
    <font>
      <b/>
      <sz val="8"/>
      <color indexed="18"/>
      <name val="Arial"/>
      <family val="2"/>
    </font>
    <font>
      <b/>
      <sz val="12"/>
      <color indexed="60"/>
      <name val="Arial"/>
      <family val="2"/>
    </font>
    <font>
      <b/>
      <sz val="9"/>
      <color indexed="17"/>
      <name val="Arial"/>
      <family val="2"/>
    </font>
    <font>
      <b/>
      <sz val="12"/>
      <color indexed="21"/>
      <name val="Arial"/>
      <family val="2"/>
    </font>
    <font>
      <b/>
      <sz val="12"/>
      <color indexed="21"/>
      <name val="Times New Roman"/>
      <family val="1"/>
    </font>
    <font>
      <sz val="10"/>
      <color indexed="10"/>
      <name val="Arial"/>
      <family val="2"/>
    </font>
    <font>
      <b/>
      <sz val="10"/>
      <color indexed="16"/>
      <name val="Arial"/>
      <family val="2"/>
    </font>
    <font>
      <b/>
      <sz val="12"/>
      <color indexed="60"/>
      <name val="Times New Roman"/>
      <family val="1"/>
    </font>
    <font>
      <b/>
      <sz val="8"/>
      <color indexed="12"/>
      <name val="Times New Roman"/>
      <family val="1"/>
    </font>
    <font>
      <sz val="8"/>
      <color indexed="12"/>
      <name val="Times New Roman"/>
      <family val="1"/>
    </font>
    <font>
      <sz val="7"/>
      <color indexed="12"/>
      <name val="Times New Roman"/>
      <family val="1"/>
    </font>
    <font>
      <b/>
      <sz val="8"/>
      <color indexed="17"/>
      <name val="Arial"/>
      <family val="2"/>
    </font>
    <font>
      <b/>
      <sz val="7"/>
      <color indexed="18"/>
      <name val="Arial"/>
      <family val="2"/>
    </font>
    <font>
      <b/>
      <sz val="9"/>
      <color indexed="12"/>
      <name val="Times New Roman"/>
      <family val="1"/>
    </font>
    <font>
      <b/>
      <sz val="10"/>
      <color indexed="60"/>
      <name val="Arial"/>
      <family val="2"/>
    </font>
    <font>
      <sz val="10"/>
      <color indexed="53"/>
      <name val="Arial"/>
      <family val="2"/>
    </font>
    <font>
      <b/>
      <sz val="10"/>
      <color indexed="53"/>
      <name val="Arial"/>
      <family val="2"/>
    </font>
    <font>
      <sz val="10"/>
      <color indexed="14"/>
      <name val="Arial"/>
      <family val="2"/>
    </font>
    <font>
      <b/>
      <sz val="11"/>
      <color indexed="60"/>
      <name val="Arial"/>
      <family val="2"/>
    </font>
    <font>
      <b/>
      <sz val="12"/>
      <color indexed="53"/>
      <name val="Arial"/>
      <family val="2"/>
    </font>
    <font>
      <b/>
      <sz val="12"/>
      <color indexed="17"/>
      <name val="Arial"/>
      <family val="2"/>
    </font>
    <font>
      <b/>
      <sz val="10"/>
      <color indexed="14"/>
      <name val="Arial"/>
      <family val="2"/>
    </font>
    <font>
      <b/>
      <sz val="12"/>
      <color indexed="14"/>
      <name val="Arial"/>
      <family val="2"/>
    </font>
    <font>
      <sz val="10"/>
      <color indexed="60"/>
      <name val="Arial"/>
      <family val="2"/>
    </font>
    <font>
      <b/>
      <sz val="11"/>
      <color indexed="60"/>
      <name val="Times New Roman"/>
      <family val="1"/>
    </font>
    <font>
      <b/>
      <sz val="12"/>
      <color indexed="53"/>
      <name val="Times New Roman"/>
      <family val="1"/>
    </font>
    <font>
      <b/>
      <sz val="12"/>
      <color indexed="36"/>
      <name val="Times New Roman"/>
      <family val="1"/>
    </font>
    <font>
      <sz val="10"/>
      <color indexed="54"/>
      <name val="Arial"/>
      <family val="2"/>
    </font>
    <font>
      <b/>
      <sz val="11"/>
      <color indexed="17"/>
      <name val="Arial"/>
      <family val="2"/>
    </font>
    <font>
      <b/>
      <sz val="10"/>
      <color indexed="54"/>
      <name val="Arial"/>
      <family val="2"/>
    </font>
    <font>
      <b/>
      <sz val="10"/>
      <color indexed="17"/>
      <name val="Arial"/>
      <family val="2"/>
    </font>
    <font>
      <b/>
      <sz val="12"/>
      <color indexed="28"/>
      <name val="Times New Roman"/>
      <family val="1"/>
    </font>
    <font>
      <sz val="8"/>
      <color indexed="18"/>
      <name val="Times New Roman"/>
      <family val="1"/>
    </font>
    <font>
      <b/>
      <sz val="8"/>
      <color indexed="28"/>
      <name val="Times New Roman"/>
      <family val="1"/>
    </font>
    <font>
      <b/>
      <sz val="8"/>
      <color indexed="28"/>
      <name val="Arial"/>
      <family val="2"/>
    </font>
    <font>
      <b/>
      <sz val="8"/>
      <color indexed="20"/>
      <name val="Times New Roman"/>
      <family val="1"/>
    </font>
    <font>
      <sz val="7"/>
      <color indexed="28"/>
      <name val="Times New Roman"/>
      <family val="1"/>
    </font>
    <font>
      <sz val="8"/>
      <color indexed="28"/>
      <name val="Times New Roman"/>
      <family val="1"/>
    </font>
    <font>
      <b/>
      <sz val="7"/>
      <color indexed="28"/>
      <name val="Times New Roman"/>
      <family val="1"/>
    </font>
    <font>
      <b/>
      <sz val="9"/>
      <color indexed="20"/>
      <name val="Times New Roman"/>
      <family val="1"/>
    </font>
    <font>
      <b/>
      <sz val="12"/>
      <color indexed="62"/>
      <name val="Arial"/>
      <family val="2"/>
    </font>
    <font>
      <b/>
      <sz val="12"/>
      <color indexed="56"/>
      <name val="Arial"/>
      <family val="2"/>
    </font>
    <font>
      <b/>
      <sz val="12"/>
      <color indexed="28"/>
      <name val="Arial"/>
      <family val="2"/>
    </font>
    <font>
      <b/>
      <sz val="10"/>
      <color indexed="28"/>
      <name val="Times New Roman"/>
      <family val="1"/>
    </font>
    <font>
      <b/>
      <sz val="12"/>
      <color indexed="30"/>
      <name val="Times New Roman"/>
      <family val="1"/>
    </font>
    <font>
      <b/>
      <sz val="10"/>
      <color indexed="56"/>
      <name val="Arial"/>
      <family val="2"/>
    </font>
    <font>
      <b/>
      <sz val="12"/>
      <color indexed="12"/>
      <name val="Arial"/>
      <family val="2"/>
    </font>
    <font>
      <sz val="10"/>
      <color indexed="20"/>
      <name val="Arial"/>
      <family val="2"/>
    </font>
    <font>
      <b/>
      <sz val="14"/>
      <color indexed="10"/>
      <name val="Arial"/>
      <family val="2"/>
    </font>
    <font>
      <b/>
      <sz val="20"/>
      <color indexed="16"/>
      <name val="Arabic Transparent"/>
      <charset val="178"/>
    </font>
    <font>
      <sz val="8"/>
      <color indexed="12"/>
      <name val="Arial"/>
      <family val="2"/>
    </font>
    <font>
      <sz val="9"/>
      <color indexed="10"/>
      <name val="Arial"/>
      <family val="2"/>
    </font>
    <font>
      <sz val="9"/>
      <name val="Arial"/>
      <family val="2"/>
    </font>
    <font>
      <b/>
      <sz val="15"/>
      <color indexed="10"/>
      <name val="Arial"/>
      <family val="2"/>
    </font>
    <font>
      <b/>
      <sz val="13"/>
      <color indexed="10"/>
      <name val="Arial"/>
      <family val="2"/>
    </font>
    <font>
      <sz val="9"/>
      <name val="Times New Roman"/>
      <family val="1"/>
    </font>
    <font>
      <sz val="9"/>
      <color indexed="9"/>
      <name val="Arial"/>
      <family val="2"/>
    </font>
    <font>
      <b/>
      <vertAlign val="superscript"/>
      <sz val="10"/>
      <name val="Times New Roman"/>
      <family val="1"/>
    </font>
    <font>
      <b/>
      <sz val="10"/>
      <color indexed="81"/>
      <name val="Tahoma"/>
      <family val="2"/>
    </font>
    <font>
      <b/>
      <sz val="9"/>
      <color indexed="81"/>
      <name val="Tahoma"/>
      <family val="2"/>
    </font>
    <font>
      <b/>
      <sz val="11"/>
      <name val="Arial"/>
      <family val="2"/>
    </font>
    <font>
      <sz val="7"/>
      <name val="Arabic Transparent"/>
      <charset val="178"/>
    </font>
    <font>
      <b/>
      <sz val="7"/>
      <name val="Times New Roman"/>
      <family val="1"/>
    </font>
    <font>
      <b/>
      <sz val="13"/>
      <color indexed="30"/>
      <name val="Arial"/>
      <family val="2"/>
    </font>
    <font>
      <b/>
      <sz val="13"/>
      <color indexed="17"/>
      <name val="Arial"/>
      <family val="2"/>
    </font>
    <font>
      <b/>
      <u/>
      <sz val="13"/>
      <color indexed="10"/>
      <name val="Arial"/>
      <family val="2"/>
    </font>
    <font>
      <b/>
      <u/>
      <sz val="13"/>
      <color indexed="60"/>
      <name val="Arial"/>
      <family val="2"/>
    </font>
    <font>
      <b/>
      <sz val="14"/>
      <color indexed="30"/>
      <name val="Arial"/>
      <family val="2"/>
    </font>
    <font>
      <b/>
      <sz val="18"/>
      <color indexed="10"/>
      <name val="Arial"/>
      <family val="2"/>
    </font>
    <font>
      <sz val="13"/>
      <color indexed="30"/>
      <name val="Arial"/>
      <family val="2"/>
    </font>
    <font>
      <b/>
      <sz val="8"/>
      <color indexed="10"/>
      <name val="Arabic Transparent"/>
      <charset val="178"/>
    </font>
    <font>
      <sz val="8"/>
      <color indexed="10"/>
      <name val="Arabic Transparent"/>
      <charset val="178"/>
    </font>
    <font>
      <b/>
      <sz val="8"/>
      <color indexed="30"/>
      <name val="Arial"/>
      <family val="2"/>
    </font>
    <font>
      <b/>
      <sz val="8"/>
      <color indexed="10"/>
      <name val="Arial"/>
      <family val="2"/>
    </font>
    <font>
      <sz val="8"/>
      <color indexed="30"/>
      <name val="Arial"/>
      <family val="2"/>
    </font>
    <font>
      <sz val="8"/>
      <color indexed="10"/>
      <name val="Arial"/>
      <family val="2"/>
    </font>
    <font>
      <b/>
      <sz val="10"/>
      <color indexed="10"/>
      <name val="Times New Roman"/>
      <family val="1"/>
    </font>
    <font>
      <b/>
      <sz val="9"/>
      <color indexed="10"/>
      <name val="Arial"/>
      <family val="2"/>
    </font>
    <font>
      <b/>
      <sz val="12"/>
      <color indexed="30"/>
      <name val="Times New Roman"/>
      <family val="1"/>
    </font>
    <font>
      <b/>
      <sz val="10"/>
      <color indexed="28"/>
      <name val="Arial"/>
      <family val="2"/>
    </font>
    <font>
      <sz val="8"/>
      <color indexed="10"/>
      <name val="Calibri"/>
      <family val="2"/>
    </font>
    <font>
      <b/>
      <sz val="10"/>
      <color indexed="10"/>
      <name val="Arial"/>
      <family val="2"/>
    </font>
    <font>
      <b/>
      <sz val="8"/>
      <color indexed="10"/>
      <name val="Calibri"/>
      <family val="2"/>
    </font>
    <font>
      <b/>
      <sz val="10"/>
      <color indexed="28"/>
      <name val="Calibri"/>
      <family val="2"/>
    </font>
    <font>
      <b/>
      <sz val="14"/>
      <color indexed="16"/>
      <name val="Arial"/>
      <family val="2"/>
    </font>
    <font>
      <b/>
      <sz val="10"/>
      <color indexed="48"/>
      <name val="Arabic Transparent"/>
      <charset val="178"/>
    </font>
    <font>
      <b/>
      <sz val="9"/>
      <color indexed="8"/>
      <name val="Arial"/>
      <family val="2"/>
    </font>
    <font>
      <b/>
      <sz val="10"/>
      <color indexed="9"/>
      <name val="Cambria"/>
      <family val="1"/>
    </font>
    <font>
      <sz val="10"/>
      <color indexed="9"/>
      <name val="Cambria"/>
      <family val="1"/>
    </font>
    <font>
      <b/>
      <sz val="10"/>
      <color indexed="53"/>
      <name val="Arial"/>
      <family val="2"/>
    </font>
    <font>
      <sz val="10"/>
      <color indexed="10"/>
      <name val="Arial"/>
      <family val="2"/>
    </font>
    <font>
      <sz val="8"/>
      <color indexed="30"/>
      <name val="Arabic Transparent"/>
      <charset val="178"/>
    </font>
    <font>
      <b/>
      <sz val="8"/>
      <color indexed="30"/>
      <name val="Arabic Transparent"/>
      <charset val="178"/>
    </font>
    <font>
      <sz val="8"/>
      <color indexed="56"/>
      <name val="Arabic Transparent"/>
      <charset val="178"/>
    </font>
    <font>
      <sz val="8"/>
      <color indexed="56"/>
      <name val="Arial"/>
      <family val="2"/>
    </font>
    <font>
      <b/>
      <sz val="10"/>
      <color indexed="10"/>
      <name val="Calibri"/>
      <family val="2"/>
    </font>
    <font>
      <b/>
      <sz val="14"/>
      <color indexed="10"/>
      <name val="Arial"/>
      <family val="2"/>
    </font>
    <font>
      <b/>
      <sz val="13"/>
      <color indexed="30"/>
      <name val="Arial"/>
      <family val="2"/>
    </font>
    <font>
      <b/>
      <sz val="8"/>
      <color indexed="30"/>
      <name val="Times New Roman"/>
      <family val="1"/>
    </font>
    <font>
      <b/>
      <sz val="11"/>
      <color indexed="30"/>
      <name val="Arial"/>
      <family val="2"/>
    </font>
    <font>
      <b/>
      <sz val="9"/>
      <color indexed="62"/>
      <name val="Times New Roman"/>
      <family val="1"/>
    </font>
    <font>
      <b/>
      <sz val="11"/>
      <color indexed="62"/>
      <name val="Times New Roman"/>
      <family val="1"/>
    </font>
    <font>
      <b/>
      <u/>
      <sz val="11"/>
      <color indexed="62"/>
      <name val="Times New Roman"/>
      <family val="1"/>
    </font>
    <font>
      <b/>
      <sz val="22"/>
      <name val="Arial"/>
      <family val="2"/>
    </font>
    <font>
      <b/>
      <sz val="7"/>
      <name val="Arial"/>
      <family val="2"/>
    </font>
    <font>
      <sz val="11"/>
      <color indexed="10"/>
      <name val="Calibri"/>
      <family val="2"/>
    </font>
    <font>
      <b/>
      <sz val="12"/>
      <color indexed="17"/>
      <name val="Arial"/>
      <family val="2"/>
    </font>
    <font>
      <b/>
      <sz val="10"/>
      <color indexed="17"/>
      <name val="Arial"/>
      <family val="2"/>
    </font>
    <font>
      <b/>
      <sz val="10"/>
      <color indexed="10"/>
      <name val="Arial"/>
      <family val="2"/>
    </font>
    <font>
      <b/>
      <sz val="10"/>
      <color indexed="10"/>
      <name val="Times New Roman"/>
      <family val="1"/>
    </font>
    <font>
      <b/>
      <sz val="12"/>
      <color indexed="10"/>
      <name val="Times New Roman"/>
      <family val="1"/>
    </font>
    <font>
      <b/>
      <sz val="18"/>
      <color indexed="9"/>
      <name val="Arial"/>
      <family val="2"/>
    </font>
    <font>
      <b/>
      <sz val="11"/>
      <color indexed="10"/>
      <name val="Calibri"/>
      <family val="2"/>
    </font>
    <font>
      <sz val="7"/>
      <color indexed="10"/>
      <name val="Arial"/>
      <family val="2"/>
    </font>
    <font>
      <b/>
      <sz val="7"/>
      <color indexed="10"/>
      <name val="Arial"/>
      <family val="2"/>
    </font>
    <font>
      <b/>
      <sz val="8"/>
      <color indexed="10"/>
      <name val="Arial"/>
      <family val="2"/>
    </font>
    <font>
      <b/>
      <sz val="12"/>
      <color indexed="10"/>
      <name val="Calibri"/>
      <family val="2"/>
    </font>
    <font>
      <sz val="12"/>
      <color indexed="8"/>
      <name val="Calibri"/>
      <family val="2"/>
    </font>
    <font>
      <sz val="10"/>
      <color indexed="8"/>
      <name val="Calibri"/>
      <family val="2"/>
    </font>
    <font>
      <sz val="11"/>
      <name val="Calibri"/>
      <family val="2"/>
    </font>
    <font>
      <b/>
      <sz val="10"/>
      <color indexed="56"/>
      <name val="Calibri"/>
      <family val="2"/>
    </font>
    <font>
      <b/>
      <sz val="8"/>
      <color indexed="56"/>
      <name val="Calibri"/>
      <family val="2"/>
    </font>
    <font>
      <b/>
      <sz val="10"/>
      <color indexed="10"/>
      <name val="Calibri"/>
      <family val="2"/>
    </font>
    <font>
      <b/>
      <sz val="8"/>
      <color indexed="10"/>
      <name val="Calibri"/>
      <family val="2"/>
    </font>
    <font>
      <sz val="10"/>
      <color indexed="56"/>
      <name val="Arial"/>
      <family val="2"/>
    </font>
    <font>
      <sz val="14"/>
      <color indexed="8"/>
      <name val="Calibri"/>
      <family val="2"/>
    </font>
    <font>
      <b/>
      <sz val="10"/>
      <color indexed="56"/>
      <name val="Arial"/>
      <family val="2"/>
    </font>
    <font>
      <b/>
      <sz val="11"/>
      <color indexed="56"/>
      <name val="Arial"/>
      <family val="2"/>
    </font>
    <font>
      <sz val="10"/>
      <color indexed="42"/>
      <name val="Arial"/>
      <family val="2"/>
    </font>
    <font>
      <b/>
      <sz val="12"/>
      <color indexed="56"/>
      <name val="Times New Roman"/>
      <family val="1"/>
    </font>
    <font>
      <sz val="10"/>
      <color indexed="17"/>
      <name val="Arial"/>
      <family val="2"/>
    </font>
    <font>
      <b/>
      <sz val="16"/>
      <color indexed="17"/>
      <name val="Arial"/>
      <family val="2"/>
    </font>
    <font>
      <b/>
      <sz val="45"/>
      <color indexed="17"/>
      <name val="Arial"/>
      <family val="2"/>
    </font>
    <font>
      <b/>
      <sz val="18"/>
      <color indexed="17"/>
      <name val="Andalus"/>
      <family val="1"/>
    </font>
    <font>
      <sz val="18"/>
      <color indexed="17"/>
      <name val="Andalus"/>
      <family val="1"/>
    </font>
    <font>
      <b/>
      <sz val="12"/>
      <color indexed="10"/>
      <name val="Arial"/>
      <family val="2"/>
    </font>
    <font>
      <b/>
      <sz val="12"/>
      <color indexed="56"/>
      <name val="Arial"/>
      <family val="2"/>
    </font>
    <font>
      <b/>
      <sz val="14"/>
      <color indexed="56"/>
      <name val="Arial"/>
      <family val="2"/>
    </font>
    <font>
      <b/>
      <sz val="9"/>
      <color indexed="10"/>
      <name val="Arial"/>
      <family val="2"/>
    </font>
    <font>
      <b/>
      <sz val="11"/>
      <color indexed="8"/>
      <name val="Calibri"/>
      <family val="2"/>
    </font>
    <font>
      <b/>
      <sz val="8"/>
      <color indexed="10"/>
      <name val="Arial"/>
      <family val="2"/>
    </font>
    <font>
      <b/>
      <sz val="9"/>
      <color indexed="10"/>
      <name val="Calibri"/>
      <family val="2"/>
    </font>
    <font>
      <b/>
      <sz val="8"/>
      <color indexed="10"/>
      <name val="Calibri"/>
      <family val="2"/>
    </font>
    <font>
      <b/>
      <sz val="11"/>
      <color indexed="10"/>
      <name val="Calibri"/>
      <family val="2"/>
    </font>
    <font>
      <b/>
      <sz val="10"/>
      <color indexed="20"/>
      <name val="Arabic Transparent"/>
      <charset val="178"/>
    </font>
    <font>
      <b/>
      <sz val="11"/>
      <color indexed="20"/>
      <name val="Times New Roman"/>
      <family val="1"/>
    </font>
    <font>
      <sz val="11"/>
      <color indexed="12"/>
      <name val="Arial"/>
      <family val="2"/>
    </font>
    <font>
      <b/>
      <sz val="8"/>
      <color indexed="12"/>
      <name val="Arabic Transparent"/>
      <charset val="178"/>
    </font>
    <font>
      <b/>
      <sz val="10"/>
      <color indexed="16"/>
      <name val="Times New Roman"/>
      <family val="1"/>
    </font>
    <font>
      <b/>
      <sz val="11"/>
      <color indexed="16"/>
      <name val="Times New Roman"/>
      <family val="1"/>
    </font>
    <font>
      <b/>
      <sz val="12"/>
      <color indexed="48"/>
      <name val="Times New Roman"/>
      <family val="1"/>
    </font>
    <font>
      <sz val="10"/>
      <color indexed="42"/>
      <name val="Arial"/>
      <family val="2"/>
    </font>
    <font>
      <b/>
      <sz val="10"/>
      <color indexed="53"/>
      <name val="Times New Roman"/>
      <family val="1"/>
    </font>
    <font>
      <sz val="10"/>
      <color indexed="53"/>
      <name val="Times New Roman"/>
      <family val="1"/>
    </font>
    <font>
      <sz val="10"/>
      <color indexed="56"/>
      <name val="Times New Roman"/>
      <family val="1"/>
    </font>
    <font>
      <b/>
      <sz val="10"/>
      <color indexed="56"/>
      <name val="Times New Roman"/>
      <family val="1"/>
    </font>
    <font>
      <b/>
      <sz val="11"/>
      <color indexed="20"/>
      <name val="Arabic Transparent"/>
      <charset val="178"/>
    </font>
    <font>
      <sz val="8"/>
      <color indexed="16"/>
      <name val="Arial"/>
      <family val="2"/>
    </font>
    <font>
      <b/>
      <i/>
      <sz val="12"/>
      <color indexed="16"/>
      <name val="Arial"/>
      <family val="2"/>
    </font>
    <font>
      <sz val="8"/>
      <name val="Arial"/>
      <family val="2"/>
      <charset val="178"/>
    </font>
    <font>
      <sz val="7"/>
      <name val="Arial"/>
      <family val="2"/>
      <charset val="178"/>
    </font>
    <font>
      <b/>
      <sz val="7"/>
      <name val="Arial"/>
      <family val="2"/>
      <charset val="178"/>
    </font>
    <font>
      <sz val="9"/>
      <color indexed="17"/>
      <name val="Arial"/>
      <family val="2"/>
    </font>
    <font>
      <sz val="7"/>
      <color indexed="12"/>
      <name val="Arial"/>
      <family val="2"/>
      <charset val="178"/>
    </font>
    <font>
      <b/>
      <sz val="7"/>
      <color indexed="12"/>
      <name val="Arial"/>
      <family val="2"/>
      <charset val="178"/>
    </font>
    <font>
      <b/>
      <sz val="7"/>
      <color indexed="60"/>
      <name val="Arial"/>
      <family val="2"/>
      <charset val="178"/>
    </font>
    <font>
      <sz val="7"/>
      <color indexed="17"/>
      <name val="Arial"/>
      <family val="2"/>
    </font>
    <font>
      <b/>
      <sz val="8"/>
      <color indexed="57"/>
      <name val="Arial"/>
      <family val="2"/>
      <charset val="178"/>
    </font>
    <font>
      <b/>
      <sz val="7"/>
      <color indexed="12"/>
      <name val="Arial"/>
      <family val="2"/>
      <charset val="178"/>
    </font>
    <font>
      <b/>
      <sz val="9"/>
      <color indexed="56"/>
      <name val="Arial"/>
      <family val="2"/>
      <charset val="178"/>
    </font>
    <font>
      <b/>
      <sz val="8"/>
      <color indexed="56"/>
      <name val="Arial"/>
      <family val="2"/>
      <charset val="178"/>
    </font>
    <font>
      <b/>
      <sz val="8"/>
      <color indexed="17"/>
      <name val="Arial"/>
      <family val="2"/>
    </font>
    <font>
      <b/>
      <sz val="9"/>
      <color indexed="56"/>
      <name val="Arabic Transparent"/>
      <charset val="178"/>
    </font>
    <font>
      <sz val="7.5"/>
      <color indexed="16"/>
      <name val="Arial"/>
      <family val="2"/>
      <charset val="178"/>
    </font>
    <font>
      <b/>
      <sz val="8"/>
      <color indexed="60"/>
      <name val="Arial"/>
      <family val="2"/>
    </font>
    <font>
      <sz val="8"/>
      <color indexed="17"/>
      <name val="Arial"/>
      <family val="2"/>
    </font>
    <font>
      <b/>
      <sz val="9"/>
      <color indexed="17"/>
      <name val="Arial"/>
      <family val="2"/>
    </font>
    <font>
      <b/>
      <sz val="12"/>
      <color indexed="17"/>
      <name val="Arial"/>
      <family val="2"/>
    </font>
    <font>
      <b/>
      <sz val="9"/>
      <color indexed="20"/>
      <name val="Arial"/>
      <family val="2"/>
      <charset val="178"/>
    </font>
    <font>
      <b/>
      <sz val="9"/>
      <color indexed="60"/>
      <name val="Arial"/>
      <family val="2"/>
      <charset val="178"/>
    </font>
    <font>
      <b/>
      <sz val="11"/>
      <color indexed="17"/>
      <name val="Arial"/>
      <family val="2"/>
    </font>
    <font>
      <b/>
      <sz val="13"/>
      <color indexed="20"/>
      <name val="Arial"/>
      <family val="2"/>
      <charset val="178"/>
    </font>
    <font>
      <b/>
      <sz val="16"/>
      <color indexed="9"/>
      <name val="Arial"/>
      <family val="2"/>
    </font>
    <font>
      <b/>
      <sz val="7"/>
      <color indexed="10"/>
      <name val="Arial"/>
      <family val="2"/>
      <charset val="178"/>
    </font>
    <font>
      <b/>
      <sz val="10"/>
      <color indexed="17"/>
      <name val="Arial"/>
      <family val="2"/>
    </font>
    <font>
      <b/>
      <sz val="14"/>
      <color indexed="17"/>
      <name val="Arial"/>
      <family val="2"/>
    </font>
    <font>
      <b/>
      <sz val="7"/>
      <color indexed="17"/>
      <name val="Arial"/>
      <family val="2"/>
      <charset val="178"/>
    </font>
    <font>
      <b/>
      <sz val="7"/>
      <color indexed="17"/>
      <name val="Arial"/>
      <family val="2"/>
      <charset val="178"/>
    </font>
    <font>
      <b/>
      <sz val="18"/>
      <color indexed="17"/>
      <name val="Calibri"/>
      <family val="2"/>
    </font>
    <font>
      <b/>
      <sz val="16"/>
      <name val="Arial"/>
      <family val="2"/>
    </font>
    <font>
      <b/>
      <sz val="11"/>
      <color indexed="30"/>
      <name val="Times New Roman"/>
      <family val="1"/>
    </font>
    <font>
      <b/>
      <i/>
      <sz val="12"/>
      <color indexed="61"/>
      <name val="ae_AlMateen"/>
      <family val="1"/>
    </font>
    <font>
      <sz val="11"/>
      <color theme="1"/>
      <name val="Calibri"/>
      <family val="2"/>
      <scheme val="minor"/>
    </font>
    <font>
      <b/>
      <sz val="18"/>
      <color rgb="FFFF0000"/>
      <name val="Calibri"/>
      <family val="2"/>
      <scheme val="minor"/>
    </font>
    <font>
      <b/>
      <sz val="12"/>
      <color rgb="FFFF0000"/>
      <name val="Arial"/>
      <family val="2"/>
    </font>
    <font>
      <b/>
      <sz val="10"/>
      <color rgb="FFFF0000"/>
      <name val="Times New Roman"/>
      <family val="1"/>
    </font>
    <font>
      <b/>
      <sz val="9"/>
      <color rgb="FFFF0000"/>
      <name val="Arial"/>
      <family val="2"/>
    </font>
    <font>
      <sz val="7"/>
      <color rgb="FFFF0000"/>
      <name val="Arial"/>
      <family val="2"/>
    </font>
    <font>
      <b/>
      <sz val="10"/>
      <color rgb="FFFF0000"/>
      <name val="Arial"/>
      <family val="2"/>
    </font>
    <font>
      <b/>
      <sz val="11"/>
      <color rgb="FFFF0000"/>
      <name val="Times New Roman"/>
      <family val="1"/>
    </font>
    <font>
      <b/>
      <sz val="14"/>
      <color rgb="FFFF0000"/>
      <name val="Arial"/>
      <family val="2"/>
    </font>
    <font>
      <sz val="10"/>
      <color rgb="FFFF0000"/>
      <name val="Arial"/>
      <family val="2"/>
    </font>
    <font>
      <b/>
      <sz val="11"/>
      <color theme="1"/>
      <name val="Calibri"/>
      <family val="2"/>
      <scheme val="minor"/>
    </font>
    <font>
      <b/>
      <sz val="10"/>
      <color rgb="FFC00000"/>
      <name val="Times New Roman"/>
      <family val="1"/>
    </font>
    <font>
      <sz val="10"/>
      <color rgb="FFCCFFFF"/>
      <name val="Arial"/>
      <family val="2"/>
    </font>
    <font>
      <b/>
      <sz val="16"/>
      <name val="Times New Roman"/>
      <family val="1"/>
    </font>
    <font>
      <b/>
      <sz val="24"/>
      <name val="Times New Roman"/>
      <family val="1"/>
    </font>
    <font>
      <b/>
      <sz val="12"/>
      <color rgb="FF008000"/>
      <name val="Times New Roman"/>
      <family val="1"/>
    </font>
    <font>
      <b/>
      <i/>
      <sz val="14"/>
      <color rgb="FFFF0000"/>
      <name val="Arial"/>
      <family val="2"/>
    </font>
    <font>
      <b/>
      <i/>
      <sz val="10"/>
      <color rgb="FFFF0000"/>
      <name val="Arial"/>
      <family val="2"/>
    </font>
    <font>
      <b/>
      <sz val="24"/>
      <color rgb="FF008000"/>
      <name val="Arial"/>
      <family val="2"/>
    </font>
    <font>
      <b/>
      <sz val="10"/>
      <color indexed="17"/>
      <name val="Times New Roman"/>
      <family val="1"/>
    </font>
    <font>
      <b/>
      <sz val="8"/>
      <color rgb="FF002060"/>
      <name val="Times New Roman"/>
      <family val="1"/>
    </font>
    <font>
      <b/>
      <sz val="8"/>
      <color rgb="FF008000"/>
      <name val="Times New Roman"/>
      <family val="1"/>
    </font>
    <font>
      <b/>
      <sz val="8"/>
      <color rgb="FFFF0000"/>
      <name val="Times New Roman"/>
      <family val="1"/>
    </font>
    <font>
      <b/>
      <sz val="10"/>
      <color rgb="FF008000"/>
      <name val="Calibri"/>
      <family val="2"/>
      <scheme val="minor"/>
    </font>
    <font>
      <b/>
      <sz val="11"/>
      <color rgb="FF008000"/>
      <name val="Times New Roman"/>
      <family val="1"/>
    </font>
    <font>
      <b/>
      <sz val="11"/>
      <color rgb="FFC00000"/>
      <name val="Times New Roman"/>
      <family val="1"/>
    </font>
    <font>
      <b/>
      <i/>
      <sz val="14"/>
      <color rgb="FFC00000"/>
      <name val="Arial"/>
      <family val="2"/>
    </font>
    <font>
      <b/>
      <sz val="10"/>
      <color rgb="FFC00000"/>
      <name val="Arial"/>
      <family val="2"/>
    </font>
    <font>
      <b/>
      <i/>
      <sz val="10"/>
      <color rgb="FFC00000"/>
      <name val="Arial"/>
      <family val="2"/>
    </font>
    <font>
      <b/>
      <sz val="10"/>
      <color rgb="FF008000"/>
      <name val="Arial"/>
      <family val="2"/>
    </font>
    <font>
      <b/>
      <sz val="10.5"/>
      <name val="Times New Roman"/>
      <family val="1"/>
    </font>
    <font>
      <b/>
      <sz val="10.5"/>
      <color rgb="FFFF0000"/>
      <name val="Times New Roman"/>
      <family val="1"/>
    </font>
    <font>
      <b/>
      <sz val="10.5"/>
      <color rgb="FF0070C0"/>
      <name val="Times New Roman"/>
      <family val="1"/>
    </font>
    <font>
      <b/>
      <sz val="9"/>
      <name val="Calibri"/>
      <family val="2"/>
      <scheme val="minor"/>
    </font>
    <font>
      <b/>
      <sz val="9"/>
      <color rgb="FF0070C0"/>
      <name val="Calibri"/>
      <family val="2"/>
      <scheme val="minor"/>
    </font>
    <font>
      <b/>
      <sz val="9"/>
      <name val="Calibri"/>
      <family val="2"/>
    </font>
    <font>
      <b/>
      <sz val="9"/>
      <color rgb="FFFF0000"/>
      <name val="Calibri"/>
      <family val="2"/>
    </font>
    <font>
      <b/>
      <sz val="11"/>
      <color rgb="FF0070C0"/>
      <name val="Times New Roman"/>
      <family val="1"/>
    </font>
    <font>
      <b/>
      <sz val="8"/>
      <color indexed="60"/>
      <name val="Times New Roman"/>
      <family val="1"/>
    </font>
    <font>
      <b/>
      <sz val="9"/>
      <color rgb="FF008000"/>
      <name val="Arial"/>
      <family val="2"/>
    </font>
    <font>
      <sz val="11"/>
      <name val="Calibri"/>
      <family val="2"/>
      <scheme val="minor"/>
    </font>
    <font>
      <b/>
      <sz val="10.7"/>
      <name val="Times New Roman"/>
      <family val="1"/>
    </font>
    <font>
      <b/>
      <sz val="10.7"/>
      <color rgb="FFFF0000"/>
      <name val="Times New Roman"/>
      <family val="1"/>
    </font>
    <font>
      <b/>
      <sz val="10.7"/>
      <color rgb="FF0070C0"/>
      <name val="Times New Roman"/>
      <family val="1"/>
    </font>
    <font>
      <b/>
      <sz val="8"/>
      <color indexed="81"/>
      <name val="Tahoma"/>
      <family val="2"/>
    </font>
    <font>
      <b/>
      <sz val="9"/>
      <color theme="1"/>
      <name val="Arial"/>
      <family val="2"/>
    </font>
    <font>
      <b/>
      <sz val="9"/>
      <color rgb="FF0070C0"/>
      <name val="Arial"/>
      <family val="2"/>
    </font>
    <font>
      <b/>
      <sz val="16"/>
      <color rgb="FF002060"/>
      <name val="Times New Roman"/>
      <family val="1"/>
    </font>
    <font>
      <b/>
      <sz val="12"/>
      <color rgb="FF002060"/>
      <name val="Times New Roman"/>
      <family val="1"/>
    </font>
    <font>
      <sz val="10"/>
      <color rgb="FF002060"/>
      <name val="Arial"/>
      <family val="2"/>
    </font>
    <font>
      <sz val="11"/>
      <color rgb="FF002060"/>
      <name val="Calibri"/>
      <family val="2"/>
      <scheme val="minor"/>
    </font>
    <font>
      <b/>
      <sz val="12"/>
      <color rgb="FF008000"/>
      <name val="Arial"/>
      <family val="2"/>
    </font>
    <font>
      <b/>
      <sz val="16"/>
      <color rgb="FF008000"/>
      <name val="Andalus"/>
      <family val="1"/>
    </font>
    <font>
      <sz val="10"/>
      <color indexed="9"/>
      <name val="Arial"/>
      <family val="2"/>
    </font>
    <font>
      <sz val="10"/>
      <color theme="1"/>
      <name val="Calibri"/>
      <family val="2"/>
      <scheme val="minor"/>
    </font>
    <font>
      <b/>
      <sz val="12"/>
      <color rgb="FFFF0000"/>
      <name val="Times New Roman"/>
      <family val="1"/>
    </font>
    <font>
      <b/>
      <sz val="11"/>
      <color rgb="FFFF0000"/>
      <name val="Calibri"/>
      <family val="2"/>
      <scheme val="minor"/>
    </font>
    <font>
      <b/>
      <sz val="10"/>
      <color theme="9" tint="-0.249977111117893"/>
      <name val="Arial"/>
      <family val="2"/>
    </font>
    <font>
      <b/>
      <sz val="10"/>
      <color theme="1"/>
      <name val="Arial"/>
      <family val="2"/>
    </font>
    <font>
      <b/>
      <sz val="8"/>
      <color rgb="FFFF0000"/>
      <name val="Arial"/>
      <family val="2"/>
    </font>
    <font>
      <b/>
      <sz val="12"/>
      <color rgb="FFFF0000"/>
      <name val="Calibri"/>
      <family val="2"/>
      <scheme val="minor"/>
    </font>
    <font>
      <b/>
      <sz val="10.5"/>
      <name val="Arial"/>
      <family val="2"/>
    </font>
    <font>
      <b/>
      <sz val="9"/>
      <color rgb="FFFF0000"/>
      <name val="Calibri"/>
      <family val="2"/>
      <scheme val="minor"/>
    </font>
    <font>
      <sz val="8"/>
      <color rgb="FFFF0000"/>
      <name val="Calibri"/>
      <family val="2"/>
      <scheme val="minor"/>
    </font>
    <font>
      <sz val="8"/>
      <color rgb="FFFF0000"/>
      <name val="Arial"/>
      <family val="2"/>
    </font>
    <font>
      <b/>
      <u/>
      <sz val="10"/>
      <name val="Arial"/>
      <family val="2"/>
    </font>
    <font>
      <sz val="12"/>
      <color theme="1"/>
      <name val="Calibri"/>
      <family val="2"/>
      <scheme val="minor"/>
    </font>
    <font>
      <b/>
      <sz val="11"/>
      <color theme="9" tint="-0.499984740745262"/>
      <name val="Calibri"/>
      <family val="2"/>
      <scheme val="minor"/>
    </font>
    <font>
      <b/>
      <sz val="11"/>
      <color indexed="8"/>
      <name val="Times New Roman"/>
      <family val="1"/>
    </font>
    <font>
      <b/>
      <sz val="16"/>
      <color theme="0"/>
      <name val="Arial"/>
      <family val="2"/>
    </font>
    <font>
      <b/>
      <sz val="10"/>
      <color rgb="FFFF0000"/>
      <name val="Calibri"/>
      <family val="2"/>
      <scheme val="minor"/>
    </font>
    <font>
      <b/>
      <sz val="10"/>
      <color indexed="62"/>
      <name val="Times New Roman"/>
      <family val="1"/>
    </font>
    <font>
      <b/>
      <sz val="9"/>
      <color theme="9" tint="-0.249977111117893"/>
      <name val="Arial"/>
      <family val="2"/>
    </font>
    <font>
      <b/>
      <sz val="12"/>
      <color indexed="62"/>
      <name val="Times New Roman"/>
      <family val="1"/>
    </font>
    <font>
      <b/>
      <u/>
      <sz val="12"/>
      <color indexed="62"/>
      <name val="Times New Roman"/>
      <family val="1"/>
    </font>
    <font>
      <sz val="11"/>
      <color theme="1"/>
      <name val="Arial"/>
      <family val="2"/>
    </font>
    <font>
      <b/>
      <sz val="10"/>
      <color theme="1"/>
      <name val="Calibri"/>
      <family val="2"/>
      <scheme val="minor"/>
    </font>
    <font>
      <sz val="11"/>
      <color rgb="FFC00000"/>
      <name val="Calibri"/>
      <family val="2"/>
      <scheme val="minor"/>
    </font>
    <font>
      <b/>
      <sz val="14"/>
      <color theme="1"/>
      <name val="Times New Roman"/>
      <family val="1"/>
    </font>
    <font>
      <b/>
      <sz val="12"/>
      <color theme="1"/>
      <name val="Calibri"/>
      <family val="2"/>
      <scheme val="minor"/>
    </font>
    <font>
      <b/>
      <vertAlign val="superscript"/>
      <sz val="12"/>
      <name val="Times New Roman"/>
      <family val="1"/>
    </font>
    <font>
      <b/>
      <sz val="10"/>
      <color theme="0"/>
      <name val="Arial"/>
      <family val="2"/>
    </font>
    <font>
      <b/>
      <sz val="10"/>
      <color rgb="FF008000"/>
      <name val="Times New Roman"/>
      <family val="1"/>
    </font>
    <font>
      <b/>
      <sz val="9"/>
      <color rgb="FF008000"/>
      <name val="Times New Roman"/>
      <family val="1"/>
    </font>
    <font>
      <b/>
      <i/>
      <u/>
      <sz val="8"/>
      <color rgb="FFFF0000"/>
      <name val="Arial"/>
      <family val="2"/>
    </font>
    <font>
      <b/>
      <i/>
      <sz val="10"/>
      <name val="Times New Roman"/>
      <family val="1"/>
    </font>
    <font>
      <b/>
      <sz val="10"/>
      <color theme="9" tint="0.39997558519241921"/>
      <name val="Arial"/>
      <family val="2"/>
    </font>
    <font>
      <b/>
      <sz val="9"/>
      <color theme="9" tint="0.39997558519241921"/>
      <name val="Arial"/>
      <family val="2"/>
    </font>
    <font>
      <b/>
      <sz val="9"/>
      <color theme="9" tint="-0.499984740745262"/>
      <name val="Times New Roman"/>
      <family val="1"/>
    </font>
    <font>
      <b/>
      <sz val="9"/>
      <color rgb="FFFF0000"/>
      <name val="Times New Roman"/>
      <family val="1"/>
    </font>
    <font>
      <b/>
      <i/>
      <sz val="10"/>
      <color rgb="FFFF0000"/>
      <name val="Times New Roman"/>
      <family val="1"/>
    </font>
    <font>
      <b/>
      <i/>
      <sz val="7"/>
      <color rgb="FFFF0000"/>
      <name val="Times New Roman"/>
      <family val="1"/>
    </font>
    <font>
      <b/>
      <sz val="8"/>
      <color rgb="FFC00000"/>
      <name val="Times New Roman"/>
      <family val="1"/>
    </font>
    <font>
      <b/>
      <sz val="7"/>
      <color rgb="FFFF0000"/>
      <name val="Times New Roman"/>
      <family val="1"/>
    </font>
    <font>
      <b/>
      <sz val="10"/>
      <color theme="9" tint="-0.499984740745262"/>
      <name val="Times New Roman"/>
      <family val="1"/>
    </font>
    <font>
      <sz val="11"/>
      <color theme="1"/>
      <name val="Times New Roman"/>
      <family val="1"/>
    </font>
    <font>
      <b/>
      <sz val="14"/>
      <color rgb="FFFF0000"/>
      <name val="Times New Roman"/>
      <family val="1"/>
    </font>
    <font>
      <b/>
      <sz val="11"/>
      <color theme="9" tint="-0.499984740745262"/>
      <name val="Times New Roman"/>
      <family val="1"/>
    </font>
    <font>
      <sz val="9"/>
      <color theme="1"/>
      <name val="Calibri"/>
      <family val="2"/>
      <scheme val="minor"/>
    </font>
    <font>
      <b/>
      <sz val="13"/>
      <color rgb="FFFF0000"/>
      <name val="Times New Roman"/>
      <family val="1"/>
    </font>
    <font>
      <sz val="7"/>
      <name val="Times New Roman"/>
      <family val="1"/>
    </font>
    <font>
      <sz val="8"/>
      <color theme="1"/>
      <name val="Calibri"/>
      <family val="2"/>
      <scheme val="minor"/>
    </font>
    <font>
      <sz val="11"/>
      <color theme="5" tint="-0.499984740745262"/>
      <name val="Calibri"/>
      <family val="2"/>
      <scheme val="minor"/>
    </font>
    <font>
      <b/>
      <sz val="11"/>
      <color rgb="FF002060"/>
      <name val="Arial"/>
      <family val="2"/>
    </font>
    <font>
      <b/>
      <sz val="7"/>
      <color indexed="12"/>
      <name val="Arial"/>
      <family val="2"/>
    </font>
    <font>
      <b/>
      <sz val="7"/>
      <color indexed="17"/>
      <name val="Arial"/>
      <family val="2"/>
    </font>
    <font>
      <b/>
      <i/>
      <u/>
      <sz val="7"/>
      <color rgb="FFFF0000"/>
      <name val="Arial"/>
      <family val="2"/>
    </font>
    <font>
      <b/>
      <sz val="10"/>
      <color rgb="FF002060"/>
      <name val="Times New Roman"/>
      <family val="1"/>
    </font>
    <font>
      <b/>
      <sz val="9"/>
      <color rgb="FF002060"/>
      <name val="Times New Roman"/>
      <family val="1"/>
    </font>
    <font>
      <b/>
      <sz val="36"/>
      <color rgb="FF008000"/>
      <name val="Arial"/>
      <family val="2"/>
    </font>
    <font>
      <b/>
      <sz val="10"/>
      <color theme="3" tint="-0.499984740745262"/>
      <name val="Times New Roman"/>
      <family val="1"/>
    </font>
    <font>
      <b/>
      <sz val="18"/>
      <color indexed="18"/>
      <name val="Arial"/>
      <family val="2"/>
    </font>
    <font>
      <b/>
      <sz val="10"/>
      <color rgb="FFFF0000"/>
      <name val="Arabic Transparent"/>
      <charset val="178"/>
    </font>
    <font>
      <b/>
      <sz val="18"/>
      <color indexed="12"/>
      <name val="Arabic Transparent"/>
      <charset val="178"/>
    </font>
    <font>
      <sz val="18"/>
      <color indexed="10"/>
      <name val="Arial"/>
      <family val="2"/>
    </font>
    <font>
      <b/>
      <sz val="13"/>
      <color indexed="60"/>
      <name val="Times New Roman"/>
      <family val="1"/>
    </font>
    <font>
      <b/>
      <sz val="9"/>
      <color theme="1"/>
      <name val="Calibri"/>
      <family val="2"/>
      <scheme val="minor"/>
    </font>
    <font>
      <sz val="11"/>
      <color theme="0"/>
      <name val="Calibri"/>
      <family val="2"/>
      <scheme val="minor"/>
    </font>
    <font>
      <sz val="11"/>
      <name val="Times New Roman"/>
      <family val="1"/>
    </font>
    <font>
      <b/>
      <u/>
      <sz val="10"/>
      <color indexed="62"/>
      <name val="Times New Roman"/>
      <family val="1"/>
    </font>
    <font>
      <b/>
      <sz val="20"/>
      <color indexed="10"/>
      <name val="Arial"/>
      <family val="2"/>
    </font>
    <font>
      <b/>
      <sz val="11"/>
      <color theme="9" tint="-0.499984740745262"/>
      <name val="Arial"/>
      <family val="2"/>
    </font>
    <font>
      <b/>
      <sz val="11"/>
      <color rgb="FF002060"/>
      <name val="Times New Roman"/>
      <family val="1"/>
    </font>
    <font>
      <b/>
      <sz val="11"/>
      <color indexed="17"/>
      <name val="Times New Roman"/>
      <family val="1"/>
    </font>
    <font>
      <b/>
      <sz val="18"/>
      <name val="Times New Roman"/>
      <family val="1"/>
    </font>
    <font>
      <b/>
      <sz val="14"/>
      <color theme="5" tint="-0.249977111117893"/>
      <name val="Times New Roman"/>
      <family val="1"/>
    </font>
    <font>
      <sz val="11"/>
      <color theme="5" tint="-0.249977111117893"/>
      <name val="Calibri"/>
      <family val="2"/>
      <scheme val="minor"/>
    </font>
    <font>
      <sz val="14"/>
      <color theme="5" tint="-0.249977111117893"/>
      <name val="Calibri"/>
      <family val="2"/>
      <scheme val="minor"/>
    </font>
    <font>
      <b/>
      <sz val="14"/>
      <color theme="8" tint="-0.249977111117893"/>
      <name val="Times New Roman"/>
      <family val="1"/>
    </font>
    <font>
      <sz val="14"/>
      <color theme="8" tint="-0.249977111117893"/>
      <name val="Calibri"/>
      <family val="2"/>
      <scheme val="minor"/>
    </font>
    <font>
      <b/>
      <sz val="12"/>
      <color theme="5" tint="-0.499984740745262"/>
      <name val="Calibri"/>
      <family val="2"/>
      <scheme val="minor"/>
    </font>
    <font>
      <b/>
      <sz val="11"/>
      <color theme="5" tint="-0.499984740745262"/>
      <name val="Times New Roman"/>
      <family val="1"/>
    </font>
    <font>
      <b/>
      <i/>
      <sz val="12"/>
      <color rgb="FFFF0000"/>
      <name val="Arial"/>
      <family val="2"/>
    </font>
    <font>
      <b/>
      <sz val="18"/>
      <color rgb="FF008000"/>
      <name val="Arial"/>
      <family val="2"/>
    </font>
    <font>
      <b/>
      <sz val="26"/>
      <color rgb="FF008000"/>
      <name val="Arial"/>
      <family val="2"/>
    </font>
    <font>
      <b/>
      <sz val="9"/>
      <color rgb="FF002060"/>
      <name val="Arial"/>
      <family val="2"/>
    </font>
    <font>
      <sz val="9"/>
      <color rgb="FF002060"/>
      <name val="Arial"/>
      <family val="2"/>
    </font>
    <font>
      <b/>
      <sz val="15"/>
      <color theme="5" tint="-0.249977111117893"/>
      <name val="Times New Roman"/>
      <family val="1"/>
    </font>
    <font>
      <b/>
      <sz val="11"/>
      <color rgb="FF0070C0"/>
      <name val="Arial"/>
      <family val="2"/>
    </font>
    <font>
      <b/>
      <sz val="48"/>
      <color rgb="FF008000"/>
      <name val="Arial"/>
      <family val="2"/>
    </font>
    <font>
      <b/>
      <sz val="16"/>
      <color rgb="FFFF0000"/>
      <name val="Arial"/>
      <family val="2"/>
    </font>
    <font>
      <b/>
      <sz val="18"/>
      <color rgb="FFFF0000"/>
      <name val="Arial"/>
      <family val="2"/>
    </font>
    <font>
      <b/>
      <sz val="12"/>
      <color rgb="FFC00000"/>
      <name val="Times New Roman"/>
      <family val="1"/>
    </font>
    <font>
      <b/>
      <sz val="18"/>
      <color rgb="FFC00000"/>
      <name val="Calibri"/>
      <family val="2"/>
      <scheme val="minor"/>
    </font>
    <font>
      <b/>
      <sz val="12"/>
      <color indexed="56"/>
      <name val="Calibri"/>
      <family val="2"/>
    </font>
    <font>
      <b/>
      <sz val="13"/>
      <color rgb="FFC00000"/>
      <name val="Times New Roman"/>
      <family val="1"/>
    </font>
    <font>
      <b/>
      <sz val="14"/>
      <color rgb="FF008000"/>
      <name val="Arial"/>
      <family val="2"/>
    </font>
    <font>
      <b/>
      <sz val="16"/>
      <color rgb="FF008000"/>
      <name val="Arial"/>
      <family val="2"/>
    </font>
    <font>
      <sz val="10"/>
      <color rgb="FFFFC000"/>
      <name val="Arial"/>
      <family val="2"/>
    </font>
    <font>
      <b/>
      <sz val="10"/>
      <color rgb="FF002060"/>
      <name val="Arial"/>
      <family val="2"/>
    </font>
    <font>
      <b/>
      <sz val="9"/>
      <color rgb="FFC00000"/>
      <name val="Arial"/>
      <family val="2"/>
    </font>
    <font>
      <sz val="14"/>
      <name val="Arial"/>
      <family val="2"/>
    </font>
    <font>
      <sz val="36"/>
      <color theme="1"/>
      <name val="Calibri"/>
      <family val="2"/>
      <scheme val="minor"/>
    </font>
    <font>
      <sz val="11"/>
      <color rgb="FF002060"/>
      <name val="Arial"/>
      <family val="2"/>
    </font>
    <font>
      <b/>
      <sz val="22"/>
      <color indexed="18"/>
      <name val="Arial"/>
      <family val="2"/>
    </font>
    <font>
      <b/>
      <sz val="22"/>
      <name val="Times New Roman"/>
      <family val="1"/>
    </font>
    <font>
      <b/>
      <sz val="7"/>
      <color rgb="FF002060"/>
      <name val="Times New Roman"/>
      <family val="1"/>
    </font>
    <font>
      <b/>
      <sz val="12"/>
      <color theme="9" tint="-0.499984740745262"/>
      <name val="Times New Roman"/>
      <family val="1"/>
    </font>
    <font>
      <b/>
      <sz val="10.5"/>
      <color rgb="FFFF0000"/>
      <name val="Calibri"/>
      <family val="2"/>
      <scheme val="minor"/>
    </font>
    <font>
      <b/>
      <sz val="11"/>
      <color rgb="FFFF0000"/>
      <name val="Arial"/>
      <family val="2"/>
    </font>
    <font>
      <b/>
      <sz val="14"/>
      <color theme="0"/>
      <name val="Times New Roman"/>
      <family val="1"/>
    </font>
    <font>
      <b/>
      <sz val="11"/>
      <color theme="9" tint="-0.249977111117893"/>
      <name val="Arial"/>
      <family val="2"/>
    </font>
    <font>
      <sz val="11"/>
      <color theme="9" tint="-0.499984740745262"/>
      <name val="Calibri"/>
      <family val="2"/>
      <scheme val="minor"/>
    </font>
    <font>
      <b/>
      <sz val="14"/>
      <color theme="9" tint="-0.499984740745262"/>
      <name val="Times New Roman"/>
      <family val="1"/>
    </font>
    <font>
      <b/>
      <i/>
      <sz val="11"/>
      <color rgb="FF008000"/>
      <name val="Times New Roman"/>
      <family val="1"/>
    </font>
    <font>
      <sz val="11"/>
      <color rgb="FF008000"/>
      <name val="Calibri"/>
      <family val="2"/>
      <scheme val="minor"/>
    </font>
    <font>
      <b/>
      <sz val="14"/>
      <color rgb="FF0070C0"/>
      <name val="Times New Roman"/>
      <family val="1"/>
    </font>
    <font>
      <b/>
      <sz val="10.5"/>
      <color rgb="FF008000"/>
      <name val="Times New Roman"/>
      <family val="1"/>
    </font>
    <font>
      <sz val="11"/>
      <color rgb="FF0070C0"/>
      <name val="Calibri"/>
      <family val="2"/>
      <scheme val="minor"/>
    </font>
    <font>
      <b/>
      <sz val="10"/>
      <color theme="0"/>
      <name val="Times New Roman"/>
      <family val="1"/>
    </font>
    <font>
      <b/>
      <sz val="9"/>
      <color rgb="FFCCFFCC"/>
      <name val="Arial"/>
      <family val="2"/>
    </font>
    <font>
      <b/>
      <sz val="36"/>
      <color rgb="FFFF0000"/>
      <name val="Arial"/>
      <family val="2"/>
    </font>
    <font>
      <b/>
      <sz val="16"/>
      <color rgb="FFFF3399"/>
      <name val="Arial"/>
      <family val="2"/>
    </font>
    <font>
      <b/>
      <sz val="14"/>
      <color rgb="FFCCFFCC"/>
      <name val="Times New Roman"/>
      <family val="1"/>
    </font>
    <font>
      <sz val="12"/>
      <name val="Arial"/>
      <family val="2"/>
    </font>
    <font>
      <sz val="8"/>
      <color theme="0"/>
      <name val="Arial"/>
      <family val="2"/>
    </font>
    <font>
      <b/>
      <sz val="7"/>
      <color rgb="FFFF0000"/>
      <name val="Arial"/>
      <family val="2"/>
    </font>
    <font>
      <b/>
      <sz val="9"/>
      <color theme="0"/>
      <name val="Times New Roman"/>
      <family val="1"/>
    </font>
    <font>
      <b/>
      <sz val="11"/>
      <color rgb="FF002060"/>
      <name val="Calibri"/>
      <family val="2"/>
      <scheme val="minor"/>
    </font>
    <font>
      <b/>
      <sz val="12"/>
      <color theme="1"/>
      <name val="Times New Roman"/>
      <family val="1"/>
    </font>
    <font>
      <b/>
      <sz val="13"/>
      <color rgb="FFFF0000"/>
      <name val="Arial"/>
      <family val="2"/>
    </font>
    <font>
      <sz val="11"/>
      <color rgb="FF7030A0"/>
      <name val="Calibri"/>
      <family val="2"/>
      <scheme val="minor"/>
    </font>
    <font>
      <b/>
      <sz val="14"/>
      <color rgb="FF7030A0"/>
      <name val="Times New Roman"/>
      <family val="1"/>
    </font>
    <font>
      <b/>
      <sz val="10"/>
      <color rgb="FF7030A0"/>
      <name val="Arial"/>
      <family val="2"/>
    </font>
    <font>
      <b/>
      <sz val="11"/>
      <color rgb="FF7030A0"/>
      <name val="Times New Roman"/>
      <family val="1"/>
    </font>
    <font>
      <b/>
      <sz val="13.5"/>
      <name val="Times New Roman"/>
      <family val="1"/>
    </font>
    <font>
      <b/>
      <sz val="10"/>
      <color rgb="FF0070C0"/>
      <name val="Arial"/>
      <family val="2"/>
    </font>
    <font>
      <b/>
      <sz val="25"/>
      <color indexed="9"/>
      <name val="Arial"/>
      <family val="2"/>
    </font>
    <font>
      <b/>
      <sz val="22"/>
      <color indexed="9"/>
      <name val="Arial"/>
      <family val="2"/>
    </font>
    <font>
      <b/>
      <sz val="10"/>
      <color rgb="FFCCFFCC"/>
      <name val="Times New Roman"/>
      <family val="1"/>
    </font>
    <font>
      <b/>
      <sz val="10"/>
      <color rgb="FFC00000"/>
      <name val="Arial"/>
      <family val="2"/>
      <charset val="178"/>
    </font>
    <font>
      <b/>
      <sz val="10"/>
      <color indexed="60"/>
      <name val="Arial"/>
      <family val="2"/>
      <charset val="178"/>
    </font>
  </fonts>
  <fills count="8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lightGray"/>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20"/>
        <bgColor indexed="64"/>
      </patternFill>
    </fill>
    <fill>
      <patternFill patternType="solid">
        <fgColor indexed="10"/>
        <bgColor indexed="64"/>
      </patternFill>
    </fill>
    <fill>
      <patternFill patternType="solid">
        <fgColor indexed="42"/>
        <bgColor indexed="64"/>
      </patternFill>
    </fill>
    <fill>
      <patternFill patternType="solid">
        <fgColor indexed="44"/>
        <bgColor indexed="64"/>
      </patternFill>
    </fill>
    <fill>
      <patternFill patternType="solid">
        <fgColor indexed="51"/>
        <bgColor indexed="64"/>
      </patternFill>
    </fill>
    <fill>
      <patternFill patternType="solid">
        <fgColor indexed="55"/>
        <bgColor indexed="64"/>
      </patternFill>
    </fill>
    <fill>
      <patternFill patternType="solid">
        <fgColor indexed="22"/>
        <bgColor indexed="64"/>
      </patternFill>
    </fill>
    <fill>
      <patternFill patternType="solid">
        <fgColor indexed="11"/>
        <bgColor indexed="64"/>
      </patternFill>
    </fill>
    <fill>
      <patternFill patternType="solid">
        <fgColor indexed="27"/>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indexed="31"/>
        <bgColor indexed="8"/>
      </patternFill>
    </fill>
    <fill>
      <patternFill patternType="solid">
        <fgColor indexed="31"/>
        <bgColor indexed="64"/>
      </patternFill>
    </fill>
    <fill>
      <patternFill patternType="solid">
        <fgColor indexed="29"/>
        <bgColor indexed="64"/>
      </patternFill>
    </fill>
    <fill>
      <patternFill patternType="solid">
        <fgColor indexed="46"/>
        <bgColor indexed="64"/>
      </patternFill>
    </fill>
    <fill>
      <patternFill patternType="solid">
        <fgColor indexed="15"/>
        <bgColor indexed="64"/>
      </patternFill>
    </fill>
    <fill>
      <patternFill patternType="solid">
        <fgColor indexed="49"/>
        <bgColor indexed="64"/>
      </patternFill>
    </fill>
    <fill>
      <patternFill patternType="solid">
        <fgColor theme="5"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66FF99"/>
        <bgColor indexed="64"/>
      </patternFill>
    </fill>
    <fill>
      <patternFill patternType="solid">
        <fgColor rgb="FFFFFFCC"/>
        <bgColor indexed="64"/>
      </patternFill>
    </fill>
    <fill>
      <patternFill patternType="solid">
        <fgColor theme="6" tint="-0.249977111117893"/>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8"/>
      </patternFill>
    </fill>
    <fill>
      <patternFill patternType="solid">
        <fgColor theme="9" tint="0.39997558519241921"/>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rgb="FFFFCC99"/>
        <bgColor indexed="64"/>
      </patternFill>
    </fill>
    <fill>
      <patternFill patternType="solid">
        <fgColor rgb="FF99CCFF"/>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rgb="FFFF33CC"/>
        <bgColor indexed="64"/>
      </patternFill>
    </fill>
    <fill>
      <patternFill patternType="solid">
        <fgColor rgb="FFFFFF99"/>
        <bgColor indexed="64"/>
      </patternFill>
    </fill>
    <fill>
      <patternFill patternType="solid">
        <fgColor rgb="FF31849B"/>
        <bgColor indexed="64"/>
      </patternFill>
    </fill>
    <fill>
      <patternFill patternType="solid">
        <fgColor rgb="FFFF66FF"/>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00B0F0"/>
        <bgColor indexed="64"/>
      </patternFill>
    </fill>
    <fill>
      <patternFill patternType="solid">
        <fgColor theme="9" tint="-0.249977111117893"/>
        <bgColor indexed="64"/>
      </patternFill>
    </fill>
  </fills>
  <borders count="676">
    <border>
      <left/>
      <right/>
      <top/>
      <bottom/>
      <diagonal/>
    </border>
    <border>
      <left style="thick">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dotted">
        <color indexed="17"/>
      </left>
      <right/>
      <top/>
      <bottom/>
      <diagonal/>
    </border>
    <border>
      <left style="dotted">
        <color indexed="17"/>
      </left>
      <right style="medium">
        <color indexed="17"/>
      </right>
      <top style="medium">
        <color indexed="17"/>
      </top>
      <bottom style="medium">
        <color indexed="17"/>
      </bottom>
      <diagonal/>
    </border>
    <border>
      <left style="thin">
        <color indexed="17"/>
      </left>
      <right style="dotted">
        <color indexed="17"/>
      </right>
      <top style="medium">
        <color indexed="17"/>
      </top>
      <bottom style="medium">
        <color indexed="17"/>
      </bottom>
      <diagonal/>
    </border>
    <border>
      <left style="dotted">
        <color indexed="17"/>
      </left>
      <right style="thin">
        <color indexed="17"/>
      </right>
      <top style="medium">
        <color indexed="17"/>
      </top>
      <bottom style="medium">
        <color indexed="17"/>
      </bottom>
      <diagonal/>
    </border>
    <border>
      <left style="dotted">
        <color indexed="17"/>
      </left>
      <right/>
      <top style="medium">
        <color indexed="17"/>
      </top>
      <bottom style="medium">
        <color indexed="17"/>
      </bottom>
      <diagonal/>
    </border>
    <border>
      <left style="medium">
        <color indexed="17"/>
      </left>
      <right style="dotted">
        <color indexed="17"/>
      </right>
      <top style="medium">
        <color indexed="17"/>
      </top>
      <bottom style="medium">
        <color indexed="17"/>
      </bottom>
      <diagonal/>
    </border>
    <border>
      <left style="dashed">
        <color indexed="10"/>
      </left>
      <right style="medium">
        <color indexed="10"/>
      </right>
      <top style="medium">
        <color indexed="10"/>
      </top>
      <bottom style="medium">
        <color indexed="10"/>
      </bottom>
      <diagonal/>
    </border>
    <border>
      <left style="dashed">
        <color indexed="10"/>
      </left>
      <right style="dashed">
        <color indexed="10"/>
      </right>
      <top style="medium">
        <color indexed="10"/>
      </top>
      <bottom style="medium">
        <color indexed="10"/>
      </bottom>
      <diagonal/>
    </border>
    <border>
      <left style="medium">
        <color indexed="10"/>
      </left>
      <right style="dashed">
        <color indexed="10"/>
      </right>
      <top style="medium">
        <color indexed="10"/>
      </top>
      <bottom style="medium">
        <color indexed="10"/>
      </bottom>
      <diagonal/>
    </border>
    <border>
      <left style="dotted">
        <color indexed="17"/>
      </left>
      <right style="medium">
        <color indexed="17"/>
      </right>
      <top style="medium">
        <color indexed="17"/>
      </top>
      <bottom/>
      <diagonal/>
    </border>
    <border>
      <left style="thin">
        <color indexed="17"/>
      </left>
      <right style="dotted">
        <color indexed="17"/>
      </right>
      <top style="medium">
        <color indexed="17"/>
      </top>
      <bottom/>
      <diagonal/>
    </border>
    <border>
      <left style="dotted">
        <color indexed="17"/>
      </left>
      <right style="thin">
        <color indexed="17"/>
      </right>
      <top style="medium">
        <color indexed="17"/>
      </top>
      <bottom/>
      <diagonal/>
    </border>
    <border>
      <left/>
      <right style="dotted">
        <color indexed="17"/>
      </right>
      <top style="medium">
        <color indexed="17"/>
      </top>
      <bottom/>
      <diagonal/>
    </border>
    <border>
      <left style="dotted">
        <color indexed="17"/>
      </left>
      <right/>
      <top style="medium">
        <color indexed="17"/>
      </top>
      <bottom/>
      <diagonal/>
    </border>
    <border>
      <left style="medium">
        <color indexed="17"/>
      </left>
      <right style="dotted">
        <color indexed="17"/>
      </right>
      <top style="medium">
        <color indexed="17"/>
      </top>
      <bottom/>
      <diagonal/>
    </border>
    <border>
      <left/>
      <right style="dotted">
        <color indexed="17"/>
      </right>
      <top style="medium">
        <color indexed="17"/>
      </top>
      <bottom style="medium">
        <color indexed="17"/>
      </bottom>
      <diagonal/>
    </border>
    <border>
      <left style="thin">
        <color indexed="17"/>
      </left>
      <right style="medium">
        <color indexed="17"/>
      </right>
      <top style="medium">
        <color indexed="17"/>
      </top>
      <bottom style="medium">
        <color indexed="17"/>
      </bottom>
      <diagonal/>
    </border>
    <border>
      <left style="dotted">
        <color indexed="17"/>
      </left>
      <right style="dotted">
        <color indexed="17"/>
      </right>
      <top style="medium">
        <color indexed="17"/>
      </top>
      <bottom style="medium">
        <color indexed="17"/>
      </bottom>
      <diagonal/>
    </border>
    <border>
      <left style="medium">
        <color indexed="17"/>
      </left>
      <right/>
      <top style="medium">
        <color indexed="17"/>
      </top>
      <bottom style="medium">
        <color indexed="17"/>
      </bottom>
      <diagonal/>
    </border>
    <border>
      <left style="medium">
        <color indexed="17"/>
      </left>
      <right/>
      <top style="medium">
        <color indexed="17"/>
      </top>
      <bottom/>
      <diagonal/>
    </border>
    <border>
      <left style="medium">
        <color indexed="17"/>
      </left>
      <right style="medium">
        <color indexed="17"/>
      </right>
      <top style="medium">
        <color indexed="17"/>
      </top>
      <bottom/>
      <diagonal/>
    </border>
    <border>
      <left style="dotted">
        <color indexed="17"/>
      </left>
      <right style="dotted">
        <color indexed="17"/>
      </right>
      <top style="medium">
        <color indexed="17"/>
      </top>
      <bottom/>
      <diagonal/>
    </border>
    <border>
      <left style="medium">
        <color indexed="17"/>
      </left>
      <right style="medium">
        <color indexed="17"/>
      </right>
      <top style="medium">
        <color indexed="17"/>
      </top>
      <bottom style="medium">
        <color indexed="17"/>
      </bottom>
      <diagonal/>
    </border>
    <border>
      <left/>
      <right style="thin">
        <color indexed="17"/>
      </right>
      <top style="medium">
        <color indexed="17"/>
      </top>
      <bottom/>
      <diagonal/>
    </border>
    <border>
      <left/>
      <right style="thin">
        <color indexed="17"/>
      </right>
      <top style="medium">
        <color indexed="17"/>
      </top>
      <bottom style="medium">
        <color indexed="17"/>
      </bottom>
      <diagonal/>
    </border>
    <border>
      <left style="dotted">
        <color indexed="17"/>
      </left>
      <right style="medium">
        <color indexed="17"/>
      </right>
      <top style="medium">
        <color indexed="17"/>
      </top>
      <bottom style="medium">
        <color indexed="10"/>
      </bottom>
      <diagonal/>
    </border>
    <border>
      <left style="thin">
        <color indexed="17"/>
      </left>
      <right style="dotted">
        <color indexed="17"/>
      </right>
      <top style="medium">
        <color indexed="17"/>
      </top>
      <bottom style="medium">
        <color indexed="10"/>
      </bottom>
      <diagonal/>
    </border>
    <border>
      <left/>
      <right/>
      <top/>
      <bottom style="medium">
        <color indexed="17"/>
      </bottom>
      <diagonal/>
    </border>
    <border>
      <left/>
      <right/>
      <top style="medium">
        <color indexed="17"/>
      </top>
      <bottom/>
      <diagonal/>
    </border>
    <border>
      <left/>
      <right style="medium">
        <color indexed="17"/>
      </right>
      <top/>
      <bottom/>
      <diagonal/>
    </border>
    <border>
      <left/>
      <right/>
      <top style="medium">
        <color indexed="17"/>
      </top>
      <bottom style="medium">
        <color indexed="17"/>
      </bottom>
      <diagonal/>
    </border>
    <border>
      <left style="thin">
        <color indexed="17"/>
      </left>
      <right style="thin">
        <color indexed="17"/>
      </right>
      <top style="medium">
        <color indexed="17"/>
      </top>
      <bottom style="medium">
        <color indexed="17"/>
      </bottom>
      <diagonal/>
    </border>
    <border>
      <left/>
      <right style="medium">
        <color indexed="17"/>
      </right>
      <top style="medium">
        <color indexed="17"/>
      </top>
      <bottom style="medium">
        <color indexed="17"/>
      </bottom>
      <diagonal/>
    </border>
    <border>
      <left style="thin">
        <color indexed="17"/>
      </left>
      <right/>
      <top style="medium">
        <color indexed="17"/>
      </top>
      <bottom style="medium">
        <color indexed="17"/>
      </bottom>
      <diagonal/>
    </border>
    <border>
      <left style="medium">
        <color indexed="17"/>
      </left>
      <right style="thin">
        <color indexed="17"/>
      </right>
      <top style="medium">
        <color indexed="17"/>
      </top>
      <bottom style="medium">
        <color indexed="17"/>
      </bottom>
      <diagonal/>
    </border>
    <border>
      <left style="thin">
        <color indexed="17"/>
      </left>
      <right style="medium">
        <color indexed="17"/>
      </right>
      <top style="thin">
        <color indexed="17"/>
      </top>
      <bottom style="medium">
        <color indexed="17"/>
      </bottom>
      <diagonal/>
    </border>
    <border>
      <left style="thin">
        <color indexed="17"/>
      </left>
      <right style="thin">
        <color indexed="17"/>
      </right>
      <top style="thin">
        <color indexed="17"/>
      </top>
      <bottom style="medium">
        <color indexed="17"/>
      </bottom>
      <diagonal/>
    </border>
    <border>
      <left style="medium">
        <color indexed="17"/>
      </left>
      <right style="thin">
        <color indexed="17"/>
      </right>
      <top style="thin">
        <color indexed="17"/>
      </top>
      <bottom style="medium">
        <color indexed="17"/>
      </bottom>
      <diagonal/>
    </border>
    <border>
      <left style="thin">
        <color indexed="17"/>
      </left>
      <right/>
      <top style="thin">
        <color indexed="17"/>
      </top>
      <bottom style="medium">
        <color indexed="17"/>
      </bottom>
      <diagonal/>
    </border>
    <border>
      <left style="thin">
        <color indexed="17"/>
      </left>
      <right style="medium">
        <color indexed="17"/>
      </right>
      <top style="thin">
        <color indexed="17"/>
      </top>
      <bottom/>
      <diagonal/>
    </border>
    <border>
      <left style="thin">
        <color indexed="17"/>
      </left>
      <right style="thin">
        <color indexed="17"/>
      </right>
      <top style="thin">
        <color indexed="17"/>
      </top>
      <bottom/>
      <diagonal/>
    </border>
    <border>
      <left style="medium">
        <color indexed="17"/>
      </left>
      <right style="thin">
        <color indexed="17"/>
      </right>
      <top style="thin">
        <color indexed="17"/>
      </top>
      <bottom style="thin">
        <color indexed="17"/>
      </bottom>
      <diagonal/>
    </border>
    <border>
      <left style="medium">
        <color indexed="17"/>
      </left>
      <right style="thin">
        <color indexed="17"/>
      </right>
      <top style="thin">
        <color indexed="17"/>
      </top>
      <bottom/>
      <diagonal/>
    </border>
    <border>
      <left style="thin">
        <color indexed="17"/>
      </left>
      <right/>
      <top style="thin">
        <color indexed="17"/>
      </top>
      <bottom/>
      <diagonal/>
    </border>
    <border>
      <left style="thin">
        <color indexed="17"/>
      </left>
      <right style="medium">
        <color indexed="17"/>
      </right>
      <top/>
      <bottom style="thin">
        <color indexed="17"/>
      </bottom>
      <diagonal/>
    </border>
    <border>
      <left style="thin">
        <color indexed="17"/>
      </left>
      <right style="thin">
        <color indexed="17"/>
      </right>
      <top/>
      <bottom style="thin">
        <color indexed="17"/>
      </bottom>
      <diagonal/>
    </border>
    <border>
      <left style="medium">
        <color indexed="17"/>
      </left>
      <right style="thin">
        <color indexed="17"/>
      </right>
      <top/>
      <bottom style="thin">
        <color indexed="17"/>
      </bottom>
      <diagonal/>
    </border>
    <border>
      <left/>
      <right style="medium">
        <color indexed="17"/>
      </right>
      <top style="thin">
        <color indexed="17"/>
      </top>
      <bottom style="thin">
        <color indexed="17"/>
      </bottom>
      <diagonal/>
    </border>
    <border>
      <left/>
      <right/>
      <top style="thin">
        <color indexed="17"/>
      </top>
      <bottom style="thin">
        <color indexed="17"/>
      </bottom>
      <diagonal/>
    </border>
    <border>
      <left style="thin">
        <color indexed="17"/>
      </left>
      <right/>
      <top style="thin">
        <color indexed="17"/>
      </top>
      <bottom style="thin">
        <color indexed="17"/>
      </bottom>
      <diagonal/>
    </border>
    <border>
      <left/>
      <right style="thin">
        <color indexed="17"/>
      </right>
      <top style="thin">
        <color indexed="17"/>
      </top>
      <bottom style="thin">
        <color indexed="17"/>
      </bottom>
      <diagonal/>
    </border>
    <border>
      <left style="medium">
        <color indexed="17"/>
      </left>
      <right/>
      <top style="thin">
        <color indexed="17"/>
      </top>
      <bottom style="thin">
        <color indexed="17"/>
      </bottom>
      <diagonal/>
    </border>
    <border>
      <left/>
      <right style="medium">
        <color indexed="17"/>
      </right>
      <top/>
      <bottom style="thin">
        <color indexed="17"/>
      </bottom>
      <diagonal/>
    </border>
    <border>
      <left/>
      <right/>
      <top/>
      <bottom style="thin">
        <color indexed="17"/>
      </bottom>
      <diagonal/>
    </border>
    <border>
      <left style="medium">
        <color indexed="17"/>
      </left>
      <right/>
      <top/>
      <bottom style="thin">
        <color indexed="17"/>
      </bottom>
      <diagonal/>
    </border>
    <border>
      <left style="medium">
        <color indexed="17"/>
      </left>
      <right style="thin">
        <color indexed="17"/>
      </right>
      <top/>
      <bottom/>
      <diagonal/>
    </border>
    <border>
      <left style="medium">
        <color indexed="17"/>
      </left>
      <right/>
      <top/>
      <bottom/>
      <diagonal/>
    </border>
    <border>
      <left/>
      <right style="medium">
        <color indexed="17"/>
      </right>
      <top style="medium">
        <color indexed="17"/>
      </top>
      <bottom/>
      <diagonal/>
    </border>
    <border>
      <left/>
      <right style="medium">
        <color indexed="17"/>
      </right>
      <top style="medium">
        <color indexed="17"/>
      </top>
      <bottom style="thin">
        <color indexed="17"/>
      </bottom>
      <diagonal/>
    </border>
    <border>
      <left/>
      <right/>
      <top style="medium">
        <color indexed="17"/>
      </top>
      <bottom style="thin">
        <color indexed="17"/>
      </bottom>
      <diagonal/>
    </border>
    <border>
      <left style="medium">
        <color indexed="17"/>
      </left>
      <right/>
      <top style="medium">
        <color indexed="17"/>
      </top>
      <bottom style="thin">
        <color indexed="17"/>
      </bottom>
      <diagonal/>
    </border>
    <border>
      <left style="dotted">
        <color indexed="17"/>
      </left>
      <right style="medium">
        <color indexed="17"/>
      </right>
      <top style="dotted">
        <color indexed="17"/>
      </top>
      <bottom style="medium">
        <color indexed="17"/>
      </bottom>
      <diagonal/>
    </border>
    <border>
      <left style="dotted">
        <color indexed="17"/>
      </left>
      <right style="dotted">
        <color indexed="17"/>
      </right>
      <top style="dotted">
        <color indexed="17"/>
      </top>
      <bottom style="medium">
        <color indexed="17"/>
      </bottom>
      <diagonal/>
    </border>
    <border>
      <left style="medium">
        <color indexed="17"/>
      </left>
      <right style="dotted">
        <color indexed="17"/>
      </right>
      <top style="dotted">
        <color indexed="17"/>
      </top>
      <bottom style="medium">
        <color indexed="17"/>
      </bottom>
      <diagonal/>
    </border>
    <border>
      <left style="dotted">
        <color indexed="17"/>
      </left>
      <right style="medium">
        <color indexed="17"/>
      </right>
      <top style="thin">
        <color indexed="17"/>
      </top>
      <bottom style="medium">
        <color indexed="17"/>
      </bottom>
      <diagonal/>
    </border>
    <border>
      <left style="dotted">
        <color indexed="17"/>
      </left>
      <right style="dotted">
        <color indexed="17"/>
      </right>
      <top style="thin">
        <color indexed="17"/>
      </top>
      <bottom style="medium">
        <color indexed="17"/>
      </bottom>
      <diagonal/>
    </border>
    <border>
      <left style="medium">
        <color indexed="17"/>
      </left>
      <right style="dotted">
        <color indexed="17"/>
      </right>
      <top style="thin">
        <color indexed="17"/>
      </top>
      <bottom style="medium">
        <color indexed="17"/>
      </bottom>
      <diagonal/>
    </border>
    <border>
      <left style="dashed">
        <color indexed="17"/>
      </left>
      <right style="medium">
        <color indexed="17"/>
      </right>
      <top style="thin">
        <color indexed="17"/>
      </top>
      <bottom style="medium">
        <color indexed="17"/>
      </bottom>
      <diagonal/>
    </border>
    <border>
      <left style="dashed">
        <color indexed="17"/>
      </left>
      <right style="dashed">
        <color indexed="17"/>
      </right>
      <top style="thin">
        <color indexed="17"/>
      </top>
      <bottom style="medium">
        <color indexed="17"/>
      </bottom>
      <diagonal/>
    </border>
    <border>
      <left style="medium">
        <color indexed="17"/>
      </left>
      <right style="dashed">
        <color indexed="17"/>
      </right>
      <top style="thin">
        <color indexed="17"/>
      </top>
      <bottom style="medium">
        <color indexed="17"/>
      </bottom>
      <diagonal/>
    </border>
    <border>
      <left/>
      <right style="medium">
        <color indexed="17"/>
      </right>
      <top style="thin">
        <color indexed="17"/>
      </top>
      <bottom style="medium">
        <color indexed="17"/>
      </bottom>
      <diagonal/>
    </border>
    <border>
      <left style="medium">
        <color indexed="17"/>
      </left>
      <right style="medium">
        <color indexed="17"/>
      </right>
      <top style="thin">
        <color indexed="17"/>
      </top>
      <bottom style="medium">
        <color indexed="17"/>
      </bottom>
      <diagonal/>
    </border>
    <border>
      <left style="dotted">
        <color indexed="17"/>
      </left>
      <right style="medium">
        <color indexed="17"/>
      </right>
      <top style="thin">
        <color indexed="17"/>
      </top>
      <bottom style="thin">
        <color indexed="17"/>
      </bottom>
      <diagonal/>
    </border>
    <border>
      <left style="dotted">
        <color indexed="17"/>
      </left>
      <right style="dotted">
        <color indexed="17"/>
      </right>
      <top style="thin">
        <color indexed="17"/>
      </top>
      <bottom style="thin">
        <color indexed="17"/>
      </bottom>
      <diagonal/>
    </border>
    <border>
      <left style="medium">
        <color indexed="17"/>
      </left>
      <right style="dotted">
        <color indexed="17"/>
      </right>
      <top style="thin">
        <color indexed="17"/>
      </top>
      <bottom style="thin">
        <color indexed="17"/>
      </bottom>
      <diagonal/>
    </border>
    <border>
      <left style="dotted">
        <color indexed="17"/>
      </left>
      <right style="medium">
        <color indexed="17"/>
      </right>
      <top style="dotted">
        <color indexed="17"/>
      </top>
      <bottom style="thin">
        <color indexed="17"/>
      </bottom>
      <diagonal/>
    </border>
    <border>
      <left style="dotted">
        <color indexed="17"/>
      </left>
      <right/>
      <top style="dotted">
        <color indexed="17"/>
      </top>
      <bottom style="thin">
        <color indexed="17"/>
      </bottom>
      <diagonal/>
    </border>
    <border>
      <left style="medium">
        <color indexed="17"/>
      </left>
      <right style="dotted">
        <color indexed="17"/>
      </right>
      <top style="dotted">
        <color indexed="17"/>
      </top>
      <bottom style="thin">
        <color indexed="17"/>
      </bottom>
      <diagonal/>
    </border>
    <border>
      <left/>
      <right style="dotted">
        <color indexed="17"/>
      </right>
      <top style="dotted">
        <color indexed="17"/>
      </top>
      <bottom style="medium">
        <color indexed="17"/>
      </bottom>
      <diagonal/>
    </border>
    <border>
      <left style="thin">
        <color indexed="17"/>
      </left>
      <right style="dotted">
        <color indexed="17"/>
      </right>
      <top style="dotted">
        <color indexed="17"/>
      </top>
      <bottom style="medium">
        <color indexed="17"/>
      </bottom>
      <diagonal/>
    </border>
    <border>
      <left style="dotted">
        <color indexed="17"/>
      </left>
      <right style="thin">
        <color indexed="17"/>
      </right>
      <top style="dotted">
        <color indexed="17"/>
      </top>
      <bottom style="medium">
        <color indexed="17"/>
      </bottom>
      <diagonal/>
    </border>
    <border>
      <left/>
      <right style="medium">
        <color indexed="17"/>
      </right>
      <top style="thin">
        <color indexed="17"/>
      </top>
      <bottom style="dotted">
        <color indexed="17"/>
      </bottom>
      <diagonal/>
    </border>
    <border>
      <left/>
      <right/>
      <top style="thin">
        <color indexed="17"/>
      </top>
      <bottom style="dotted">
        <color indexed="17"/>
      </bottom>
      <diagonal/>
    </border>
    <border>
      <left style="medium">
        <color indexed="17"/>
      </left>
      <right/>
      <top style="thin">
        <color indexed="17"/>
      </top>
      <bottom style="dotted">
        <color indexed="17"/>
      </bottom>
      <diagonal/>
    </border>
    <border>
      <left/>
      <right style="dotted">
        <color indexed="17"/>
      </right>
      <top style="thin">
        <color indexed="17"/>
      </top>
      <bottom style="medium">
        <color indexed="17"/>
      </bottom>
      <diagonal/>
    </border>
    <border>
      <left style="dotted">
        <color indexed="17"/>
      </left>
      <right style="thin">
        <color indexed="17"/>
      </right>
      <top style="thin">
        <color indexed="17"/>
      </top>
      <bottom style="medium">
        <color indexed="17"/>
      </bottom>
      <diagonal/>
    </border>
    <border>
      <left style="thin">
        <color indexed="17"/>
      </left>
      <right style="dotted">
        <color indexed="17"/>
      </right>
      <top style="thin">
        <color indexed="17"/>
      </top>
      <bottom style="medium">
        <color indexed="17"/>
      </bottom>
      <diagonal/>
    </border>
    <border>
      <left style="dotted">
        <color indexed="17"/>
      </left>
      <right/>
      <top style="thin">
        <color indexed="17"/>
      </top>
      <bottom style="medium">
        <color indexed="17"/>
      </bottom>
      <diagonal/>
    </border>
    <border>
      <left/>
      <right style="thin">
        <color indexed="17"/>
      </right>
      <top style="thin">
        <color indexed="17"/>
      </top>
      <bottom style="medium">
        <color indexed="17"/>
      </bottom>
      <diagonal/>
    </border>
    <border>
      <left style="thin">
        <color indexed="17"/>
      </left>
      <right style="thick">
        <color indexed="10"/>
      </right>
      <top style="thin">
        <color indexed="17"/>
      </top>
      <bottom style="thick">
        <color indexed="10"/>
      </bottom>
      <diagonal/>
    </border>
    <border>
      <left style="thin">
        <color indexed="17"/>
      </left>
      <right style="thin">
        <color indexed="17"/>
      </right>
      <top style="thin">
        <color indexed="17"/>
      </top>
      <bottom style="thick">
        <color indexed="10"/>
      </bottom>
      <diagonal/>
    </border>
    <border>
      <left style="medium">
        <color indexed="17"/>
      </left>
      <right style="thin">
        <color indexed="17"/>
      </right>
      <top style="thin">
        <color indexed="17"/>
      </top>
      <bottom style="thick">
        <color indexed="10"/>
      </bottom>
      <diagonal/>
    </border>
    <border>
      <left style="thin">
        <color indexed="17"/>
      </left>
      <right style="medium">
        <color indexed="17"/>
      </right>
      <top style="thin">
        <color indexed="17"/>
      </top>
      <bottom style="thick">
        <color indexed="10"/>
      </bottom>
      <diagonal/>
    </border>
    <border>
      <left style="thick">
        <color indexed="10"/>
      </left>
      <right style="thin">
        <color indexed="17"/>
      </right>
      <top style="thin">
        <color indexed="17"/>
      </top>
      <bottom style="thick">
        <color indexed="10"/>
      </bottom>
      <diagonal/>
    </border>
    <border>
      <left style="thin">
        <color indexed="17"/>
      </left>
      <right style="thin">
        <color indexed="17"/>
      </right>
      <top/>
      <bottom/>
      <diagonal/>
    </border>
    <border>
      <left style="thin">
        <color indexed="17"/>
      </left>
      <right style="medium">
        <color indexed="17"/>
      </right>
      <top style="dotted">
        <color indexed="17"/>
      </top>
      <bottom/>
      <diagonal/>
    </border>
    <border>
      <left style="thin">
        <color indexed="17"/>
      </left>
      <right style="thin">
        <color indexed="17"/>
      </right>
      <top style="dotted">
        <color indexed="17"/>
      </top>
      <bottom/>
      <diagonal/>
    </border>
    <border>
      <left style="medium">
        <color indexed="17"/>
      </left>
      <right style="thin">
        <color indexed="17"/>
      </right>
      <top style="dotted">
        <color indexed="17"/>
      </top>
      <bottom/>
      <diagonal/>
    </border>
    <border>
      <left style="dotted">
        <color indexed="17"/>
      </left>
      <right/>
      <top style="dotted">
        <color indexed="17"/>
      </top>
      <bottom style="medium">
        <color indexed="17"/>
      </bottom>
      <diagonal/>
    </border>
    <border>
      <left style="thin">
        <color indexed="17"/>
      </left>
      <right/>
      <top style="thin">
        <color indexed="17"/>
      </top>
      <bottom style="dotted">
        <color indexed="17"/>
      </bottom>
      <diagonal/>
    </border>
    <border>
      <left/>
      <right style="thin">
        <color indexed="17"/>
      </right>
      <top style="thin">
        <color indexed="17"/>
      </top>
      <bottom style="dotted">
        <color indexed="17"/>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22"/>
      </left>
      <right style="thin">
        <color indexed="64"/>
      </right>
      <top style="thin">
        <color indexed="64"/>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diagonal/>
    </border>
    <border>
      <left style="thin">
        <color indexed="64"/>
      </left>
      <right style="thin">
        <color indexed="22"/>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diagonal/>
    </border>
    <border>
      <left style="thin">
        <color indexed="64"/>
      </left>
      <right style="thin">
        <color indexed="22"/>
      </right>
      <top/>
      <bottom style="thin">
        <color indexed="64"/>
      </bottom>
      <diagonal/>
    </border>
    <border>
      <left style="thin">
        <color indexed="22"/>
      </left>
      <right style="thin">
        <color indexed="64"/>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64"/>
      </right>
      <top style="thin">
        <color indexed="64"/>
      </top>
      <bottom style="thin">
        <color indexed="64"/>
      </bottom>
      <diagonal/>
    </border>
    <border>
      <left style="thin">
        <color indexed="64"/>
      </left>
      <right style="thin">
        <color indexed="55"/>
      </right>
      <top style="thin">
        <color indexed="64"/>
      </top>
      <bottom style="thin">
        <color indexed="22"/>
      </bottom>
      <diagonal/>
    </border>
    <border>
      <left style="thin">
        <color indexed="55"/>
      </left>
      <right style="thin">
        <color indexed="55"/>
      </right>
      <top style="thin">
        <color indexed="64"/>
      </top>
      <bottom style="thin">
        <color indexed="22"/>
      </bottom>
      <diagonal/>
    </border>
    <border>
      <left style="thin">
        <color indexed="55"/>
      </left>
      <right style="thin">
        <color indexed="64"/>
      </right>
      <top style="thin">
        <color indexed="64"/>
      </top>
      <bottom style="thin">
        <color indexed="22"/>
      </bottom>
      <diagonal/>
    </border>
    <border>
      <left style="thin">
        <color indexed="64"/>
      </left>
      <right style="thin">
        <color indexed="55"/>
      </right>
      <top style="thin">
        <color indexed="22"/>
      </top>
      <bottom style="thin">
        <color indexed="64"/>
      </bottom>
      <diagonal/>
    </border>
    <border>
      <left style="thin">
        <color indexed="55"/>
      </left>
      <right style="thin">
        <color indexed="55"/>
      </right>
      <top style="thin">
        <color indexed="22"/>
      </top>
      <bottom style="thin">
        <color indexed="64"/>
      </bottom>
      <diagonal/>
    </border>
    <border>
      <left style="thin">
        <color indexed="55"/>
      </left>
      <right style="thin">
        <color indexed="64"/>
      </right>
      <top style="thin">
        <color indexed="22"/>
      </top>
      <bottom style="thin">
        <color indexed="64"/>
      </bottom>
      <diagonal/>
    </border>
    <border>
      <left style="thin">
        <color indexed="22"/>
      </left>
      <right style="thin">
        <color indexed="8"/>
      </right>
      <top style="thin">
        <color indexed="64"/>
      </top>
      <bottom style="thin">
        <color indexed="22"/>
      </bottom>
      <diagonal/>
    </border>
    <border>
      <left style="thin">
        <color indexed="22"/>
      </left>
      <right style="thin">
        <color indexed="8"/>
      </right>
      <top style="thin">
        <color indexed="22"/>
      </top>
      <bottom style="thin">
        <color indexed="22"/>
      </bottom>
      <diagonal/>
    </border>
    <border>
      <left style="thin">
        <color indexed="55"/>
      </left>
      <right/>
      <top style="thin">
        <color indexed="22"/>
      </top>
      <bottom style="thin">
        <color indexed="64"/>
      </bottom>
      <diagonal/>
    </border>
    <border>
      <left style="thin">
        <color indexed="64"/>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22"/>
      </left>
      <right style="thin">
        <color indexed="8"/>
      </right>
      <top/>
      <bottom style="thin">
        <color indexed="22"/>
      </bottom>
      <diagonal/>
    </border>
    <border>
      <left style="thin">
        <color indexed="22"/>
      </left>
      <right style="thin">
        <color indexed="8"/>
      </right>
      <top style="thin">
        <color indexed="22"/>
      </top>
      <bottom style="thin">
        <color indexed="64"/>
      </bottom>
      <diagonal/>
    </border>
    <border>
      <left style="thin">
        <color indexed="22"/>
      </left>
      <right style="thin">
        <color indexed="8"/>
      </right>
      <top style="thin">
        <color indexed="22"/>
      </top>
      <bottom/>
      <diagonal/>
    </border>
    <border>
      <left style="thin">
        <color indexed="64"/>
      </left>
      <right style="thin">
        <color indexed="22"/>
      </right>
      <top style="thin">
        <color indexed="22"/>
      </top>
      <bottom style="thin">
        <color indexed="8"/>
      </bottom>
      <diagonal/>
    </border>
    <border>
      <left style="thin">
        <color indexed="22"/>
      </left>
      <right style="thin">
        <color indexed="64"/>
      </right>
      <top style="thin">
        <color indexed="22"/>
      </top>
      <bottom style="thin">
        <color indexed="8"/>
      </bottom>
      <diagonal/>
    </border>
    <border>
      <left style="thin">
        <color indexed="64"/>
      </left>
      <right style="thin">
        <color indexed="22"/>
      </right>
      <top style="thin">
        <color indexed="8"/>
      </top>
      <bottom style="thin">
        <color indexed="22"/>
      </bottom>
      <diagonal/>
    </border>
    <border>
      <left style="thin">
        <color indexed="22"/>
      </left>
      <right style="thin">
        <color indexed="64"/>
      </right>
      <top style="thin">
        <color indexed="8"/>
      </top>
      <bottom style="thin">
        <color indexed="22"/>
      </bottom>
      <diagonal/>
    </border>
    <border>
      <left style="thin">
        <color indexed="22"/>
      </left>
      <right style="thin">
        <color indexed="8"/>
      </right>
      <top style="thin">
        <color indexed="8"/>
      </top>
      <bottom style="thin">
        <color indexed="22"/>
      </bottom>
      <diagonal/>
    </border>
    <border>
      <left style="thin">
        <color indexed="22"/>
      </left>
      <right style="thin">
        <color indexed="8"/>
      </right>
      <top style="thin">
        <color indexed="22"/>
      </top>
      <bottom style="thin">
        <color indexed="8"/>
      </bottom>
      <diagonal/>
    </border>
    <border>
      <left style="thin">
        <color indexed="56"/>
      </left>
      <right/>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style="thin">
        <color indexed="17"/>
      </right>
      <top/>
      <bottom style="thin">
        <color indexed="17"/>
      </bottom>
      <diagonal/>
    </border>
    <border>
      <left style="thin">
        <color indexed="64"/>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thin">
        <color indexed="64"/>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medium">
        <color indexed="17"/>
      </left>
      <right/>
      <top/>
      <bottom style="medium">
        <color indexed="17"/>
      </bottom>
      <diagonal/>
    </border>
    <border>
      <left style="dotted">
        <color indexed="17"/>
      </left>
      <right style="medium">
        <color indexed="10"/>
      </right>
      <top style="medium">
        <color indexed="17"/>
      </top>
      <bottom style="medium">
        <color indexed="17"/>
      </bottom>
      <diagonal/>
    </border>
    <border>
      <left style="thin">
        <color indexed="64"/>
      </left>
      <right style="thin">
        <color indexed="55"/>
      </right>
      <top/>
      <bottom style="thin">
        <color indexed="22"/>
      </bottom>
      <diagonal/>
    </border>
    <border>
      <left style="thin">
        <color indexed="55"/>
      </left>
      <right style="thin">
        <color indexed="55"/>
      </right>
      <top/>
      <bottom style="thin">
        <color indexed="22"/>
      </bottom>
      <diagonal/>
    </border>
    <border>
      <left style="thin">
        <color indexed="55"/>
      </left>
      <right style="thin">
        <color indexed="64"/>
      </right>
      <top/>
      <bottom style="thin">
        <color indexed="22"/>
      </bottom>
      <diagonal/>
    </border>
    <border>
      <left style="thin">
        <color indexed="64"/>
      </left>
      <right style="thin">
        <color indexed="55"/>
      </right>
      <top style="thin">
        <color indexed="22"/>
      </top>
      <bottom style="thin">
        <color indexed="22"/>
      </bottom>
      <diagonal/>
    </border>
    <border>
      <left style="thin">
        <color indexed="55"/>
      </left>
      <right style="thin">
        <color indexed="55"/>
      </right>
      <top style="thin">
        <color indexed="22"/>
      </top>
      <bottom style="thin">
        <color indexed="22"/>
      </bottom>
      <diagonal/>
    </border>
    <border>
      <left style="thin">
        <color indexed="55"/>
      </left>
      <right style="thin">
        <color indexed="64"/>
      </right>
      <top style="thin">
        <color indexed="22"/>
      </top>
      <bottom style="thin">
        <color indexed="22"/>
      </bottom>
      <diagonal/>
    </border>
    <border>
      <left style="thin">
        <color indexed="64"/>
      </left>
      <right style="thin">
        <color indexed="55"/>
      </right>
      <top style="thin">
        <color indexed="64"/>
      </top>
      <bottom style="thin">
        <color indexed="64"/>
      </bottom>
      <diagonal/>
    </border>
    <border>
      <left style="thin">
        <color indexed="55"/>
      </left>
      <right style="thin">
        <color indexed="64"/>
      </right>
      <top style="thin">
        <color indexed="64"/>
      </top>
      <bottom style="thin">
        <color indexed="64"/>
      </bottom>
      <diagonal/>
    </border>
    <border>
      <left style="thin">
        <color indexed="64"/>
      </left>
      <right/>
      <top/>
      <bottom style="thin">
        <color indexed="22"/>
      </bottom>
      <diagonal/>
    </border>
    <border>
      <left/>
      <right style="thin">
        <color indexed="55"/>
      </right>
      <top style="thin">
        <color indexed="64"/>
      </top>
      <bottom/>
      <diagonal/>
    </border>
    <border>
      <left style="thin">
        <color indexed="55"/>
      </left>
      <right/>
      <top/>
      <bottom style="thin">
        <color indexed="22"/>
      </bottom>
      <diagonal/>
    </border>
    <border>
      <left/>
      <right style="thin">
        <color indexed="55"/>
      </right>
      <top style="thin">
        <color indexed="22"/>
      </top>
      <bottom/>
      <diagonal/>
    </border>
    <border>
      <left style="thin">
        <color indexed="55"/>
      </left>
      <right/>
      <top/>
      <bottom style="thin">
        <color indexed="64"/>
      </bottom>
      <diagonal/>
    </border>
    <border>
      <left/>
      <right style="thin">
        <color indexed="64"/>
      </right>
      <top style="thin">
        <color indexed="22"/>
      </top>
      <bottom/>
      <diagonal/>
    </border>
    <border>
      <left style="thin">
        <color indexed="55"/>
      </left>
      <right style="thin">
        <color indexed="55"/>
      </right>
      <top style="thin">
        <color indexed="55"/>
      </top>
      <bottom style="thin">
        <color indexed="55"/>
      </bottom>
      <diagonal/>
    </border>
    <border>
      <left/>
      <right style="thin">
        <color indexed="55"/>
      </right>
      <top style="thin">
        <color indexed="64"/>
      </top>
      <bottom style="thin">
        <color indexed="22"/>
      </bottom>
      <diagonal/>
    </border>
    <border>
      <left/>
      <right style="thin">
        <color indexed="55"/>
      </right>
      <top style="thin">
        <color indexed="22"/>
      </top>
      <bottom style="thin">
        <color indexed="64"/>
      </bottom>
      <diagonal/>
    </border>
    <border>
      <left style="medium">
        <color indexed="10"/>
      </left>
      <right style="medium">
        <color indexed="10"/>
      </right>
      <top style="medium">
        <color indexed="10"/>
      </top>
      <bottom style="medium">
        <color indexed="10"/>
      </bottom>
      <diagonal/>
    </border>
    <border>
      <left style="thin">
        <color indexed="64"/>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64"/>
      </bottom>
      <diagonal/>
    </border>
    <border>
      <left/>
      <right style="thin">
        <color indexed="64"/>
      </right>
      <top style="thin">
        <color indexed="22"/>
      </top>
      <bottom style="thin">
        <color indexed="64"/>
      </bottom>
      <diagonal/>
    </border>
    <border>
      <left style="thin">
        <color indexed="8"/>
      </left>
      <right style="thin">
        <color indexed="22"/>
      </right>
      <top style="thin">
        <color indexed="22"/>
      </top>
      <bottom style="thin">
        <color indexed="8"/>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style="thin">
        <color indexed="22"/>
      </top>
      <bottom style="thin">
        <color indexed="64"/>
      </bottom>
      <diagonal/>
    </border>
    <border>
      <left style="thin">
        <color indexed="8"/>
      </left>
      <right style="thin">
        <color indexed="22"/>
      </right>
      <top style="thin">
        <color indexed="22"/>
      </top>
      <bottom style="thin">
        <color indexed="64"/>
      </bottom>
      <diagonal/>
    </border>
    <border>
      <left style="thin">
        <color indexed="64"/>
      </left>
      <right/>
      <top style="thin">
        <color indexed="64"/>
      </top>
      <bottom/>
      <diagonal/>
    </border>
    <border>
      <left style="thin">
        <color indexed="64"/>
      </left>
      <right/>
      <top style="thin">
        <color indexed="22"/>
      </top>
      <bottom style="thin">
        <color indexed="22"/>
      </bottom>
      <diagonal/>
    </border>
    <border>
      <left style="thin">
        <color indexed="64"/>
      </left>
      <right/>
      <top style="thin">
        <color indexed="22"/>
      </top>
      <bottom/>
      <diagonal/>
    </border>
    <border>
      <left style="thin">
        <color indexed="8"/>
      </left>
      <right/>
      <top style="thin">
        <color indexed="64"/>
      </top>
      <bottom/>
      <diagonal/>
    </border>
    <border>
      <left style="thin">
        <color indexed="8"/>
      </left>
      <right/>
      <top style="thin">
        <color indexed="22"/>
      </top>
      <bottom style="thin">
        <color indexed="22"/>
      </bottom>
      <diagonal/>
    </border>
    <border>
      <left style="thin">
        <color indexed="8"/>
      </left>
      <right/>
      <top style="thin">
        <color indexed="22"/>
      </top>
      <bottom style="thin">
        <color indexed="64"/>
      </bottom>
      <diagonal/>
    </border>
    <border>
      <left style="thin">
        <color indexed="8"/>
      </left>
      <right/>
      <top style="thin">
        <color indexed="22"/>
      </top>
      <bottom/>
      <diagonal/>
    </border>
    <border>
      <left style="thin">
        <color indexed="8"/>
      </left>
      <right/>
      <top style="thin">
        <color indexed="64"/>
      </top>
      <bottom style="thin">
        <color indexed="22"/>
      </bottom>
      <diagonal/>
    </border>
    <border>
      <left style="thin">
        <color indexed="64"/>
      </left>
      <right style="thin">
        <color indexed="64"/>
      </right>
      <top/>
      <bottom style="thin">
        <color indexed="22"/>
      </bottom>
      <diagonal/>
    </border>
    <border>
      <left style="thin">
        <color indexed="64"/>
      </left>
      <right style="thin">
        <color indexed="55"/>
      </right>
      <top style="thin">
        <color indexed="22"/>
      </top>
      <bottom style="thin">
        <color indexed="8"/>
      </bottom>
      <diagonal/>
    </border>
    <border>
      <left style="thin">
        <color indexed="55"/>
      </left>
      <right style="thin">
        <color indexed="55"/>
      </right>
      <top style="thin">
        <color indexed="22"/>
      </top>
      <bottom style="thin">
        <color indexed="8"/>
      </bottom>
      <diagonal/>
    </border>
    <border>
      <left style="thin">
        <color indexed="55"/>
      </left>
      <right style="thin">
        <color indexed="64"/>
      </right>
      <top style="thin">
        <color indexed="22"/>
      </top>
      <bottom style="thin">
        <color indexed="8"/>
      </bottom>
      <diagonal/>
    </border>
    <border>
      <left style="thin">
        <color indexed="22"/>
      </left>
      <right style="thin">
        <color indexed="22"/>
      </right>
      <top style="thin">
        <color indexed="8"/>
      </top>
      <bottom style="thin">
        <color indexed="22"/>
      </bottom>
      <diagonal/>
    </border>
    <border>
      <left style="thin">
        <color indexed="22"/>
      </left>
      <right style="thin">
        <color indexed="22"/>
      </right>
      <top style="thin">
        <color indexed="22"/>
      </top>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64"/>
      </top>
      <bottom style="thin">
        <color indexed="64"/>
      </bottom>
      <diagonal/>
    </border>
    <border>
      <left/>
      <right style="thin">
        <color indexed="22"/>
      </right>
      <top style="thin">
        <color indexed="64"/>
      </top>
      <bottom style="thin">
        <color indexed="22"/>
      </bottom>
      <diagonal/>
    </border>
    <border>
      <left/>
      <right style="thin">
        <color indexed="22"/>
      </right>
      <top style="thin">
        <color indexed="22"/>
      </top>
      <bottom style="thin">
        <color indexed="22"/>
      </bottom>
      <diagonal/>
    </border>
    <border>
      <left/>
      <right style="thin">
        <color indexed="22"/>
      </right>
      <top style="thin">
        <color indexed="64"/>
      </top>
      <bottom style="thin">
        <color indexed="64"/>
      </bottom>
      <diagonal/>
    </border>
    <border>
      <left style="thin">
        <color indexed="64"/>
      </left>
      <right style="thin">
        <color indexed="55"/>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right style="medium">
        <color indexed="17"/>
      </right>
      <top/>
      <bottom style="medium">
        <color indexed="17"/>
      </bottom>
      <diagonal/>
    </border>
    <border>
      <left style="medium">
        <color indexed="17"/>
      </left>
      <right/>
      <top style="thin">
        <color indexed="64"/>
      </top>
      <bottom style="thin">
        <color indexed="64"/>
      </bottom>
      <diagonal/>
    </border>
    <border>
      <left/>
      <right style="medium">
        <color indexed="17"/>
      </right>
      <top style="thin">
        <color indexed="64"/>
      </top>
      <bottom style="thin">
        <color indexed="64"/>
      </bottom>
      <diagonal/>
    </border>
    <border>
      <left style="medium">
        <color indexed="17"/>
      </left>
      <right style="thin">
        <color indexed="64"/>
      </right>
      <top style="thin">
        <color indexed="64"/>
      </top>
      <bottom style="thin">
        <color indexed="64"/>
      </bottom>
      <diagonal/>
    </border>
    <border>
      <left style="thin">
        <color indexed="64"/>
      </left>
      <right style="medium">
        <color indexed="17"/>
      </right>
      <top/>
      <bottom style="thin">
        <color indexed="64"/>
      </bottom>
      <diagonal/>
    </border>
    <border>
      <left style="medium">
        <color indexed="17"/>
      </left>
      <right style="thin">
        <color indexed="64"/>
      </right>
      <top/>
      <bottom style="thin">
        <color indexed="64"/>
      </bottom>
      <diagonal/>
    </border>
    <border>
      <left style="medium">
        <color indexed="17"/>
      </left>
      <right style="thin">
        <color indexed="64"/>
      </right>
      <top style="medium">
        <color indexed="17"/>
      </top>
      <bottom style="medium">
        <color indexed="17"/>
      </bottom>
      <diagonal/>
    </border>
    <border>
      <left style="thin">
        <color indexed="64"/>
      </left>
      <right style="thin">
        <color indexed="64"/>
      </right>
      <top style="medium">
        <color indexed="17"/>
      </top>
      <bottom style="medium">
        <color indexed="17"/>
      </bottom>
      <diagonal/>
    </border>
    <border>
      <left/>
      <right style="thin">
        <color indexed="64"/>
      </right>
      <top style="medium">
        <color indexed="17"/>
      </top>
      <bottom style="medium">
        <color indexed="17"/>
      </bottom>
      <diagonal/>
    </border>
    <border>
      <left style="thin">
        <color indexed="64"/>
      </left>
      <right style="medium">
        <color indexed="17"/>
      </right>
      <top style="medium">
        <color indexed="17"/>
      </top>
      <bottom style="medium">
        <color indexed="17"/>
      </bottom>
      <diagonal/>
    </border>
    <border>
      <left/>
      <right style="double">
        <color indexed="17"/>
      </right>
      <top/>
      <bottom/>
      <diagonal/>
    </border>
    <border>
      <left/>
      <right style="double">
        <color indexed="17"/>
      </right>
      <top/>
      <bottom style="double">
        <color indexed="17"/>
      </bottom>
      <diagonal/>
    </border>
    <border>
      <left/>
      <right/>
      <top style="medium">
        <color indexed="18"/>
      </top>
      <bottom/>
      <diagonal/>
    </border>
    <border>
      <left style="thin">
        <color indexed="8"/>
      </left>
      <right style="thin">
        <color indexed="22"/>
      </right>
      <top style="thin">
        <color indexed="8"/>
      </top>
      <bottom style="thin">
        <color indexed="22"/>
      </bottom>
      <diagonal/>
    </border>
    <border>
      <left style="thin">
        <color indexed="8"/>
      </left>
      <right/>
      <top style="thin">
        <color indexed="64"/>
      </top>
      <bottom style="thin">
        <color indexed="8"/>
      </bottom>
      <diagonal/>
    </border>
    <border>
      <left style="thin">
        <color indexed="64"/>
      </left>
      <right style="thin">
        <color indexed="22"/>
      </right>
      <top style="thin">
        <color indexed="64"/>
      </top>
      <bottom style="thin">
        <color indexed="8"/>
      </bottom>
      <diagonal/>
    </border>
    <border>
      <left style="thin">
        <color indexed="22"/>
      </left>
      <right style="thin">
        <color indexed="64"/>
      </right>
      <top style="thin">
        <color indexed="64"/>
      </top>
      <bottom style="thin">
        <color indexed="8"/>
      </bottom>
      <diagonal/>
    </border>
    <border>
      <left style="thin">
        <color indexed="22"/>
      </left>
      <right style="thin">
        <color indexed="8"/>
      </right>
      <top style="thin">
        <color indexed="64"/>
      </top>
      <bottom style="thin">
        <color indexed="8"/>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55"/>
      </bottom>
      <diagonal/>
    </border>
    <border>
      <left style="thin">
        <color indexed="64"/>
      </left>
      <right style="thin">
        <color indexed="64"/>
      </right>
      <top style="thin">
        <color indexed="55"/>
      </top>
      <bottom style="thin">
        <color indexed="64"/>
      </bottom>
      <diagonal/>
    </border>
    <border>
      <left style="medium">
        <color indexed="56"/>
      </left>
      <right style="medium">
        <color indexed="56"/>
      </right>
      <top/>
      <bottom/>
      <diagonal/>
    </border>
    <border>
      <left style="thin">
        <color indexed="8"/>
      </left>
      <right/>
      <top style="thin">
        <color indexed="64"/>
      </top>
      <bottom style="thin">
        <color indexed="64"/>
      </bottom>
      <diagonal/>
    </border>
    <border>
      <left style="thin">
        <color indexed="64"/>
      </left>
      <right/>
      <top style="thin">
        <color indexed="64"/>
      </top>
      <bottom style="thin">
        <color indexed="55"/>
      </bottom>
      <diagonal/>
    </border>
    <border>
      <left style="thin">
        <color indexed="64"/>
      </left>
      <right/>
      <top style="thin">
        <color indexed="55"/>
      </top>
      <bottom style="thin">
        <color indexed="64"/>
      </bottom>
      <diagonal/>
    </border>
    <border>
      <left style="thin">
        <color indexed="55"/>
      </left>
      <right style="thin">
        <color indexed="64"/>
      </right>
      <top/>
      <bottom style="thin">
        <color indexed="55"/>
      </bottom>
      <diagonal/>
    </border>
    <border>
      <left style="thin">
        <color indexed="8"/>
      </left>
      <right style="thin">
        <color indexed="8"/>
      </right>
      <top style="thin">
        <color indexed="8"/>
      </top>
      <bottom style="thin">
        <color indexed="8"/>
      </bottom>
      <diagonal/>
    </border>
    <border>
      <left style="thin">
        <color indexed="64"/>
      </left>
      <right style="thin">
        <color indexed="17"/>
      </right>
      <top/>
      <bottom style="thin">
        <color indexed="64"/>
      </bottom>
      <diagonal/>
    </border>
    <border>
      <left style="thin">
        <color indexed="17"/>
      </left>
      <right style="thin">
        <color indexed="17"/>
      </right>
      <top style="thin">
        <color indexed="17"/>
      </top>
      <bottom style="thin">
        <color indexed="17"/>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55"/>
      </right>
      <top style="thin">
        <color indexed="55"/>
      </top>
      <bottom/>
      <diagonal/>
    </border>
    <border>
      <left style="thin">
        <color indexed="55"/>
      </left>
      <right style="thin">
        <color indexed="64"/>
      </right>
      <top style="thin">
        <color indexed="55"/>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top/>
      <bottom style="medium">
        <color indexed="18"/>
      </bottom>
      <diagonal/>
    </border>
    <border>
      <left style="medium">
        <color indexed="18"/>
      </left>
      <right style="medium">
        <color indexed="18"/>
      </right>
      <top style="medium">
        <color indexed="18"/>
      </top>
      <bottom/>
      <diagonal/>
    </border>
    <border>
      <left style="medium">
        <color indexed="18"/>
      </left>
      <right/>
      <top style="medium">
        <color indexed="18"/>
      </top>
      <bottom/>
      <diagonal/>
    </border>
    <border>
      <left/>
      <right style="medium">
        <color indexed="18"/>
      </right>
      <top style="medium">
        <color indexed="18"/>
      </top>
      <bottom/>
      <diagonal/>
    </border>
    <border>
      <left style="medium">
        <color indexed="18"/>
      </left>
      <right style="medium">
        <color indexed="18"/>
      </right>
      <top/>
      <bottom/>
      <diagonal/>
    </border>
    <border>
      <left style="medium">
        <color indexed="18"/>
      </left>
      <right/>
      <top/>
      <bottom/>
      <diagonal/>
    </border>
    <border>
      <left/>
      <right style="medium">
        <color indexed="18"/>
      </right>
      <top/>
      <bottom/>
      <diagonal/>
    </border>
    <border>
      <left style="medium">
        <color indexed="18"/>
      </left>
      <right style="medium">
        <color indexed="18"/>
      </right>
      <top/>
      <bottom style="medium">
        <color indexed="18"/>
      </bottom>
      <diagonal/>
    </border>
    <border>
      <left style="medium">
        <color indexed="18"/>
      </left>
      <right/>
      <top/>
      <bottom style="medium">
        <color indexed="18"/>
      </bottom>
      <diagonal/>
    </border>
    <border>
      <left/>
      <right style="medium">
        <color indexed="18"/>
      </right>
      <top/>
      <bottom style="medium">
        <color indexed="18"/>
      </bottom>
      <diagonal/>
    </border>
    <border>
      <left style="double">
        <color indexed="17"/>
      </left>
      <right/>
      <top/>
      <bottom/>
      <diagonal/>
    </border>
    <border>
      <left style="double">
        <color indexed="17"/>
      </left>
      <right/>
      <top/>
      <bottom style="double">
        <color indexed="17"/>
      </bottom>
      <diagonal/>
    </border>
    <border>
      <left/>
      <right/>
      <top/>
      <bottom style="double">
        <color indexed="17"/>
      </bottom>
      <diagonal/>
    </border>
    <border>
      <left style="double">
        <color indexed="10"/>
      </left>
      <right/>
      <top/>
      <bottom/>
      <diagonal/>
    </border>
    <border>
      <left/>
      <right style="double">
        <color indexed="10"/>
      </right>
      <top/>
      <bottom/>
      <diagonal/>
    </border>
    <border>
      <left style="thin">
        <color indexed="10"/>
      </left>
      <right style="thin">
        <color indexed="10"/>
      </right>
      <top style="thin">
        <color indexed="10"/>
      </top>
      <bottom style="thin">
        <color indexed="10"/>
      </bottom>
      <diagonal/>
    </border>
    <border>
      <left style="thin">
        <color indexed="55"/>
      </left>
      <right style="double">
        <color indexed="23"/>
      </right>
      <top style="thin">
        <color indexed="22"/>
      </top>
      <bottom/>
      <diagonal/>
    </border>
    <border>
      <left style="thin">
        <color indexed="55"/>
      </left>
      <right style="thin">
        <color indexed="55"/>
      </right>
      <top style="thin">
        <color indexed="22"/>
      </top>
      <bottom/>
      <diagonal/>
    </border>
    <border>
      <left style="double">
        <color indexed="23"/>
      </left>
      <right style="thin">
        <color indexed="55"/>
      </right>
      <top style="thin">
        <color indexed="22"/>
      </top>
      <bottom/>
      <diagonal/>
    </border>
    <border>
      <left style="thin">
        <color indexed="55"/>
      </left>
      <right style="double">
        <color indexed="23"/>
      </right>
      <top style="thin">
        <color indexed="22"/>
      </top>
      <bottom style="thin">
        <color indexed="22"/>
      </bottom>
      <diagonal/>
    </border>
    <border>
      <left style="double">
        <color indexed="23"/>
      </left>
      <right style="thin">
        <color indexed="55"/>
      </right>
      <top style="thin">
        <color indexed="22"/>
      </top>
      <bottom style="thin">
        <color indexed="22"/>
      </bottom>
      <diagonal/>
    </border>
    <border>
      <left style="thin">
        <color indexed="55"/>
      </left>
      <right style="double">
        <color indexed="23"/>
      </right>
      <top style="medium">
        <color indexed="23"/>
      </top>
      <bottom style="thin">
        <color indexed="22"/>
      </bottom>
      <diagonal/>
    </border>
    <border>
      <left style="thin">
        <color indexed="55"/>
      </left>
      <right style="thin">
        <color indexed="55"/>
      </right>
      <top style="medium">
        <color indexed="23"/>
      </top>
      <bottom style="thin">
        <color indexed="22"/>
      </bottom>
      <diagonal/>
    </border>
    <border>
      <left style="double">
        <color indexed="23"/>
      </left>
      <right style="thin">
        <color indexed="55"/>
      </right>
      <top style="medium">
        <color indexed="23"/>
      </top>
      <bottom style="thin">
        <color indexed="22"/>
      </bottom>
      <diagonal/>
    </border>
    <border>
      <left style="thin">
        <color indexed="17"/>
      </left>
      <right/>
      <top style="medium">
        <color indexed="17"/>
      </top>
      <bottom/>
      <diagonal/>
    </border>
    <border>
      <left style="medium">
        <color indexed="17"/>
      </left>
      <right style="thin">
        <color indexed="57"/>
      </right>
      <top/>
      <bottom/>
      <diagonal/>
    </border>
    <border>
      <left style="medium">
        <color indexed="17"/>
      </left>
      <right/>
      <top/>
      <bottom style="dotted">
        <color indexed="17"/>
      </bottom>
      <diagonal/>
    </border>
    <border>
      <left/>
      <right/>
      <top/>
      <bottom style="dotted">
        <color indexed="17"/>
      </bottom>
      <diagonal/>
    </border>
    <border>
      <left/>
      <right style="thin">
        <color indexed="17"/>
      </right>
      <top/>
      <bottom style="dotted">
        <color indexed="17"/>
      </bottom>
      <diagonal/>
    </border>
    <border>
      <left style="thin">
        <color indexed="17"/>
      </left>
      <right/>
      <top/>
      <bottom style="dotted">
        <color indexed="17"/>
      </bottom>
      <diagonal/>
    </border>
    <border>
      <left/>
      <right style="medium">
        <color indexed="17"/>
      </right>
      <top/>
      <bottom style="dotted">
        <color indexed="17"/>
      </bottom>
      <diagonal/>
    </border>
    <border>
      <left style="double">
        <color indexed="23"/>
      </left>
      <right/>
      <top/>
      <bottom/>
      <diagonal/>
    </border>
    <border>
      <left/>
      <right style="double">
        <color indexed="23"/>
      </right>
      <top/>
      <bottom/>
      <diagonal/>
    </border>
    <border>
      <left/>
      <right style="medium">
        <color indexed="23"/>
      </right>
      <top/>
      <bottom/>
      <diagonal/>
    </border>
    <border>
      <left style="medium">
        <color indexed="23"/>
      </left>
      <right/>
      <top/>
      <bottom/>
      <diagonal/>
    </border>
    <border>
      <left style="double">
        <color indexed="23"/>
      </left>
      <right style="medium">
        <color indexed="23"/>
      </right>
      <top style="medium">
        <color indexed="23"/>
      </top>
      <bottom style="thin">
        <color indexed="22"/>
      </bottom>
      <diagonal/>
    </border>
    <border>
      <left style="medium">
        <color indexed="23"/>
      </left>
      <right style="thin">
        <color indexed="55"/>
      </right>
      <top style="medium">
        <color indexed="23"/>
      </top>
      <bottom style="thin">
        <color indexed="22"/>
      </bottom>
      <diagonal/>
    </border>
    <border>
      <left style="thin">
        <color indexed="55"/>
      </left>
      <right/>
      <top style="medium">
        <color indexed="23"/>
      </top>
      <bottom style="thin">
        <color indexed="22"/>
      </bottom>
      <diagonal/>
    </border>
    <border>
      <left style="thin">
        <color indexed="23"/>
      </left>
      <right/>
      <top style="medium">
        <color indexed="23"/>
      </top>
      <bottom style="thin">
        <color indexed="22"/>
      </bottom>
      <diagonal/>
    </border>
    <border>
      <left style="double">
        <color indexed="23"/>
      </left>
      <right style="medium">
        <color indexed="23"/>
      </right>
      <top style="thin">
        <color indexed="22"/>
      </top>
      <bottom style="thin">
        <color indexed="22"/>
      </bottom>
      <diagonal/>
    </border>
    <border>
      <left style="medium">
        <color indexed="23"/>
      </left>
      <right style="thin">
        <color indexed="55"/>
      </right>
      <top style="thin">
        <color indexed="22"/>
      </top>
      <bottom style="thin">
        <color indexed="22"/>
      </bottom>
      <diagonal/>
    </border>
    <border>
      <left style="thin">
        <color indexed="55"/>
      </left>
      <right/>
      <top style="thin">
        <color indexed="22"/>
      </top>
      <bottom style="thin">
        <color indexed="22"/>
      </bottom>
      <diagonal/>
    </border>
    <border>
      <left style="thin">
        <color indexed="23"/>
      </left>
      <right/>
      <top style="thin">
        <color indexed="22"/>
      </top>
      <bottom style="thin">
        <color indexed="22"/>
      </bottom>
      <diagonal/>
    </border>
    <border>
      <left style="double">
        <color indexed="23"/>
      </left>
      <right style="medium">
        <color indexed="23"/>
      </right>
      <top style="thin">
        <color indexed="22"/>
      </top>
      <bottom/>
      <diagonal/>
    </border>
    <border>
      <left style="medium">
        <color indexed="23"/>
      </left>
      <right style="thin">
        <color indexed="55"/>
      </right>
      <top style="thin">
        <color indexed="22"/>
      </top>
      <bottom/>
      <diagonal/>
    </border>
    <border>
      <left style="thin">
        <color indexed="55"/>
      </left>
      <right/>
      <top style="thin">
        <color indexed="22"/>
      </top>
      <bottom/>
      <diagonal/>
    </border>
    <border>
      <left style="thin">
        <color indexed="23"/>
      </left>
      <right/>
      <top style="thin">
        <color indexed="22"/>
      </top>
      <bottom/>
      <diagonal/>
    </border>
    <border>
      <left style="double">
        <color indexed="23"/>
      </left>
      <right/>
      <top style="thin">
        <color indexed="23"/>
      </top>
      <bottom style="double">
        <color indexed="23"/>
      </bottom>
      <diagonal/>
    </border>
    <border>
      <left/>
      <right/>
      <top style="thin">
        <color indexed="23"/>
      </top>
      <bottom style="double">
        <color indexed="23"/>
      </bottom>
      <diagonal/>
    </border>
    <border>
      <left/>
      <right style="double">
        <color indexed="23"/>
      </right>
      <top style="thin">
        <color indexed="23"/>
      </top>
      <bottom style="double">
        <color indexed="23"/>
      </bottom>
      <diagonal/>
    </border>
    <border>
      <left/>
      <right/>
      <top style="double">
        <color indexed="23"/>
      </top>
      <bottom/>
      <diagonal/>
    </border>
    <border>
      <left style="dotted">
        <color indexed="57"/>
      </left>
      <right style="thin">
        <color indexed="57"/>
      </right>
      <top style="medium">
        <color indexed="17"/>
      </top>
      <bottom style="medium">
        <color indexed="17"/>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style="thin">
        <color indexed="8"/>
      </left>
      <right style="thin">
        <color indexed="64"/>
      </right>
      <top/>
      <bottom style="thin">
        <color indexed="64"/>
      </bottom>
      <diagonal/>
    </border>
    <border>
      <left/>
      <right style="thin">
        <color indexed="8"/>
      </right>
      <top/>
      <bottom/>
      <diagonal/>
    </border>
    <border>
      <left style="thin">
        <color indexed="8"/>
      </left>
      <right style="thin">
        <color indexed="22"/>
      </right>
      <top style="thin">
        <color indexed="22"/>
      </top>
      <bottom style="thin">
        <color indexed="22"/>
      </bottom>
      <diagonal/>
    </border>
    <border>
      <left/>
      <right style="medium">
        <color indexed="64"/>
      </right>
      <top/>
      <bottom/>
      <diagonal/>
    </border>
    <border>
      <left style="thin">
        <color indexed="64"/>
      </left>
      <right style="medium">
        <color indexed="17"/>
      </right>
      <top/>
      <bottom/>
      <diagonal/>
    </border>
    <border>
      <left style="medium">
        <color indexed="17"/>
      </left>
      <right style="thin">
        <color indexed="64"/>
      </right>
      <top style="thin">
        <color indexed="64"/>
      </top>
      <bottom/>
      <diagonal/>
    </border>
    <border>
      <left style="double">
        <color indexed="10"/>
      </left>
      <right/>
      <top style="double">
        <color indexed="10"/>
      </top>
      <bottom/>
      <diagonal/>
    </border>
    <border>
      <left/>
      <right/>
      <top style="double">
        <color indexed="10"/>
      </top>
      <bottom/>
      <diagonal/>
    </border>
    <border>
      <left/>
      <right style="double">
        <color indexed="10"/>
      </right>
      <top style="double">
        <color indexed="10"/>
      </top>
      <bottom/>
      <diagonal/>
    </border>
    <border>
      <left style="double">
        <color indexed="10"/>
      </left>
      <right/>
      <top/>
      <bottom style="double">
        <color indexed="10"/>
      </bottom>
      <diagonal/>
    </border>
    <border>
      <left/>
      <right/>
      <top/>
      <bottom style="double">
        <color indexed="10"/>
      </bottom>
      <diagonal/>
    </border>
    <border>
      <left/>
      <right style="double">
        <color indexed="10"/>
      </right>
      <top/>
      <bottom style="double">
        <color indexed="10"/>
      </bottom>
      <diagonal/>
    </border>
    <border>
      <left style="thin">
        <color indexed="17"/>
      </left>
      <right/>
      <top style="thin">
        <color indexed="17"/>
      </top>
      <bottom style="double">
        <color indexed="17"/>
      </bottom>
      <diagonal/>
    </border>
    <border>
      <left/>
      <right/>
      <top style="thin">
        <color indexed="17"/>
      </top>
      <bottom style="double">
        <color indexed="17"/>
      </bottom>
      <diagonal/>
    </border>
    <border>
      <left/>
      <right style="thin">
        <color indexed="17"/>
      </right>
      <top style="thin">
        <color indexed="17"/>
      </top>
      <bottom style="double">
        <color indexed="17"/>
      </bottom>
      <diagonal/>
    </border>
    <border>
      <left style="double">
        <color indexed="17"/>
      </left>
      <right/>
      <top style="double">
        <color indexed="17"/>
      </top>
      <bottom/>
      <diagonal/>
    </border>
    <border>
      <left/>
      <right/>
      <top style="double">
        <color indexed="17"/>
      </top>
      <bottom/>
      <diagonal/>
    </border>
    <border>
      <left/>
      <right style="double">
        <color indexed="17"/>
      </right>
      <top style="double">
        <color indexed="17"/>
      </top>
      <bottom/>
      <diagonal/>
    </border>
    <border>
      <left/>
      <right/>
      <top style="thin">
        <color indexed="17"/>
      </top>
      <bottom/>
      <diagonal/>
    </border>
    <border>
      <left/>
      <right style="thin">
        <color indexed="17"/>
      </right>
      <top style="thin">
        <color indexed="17"/>
      </top>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17"/>
      </left>
      <right/>
      <top style="medium">
        <color indexed="17"/>
      </top>
      <bottom style="thin">
        <color indexed="17"/>
      </bottom>
      <diagonal/>
    </border>
    <border>
      <left/>
      <right style="thin">
        <color indexed="17"/>
      </right>
      <top style="medium">
        <color indexed="17"/>
      </top>
      <bottom style="thin">
        <color indexed="17"/>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55"/>
      </left>
      <right style="thin">
        <color indexed="64"/>
      </right>
      <top style="thin">
        <color indexed="64"/>
      </top>
      <bottom/>
      <diagonal/>
    </border>
    <border>
      <left style="thin">
        <color indexed="55"/>
      </left>
      <right style="thin">
        <color indexed="64"/>
      </right>
      <top/>
      <bottom/>
      <diagonal/>
    </border>
    <border>
      <left style="thin">
        <color indexed="55"/>
      </left>
      <right style="thin">
        <color indexed="64"/>
      </right>
      <top/>
      <bottom style="thin">
        <color indexed="64"/>
      </bottom>
      <diagonal/>
    </border>
    <border>
      <left style="thin">
        <color indexed="64"/>
      </left>
      <right style="thin">
        <color indexed="55"/>
      </right>
      <top style="thin">
        <color indexed="64"/>
      </top>
      <bottom/>
      <diagonal/>
    </border>
    <border>
      <left style="thin">
        <color indexed="64"/>
      </left>
      <right style="thin">
        <color indexed="55"/>
      </right>
      <top/>
      <bottom/>
      <diagonal/>
    </border>
    <border>
      <left style="thin">
        <color indexed="64"/>
      </left>
      <right style="thin">
        <color indexed="55"/>
      </right>
      <top/>
      <bottom style="thin">
        <color indexed="64"/>
      </bottom>
      <diagonal/>
    </border>
    <border>
      <left style="thin">
        <color indexed="55"/>
      </left>
      <right style="thin">
        <color indexed="55"/>
      </right>
      <top style="thin">
        <color indexed="64"/>
      </top>
      <bottom/>
      <diagonal/>
    </border>
    <border>
      <left style="thin">
        <color indexed="55"/>
      </left>
      <right style="thin">
        <color indexed="55"/>
      </right>
      <top/>
      <bottom/>
      <diagonal/>
    </border>
    <border>
      <left style="thin">
        <color indexed="55"/>
      </left>
      <right style="thin">
        <color indexed="55"/>
      </right>
      <top/>
      <bottom style="thin">
        <color indexed="64"/>
      </bottom>
      <diagonal/>
    </border>
    <border>
      <left style="thin">
        <color indexed="22"/>
      </left>
      <right style="thin">
        <color indexed="22"/>
      </right>
      <top style="thin">
        <color indexed="64"/>
      </top>
      <bottom/>
      <diagonal/>
    </border>
    <border>
      <left style="thin">
        <color indexed="22"/>
      </left>
      <right style="thin">
        <color indexed="22"/>
      </right>
      <top/>
      <bottom style="thin">
        <color indexed="64"/>
      </bottom>
      <diagonal/>
    </border>
    <border>
      <left style="thin">
        <color indexed="22"/>
      </left>
      <right style="thin">
        <color indexed="64"/>
      </right>
      <top style="thin">
        <color indexed="64"/>
      </top>
      <bottom/>
      <diagonal/>
    </border>
    <border>
      <left style="thin">
        <color indexed="64"/>
      </left>
      <right style="thin">
        <color indexed="22"/>
      </right>
      <top style="thin">
        <color indexed="64"/>
      </top>
      <bottom/>
      <diagonal/>
    </border>
    <border>
      <left/>
      <right style="thin">
        <color indexed="55"/>
      </right>
      <top/>
      <bottom/>
      <diagonal/>
    </border>
    <border>
      <left/>
      <right style="thin">
        <color indexed="55"/>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thin">
        <color indexed="22"/>
      </bottom>
      <diagonal/>
    </border>
    <border>
      <left style="thin">
        <color indexed="64"/>
      </left>
      <right/>
      <top style="thin">
        <color indexed="8"/>
      </top>
      <bottom style="thin">
        <color indexed="22"/>
      </bottom>
      <diagonal/>
    </border>
    <border>
      <left/>
      <right/>
      <top style="thin">
        <color indexed="8"/>
      </top>
      <bottom style="thin">
        <color indexed="22"/>
      </bottom>
      <diagonal/>
    </border>
    <border>
      <left/>
      <right style="thin">
        <color indexed="64"/>
      </right>
      <top style="thin">
        <color indexed="8"/>
      </top>
      <bottom style="thin">
        <color indexed="22"/>
      </bottom>
      <diagonal/>
    </border>
    <border>
      <left/>
      <right style="thin">
        <color indexed="8"/>
      </right>
      <top style="thin">
        <color indexed="64"/>
      </top>
      <bottom style="thin">
        <color indexed="22"/>
      </bottom>
      <diagonal/>
    </border>
    <border>
      <left style="thin">
        <color indexed="64"/>
      </left>
      <right style="dotted">
        <color indexed="64"/>
      </right>
      <top style="thin">
        <color indexed="8"/>
      </top>
      <bottom/>
      <diagonal/>
    </border>
    <border>
      <left style="dotted">
        <color indexed="64"/>
      </left>
      <right style="thin">
        <color indexed="8"/>
      </right>
      <top style="thin">
        <color indexed="8"/>
      </top>
      <bottom/>
      <diagonal/>
    </border>
    <border>
      <left style="thin">
        <color indexed="8"/>
      </left>
      <right/>
      <top style="thin">
        <color indexed="8"/>
      </top>
      <bottom style="thin">
        <color indexed="22"/>
      </bottom>
      <diagonal/>
    </border>
    <border>
      <left/>
      <right style="thin">
        <color indexed="8"/>
      </right>
      <top style="thin">
        <color indexed="8"/>
      </top>
      <bottom style="thin">
        <color indexed="22"/>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64"/>
      </left>
      <right/>
      <top/>
      <bottom style="dotted">
        <color indexed="64"/>
      </bottom>
      <diagonal/>
    </border>
    <border>
      <left/>
      <right/>
      <top/>
      <bottom style="dotted">
        <color indexed="64"/>
      </bottom>
      <diagonal/>
    </border>
    <border>
      <left/>
      <right style="thin">
        <color indexed="8"/>
      </right>
      <top style="thin">
        <color indexed="64"/>
      </top>
      <bottom style="thin">
        <color indexed="64"/>
      </bottom>
      <diagonal/>
    </border>
    <border>
      <left/>
      <right style="thin">
        <color indexed="64"/>
      </right>
      <top/>
      <bottom style="dotted">
        <color indexed="64"/>
      </bottom>
      <diagonal/>
    </border>
    <border>
      <left style="thin">
        <color indexed="10"/>
      </left>
      <right style="thin">
        <color indexed="10"/>
      </right>
      <top/>
      <bottom/>
      <diagonal/>
    </border>
    <border>
      <left style="thin">
        <color indexed="10"/>
      </left>
      <right style="thin">
        <color indexed="10"/>
      </right>
      <top style="thin">
        <color indexed="10"/>
      </top>
      <bottom/>
      <diagonal/>
    </border>
    <border>
      <left style="thin">
        <color indexed="10"/>
      </left>
      <right style="thin">
        <color indexed="10"/>
      </right>
      <top/>
      <bottom style="thin">
        <color indexed="10"/>
      </bottom>
      <diagonal/>
    </border>
    <border>
      <left style="double">
        <color indexed="23"/>
      </left>
      <right/>
      <top style="double">
        <color indexed="23"/>
      </top>
      <bottom/>
      <diagonal/>
    </border>
    <border>
      <left/>
      <right style="double">
        <color indexed="23"/>
      </right>
      <top style="double">
        <color indexed="23"/>
      </top>
      <bottom/>
      <diagonal/>
    </border>
    <border>
      <left style="double">
        <color indexed="23"/>
      </left>
      <right style="thin">
        <color indexed="14"/>
      </right>
      <top style="double">
        <color indexed="23"/>
      </top>
      <bottom/>
      <diagonal/>
    </border>
    <border>
      <left style="thin">
        <color indexed="14"/>
      </left>
      <right style="thin">
        <color indexed="14"/>
      </right>
      <top style="double">
        <color indexed="23"/>
      </top>
      <bottom/>
      <diagonal/>
    </border>
    <border>
      <left style="thin">
        <color indexed="14"/>
      </left>
      <right style="medium">
        <color indexed="23"/>
      </right>
      <top style="double">
        <color indexed="23"/>
      </top>
      <bottom/>
      <diagonal/>
    </border>
    <border>
      <left style="medium">
        <color indexed="23"/>
      </left>
      <right style="thin">
        <color indexed="14"/>
      </right>
      <top style="double">
        <color indexed="23"/>
      </top>
      <bottom/>
      <diagonal/>
    </border>
    <border>
      <left/>
      <right style="thin">
        <color indexed="14"/>
      </right>
      <top style="double">
        <color indexed="23"/>
      </top>
      <bottom/>
      <diagonal/>
    </border>
    <border>
      <left style="thin">
        <color indexed="14"/>
      </left>
      <right style="double">
        <color indexed="23"/>
      </right>
      <top style="double">
        <color indexed="23"/>
      </top>
      <bottom/>
      <diagonal/>
    </border>
    <border>
      <left style="thin">
        <color indexed="55"/>
      </left>
      <right style="double">
        <color indexed="23"/>
      </right>
      <top style="thin">
        <color indexed="55"/>
      </top>
      <bottom/>
      <diagonal/>
    </border>
    <border>
      <left style="thin">
        <color indexed="55"/>
      </left>
      <right style="double">
        <color indexed="23"/>
      </right>
      <top/>
      <bottom style="medium">
        <color indexed="55"/>
      </bottom>
      <diagonal/>
    </border>
    <border>
      <left style="thin">
        <color indexed="55"/>
      </left>
      <right/>
      <top style="thin">
        <color indexed="55"/>
      </top>
      <bottom/>
      <diagonal/>
    </border>
    <border>
      <left style="thin">
        <color indexed="55"/>
      </left>
      <right/>
      <top/>
      <bottom style="medium">
        <color indexed="55"/>
      </bottom>
      <diagonal/>
    </border>
    <border>
      <left/>
      <right style="thin">
        <color indexed="55"/>
      </right>
      <top style="thin">
        <color indexed="55"/>
      </top>
      <bottom/>
      <diagonal/>
    </border>
    <border>
      <left/>
      <right style="thin">
        <color indexed="55"/>
      </right>
      <top/>
      <bottom style="medium">
        <color indexed="55"/>
      </bottom>
      <diagonal/>
    </border>
    <border>
      <left style="double">
        <color indexed="23"/>
      </left>
      <right/>
      <top style="medium">
        <color indexed="55"/>
      </top>
      <bottom style="thin">
        <color indexed="55"/>
      </bottom>
      <diagonal/>
    </border>
    <border>
      <left/>
      <right/>
      <top style="medium">
        <color indexed="55"/>
      </top>
      <bottom style="thin">
        <color indexed="55"/>
      </bottom>
      <diagonal/>
    </border>
    <border>
      <left/>
      <right style="double">
        <color indexed="23"/>
      </right>
      <top style="medium">
        <color indexed="55"/>
      </top>
      <bottom style="thin">
        <color indexed="55"/>
      </bottom>
      <diagonal/>
    </border>
    <border>
      <left style="double">
        <color indexed="23"/>
      </left>
      <right/>
      <top style="thin">
        <color indexed="23"/>
      </top>
      <bottom/>
      <diagonal/>
    </border>
    <border>
      <left style="double">
        <color indexed="23"/>
      </left>
      <right/>
      <top/>
      <bottom style="medium">
        <color indexed="23"/>
      </bottom>
      <diagonal/>
    </border>
    <border>
      <left style="medium">
        <color indexed="55"/>
      </left>
      <right/>
      <top style="medium">
        <color indexed="55"/>
      </top>
      <bottom style="thin">
        <color indexed="55"/>
      </bottom>
      <diagonal/>
    </border>
    <border>
      <left/>
      <right style="thin">
        <color indexed="55"/>
      </right>
      <top style="medium">
        <color indexed="55"/>
      </top>
      <bottom style="thin">
        <color indexed="55"/>
      </bottom>
      <diagonal/>
    </border>
    <border>
      <left style="thin">
        <color indexed="55"/>
      </left>
      <right/>
      <top style="medium">
        <color indexed="55"/>
      </top>
      <bottom style="thin">
        <color indexed="55"/>
      </bottom>
      <diagonal/>
    </border>
    <border>
      <left style="medium">
        <color indexed="23"/>
      </left>
      <right style="thin">
        <color indexed="55"/>
      </right>
      <top style="medium">
        <color indexed="55"/>
      </top>
      <bottom/>
      <diagonal/>
    </border>
    <border>
      <left style="medium">
        <color indexed="23"/>
      </left>
      <right style="thin">
        <color indexed="55"/>
      </right>
      <top/>
      <bottom/>
      <diagonal/>
    </border>
    <border>
      <left style="medium">
        <color indexed="23"/>
      </left>
      <right style="thin">
        <color indexed="55"/>
      </right>
      <top/>
      <bottom style="medium">
        <color indexed="55"/>
      </bottom>
      <diagonal/>
    </border>
    <border>
      <left style="thin">
        <color indexed="55"/>
      </left>
      <right style="thin">
        <color indexed="55"/>
      </right>
      <top style="thin">
        <color indexed="55"/>
      </top>
      <bottom/>
      <diagonal/>
    </border>
    <border>
      <left style="thin">
        <color indexed="55"/>
      </left>
      <right style="thin">
        <color indexed="55"/>
      </right>
      <top/>
      <bottom style="medium">
        <color indexed="55"/>
      </bottom>
      <diagonal/>
    </border>
    <border>
      <left style="thin">
        <color indexed="55"/>
      </left>
      <right style="thin">
        <color indexed="55"/>
      </right>
      <top style="thin">
        <color indexed="23"/>
      </top>
      <bottom/>
      <diagonal/>
    </border>
    <border>
      <left style="thin">
        <color indexed="55"/>
      </left>
      <right style="thin">
        <color indexed="55"/>
      </right>
      <top/>
      <bottom style="thin">
        <color indexed="23"/>
      </bottom>
      <diagonal/>
    </border>
    <border>
      <left style="double">
        <color indexed="23"/>
      </left>
      <right style="thin">
        <color indexed="55"/>
      </right>
      <top style="thin">
        <color indexed="55"/>
      </top>
      <bottom style="thin">
        <color indexed="55"/>
      </bottom>
      <diagonal/>
    </border>
    <border>
      <left style="double">
        <color indexed="23"/>
      </left>
      <right style="thin">
        <color indexed="55"/>
      </right>
      <top style="thin">
        <color indexed="55"/>
      </top>
      <bottom style="medium">
        <color indexed="23"/>
      </bottom>
      <diagonal/>
    </border>
    <border>
      <left style="thin">
        <color indexed="55"/>
      </left>
      <right style="thin">
        <color indexed="55"/>
      </right>
      <top style="thin">
        <color indexed="55"/>
      </top>
      <bottom style="medium">
        <color indexed="23"/>
      </bottom>
      <diagonal/>
    </border>
    <border>
      <left style="thin">
        <color indexed="55"/>
      </left>
      <right style="double">
        <color indexed="23"/>
      </right>
      <top style="thin">
        <color indexed="55"/>
      </top>
      <bottom style="thin">
        <color indexed="55"/>
      </bottom>
      <diagonal/>
    </border>
    <border>
      <left style="thin">
        <color indexed="55"/>
      </left>
      <right style="double">
        <color indexed="23"/>
      </right>
      <top style="thin">
        <color indexed="55"/>
      </top>
      <bottom style="medium">
        <color indexed="23"/>
      </bottom>
      <diagonal/>
    </border>
    <border>
      <left style="medium">
        <color indexed="55"/>
      </left>
      <right style="thin">
        <color indexed="55"/>
      </right>
      <top style="thin">
        <color indexed="55"/>
      </top>
      <bottom/>
      <diagonal/>
    </border>
    <border>
      <left style="medium">
        <color indexed="55"/>
      </left>
      <right style="thin">
        <color indexed="55"/>
      </right>
      <top/>
      <bottom style="medium">
        <color indexed="55"/>
      </bottom>
      <diagonal/>
    </border>
    <border>
      <left style="double">
        <color indexed="23"/>
      </left>
      <right style="thin">
        <color indexed="55"/>
      </right>
      <top style="thin">
        <color indexed="23"/>
      </top>
      <bottom/>
      <diagonal/>
    </border>
    <border>
      <left style="double">
        <color indexed="23"/>
      </left>
      <right style="thin">
        <color indexed="55"/>
      </right>
      <top/>
      <bottom style="thin">
        <color indexed="23"/>
      </bottom>
      <diagonal/>
    </border>
    <border>
      <left style="thin">
        <color indexed="55"/>
      </left>
      <right style="double">
        <color indexed="23"/>
      </right>
      <top style="thin">
        <color indexed="23"/>
      </top>
      <bottom/>
      <diagonal/>
    </border>
    <border>
      <left style="thin">
        <color indexed="55"/>
      </left>
      <right style="double">
        <color indexed="23"/>
      </right>
      <top/>
      <bottom style="thin">
        <color indexed="23"/>
      </bottom>
      <diagonal/>
    </border>
    <border>
      <left style="double">
        <color indexed="23"/>
      </left>
      <right style="medium">
        <color indexed="23"/>
      </right>
      <top style="thin">
        <color indexed="23"/>
      </top>
      <bottom/>
      <diagonal/>
    </border>
    <border>
      <left style="double">
        <color indexed="23"/>
      </left>
      <right style="medium">
        <color indexed="23"/>
      </right>
      <top/>
      <bottom style="thin">
        <color indexed="23"/>
      </bottom>
      <diagonal/>
    </border>
    <border>
      <left style="medium">
        <color indexed="23"/>
      </left>
      <right style="thin">
        <color indexed="55"/>
      </right>
      <top style="thin">
        <color indexed="23"/>
      </top>
      <bottom/>
      <diagonal/>
    </border>
    <border>
      <left style="medium">
        <color indexed="23"/>
      </left>
      <right style="thin">
        <color indexed="55"/>
      </right>
      <top/>
      <bottom style="thin">
        <color indexed="23"/>
      </bottom>
      <diagonal/>
    </border>
    <border>
      <left style="thin">
        <color indexed="55"/>
      </left>
      <right/>
      <top style="thin">
        <color indexed="23"/>
      </top>
      <bottom/>
      <diagonal/>
    </border>
    <border>
      <left style="thin">
        <color indexed="55"/>
      </left>
      <right/>
      <top/>
      <bottom style="thin">
        <color indexed="23"/>
      </bottom>
      <diagonal/>
    </border>
    <border>
      <left style="thin">
        <color indexed="23"/>
      </left>
      <right/>
      <top style="thin">
        <color indexed="23"/>
      </top>
      <bottom/>
      <diagonal/>
    </border>
    <border>
      <left style="thin">
        <color indexed="23"/>
      </left>
      <right/>
      <top/>
      <bottom style="thin">
        <color indexed="23"/>
      </bottom>
      <diagonal/>
    </border>
    <border>
      <left style="thin">
        <color indexed="55"/>
      </left>
      <right style="thin">
        <color indexed="23"/>
      </right>
      <top style="thin">
        <color indexed="23"/>
      </top>
      <bottom/>
      <diagonal/>
    </border>
    <border>
      <left style="thin">
        <color indexed="55"/>
      </left>
      <right style="thin">
        <color indexed="23"/>
      </right>
      <top/>
      <bottom style="thin">
        <color indexed="23"/>
      </bottom>
      <diagonal/>
    </border>
    <border>
      <left style="medium">
        <color indexed="17"/>
      </left>
      <right style="thin">
        <color indexed="17"/>
      </right>
      <top style="medium">
        <color indexed="17"/>
      </top>
      <bottom style="dotted">
        <color indexed="17"/>
      </bottom>
      <diagonal/>
    </border>
    <border>
      <left style="medium">
        <color indexed="17"/>
      </left>
      <right style="thin">
        <color indexed="17"/>
      </right>
      <top style="dotted">
        <color indexed="17"/>
      </top>
      <bottom style="thin">
        <color indexed="17"/>
      </bottom>
      <diagonal/>
    </border>
    <border>
      <left style="thin">
        <color indexed="17"/>
      </left>
      <right style="medium">
        <color indexed="17"/>
      </right>
      <top style="medium">
        <color indexed="17"/>
      </top>
      <bottom style="dotted">
        <color indexed="17"/>
      </bottom>
      <diagonal/>
    </border>
    <border>
      <left style="thin">
        <color indexed="17"/>
      </left>
      <right style="medium">
        <color indexed="17"/>
      </right>
      <top/>
      <bottom/>
      <diagonal/>
    </border>
    <border>
      <left style="thin">
        <color indexed="17"/>
      </left>
      <right style="medium">
        <color indexed="17"/>
      </right>
      <top style="dotted">
        <color indexed="17"/>
      </top>
      <bottom style="medium">
        <color indexed="17"/>
      </bottom>
      <diagonal/>
    </border>
    <border>
      <left style="thin">
        <color indexed="17"/>
      </left>
      <right style="dotted">
        <color indexed="17"/>
      </right>
      <top style="dotted">
        <color indexed="17"/>
      </top>
      <bottom/>
      <diagonal/>
    </border>
    <border>
      <left style="thin">
        <color indexed="17"/>
      </left>
      <right style="dotted">
        <color indexed="17"/>
      </right>
      <top/>
      <bottom style="medium">
        <color indexed="17"/>
      </bottom>
      <diagonal/>
    </border>
    <border>
      <left style="dotted">
        <color indexed="17"/>
      </left>
      <right style="dotted">
        <color indexed="17"/>
      </right>
      <top style="dotted">
        <color indexed="17"/>
      </top>
      <bottom/>
      <diagonal/>
    </border>
    <border>
      <left style="dotted">
        <color indexed="17"/>
      </left>
      <right style="dotted">
        <color indexed="17"/>
      </right>
      <top/>
      <bottom style="medium">
        <color indexed="17"/>
      </bottom>
      <diagonal/>
    </border>
    <border>
      <left style="dotted">
        <color indexed="17"/>
      </left>
      <right style="medium">
        <color indexed="17"/>
      </right>
      <top style="dotted">
        <color indexed="17"/>
      </top>
      <bottom/>
      <diagonal/>
    </border>
    <border>
      <left style="dotted">
        <color indexed="17"/>
      </left>
      <right style="medium">
        <color indexed="17"/>
      </right>
      <top/>
      <bottom style="thin">
        <color indexed="17"/>
      </bottom>
      <diagonal/>
    </border>
    <border>
      <left style="dotted">
        <color indexed="17"/>
      </left>
      <right/>
      <top style="dotted">
        <color indexed="17"/>
      </top>
      <bottom/>
      <diagonal/>
    </border>
    <border>
      <left style="dotted">
        <color indexed="17"/>
      </left>
      <right/>
      <top/>
      <bottom style="thin">
        <color indexed="17"/>
      </bottom>
      <diagonal/>
    </border>
    <border>
      <left style="medium">
        <color indexed="17"/>
      </left>
      <right style="dotted">
        <color indexed="17"/>
      </right>
      <top style="dotted">
        <color indexed="17"/>
      </top>
      <bottom/>
      <diagonal/>
    </border>
    <border>
      <left style="medium">
        <color indexed="17"/>
      </left>
      <right style="dotted">
        <color indexed="17"/>
      </right>
      <top/>
      <bottom style="thin">
        <color indexed="17"/>
      </bottom>
      <diagonal/>
    </border>
    <border>
      <left style="dotted">
        <color indexed="17"/>
      </left>
      <right style="dotted">
        <color indexed="17"/>
      </right>
      <top/>
      <bottom style="thin">
        <color indexed="17"/>
      </bottom>
      <diagonal/>
    </border>
    <border>
      <left style="thin">
        <color indexed="17"/>
      </left>
      <right style="dotted">
        <color indexed="17"/>
      </right>
      <top style="thin">
        <color indexed="17"/>
      </top>
      <bottom style="dotted">
        <color indexed="17"/>
      </bottom>
      <diagonal/>
    </border>
    <border>
      <left style="dotted">
        <color indexed="17"/>
      </left>
      <right style="thin">
        <color indexed="17"/>
      </right>
      <top style="thin">
        <color indexed="17"/>
      </top>
      <bottom style="dotted">
        <color indexed="17"/>
      </bottom>
      <diagonal/>
    </border>
    <border>
      <left style="medium">
        <color indexed="17"/>
      </left>
      <right/>
      <top style="medium">
        <color indexed="17"/>
      </top>
      <bottom style="dotted">
        <color indexed="60"/>
      </bottom>
      <diagonal/>
    </border>
    <border>
      <left style="medium">
        <color indexed="17"/>
      </left>
      <right/>
      <top style="dotted">
        <color indexed="60"/>
      </top>
      <bottom/>
      <diagonal/>
    </border>
    <border>
      <left style="thin">
        <color indexed="17"/>
      </left>
      <right style="medium">
        <color indexed="17"/>
      </right>
      <top style="medium">
        <color indexed="17"/>
      </top>
      <bottom/>
      <diagonal/>
    </border>
    <border>
      <left style="thin">
        <color indexed="17"/>
      </left>
      <right style="medium">
        <color indexed="17"/>
      </right>
      <top/>
      <bottom style="medium">
        <color indexed="17"/>
      </bottom>
      <diagonal/>
    </border>
    <border>
      <left style="dotted">
        <color indexed="17"/>
      </left>
      <right style="medium">
        <color indexed="17"/>
      </right>
      <top/>
      <bottom style="medium">
        <color indexed="17"/>
      </bottom>
      <diagonal/>
    </border>
    <border>
      <left style="medium">
        <color indexed="17"/>
      </left>
      <right style="dotted">
        <color indexed="17"/>
      </right>
      <top/>
      <bottom style="medium">
        <color indexed="17"/>
      </bottom>
      <diagonal/>
    </border>
    <border>
      <left style="dotted">
        <color indexed="17"/>
      </left>
      <right style="thin">
        <color indexed="17"/>
      </right>
      <top style="dotted">
        <color indexed="17"/>
      </top>
      <bottom/>
      <diagonal/>
    </border>
    <border>
      <left style="dotted">
        <color indexed="17"/>
      </left>
      <right style="thin">
        <color indexed="17"/>
      </right>
      <top/>
      <bottom style="medium">
        <color indexed="17"/>
      </bottom>
      <diagonal/>
    </border>
    <border>
      <left style="medium">
        <color indexed="17"/>
      </left>
      <right style="thin">
        <color indexed="17"/>
      </right>
      <top style="medium">
        <color indexed="17"/>
      </top>
      <bottom/>
      <diagonal/>
    </border>
    <border>
      <left style="medium">
        <color indexed="17"/>
      </left>
      <right style="thin">
        <color indexed="17"/>
      </right>
      <top/>
      <bottom style="medium">
        <color indexed="17"/>
      </bottom>
      <diagonal/>
    </border>
    <border>
      <left style="dotted">
        <color indexed="17"/>
      </left>
      <right style="thin">
        <color indexed="17"/>
      </right>
      <top style="thin">
        <color indexed="17"/>
      </top>
      <bottom style="thin">
        <color indexed="17"/>
      </bottom>
      <diagonal/>
    </border>
    <border>
      <left style="dotted">
        <color indexed="17"/>
      </left>
      <right style="thin">
        <color indexed="17"/>
      </right>
      <top style="thin">
        <color indexed="17"/>
      </top>
      <bottom/>
      <diagonal/>
    </border>
    <border>
      <left style="medium">
        <color indexed="17"/>
      </left>
      <right style="medium">
        <color indexed="17"/>
      </right>
      <top/>
      <bottom/>
      <diagonal/>
    </border>
    <border>
      <left style="medium">
        <color indexed="17"/>
      </left>
      <right style="medium">
        <color indexed="17"/>
      </right>
      <top/>
      <bottom style="medium">
        <color indexed="17"/>
      </bottom>
      <diagonal/>
    </border>
    <border>
      <left style="thin">
        <color indexed="17"/>
      </left>
      <right style="thin">
        <color indexed="17"/>
      </right>
      <top style="medium">
        <color indexed="17"/>
      </top>
      <bottom style="thin">
        <color indexed="17"/>
      </bottom>
      <diagonal/>
    </border>
    <border>
      <left style="thin">
        <color indexed="17"/>
      </left>
      <right style="thick">
        <color indexed="10"/>
      </right>
      <top style="thin">
        <color indexed="17"/>
      </top>
      <bottom/>
      <diagonal/>
    </border>
    <border>
      <left style="thin">
        <color indexed="17"/>
      </left>
      <right style="thick">
        <color indexed="10"/>
      </right>
      <top/>
      <bottom style="thin">
        <color indexed="17"/>
      </bottom>
      <diagonal/>
    </border>
    <border>
      <left style="thin">
        <color indexed="17"/>
      </left>
      <right style="dotted">
        <color indexed="17"/>
      </right>
      <top style="thin">
        <color indexed="17"/>
      </top>
      <bottom style="thin">
        <color indexed="17"/>
      </bottom>
      <diagonal/>
    </border>
    <border>
      <left style="thin">
        <color indexed="17"/>
      </left>
      <right style="dotted">
        <color indexed="17"/>
      </right>
      <top style="thin">
        <color indexed="17"/>
      </top>
      <bottom/>
      <diagonal/>
    </border>
    <border>
      <left style="thick">
        <color indexed="10"/>
      </left>
      <right style="thin">
        <color indexed="17"/>
      </right>
      <top style="thin">
        <color indexed="17"/>
      </top>
      <bottom/>
      <diagonal/>
    </border>
    <border>
      <left style="thick">
        <color indexed="10"/>
      </left>
      <right style="thin">
        <color indexed="17"/>
      </right>
      <top/>
      <bottom style="thin">
        <color indexed="17"/>
      </bottom>
      <diagonal/>
    </border>
    <border>
      <left style="medium">
        <color indexed="17"/>
      </left>
      <right/>
      <top style="thick">
        <color indexed="10"/>
      </top>
      <bottom/>
      <diagonal/>
    </border>
    <border>
      <left/>
      <right/>
      <top style="thick">
        <color indexed="10"/>
      </top>
      <bottom/>
      <diagonal/>
    </border>
    <border>
      <left/>
      <right style="thick">
        <color indexed="10"/>
      </right>
      <top style="thick">
        <color indexed="10"/>
      </top>
      <bottom/>
      <diagonal/>
    </border>
    <border>
      <left/>
      <right style="thick">
        <color indexed="10"/>
      </right>
      <top/>
      <bottom/>
      <diagonal/>
    </border>
    <border>
      <left style="thick">
        <color indexed="10"/>
      </left>
      <right/>
      <top style="thick">
        <color indexed="10"/>
      </top>
      <bottom/>
      <diagonal/>
    </border>
    <border>
      <left/>
      <right style="medium">
        <color indexed="17"/>
      </right>
      <top style="thick">
        <color indexed="10"/>
      </top>
      <bottom/>
      <diagonal/>
    </border>
    <border>
      <left style="thick">
        <color indexed="10"/>
      </left>
      <right/>
      <top/>
      <bottom/>
      <diagonal/>
    </border>
    <border>
      <left style="thin">
        <color indexed="17"/>
      </left>
      <right style="thin">
        <color indexed="17"/>
      </right>
      <top style="medium">
        <color indexed="17"/>
      </top>
      <bottom/>
      <diagonal/>
    </border>
    <border>
      <left style="medium">
        <color indexed="17"/>
      </left>
      <right style="medium">
        <color indexed="17"/>
      </right>
      <top/>
      <bottom style="thin">
        <color indexed="17"/>
      </bottom>
      <diagonal/>
    </border>
    <border>
      <left style="thin">
        <color indexed="17"/>
      </left>
      <right style="dotted">
        <color indexed="17"/>
      </right>
      <top style="medium">
        <color indexed="17"/>
      </top>
      <bottom style="thin">
        <color indexed="17"/>
      </bottom>
      <diagonal/>
    </border>
    <border>
      <left style="dotted">
        <color indexed="17"/>
      </left>
      <right style="thin">
        <color indexed="17"/>
      </right>
      <top style="medium">
        <color indexed="17"/>
      </top>
      <bottom style="thin">
        <color indexed="17"/>
      </bottom>
      <diagonal/>
    </border>
    <border>
      <left style="thin">
        <color indexed="17"/>
      </left>
      <right/>
      <top/>
      <bottom style="medium">
        <color indexed="17"/>
      </bottom>
      <diagonal/>
    </border>
    <border>
      <left style="thin">
        <color indexed="17"/>
      </left>
      <right style="medium">
        <color indexed="17"/>
      </right>
      <top style="medium">
        <color indexed="17"/>
      </top>
      <bottom style="thin">
        <color indexed="17"/>
      </bottom>
      <diagonal/>
    </border>
    <border>
      <left style="dotted">
        <color indexed="17"/>
      </left>
      <right style="medium">
        <color indexed="17"/>
      </right>
      <top style="thin">
        <color indexed="17"/>
      </top>
      <bottom/>
      <diagonal/>
    </border>
    <border>
      <left style="medium">
        <color indexed="17"/>
      </left>
      <right style="dotted">
        <color indexed="17"/>
      </right>
      <top style="thin">
        <color indexed="17"/>
      </top>
      <bottom/>
      <diagonal/>
    </border>
    <border>
      <left style="medium">
        <color indexed="17"/>
      </left>
      <right style="thin">
        <color indexed="17"/>
      </right>
      <top style="medium">
        <color indexed="17"/>
      </top>
      <bottom style="thin">
        <color indexed="17"/>
      </bottom>
      <diagonal/>
    </border>
    <border>
      <left style="medium">
        <color indexed="17"/>
      </left>
      <right/>
      <top style="thin">
        <color indexed="17"/>
      </top>
      <bottom/>
      <diagonal/>
    </border>
    <border>
      <left/>
      <right style="medium">
        <color indexed="17"/>
      </right>
      <top style="thin">
        <color indexed="17"/>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style="thin">
        <color theme="0" tint="-0.14996795556505021"/>
      </right>
      <top/>
      <bottom/>
      <diagonal/>
    </border>
    <border>
      <left style="thin">
        <color theme="0" tint="-0.14996795556505021"/>
      </left>
      <right/>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medium">
        <color rgb="FF008000"/>
      </left>
      <right/>
      <top style="medium">
        <color rgb="FF008000"/>
      </top>
      <bottom/>
      <diagonal/>
    </border>
    <border>
      <left/>
      <right/>
      <top style="medium">
        <color rgb="FF008000"/>
      </top>
      <bottom/>
      <diagonal/>
    </border>
    <border>
      <left/>
      <right style="medium">
        <color rgb="FF008000"/>
      </right>
      <top style="medium">
        <color rgb="FF008000"/>
      </top>
      <bottom/>
      <diagonal/>
    </border>
    <border>
      <left style="medium">
        <color rgb="FF008000"/>
      </left>
      <right/>
      <top/>
      <bottom/>
      <diagonal/>
    </border>
    <border>
      <left/>
      <right style="medium">
        <color rgb="FF008000"/>
      </right>
      <top/>
      <bottom/>
      <diagonal/>
    </border>
    <border>
      <left style="medium">
        <color rgb="FF008000"/>
      </left>
      <right/>
      <top/>
      <bottom style="medium">
        <color rgb="FF008000"/>
      </bottom>
      <diagonal/>
    </border>
    <border>
      <left/>
      <right/>
      <top/>
      <bottom style="medium">
        <color rgb="FF008000"/>
      </bottom>
      <diagonal/>
    </border>
    <border>
      <left/>
      <right style="medium">
        <color rgb="FF008000"/>
      </right>
      <top/>
      <bottom style="medium">
        <color rgb="FF008000"/>
      </bottom>
      <diagonal/>
    </border>
    <border>
      <left style="medium">
        <color rgb="FF33CC33"/>
      </left>
      <right/>
      <top style="medium">
        <color rgb="FF33CC33"/>
      </top>
      <bottom/>
      <diagonal/>
    </border>
    <border>
      <left/>
      <right/>
      <top style="medium">
        <color rgb="FF33CC33"/>
      </top>
      <bottom/>
      <diagonal/>
    </border>
    <border>
      <left/>
      <right style="medium">
        <color rgb="FF33CC33"/>
      </right>
      <top style="medium">
        <color rgb="FF33CC33"/>
      </top>
      <bottom/>
      <diagonal/>
    </border>
    <border>
      <left style="medium">
        <color rgb="FF33CC33"/>
      </left>
      <right/>
      <top/>
      <bottom/>
      <diagonal/>
    </border>
    <border>
      <left/>
      <right style="medium">
        <color rgb="FF33CC33"/>
      </right>
      <top/>
      <bottom/>
      <diagonal/>
    </border>
    <border>
      <left/>
      <right/>
      <top style="medium">
        <color indexed="64"/>
      </top>
      <bottom/>
      <diagonal/>
    </border>
    <border>
      <left style="thin">
        <color rgb="FF008000"/>
      </left>
      <right/>
      <top style="medium">
        <color rgb="FF008000"/>
      </top>
      <bottom style="thin">
        <color rgb="FF008000"/>
      </bottom>
      <diagonal/>
    </border>
    <border>
      <left/>
      <right/>
      <top style="medium">
        <color rgb="FF008000"/>
      </top>
      <bottom style="thin">
        <color rgb="FF008000"/>
      </bottom>
      <diagonal/>
    </border>
    <border>
      <left/>
      <right style="thin">
        <color rgb="FF008000"/>
      </right>
      <top style="medium">
        <color rgb="FF008000"/>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right style="thin">
        <color rgb="FF008000"/>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style="thin">
        <color rgb="FF008000"/>
      </left>
      <right/>
      <top/>
      <bottom/>
      <diagonal/>
    </border>
    <border>
      <left/>
      <right/>
      <top style="thin">
        <color rgb="FF008000"/>
      </top>
      <bottom/>
      <diagonal/>
    </border>
    <border>
      <left style="medium">
        <color rgb="FF33CC33"/>
      </left>
      <right/>
      <top/>
      <bottom style="medium">
        <color rgb="FF33CC33"/>
      </bottom>
      <diagonal/>
    </border>
    <border>
      <left/>
      <right style="medium">
        <color rgb="FF33CC33"/>
      </right>
      <top/>
      <bottom style="medium">
        <color rgb="FF33CC33"/>
      </bottom>
      <diagonal/>
    </border>
    <border>
      <left style="dotted">
        <color rgb="FF008000"/>
      </left>
      <right/>
      <top style="dotted">
        <color rgb="FF008000"/>
      </top>
      <bottom style="dotted">
        <color rgb="FF008000"/>
      </bottom>
      <diagonal/>
    </border>
    <border>
      <left/>
      <right/>
      <top style="dotted">
        <color rgb="FF008000"/>
      </top>
      <bottom style="dotted">
        <color rgb="FF008000"/>
      </bottom>
      <diagonal/>
    </border>
    <border>
      <left/>
      <right style="dotted">
        <color rgb="FF008000"/>
      </right>
      <top style="dotted">
        <color rgb="FF008000"/>
      </top>
      <bottom style="dotted">
        <color rgb="FF008000"/>
      </bottom>
      <diagonal/>
    </border>
    <border>
      <left style="thin">
        <color indexed="64"/>
      </left>
      <right style="medium">
        <color rgb="FF008000"/>
      </right>
      <top/>
      <bottom/>
      <diagonal/>
    </border>
    <border>
      <left style="thin">
        <color rgb="FF008000"/>
      </left>
      <right/>
      <top style="thin">
        <color rgb="FF008000"/>
      </top>
      <bottom/>
      <diagonal/>
    </border>
    <border>
      <left/>
      <right style="thin">
        <color rgb="FF008000"/>
      </right>
      <top style="thin">
        <color rgb="FF008000"/>
      </top>
      <bottom/>
      <diagonal/>
    </border>
    <border>
      <left/>
      <right style="thin">
        <color rgb="FF008000"/>
      </right>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
      <left style="thick">
        <color rgb="FF008000"/>
      </left>
      <right/>
      <top/>
      <bottom/>
      <diagonal/>
    </border>
    <border>
      <left style="thin">
        <color indexed="64"/>
      </left>
      <right style="thin">
        <color theme="0" tint="-0.34998626667073579"/>
      </right>
      <top style="thin">
        <color indexed="64"/>
      </top>
      <bottom style="thin">
        <color indexed="22"/>
      </bottom>
      <diagonal/>
    </border>
    <border>
      <left style="thin">
        <color theme="0" tint="-0.34998626667073579"/>
      </left>
      <right style="thin">
        <color theme="0" tint="-0.34998626667073579"/>
      </right>
      <top style="thin">
        <color indexed="64"/>
      </top>
      <bottom style="thin">
        <color indexed="22"/>
      </bottom>
      <diagonal/>
    </border>
    <border>
      <left style="thin">
        <color theme="0" tint="-0.34998626667073579"/>
      </left>
      <right style="thin">
        <color indexed="64"/>
      </right>
      <top style="thin">
        <color indexed="64"/>
      </top>
      <bottom style="thin">
        <color indexed="22"/>
      </bottom>
      <diagonal/>
    </border>
    <border>
      <left style="thin">
        <color indexed="64"/>
      </left>
      <right style="thin">
        <color theme="0" tint="-0.34998626667073579"/>
      </right>
      <top style="thin">
        <color indexed="22"/>
      </top>
      <bottom style="thin">
        <color indexed="64"/>
      </bottom>
      <diagonal/>
    </border>
    <border>
      <left style="thin">
        <color theme="0" tint="-0.34998626667073579"/>
      </left>
      <right style="thin">
        <color theme="0" tint="-0.34998626667073579"/>
      </right>
      <top style="thin">
        <color indexed="22"/>
      </top>
      <bottom style="thin">
        <color indexed="64"/>
      </bottom>
      <diagonal/>
    </border>
    <border>
      <left style="thin">
        <color theme="0" tint="-0.34998626667073579"/>
      </left>
      <right style="thin">
        <color indexed="64"/>
      </right>
      <top style="thin">
        <color indexed="22"/>
      </top>
      <bottom style="thin">
        <color indexed="64"/>
      </bottom>
      <diagonal/>
    </border>
    <border>
      <left style="thin">
        <color indexed="64"/>
      </left>
      <right style="thin">
        <color indexed="55"/>
      </right>
      <top style="thin">
        <color indexed="22"/>
      </top>
      <bottom/>
      <diagonal/>
    </border>
    <border>
      <left style="thin">
        <color indexed="55"/>
      </left>
      <right style="thin">
        <color indexed="64"/>
      </right>
      <top style="thin">
        <color indexed="22"/>
      </top>
      <bottom/>
      <diagonal/>
    </border>
    <border>
      <left style="thin">
        <color indexed="64"/>
      </left>
      <right style="thin">
        <color indexed="55"/>
      </right>
      <top style="thin">
        <color theme="0" tint="-0.24994659260841701"/>
      </top>
      <bottom style="thin">
        <color indexed="22"/>
      </bottom>
      <diagonal/>
    </border>
    <border>
      <left style="thin">
        <color indexed="55"/>
      </left>
      <right style="thin">
        <color indexed="55"/>
      </right>
      <top style="thin">
        <color theme="0" tint="-0.24994659260841701"/>
      </top>
      <bottom style="thin">
        <color indexed="22"/>
      </bottom>
      <diagonal/>
    </border>
    <border>
      <left style="thin">
        <color indexed="55"/>
      </left>
      <right style="thin">
        <color indexed="64"/>
      </right>
      <top style="thin">
        <color theme="0" tint="-0.24994659260841701"/>
      </top>
      <bottom style="thin">
        <color indexed="22"/>
      </bottom>
      <diagonal/>
    </border>
    <border>
      <left style="thin">
        <color indexed="64"/>
      </left>
      <right style="thin">
        <color indexed="64"/>
      </right>
      <top style="thin">
        <color theme="0" tint="-0.24994659260841701"/>
      </top>
      <bottom style="thin">
        <color indexed="22"/>
      </bottom>
      <diagonal/>
    </border>
    <border>
      <left style="thin">
        <color indexed="64"/>
      </left>
      <right style="thin">
        <color indexed="55"/>
      </right>
      <top style="thin">
        <color indexed="22"/>
      </top>
      <bottom style="thin">
        <color theme="0" tint="-0.24994659260841701"/>
      </bottom>
      <diagonal/>
    </border>
    <border>
      <left style="thin">
        <color indexed="55"/>
      </left>
      <right style="thin">
        <color indexed="55"/>
      </right>
      <top style="thin">
        <color indexed="22"/>
      </top>
      <bottom style="thin">
        <color theme="0" tint="-0.24994659260841701"/>
      </bottom>
      <diagonal/>
    </border>
    <border>
      <left style="thin">
        <color indexed="55"/>
      </left>
      <right style="thin">
        <color indexed="64"/>
      </right>
      <top style="thin">
        <color indexed="22"/>
      </top>
      <bottom style="thin">
        <color theme="0" tint="-0.24994659260841701"/>
      </bottom>
      <diagonal/>
    </border>
    <border>
      <left style="thin">
        <color indexed="64"/>
      </left>
      <right style="thin">
        <color indexed="64"/>
      </right>
      <top style="thin">
        <color indexed="22"/>
      </top>
      <bottom style="thin">
        <color theme="0" tint="-0.24994659260841701"/>
      </bottom>
      <diagonal/>
    </border>
    <border>
      <left style="thin">
        <color indexed="64"/>
      </left>
      <right style="thin">
        <color indexed="55"/>
      </right>
      <top style="thin">
        <color indexed="22"/>
      </top>
      <bottom style="thin">
        <color theme="1"/>
      </bottom>
      <diagonal/>
    </border>
    <border>
      <left style="thin">
        <color indexed="55"/>
      </left>
      <right style="thin">
        <color indexed="55"/>
      </right>
      <top style="thin">
        <color indexed="22"/>
      </top>
      <bottom style="thin">
        <color theme="1"/>
      </bottom>
      <diagonal/>
    </border>
    <border>
      <left style="thin">
        <color indexed="55"/>
      </left>
      <right style="thin">
        <color indexed="64"/>
      </right>
      <top style="thin">
        <color indexed="22"/>
      </top>
      <bottom style="thin">
        <color theme="1"/>
      </bottom>
      <diagonal/>
    </border>
    <border>
      <left style="thin">
        <color indexed="64"/>
      </left>
      <right style="thin">
        <color indexed="64"/>
      </right>
      <top style="thin">
        <color indexed="22"/>
      </top>
      <bottom style="thin">
        <color theme="1"/>
      </bottom>
      <diagonal/>
    </border>
    <border>
      <left style="dotted">
        <color theme="0" tint="-0.14996795556505021"/>
      </left>
      <right/>
      <top style="dotted">
        <color theme="0" tint="-0.14996795556505021"/>
      </top>
      <bottom style="dotted">
        <color theme="0" tint="-0.14996795556505021"/>
      </bottom>
      <diagonal/>
    </border>
    <border>
      <left/>
      <right/>
      <top style="dotted">
        <color theme="0" tint="-0.14996795556505021"/>
      </top>
      <bottom style="dotted">
        <color theme="0" tint="-0.14996795556505021"/>
      </bottom>
      <diagonal/>
    </border>
    <border>
      <left/>
      <right style="dotted">
        <color theme="0" tint="-0.14996795556505021"/>
      </right>
      <top style="dotted">
        <color theme="0" tint="-0.14996795556505021"/>
      </top>
      <bottom style="dotted">
        <color theme="0" tint="-0.14996795556505021"/>
      </bottom>
      <diagonal/>
    </border>
    <border>
      <left/>
      <right/>
      <top style="medium">
        <color rgb="FF008000"/>
      </top>
      <bottom style="medium">
        <color rgb="FF33CC33"/>
      </bottom>
      <diagonal/>
    </border>
    <border>
      <left/>
      <right style="thin">
        <color indexed="56"/>
      </right>
      <top/>
      <bottom/>
      <diagonal/>
    </border>
    <border>
      <left/>
      <right style="thin">
        <color indexed="64"/>
      </right>
      <top/>
      <bottom style="thin">
        <color indexed="22"/>
      </bottom>
      <diagonal/>
    </border>
    <border>
      <left style="medium">
        <color rgb="FF008000"/>
      </left>
      <right style="thin">
        <color indexed="64"/>
      </right>
      <top/>
      <bottom/>
      <diagonal/>
    </border>
    <border>
      <left style="thin">
        <color indexed="17"/>
      </left>
      <right/>
      <top style="thin">
        <color indexed="10"/>
      </top>
      <bottom style="thin">
        <color indexed="17"/>
      </bottom>
      <diagonal/>
    </border>
    <border>
      <left/>
      <right style="thin">
        <color indexed="17"/>
      </right>
      <top style="thin">
        <color indexed="10"/>
      </top>
      <bottom style="thin">
        <color indexed="17"/>
      </bottom>
      <diagonal/>
    </border>
    <border>
      <left style="thin">
        <color rgb="FF008000"/>
      </left>
      <right/>
      <top style="thin">
        <color rgb="FFFF0000"/>
      </top>
      <bottom style="thin">
        <color rgb="FF008000"/>
      </bottom>
      <diagonal/>
    </border>
    <border>
      <left/>
      <right style="thin">
        <color rgb="FF008000"/>
      </right>
      <top style="thin">
        <color rgb="FFFF0000"/>
      </top>
      <bottom style="thin">
        <color rgb="FF008000"/>
      </bottom>
      <diagonal/>
    </border>
    <border>
      <left style="thin">
        <color indexed="17"/>
      </left>
      <right style="thin">
        <color indexed="17"/>
      </right>
      <top style="thin">
        <color indexed="64"/>
      </top>
      <bottom/>
      <diagonal/>
    </border>
    <border>
      <left style="thin">
        <color indexed="17"/>
      </left>
      <right style="thin">
        <color indexed="17"/>
      </right>
      <top/>
      <bottom style="thin">
        <color indexed="64"/>
      </bottom>
      <diagonal/>
    </border>
    <border>
      <left style="medium">
        <color rgb="FF008000"/>
      </left>
      <right style="thin">
        <color indexed="64"/>
      </right>
      <top style="thin">
        <color indexed="64"/>
      </top>
      <bottom style="thin">
        <color indexed="64"/>
      </bottom>
      <diagonal/>
    </border>
    <border>
      <left style="medium">
        <color rgb="FF008000"/>
      </left>
      <right style="thin">
        <color indexed="64"/>
      </right>
      <top style="thin">
        <color indexed="64"/>
      </top>
      <bottom/>
      <diagonal/>
    </border>
    <border>
      <left style="medium">
        <color rgb="FF008000"/>
      </left>
      <right/>
      <top style="thin">
        <color indexed="64"/>
      </top>
      <bottom style="thin">
        <color indexed="64"/>
      </bottom>
      <diagonal/>
    </border>
    <border>
      <left style="medium">
        <color rgb="FF008000"/>
      </left>
      <right style="thin">
        <color indexed="64"/>
      </right>
      <top/>
      <bottom style="medium">
        <color indexed="17"/>
      </bottom>
      <diagonal/>
    </border>
    <border>
      <left style="thin">
        <color rgb="FF008000"/>
      </left>
      <right style="thin">
        <color indexed="64"/>
      </right>
      <top style="thin">
        <color indexed="64"/>
      </top>
      <bottom style="thin">
        <color indexed="64"/>
      </bottom>
      <diagonal/>
    </border>
    <border>
      <left style="thin">
        <color indexed="64"/>
      </left>
      <right style="medium">
        <color rgb="FF008000"/>
      </right>
      <top style="thin">
        <color indexed="64"/>
      </top>
      <bottom style="thin">
        <color indexed="64"/>
      </bottom>
      <diagonal/>
    </border>
    <border>
      <left style="thin">
        <color indexed="64"/>
      </left>
      <right style="medium">
        <color rgb="FF008000"/>
      </right>
      <top style="thin">
        <color indexed="64"/>
      </top>
      <bottom/>
      <diagonal/>
    </border>
    <border>
      <left style="thin">
        <color indexed="64"/>
      </left>
      <right style="medium">
        <color rgb="FF008000"/>
      </right>
      <top/>
      <bottom style="thin">
        <color indexed="64"/>
      </bottom>
      <diagonal/>
    </border>
    <border>
      <left style="thin">
        <color indexed="64"/>
      </left>
      <right/>
      <top/>
      <bottom style="medium">
        <color indexed="17"/>
      </bottom>
      <diagonal/>
    </border>
    <border>
      <left style="thin">
        <color rgb="FF008000"/>
      </left>
      <right/>
      <top style="thin">
        <color indexed="64"/>
      </top>
      <bottom/>
      <diagonal/>
    </border>
    <border>
      <left/>
      <right style="medium">
        <color rgb="FF008000"/>
      </right>
      <top style="thin">
        <color indexed="64"/>
      </top>
      <bottom/>
      <diagonal/>
    </border>
    <border>
      <left style="thin">
        <color rgb="FF008000"/>
      </left>
      <right/>
      <top/>
      <bottom style="thin">
        <color indexed="64"/>
      </bottom>
      <diagonal/>
    </border>
    <border>
      <left/>
      <right style="medium">
        <color rgb="FF008000"/>
      </right>
      <top/>
      <bottom style="thin">
        <color indexed="64"/>
      </bottom>
      <diagonal/>
    </border>
    <border>
      <left style="thin">
        <color rgb="FF008000"/>
      </left>
      <right style="thin">
        <color indexed="64"/>
      </right>
      <top style="thin">
        <color indexed="64"/>
      </top>
      <bottom/>
      <diagonal/>
    </border>
    <border>
      <left style="thin">
        <color rgb="FF008000"/>
      </left>
      <right style="thin">
        <color indexed="64"/>
      </right>
      <top/>
      <bottom style="thin">
        <color indexed="64"/>
      </bottom>
      <diagonal/>
    </border>
    <border>
      <left style="thin">
        <color rgb="FF008000"/>
      </left>
      <right style="thin">
        <color indexed="64"/>
      </right>
      <top/>
      <bottom style="medium">
        <color indexed="17"/>
      </bottom>
      <diagonal/>
    </border>
    <border>
      <left style="thin">
        <color indexed="64"/>
      </left>
      <right style="medium">
        <color indexed="17"/>
      </right>
      <top style="thin">
        <color indexed="17"/>
      </top>
      <bottom style="medium">
        <color indexed="17"/>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22"/>
      </right>
      <top style="thin">
        <color theme="0" tint="-0.24994659260841701"/>
      </top>
      <bottom style="thin">
        <color indexed="64"/>
      </bottom>
      <diagonal/>
    </border>
    <border>
      <left style="thin">
        <color indexed="22"/>
      </left>
      <right style="thin">
        <color indexed="64"/>
      </right>
      <top style="thin">
        <color theme="0" tint="-0.24994659260841701"/>
      </top>
      <bottom style="thin">
        <color indexed="64"/>
      </bottom>
      <diagonal/>
    </border>
    <border>
      <left style="thin">
        <color indexed="64"/>
      </left>
      <right style="thin">
        <color indexed="17"/>
      </right>
      <top/>
      <bottom/>
      <diagonal/>
    </border>
    <border>
      <left style="thin">
        <color indexed="22"/>
      </left>
      <right style="thin">
        <color indexed="8"/>
      </right>
      <top style="thin">
        <color theme="0" tint="-0.24994659260841701"/>
      </top>
      <bottom style="thin">
        <color indexed="64"/>
      </bottom>
      <diagonal/>
    </border>
    <border>
      <left style="thin">
        <color indexed="64"/>
      </left>
      <right/>
      <top style="thin">
        <color indexed="22"/>
      </top>
      <bottom style="thin">
        <color theme="0" tint="-0.24994659260841701"/>
      </bottom>
      <diagonal/>
    </border>
    <border>
      <left style="thin">
        <color indexed="64"/>
      </left>
      <right style="thin">
        <color indexed="22"/>
      </right>
      <top style="thin">
        <color indexed="22"/>
      </top>
      <bottom style="thin">
        <color theme="0" tint="-0.24994659260841701"/>
      </bottom>
      <diagonal/>
    </border>
    <border>
      <left style="thin">
        <color indexed="22"/>
      </left>
      <right style="thin">
        <color indexed="64"/>
      </right>
      <top style="thin">
        <color indexed="22"/>
      </top>
      <bottom style="thin">
        <color theme="0" tint="-0.24994659260841701"/>
      </bottom>
      <diagonal/>
    </border>
    <border>
      <left style="thin">
        <color indexed="64"/>
      </left>
      <right style="thin">
        <color indexed="17"/>
      </right>
      <top style="thin">
        <color indexed="22"/>
      </top>
      <bottom/>
      <diagonal/>
    </border>
    <border>
      <left style="thin">
        <color indexed="8"/>
      </left>
      <right/>
      <top/>
      <bottom/>
      <diagonal/>
    </border>
    <border>
      <left style="thin">
        <color indexed="64"/>
      </left>
      <right/>
      <top style="thin">
        <color theme="0" tint="-0.24994659260841701"/>
      </top>
      <bottom style="thin">
        <color theme="0" tint="-0.24994659260841701"/>
      </bottom>
      <diagonal/>
    </border>
    <border>
      <left style="thin">
        <color indexed="64"/>
      </left>
      <right style="thin">
        <color indexed="22"/>
      </right>
      <top style="thin">
        <color theme="0" tint="-0.24994659260841701"/>
      </top>
      <bottom style="thin">
        <color theme="0" tint="-0.24994659260841701"/>
      </bottom>
      <diagonal/>
    </border>
    <border>
      <left style="thin">
        <color indexed="22"/>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8"/>
      </left>
      <right/>
      <top style="thin">
        <color indexed="22"/>
      </top>
      <bottom style="thin">
        <color theme="0" tint="-0.24994659260841701"/>
      </bottom>
      <diagonal/>
    </border>
    <border>
      <left style="thin">
        <color indexed="22"/>
      </left>
      <right style="thin">
        <color indexed="8"/>
      </right>
      <top style="thin">
        <color indexed="22"/>
      </top>
      <bottom style="thin">
        <color theme="0" tint="-0.24994659260841701"/>
      </bottom>
      <diagonal/>
    </border>
    <border>
      <left style="thin">
        <color indexed="8"/>
      </left>
      <right/>
      <top style="thin">
        <color theme="0" tint="-0.24994659260841701"/>
      </top>
      <bottom style="thin">
        <color theme="0" tint="-0.24994659260841701"/>
      </bottom>
      <diagonal/>
    </border>
    <border>
      <left style="thin">
        <color indexed="22"/>
      </left>
      <right style="thin">
        <color indexed="8"/>
      </right>
      <top style="thin">
        <color theme="0" tint="-0.24994659260841701"/>
      </top>
      <bottom style="thin">
        <color theme="0" tint="-0.24994659260841701"/>
      </bottom>
      <diagonal/>
    </border>
    <border>
      <left style="thin">
        <color indexed="8"/>
      </left>
      <right/>
      <top style="thin">
        <color theme="0" tint="-0.24994659260841701"/>
      </top>
      <bottom style="thin">
        <color indexed="64"/>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right style="thin">
        <color indexed="56"/>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rgb="FFFF3399"/>
      </left>
      <right/>
      <top style="thin">
        <color rgb="FFFF3399"/>
      </top>
      <bottom/>
      <diagonal/>
    </border>
    <border>
      <left/>
      <right/>
      <top style="thin">
        <color rgb="FFFF3399"/>
      </top>
      <bottom/>
      <diagonal/>
    </border>
    <border>
      <left style="thin">
        <color rgb="FFFF3399"/>
      </left>
      <right/>
      <top/>
      <bottom/>
      <diagonal/>
    </border>
    <border>
      <left style="thin">
        <color rgb="FFFF3399"/>
      </left>
      <right/>
      <top/>
      <bottom style="thin">
        <color rgb="FFFF3399"/>
      </bottom>
      <diagonal/>
    </border>
    <border>
      <left/>
      <right/>
      <top/>
      <bottom style="thin">
        <color rgb="FFFF3399"/>
      </bottom>
      <diagonal/>
    </border>
    <border>
      <left/>
      <right style="thin">
        <color rgb="FFFF33CC"/>
      </right>
      <top style="thin">
        <color rgb="FFFF33CC"/>
      </top>
      <bottom/>
      <diagonal/>
    </border>
    <border>
      <left/>
      <right style="thin">
        <color rgb="FFFF33CC"/>
      </right>
      <top/>
      <bottom/>
      <diagonal/>
    </border>
    <border>
      <left/>
      <right style="thin">
        <color rgb="FFFF33CC"/>
      </right>
      <top/>
      <bottom style="thin">
        <color rgb="FFFF33CC"/>
      </bottom>
      <diagonal/>
    </border>
    <border>
      <left/>
      <right/>
      <top style="thin">
        <color rgb="FFFF33CC"/>
      </top>
      <bottom/>
      <diagonal/>
    </border>
    <border>
      <left/>
      <right/>
      <top/>
      <bottom style="thin">
        <color rgb="FFFF33CC"/>
      </bottom>
      <diagonal/>
    </border>
    <border>
      <left/>
      <right/>
      <top style="thin">
        <color indexed="8"/>
      </top>
      <bottom/>
      <diagonal/>
    </border>
    <border>
      <left style="thin">
        <color theme="0" tint="-0.24994659260841701"/>
      </left>
      <right style="thin">
        <color indexed="64"/>
      </right>
      <top style="thin">
        <color indexed="64"/>
      </top>
      <bottom style="thin">
        <color indexed="64"/>
      </bottom>
      <diagonal/>
    </border>
    <border>
      <left style="medium">
        <color theme="5"/>
      </left>
      <right style="thin">
        <color theme="5"/>
      </right>
      <top style="medium">
        <color theme="5"/>
      </top>
      <bottom style="medium">
        <color theme="5"/>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dotted">
        <color rgb="FF008000"/>
      </left>
      <right/>
      <top/>
      <bottom/>
      <diagonal/>
    </border>
    <border>
      <left style="thin">
        <color theme="1"/>
      </left>
      <right style="thin">
        <color theme="1"/>
      </right>
      <top style="thin">
        <color theme="1"/>
      </top>
      <bottom style="thin">
        <color theme="1"/>
      </bottom>
      <diagonal/>
    </border>
    <border>
      <left/>
      <right/>
      <top style="thin">
        <color theme="0" tint="-0.24994659260841701"/>
      </top>
      <bottom/>
      <diagonal/>
    </border>
    <border>
      <left style="medium">
        <color theme="5" tint="-0.24994659260841701"/>
      </left>
      <right/>
      <top style="medium">
        <color theme="5" tint="-0.24994659260841701"/>
      </top>
      <bottom/>
      <diagonal/>
    </border>
    <border>
      <left/>
      <right/>
      <top style="medium">
        <color theme="5" tint="-0.24994659260841701"/>
      </top>
      <bottom/>
      <diagonal/>
    </border>
    <border>
      <left/>
      <right style="medium">
        <color rgb="FF008000"/>
      </right>
      <top style="medium">
        <color theme="9" tint="-0.499984740745262"/>
      </top>
      <bottom/>
      <diagonal/>
    </border>
    <border>
      <left style="medium">
        <color theme="5" tint="-0.24994659260841701"/>
      </left>
      <right/>
      <top/>
      <bottom/>
      <diagonal/>
    </border>
    <border>
      <left style="medium">
        <color theme="5" tint="-0.24994659260841701"/>
      </left>
      <right/>
      <top/>
      <bottom style="medium">
        <color theme="5" tint="-0.24994659260841701"/>
      </bottom>
      <diagonal/>
    </border>
    <border>
      <left/>
      <right/>
      <top/>
      <bottom style="medium">
        <color theme="5" tint="-0.24994659260841701"/>
      </bottom>
      <diagonal/>
    </border>
    <border>
      <left/>
      <right style="medium">
        <color rgb="FF008000"/>
      </right>
      <top/>
      <bottom style="medium">
        <color theme="9" tint="-0.499984740745262"/>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indexed="22"/>
      </right>
      <top style="thin">
        <color indexed="22"/>
      </top>
      <bottom/>
      <diagonal/>
    </border>
    <border>
      <left/>
      <right style="thin">
        <color indexed="22"/>
      </right>
      <top style="thin">
        <color indexed="8"/>
      </top>
      <bottom style="thin">
        <color indexed="22"/>
      </bottom>
      <diagonal/>
    </border>
    <border>
      <left/>
      <right style="thin">
        <color indexed="22"/>
      </right>
      <top style="thin">
        <color indexed="22"/>
      </top>
      <bottom style="thin">
        <color indexed="8"/>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22"/>
      </right>
      <top style="thin">
        <color indexed="22"/>
      </top>
      <bottom/>
      <diagonal/>
    </border>
    <border>
      <left style="thin">
        <color indexed="22"/>
      </left>
      <right style="medium">
        <color indexed="64"/>
      </right>
      <top style="thin">
        <color indexed="22"/>
      </top>
      <bottom/>
      <diagonal/>
    </border>
    <border>
      <left style="medium">
        <color indexed="64"/>
      </left>
      <right style="thin">
        <color indexed="22"/>
      </right>
      <top style="thin">
        <color indexed="8"/>
      </top>
      <bottom style="thin">
        <color indexed="22"/>
      </bottom>
      <diagonal/>
    </border>
    <border>
      <left style="thin">
        <color indexed="22"/>
      </left>
      <right style="medium">
        <color indexed="64"/>
      </right>
      <top style="thin">
        <color indexed="8"/>
      </top>
      <bottom style="thin">
        <color indexed="22"/>
      </bottom>
      <diagonal/>
    </border>
    <border>
      <left style="medium">
        <color indexed="64"/>
      </left>
      <right style="thin">
        <color indexed="22"/>
      </right>
      <top style="thin">
        <color indexed="22"/>
      </top>
      <bottom style="thin">
        <color indexed="8"/>
      </bottom>
      <diagonal/>
    </border>
    <border>
      <left style="thin">
        <color indexed="22"/>
      </left>
      <right style="medium">
        <color indexed="64"/>
      </right>
      <top style="thin">
        <color indexed="22"/>
      </top>
      <bottom style="thin">
        <color indexed="8"/>
      </bottom>
      <diagonal/>
    </border>
    <border>
      <left style="thin">
        <color indexed="22"/>
      </left>
      <right/>
      <top style="thin">
        <color indexed="22"/>
      </top>
      <bottom/>
      <diagonal/>
    </border>
    <border>
      <left style="thin">
        <color indexed="22"/>
      </left>
      <right/>
      <top style="thin">
        <color indexed="8"/>
      </top>
      <bottom style="thin">
        <color indexed="22"/>
      </bottom>
      <diagonal/>
    </border>
    <border>
      <left style="thin">
        <color indexed="22"/>
      </left>
      <right/>
      <top style="thin">
        <color indexed="22"/>
      </top>
      <bottom style="thin">
        <color indexed="8"/>
      </bottom>
      <diagonal/>
    </border>
    <border>
      <left style="thin">
        <color rgb="FF008000"/>
      </left>
      <right style="thin">
        <color rgb="FF008000"/>
      </right>
      <top style="thin">
        <color rgb="FF008000"/>
      </top>
      <bottom style="thin">
        <color indexed="22"/>
      </bottom>
      <diagonal/>
    </border>
    <border>
      <left style="thin">
        <color rgb="FF008000"/>
      </left>
      <right style="thin">
        <color rgb="FF008000"/>
      </right>
      <top style="thin">
        <color indexed="22"/>
      </top>
      <bottom style="thin">
        <color rgb="FF008000"/>
      </bottom>
      <diagonal/>
    </border>
    <border>
      <left/>
      <right/>
      <top style="thin">
        <color indexed="22"/>
      </top>
      <bottom/>
      <diagonal/>
    </border>
    <border>
      <left style="thin">
        <color rgb="FF008000"/>
      </left>
      <right style="thin">
        <color indexed="64"/>
      </right>
      <top style="thin">
        <color rgb="FF008000"/>
      </top>
      <bottom style="thin">
        <color indexed="22"/>
      </bottom>
      <diagonal/>
    </border>
    <border>
      <left style="thin">
        <color rgb="FF008000"/>
      </left>
      <right style="thin">
        <color indexed="64"/>
      </right>
      <top style="thin">
        <color indexed="22"/>
      </top>
      <bottom style="thin">
        <color indexed="64"/>
      </bottom>
      <diagonal/>
    </border>
    <border>
      <left style="thin">
        <color indexed="64"/>
      </left>
      <right style="thin">
        <color rgb="FF008000"/>
      </right>
      <top style="thin">
        <color indexed="64"/>
      </top>
      <bottom style="thin">
        <color indexed="22"/>
      </bottom>
      <diagonal/>
    </border>
    <border>
      <left style="thin">
        <color indexed="64"/>
      </left>
      <right style="thin">
        <color rgb="FF008000"/>
      </right>
      <top style="thin">
        <color indexed="22"/>
      </top>
      <bottom style="thin">
        <color rgb="FF008000"/>
      </bottom>
      <diagonal/>
    </border>
    <border>
      <left style="thin">
        <color indexed="64"/>
      </left>
      <right style="thin">
        <color rgb="FF008000"/>
      </right>
      <top style="thin">
        <color indexed="64"/>
      </top>
      <bottom style="thin">
        <color rgb="FF008000"/>
      </bottom>
      <diagonal/>
    </border>
    <border>
      <left style="thin">
        <color rgb="FF008000"/>
      </left>
      <right style="thin">
        <color theme="1"/>
      </right>
      <top style="thin">
        <color rgb="FF008000"/>
      </top>
      <bottom style="thin">
        <color theme="1"/>
      </bottom>
      <diagonal/>
    </border>
    <border>
      <left style="medium">
        <color theme="5" tint="-0.24994659260841701"/>
      </left>
      <right style="medium">
        <color theme="5" tint="-0.24994659260841701"/>
      </right>
      <top style="medium">
        <color theme="5" tint="-0.24994659260841701"/>
      </top>
      <bottom style="medium">
        <color theme="5" tint="-0.24994659260841701"/>
      </bottom>
      <diagonal/>
    </border>
    <border>
      <left style="medium">
        <color rgb="FF008000"/>
      </left>
      <right/>
      <top style="medium">
        <color rgb="FF008000"/>
      </top>
      <bottom style="medium">
        <color rgb="FF008000"/>
      </bottom>
      <diagonal/>
    </border>
    <border>
      <left/>
      <right/>
      <top style="medium">
        <color rgb="FF008000"/>
      </top>
      <bottom style="medium">
        <color rgb="FF008000"/>
      </bottom>
      <diagonal/>
    </border>
    <border>
      <left/>
      <right style="medium">
        <color rgb="FF008000"/>
      </right>
      <top style="medium">
        <color rgb="FF008000"/>
      </top>
      <bottom style="medium">
        <color rgb="FF008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12">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164" fontId="19" fillId="20" borderId="1">
      <alignment horizontal="centerContinuous"/>
    </xf>
    <xf numFmtId="0" fontId="20" fillId="3" borderId="0" applyNumberFormat="0" applyBorder="0" applyAlignment="0" applyProtection="0"/>
    <xf numFmtId="0" fontId="21" fillId="21" borderId="2" applyNumberFormat="0" applyAlignment="0" applyProtection="0"/>
    <xf numFmtId="0" fontId="22" fillId="22" borderId="4" applyNumberFormat="0" applyAlignment="0" applyProtection="0"/>
    <xf numFmtId="165" fontId="23" fillId="0" borderId="0" applyFont="0" applyFill="0" applyBorder="0" applyAlignment="0" applyProtection="0"/>
    <xf numFmtId="166" fontId="1" fillId="0" borderId="0" applyFont="0" applyFill="0" applyBorder="0" applyAlignment="0" applyProtection="0"/>
    <xf numFmtId="0" fontId="24" fillId="0" borderId="0" applyNumberFormat="0" applyFill="0" applyBorder="0" applyAlignment="0" applyProtection="0"/>
    <xf numFmtId="167" fontId="25" fillId="0" borderId="6" applyFont="0" applyFill="0" applyAlignment="0" applyProtection="0">
      <alignment vertical="center"/>
    </xf>
    <xf numFmtId="0" fontId="26" fillId="4" borderId="0" applyNumberFormat="0" applyBorder="0" applyAlignment="0" applyProtection="0"/>
    <xf numFmtId="0" fontId="27" fillId="0" borderId="7" applyNumberFormat="0" applyFill="0" applyAlignment="0" applyProtection="0"/>
    <xf numFmtId="0" fontId="28" fillId="0" borderId="8" applyNumberFormat="0" applyFill="0" applyAlignment="0" applyProtection="0"/>
    <xf numFmtId="0" fontId="29" fillId="0" borderId="9" applyNumberFormat="0" applyFill="0" applyAlignment="0" applyProtection="0"/>
    <xf numFmtId="0" fontId="29" fillId="0" borderId="0" applyNumberFormat="0" applyFill="0" applyBorder="0" applyAlignment="0" applyProtection="0"/>
    <xf numFmtId="0" fontId="30" fillId="7" borderId="2" applyNumberFormat="0" applyAlignment="0" applyProtection="0"/>
    <xf numFmtId="167" fontId="25" fillId="0" borderId="10" applyFill="0" applyProtection="0">
      <alignment vertical="center"/>
    </xf>
    <xf numFmtId="0" fontId="31" fillId="0" borderId="3" applyNumberFormat="0" applyFill="0" applyAlignment="0" applyProtection="0"/>
    <xf numFmtId="0" fontId="32" fillId="24" borderId="0" applyNumberFormat="0" applyBorder="0" applyAlignment="0" applyProtection="0"/>
    <xf numFmtId="0" fontId="1" fillId="0" borderId="0"/>
    <xf numFmtId="0" fontId="1" fillId="0" borderId="0"/>
    <xf numFmtId="0" fontId="313" fillId="0" borderId="0"/>
    <xf numFmtId="0" fontId="313" fillId="0" borderId="0"/>
    <xf numFmtId="0" fontId="313" fillId="0" borderId="0"/>
    <xf numFmtId="0" fontId="1" fillId="0" borderId="0"/>
    <xf numFmtId="0" fontId="313"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5" applyNumberFormat="0" applyFont="0" applyAlignment="0" applyProtection="0"/>
    <xf numFmtId="168" fontId="25" fillId="25" borderId="0" applyNumberFormat="0" applyFont="0" applyBorder="0" applyAlignment="0" applyProtection="0">
      <alignment vertical="center"/>
    </xf>
    <xf numFmtId="0" fontId="33" fillId="21" borderId="11" applyNumberFormat="0" applyAlignment="0" applyProtection="0"/>
    <xf numFmtId="167" fontId="34" fillId="0" borderId="0" applyNumberFormat="0" applyFill="0" applyBorder="0" applyAlignment="0">
      <protection locked="0"/>
    </xf>
    <xf numFmtId="167" fontId="35" fillId="0" borderId="0">
      <alignment vertical="center"/>
    </xf>
    <xf numFmtId="167" fontId="36" fillId="0" borderId="0" applyNumberFormat="0" applyFill="0" applyBorder="0" applyAlignment="0">
      <protection locked="0"/>
    </xf>
    <xf numFmtId="0" fontId="37" fillId="0" borderId="0" applyNumberFormat="0" applyFill="0" applyBorder="0" applyAlignment="0" applyProtection="0"/>
    <xf numFmtId="0" fontId="38" fillId="0" borderId="0" applyNumberFormat="0" applyFill="0" applyBorder="0" applyAlignment="0" applyProtection="0"/>
    <xf numFmtId="0" fontId="39" fillId="21" borderId="11" applyNumberFormat="0" applyAlignment="0" applyProtection="0"/>
    <xf numFmtId="0" fontId="40" fillId="7" borderId="2" applyNumberFormat="0" applyAlignment="0" applyProtection="0"/>
    <xf numFmtId="0" fontId="41" fillId="0" borderId="12" applyNumberFormat="0" applyFill="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42" fillId="4" borderId="0" applyNumberFormat="0" applyBorder="0" applyAlignment="0" applyProtection="0"/>
    <xf numFmtId="0" fontId="43" fillId="21" borderId="2" applyNumberFormat="0" applyAlignment="0" applyProtection="0"/>
    <xf numFmtId="0" fontId="44" fillId="22" borderId="4" applyNumberFormat="0" applyAlignment="0" applyProtection="0"/>
    <xf numFmtId="0" fontId="45" fillId="0" borderId="3" applyNumberFormat="0" applyFill="0" applyAlignment="0" applyProtection="0"/>
    <xf numFmtId="0" fontId="46" fillId="3" borderId="0" applyNumberFormat="0" applyBorder="0" applyAlignment="0" applyProtection="0"/>
    <xf numFmtId="0" fontId="1" fillId="0" borderId="0"/>
    <xf numFmtId="0" fontId="47" fillId="0" borderId="0" applyNumberFormat="0" applyFill="0" applyBorder="0" applyAlignment="0" applyProtection="0"/>
    <xf numFmtId="0" fontId="48" fillId="0" borderId="7" applyNumberFormat="0" applyFill="0" applyAlignment="0" applyProtection="0"/>
    <xf numFmtId="0" fontId="49" fillId="0" borderId="8" applyNumberFormat="0" applyFill="0" applyAlignment="0" applyProtection="0"/>
    <xf numFmtId="0" fontId="50" fillId="0" borderId="9" applyNumberFormat="0" applyFill="0" applyAlignment="0" applyProtection="0"/>
    <xf numFmtId="0" fontId="50" fillId="0" borderId="0" applyNumberFormat="0" applyFill="0" applyBorder="0" applyAlignment="0" applyProtection="0"/>
    <xf numFmtId="0" fontId="51" fillId="24" borderId="0" applyNumberFormat="0" applyBorder="0" applyAlignment="0" applyProtection="0"/>
    <xf numFmtId="0" fontId="1" fillId="23" borderId="5" applyNumberFormat="0" applyFon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1" fillId="0" borderId="0"/>
  </cellStyleXfs>
  <cellXfs count="5780">
    <xf numFmtId="0" fontId="0" fillId="0" borderId="0" xfId="0"/>
    <xf numFmtId="0" fontId="1" fillId="0" borderId="0" xfId="73" applyBorder="1" applyAlignment="1">
      <alignment vertical="center"/>
    </xf>
    <xf numFmtId="0" fontId="2" fillId="0" borderId="0" xfId="73" applyFont="1" applyFill="1" applyBorder="1" applyAlignment="1">
      <alignment vertical="center"/>
    </xf>
    <xf numFmtId="0" fontId="2" fillId="0" borderId="0" xfId="73" applyFont="1" applyFill="1" applyBorder="1" applyAlignment="1">
      <alignment vertical="center" readingOrder="2"/>
    </xf>
    <xf numFmtId="0" fontId="1" fillId="0" borderId="0" xfId="73" applyFont="1" applyBorder="1" applyAlignment="1">
      <alignment vertical="center"/>
    </xf>
    <xf numFmtId="0" fontId="5" fillId="0" borderId="0" xfId="73" applyFont="1" applyBorder="1" applyAlignment="1">
      <alignment vertical="center"/>
    </xf>
    <xf numFmtId="0" fontId="8" fillId="0" borderId="0" xfId="73" applyFont="1" applyBorder="1" applyAlignment="1">
      <alignment vertical="center"/>
    </xf>
    <xf numFmtId="0" fontId="1" fillId="0" borderId="0" xfId="73" applyBorder="1"/>
    <xf numFmtId="0" fontId="1" fillId="0" borderId="0" xfId="73" applyBorder="1" applyAlignment="1"/>
    <xf numFmtId="0" fontId="2" fillId="0" borderId="0" xfId="73" applyFont="1" applyBorder="1" applyAlignment="1"/>
    <xf numFmtId="0" fontId="1" fillId="0" borderId="0" xfId="73" applyFont="1" applyBorder="1" applyAlignment="1"/>
    <xf numFmtId="0" fontId="1" fillId="0" borderId="0" xfId="73" applyFont="1" applyBorder="1" applyAlignment="1">
      <alignment horizontal="center"/>
    </xf>
    <xf numFmtId="0" fontId="4" fillId="0" borderId="0" xfId="73" applyFont="1" applyBorder="1" applyAlignment="1">
      <alignment vertical="center"/>
    </xf>
    <xf numFmtId="0" fontId="9" fillId="0" borderId="0" xfId="73" applyFont="1" applyBorder="1" applyAlignment="1">
      <alignment vertical="center"/>
    </xf>
    <xf numFmtId="0" fontId="7" fillId="0" borderId="0" xfId="64" applyFont="1" applyFill="1" applyBorder="1" applyAlignment="1">
      <alignment horizontal="right" vertical="center" readingOrder="2"/>
    </xf>
    <xf numFmtId="0" fontId="55" fillId="0" borderId="0" xfId="64" applyFont="1" applyFill="1" applyBorder="1" applyAlignment="1">
      <alignment horizontal="center" vertical="center" readingOrder="2"/>
    </xf>
    <xf numFmtId="0" fontId="7" fillId="0" borderId="0" xfId="64" applyFont="1" applyFill="1" applyBorder="1" applyAlignment="1">
      <alignment vertical="center" textRotation="90" readingOrder="2"/>
    </xf>
    <xf numFmtId="0" fontId="1" fillId="0" borderId="0" xfId="64" applyBorder="1"/>
    <xf numFmtId="0" fontId="1" fillId="26" borderId="0" xfId="71" applyFill="1"/>
    <xf numFmtId="0" fontId="1" fillId="0" borderId="0" xfId="64" applyFill="1" applyBorder="1" applyAlignment="1">
      <alignment vertical="center"/>
    </xf>
    <xf numFmtId="0" fontId="63" fillId="0" borderId="0" xfId="62"/>
    <xf numFmtId="0" fontId="1" fillId="27" borderId="0" xfId="73" applyFill="1" applyProtection="1"/>
    <xf numFmtId="0" fontId="1" fillId="27" borderId="0" xfId="73" applyFont="1" applyFill="1" applyBorder="1" applyProtection="1"/>
    <xf numFmtId="0" fontId="72" fillId="27" borderId="0" xfId="73" applyFont="1" applyFill="1" applyAlignment="1">
      <alignment horizontal="center"/>
    </xf>
    <xf numFmtId="0" fontId="1" fillId="0" borderId="0" xfId="73" applyProtection="1"/>
    <xf numFmtId="0" fontId="63" fillId="0" borderId="0" xfId="62" applyProtection="1"/>
    <xf numFmtId="0" fontId="1" fillId="0" borderId="0" xfId="73" applyBorder="1" applyProtection="1"/>
    <xf numFmtId="0" fontId="63" fillId="28" borderId="0" xfId="62" applyFill="1" applyProtection="1"/>
    <xf numFmtId="3" fontId="73" fillId="0" borderId="14" xfId="62" applyNumberFormat="1" applyFont="1" applyFill="1" applyBorder="1" applyAlignment="1" applyProtection="1">
      <alignment horizontal="right"/>
    </xf>
    <xf numFmtId="3" fontId="73" fillId="0" borderId="15" xfId="62" applyNumberFormat="1" applyFont="1" applyFill="1" applyBorder="1" applyAlignment="1" applyProtection="1">
      <alignment horizontal="right"/>
    </xf>
    <xf numFmtId="3" fontId="73" fillId="0" borderId="16" xfId="62" applyNumberFormat="1" applyFont="1" applyFill="1" applyBorder="1" applyAlignment="1" applyProtection="1">
      <alignment horizontal="right"/>
    </xf>
    <xf numFmtId="3" fontId="73" fillId="0" borderId="17" xfId="62" applyNumberFormat="1" applyFont="1" applyFill="1" applyBorder="1" applyAlignment="1" applyProtection="1">
      <alignment horizontal="right"/>
    </xf>
    <xf numFmtId="3" fontId="73" fillId="0" borderId="18" xfId="62" applyNumberFormat="1" applyFont="1" applyFill="1" applyBorder="1" applyAlignment="1" applyProtection="1">
      <alignment horizontal="right"/>
    </xf>
    <xf numFmtId="3" fontId="73" fillId="0" borderId="19" xfId="62" applyNumberFormat="1" applyFont="1" applyFill="1" applyBorder="1" applyAlignment="1" applyProtection="1">
      <alignment horizontal="right"/>
    </xf>
    <xf numFmtId="0" fontId="74" fillId="0" borderId="0" xfId="67" applyFont="1" applyFill="1" applyAlignment="1" applyProtection="1">
      <alignment vertical="center" readingOrder="2"/>
    </xf>
    <xf numFmtId="0" fontId="75" fillId="27" borderId="0" xfId="73" applyFont="1" applyFill="1" applyAlignment="1">
      <alignment horizontal="center"/>
    </xf>
    <xf numFmtId="0" fontId="74" fillId="0" borderId="0" xfId="67" applyFont="1" applyFill="1" applyBorder="1" applyAlignment="1" applyProtection="1">
      <alignment vertical="center" readingOrder="2"/>
    </xf>
    <xf numFmtId="0" fontId="76" fillId="29" borderId="0" xfId="67" applyFont="1" applyFill="1" applyBorder="1" applyAlignment="1" applyProtection="1">
      <alignment vertical="center"/>
    </xf>
    <xf numFmtId="0" fontId="74" fillId="0" borderId="0" xfId="67" applyFont="1" applyFill="1" applyAlignment="1" applyProtection="1">
      <alignment horizontal="right" vertical="center" readingOrder="2"/>
    </xf>
    <xf numFmtId="0" fontId="77" fillId="29" borderId="0" xfId="67" applyFont="1" applyFill="1" applyBorder="1" applyAlignment="1" applyProtection="1">
      <alignment vertical="center"/>
    </xf>
    <xf numFmtId="0" fontId="63" fillId="26" borderId="0" xfId="62" applyFill="1" applyProtection="1"/>
    <xf numFmtId="0" fontId="63" fillId="27" borderId="0" xfId="62" applyFill="1" applyProtection="1"/>
    <xf numFmtId="3" fontId="73" fillId="0" borderId="20" xfId="62" applyNumberFormat="1" applyFont="1" applyFill="1" applyBorder="1" applyAlignment="1" applyProtection="1">
      <alignment horizontal="right"/>
    </xf>
    <xf numFmtId="3" fontId="73" fillId="0" borderId="21" xfId="62" applyNumberFormat="1" applyFont="1" applyFill="1" applyBorder="1" applyAlignment="1" applyProtection="1">
      <alignment horizontal="right"/>
    </xf>
    <xf numFmtId="0" fontId="191" fillId="20" borderId="21" xfId="62" applyFont="1" applyFill="1" applyBorder="1" applyAlignment="1" applyProtection="1">
      <alignment vertical="center"/>
    </xf>
    <xf numFmtId="3" fontId="191" fillId="20" borderId="21" xfId="62" applyNumberFormat="1" applyFont="1" applyFill="1" applyBorder="1" applyAlignment="1" applyProtection="1">
      <alignment vertical="center"/>
    </xf>
    <xf numFmtId="3" fontId="73" fillId="0" borderId="22" xfId="62" applyNumberFormat="1" applyFont="1" applyFill="1" applyBorder="1" applyAlignment="1" applyProtection="1">
      <alignment horizontal="right"/>
    </xf>
    <xf numFmtId="0" fontId="58" fillId="27" borderId="0" xfId="73" applyFont="1" applyFill="1" applyAlignment="1">
      <alignment horizontal="center"/>
    </xf>
    <xf numFmtId="3" fontId="73" fillId="0" borderId="23" xfId="62" applyNumberFormat="1" applyFont="1" applyFill="1" applyBorder="1" applyAlignment="1" applyProtection="1">
      <alignment horizontal="right"/>
    </xf>
    <xf numFmtId="3" fontId="73" fillId="0" borderId="24" xfId="62" applyNumberFormat="1" applyFont="1" applyFill="1" applyBorder="1" applyAlignment="1" applyProtection="1">
      <alignment horizontal="right"/>
    </xf>
    <xf numFmtId="0" fontId="191" fillId="20" borderId="25" xfId="62" applyFont="1" applyFill="1" applyBorder="1" applyAlignment="1" applyProtection="1">
      <alignment vertical="center"/>
    </xf>
    <xf numFmtId="3" fontId="191" fillId="20" borderId="26" xfId="62" applyNumberFormat="1" applyFont="1" applyFill="1" applyBorder="1" applyAlignment="1" applyProtection="1">
      <alignment vertical="center"/>
    </xf>
    <xf numFmtId="3" fontId="73" fillId="0" borderId="25" xfId="62" applyNumberFormat="1" applyFont="1" applyFill="1" applyBorder="1" applyAlignment="1" applyProtection="1">
      <alignment horizontal="right"/>
    </xf>
    <xf numFmtId="3" fontId="73" fillId="0" borderId="27" xfId="62" applyNumberFormat="1" applyFont="1" applyFill="1" applyBorder="1" applyAlignment="1" applyProtection="1">
      <alignment horizontal="right"/>
    </xf>
    <xf numFmtId="3" fontId="73" fillId="0" borderId="26" xfId="62" applyNumberFormat="1" applyFont="1" applyFill="1" applyBorder="1" applyAlignment="1" applyProtection="1">
      <alignment horizontal="right"/>
    </xf>
    <xf numFmtId="3" fontId="73" fillId="0" borderId="28" xfId="62" applyNumberFormat="1" applyFont="1" applyFill="1" applyBorder="1" applyAlignment="1" applyProtection="1">
      <alignment horizontal="right"/>
    </xf>
    <xf numFmtId="0" fontId="191" fillId="20" borderId="17" xfId="62" applyFont="1" applyFill="1" applyBorder="1" applyAlignment="1" applyProtection="1">
      <alignment vertical="center"/>
    </xf>
    <xf numFmtId="3" fontId="191" fillId="20" borderId="29" xfId="62" applyNumberFormat="1" applyFont="1" applyFill="1" applyBorder="1" applyAlignment="1" applyProtection="1">
      <alignment vertical="center"/>
    </xf>
    <xf numFmtId="3" fontId="73" fillId="0" borderId="29" xfId="62" applyNumberFormat="1" applyFont="1" applyFill="1" applyBorder="1" applyAlignment="1" applyProtection="1">
      <alignment horizontal="right"/>
    </xf>
    <xf numFmtId="0" fontId="3" fillId="0" borderId="0" xfId="62" applyFont="1" applyProtection="1"/>
    <xf numFmtId="0" fontId="63" fillId="0" borderId="0" xfId="62" applyBorder="1" applyProtection="1"/>
    <xf numFmtId="0" fontId="79" fillId="0" borderId="0" xfId="67" applyFont="1" applyAlignment="1" applyProtection="1">
      <alignment horizontal="right" readingOrder="2"/>
    </xf>
    <xf numFmtId="0" fontId="2" fillId="27" borderId="0" xfId="73" applyFont="1" applyFill="1" applyBorder="1" applyAlignment="1" applyProtection="1">
      <alignment horizontal="center"/>
    </xf>
    <xf numFmtId="0" fontId="1" fillId="27" borderId="0" xfId="73" applyFill="1" applyAlignment="1" applyProtection="1"/>
    <xf numFmtId="0" fontId="82" fillId="0" borderId="0" xfId="67" applyFont="1" applyFill="1" applyAlignment="1" applyProtection="1">
      <alignment horizontal="right" vertical="center" readingOrder="2"/>
    </xf>
    <xf numFmtId="3" fontId="192" fillId="20" borderId="17" xfId="62" applyNumberFormat="1" applyFont="1" applyFill="1" applyBorder="1" applyAlignment="1" applyProtection="1">
      <alignment horizontal="right"/>
    </xf>
    <xf numFmtId="3" fontId="192" fillId="20" borderId="16" xfId="62" applyNumberFormat="1" applyFont="1" applyFill="1" applyBorder="1" applyAlignment="1" applyProtection="1">
      <alignment horizontal="right"/>
    </xf>
    <xf numFmtId="0" fontId="83" fillId="20" borderId="17" xfId="62" applyFont="1" applyFill="1" applyBorder="1" applyAlignment="1" applyProtection="1">
      <alignment vertical="center"/>
    </xf>
    <xf numFmtId="3" fontId="83" fillId="20" borderId="29" xfId="62" applyNumberFormat="1" applyFont="1" applyFill="1" applyBorder="1" applyAlignment="1" applyProtection="1">
      <alignment vertical="center"/>
    </xf>
    <xf numFmtId="3" fontId="191" fillId="20" borderId="30" xfId="62" applyNumberFormat="1" applyFont="1" applyFill="1" applyBorder="1" applyAlignment="1" applyProtection="1">
      <alignment vertical="center"/>
    </xf>
    <xf numFmtId="3" fontId="73" fillId="0" borderId="31" xfId="62" applyNumberFormat="1" applyFont="1" applyFill="1" applyBorder="1" applyAlignment="1" applyProtection="1">
      <alignment horizontal="right"/>
    </xf>
    <xf numFmtId="3" fontId="73" fillId="0" borderId="32" xfId="62" applyNumberFormat="1" applyFont="1" applyFill="1" applyBorder="1" applyAlignment="1" applyProtection="1">
      <alignment horizontal="right"/>
    </xf>
    <xf numFmtId="0" fontId="191" fillId="20" borderId="15" xfId="62" applyFont="1" applyFill="1" applyBorder="1" applyAlignment="1" applyProtection="1">
      <alignment vertical="center"/>
    </xf>
    <xf numFmtId="3" fontId="191" fillId="20" borderId="16" xfId="62" applyNumberFormat="1" applyFont="1" applyFill="1" applyBorder="1" applyAlignment="1" applyProtection="1">
      <alignment vertical="center"/>
    </xf>
    <xf numFmtId="3" fontId="192" fillId="20" borderId="30" xfId="62" applyNumberFormat="1" applyFont="1" applyFill="1" applyBorder="1" applyAlignment="1" applyProtection="1">
      <alignment vertical="center"/>
    </xf>
    <xf numFmtId="3" fontId="192" fillId="20" borderId="15" xfId="62" applyNumberFormat="1" applyFont="1" applyFill="1" applyBorder="1" applyAlignment="1" applyProtection="1">
      <alignment horizontal="right"/>
    </xf>
    <xf numFmtId="0" fontId="1" fillId="28" borderId="0" xfId="73" applyFill="1" applyProtection="1"/>
    <xf numFmtId="0" fontId="1" fillId="0" borderId="0" xfId="73" applyFill="1" applyBorder="1" applyProtection="1"/>
    <xf numFmtId="0" fontId="84" fillId="0" borderId="0" xfId="62" applyFont="1" applyFill="1" applyBorder="1" applyAlignment="1" applyProtection="1">
      <alignment vertical="center"/>
    </xf>
    <xf numFmtId="0" fontId="85" fillId="0" borderId="0" xfId="67" applyFont="1" applyAlignment="1" applyProtection="1">
      <alignment horizontal="right" readingOrder="2"/>
    </xf>
    <xf numFmtId="0" fontId="1" fillId="0" borderId="0" xfId="67" applyBorder="1" applyProtection="1"/>
    <xf numFmtId="0" fontId="86" fillId="0" borderId="0" xfId="62" applyFont="1" applyFill="1" applyBorder="1" applyAlignment="1" applyProtection="1"/>
    <xf numFmtId="0" fontId="87" fillId="0" borderId="0" xfId="67" applyFont="1" applyProtection="1"/>
    <xf numFmtId="0" fontId="88" fillId="0" borderId="0" xfId="67" applyFont="1" applyAlignment="1" applyProtection="1">
      <alignment horizontal="right" readingOrder="2"/>
    </xf>
    <xf numFmtId="0" fontId="1" fillId="0" borderId="0" xfId="67" applyProtection="1"/>
    <xf numFmtId="0" fontId="88" fillId="0" borderId="0" xfId="67" applyFont="1" applyBorder="1" applyAlignment="1" applyProtection="1">
      <alignment horizontal="right" readingOrder="2"/>
    </xf>
    <xf numFmtId="0" fontId="90" fillId="0" borderId="0" xfId="67" applyFont="1" applyAlignment="1" applyProtection="1">
      <alignment horizontal="right" readingOrder="2"/>
    </xf>
    <xf numFmtId="0" fontId="74" fillId="28" borderId="0" xfId="67" applyFont="1" applyFill="1" applyAlignment="1" applyProtection="1">
      <alignment vertical="center" readingOrder="2"/>
    </xf>
    <xf numFmtId="0" fontId="93" fillId="0" borderId="0" xfId="62" applyFont="1" applyFill="1" applyBorder="1" applyAlignment="1" applyProtection="1">
      <alignment vertical="center" wrapText="1" readingOrder="2"/>
    </xf>
    <xf numFmtId="3" fontId="191" fillId="20" borderId="15" xfId="62" applyNumberFormat="1" applyFont="1" applyFill="1" applyBorder="1" applyAlignment="1" applyProtection="1">
      <alignment vertical="center"/>
    </xf>
    <xf numFmtId="3" fontId="191" fillId="20" borderId="19" xfId="62" applyNumberFormat="1" applyFont="1" applyFill="1" applyBorder="1" applyAlignment="1" applyProtection="1">
      <alignment vertical="center"/>
    </xf>
    <xf numFmtId="0" fontId="73" fillId="0" borderId="17" xfId="62" applyFont="1" applyFill="1" applyBorder="1" applyAlignment="1" applyProtection="1">
      <alignment horizontal="right"/>
    </xf>
    <xf numFmtId="0" fontId="73" fillId="0" borderId="16" xfId="62" applyFont="1" applyFill="1" applyBorder="1" applyAlignment="1" applyProtection="1">
      <alignment horizontal="right"/>
    </xf>
    <xf numFmtId="0" fontId="1" fillId="0" borderId="0" xfId="67" applyFill="1" applyBorder="1" applyProtection="1"/>
    <xf numFmtId="3" fontId="83" fillId="0" borderId="0" xfId="62" applyNumberFormat="1" applyFont="1" applyFill="1" applyBorder="1" applyAlignment="1" applyProtection="1">
      <alignment vertical="center"/>
    </xf>
    <xf numFmtId="0" fontId="83" fillId="0" borderId="0" xfId="62" applyFont="1" applyFill="1" applyBorder="1" applyAlignment="1" applyProtection="1">
      <alignment vertical="center"/>
    </xf>
    <xf numFmtId="3" fontId="73" fillId="0" borderId="0" xfId="62" applyNumberFormat="1" applyFont="1" applyFill="1" applyBorder="1" applyAlignment="1" applyProtection="1">
      <alignment horizontal="right"/>
    </xf>
    <xf numFmtId="0" fontId="82" fillId="0" borderId="0" xfId="67" applyFont="1" applyFill="1" applyAlignment="1" applyProtection="1">
      <alignment vertical="center" readingOrder="2"/>
    </xf>
    <xf numFmtId="0" fontId="191" fillId="20" borderId="20" xfId="62" applyFont="1" applyFill="1" applyBorder="1" applyAlignment="1" applyProtection="1">
      <alignment vertical="center"/>
    </xf>
    <xf numFmtId="0" fontId="191" fillId="20" borderId="23" xfId="62" applyFont="1" applyFill="1" applyBorder="1" applyAlignment="1" applyProtection="1">
      <alignment vertical="center"/>
    </xf>
    <xf numFmtId="3" fontId="191" fillId="20" borderId="28" xfId="62" applyNumberFormat="1" applyFont="1" applyFill="1" applyBorder="1" applyAlignment="1" applyProtection="1">
      <alignment vertical="center"/>
    </xf>
    <xf numFmtId="3" fontId="73" fillId="0" borderId="33" xfId="62" applyNumberFormat="1" applyFont="1" applyFill="1" applyBorder="1" applyAlignment="1" applyProtection="1">
      <alignment horizontal="right"/>
    </xf>
    <xf numFmtId="0" fontId="94" fillId="0" borderId="0" xfId="67" applyFont="1" applyFill="1" applyAlignment="1" applyProtection="1">
      <alignment vertical="center" readingOrder="2"/>
    </xf>
    <xf numFmtId="0" fontId="1" fillId="0" borderId="0" xfId="73" applyFont="1" applyProtection="1"/>
    <xf numFmtId="0" fontId="94" fillId="0" borderId="0" xfId="67" applyFont="1" applyFill="1" applyAlignment="1" applyProtection="1">
      <alignment horizontal="right" vertical="center" readingOrder="2"/>
    </xf>
    <xf numFmtId="3" fontId="191" fillId="20" borderId="20" xfId="62" applyNumberFormat="1" applyFont="1" applyFill="1" applyBorder="1" applyAlignment="1" applyProtection="1">
      <alignment vertical="center"/>
    </xf>
    <xf numFmtId="0" fontId="3" fillId="0" borderId="0" xfId="73" applyFont="1" applyFill="1" applyBorder="1" applyAlignment="1" applyProtection="1">
      <alignment horizontal="center"/>
    </xf>
    <xf numFmtId="3" fontId="191" fillId="20" borderId="34" xfId="62" applyNumberFormat="1" applyFont="1" applyFill="1" applyBorder="1" applyAlignment="1" applyProtection="1">
      <alignment vertical="center"/>
    </xf>
    <xf numFmtId="3" fontId="73" fillId="0" borderId="35" xfId="62" applyNumberFormat="1" applyFont="1" applyFill="1" applyBorder="1" applyAlignment="1" applyProtection="1">
      <alignment horizontal="right"/>
    </xf>
    <xf numFmtId="3" fontId="191" fillId="20" borderId="36" xfId="62" applyNumberFormat="1" applyFont="1" applyFill="1" applyBorder="1" applyAlignment="1" applyProtection="1">
      <alignment vertical="center"/>
    </xf>
    <xf numFmtId="3" fontId="73" fillId="0" borderId="37" xfId="62" applyNumberFormat="1" applyFont="1" applyFill="1" applyBorder="1" applyAlignment="1" applyProtection="1">
      <alignment horizontal="right"/>
    </xf>
    <xf numFmtId="3" fontId="73" fillId="0" borderId="38" xfId="62" applyNumberFormat="1" applyFont="1" applyFill="1" applyBorder="1" applyAlignment="1" applyProtection="1">
      <alignment horizontal="right"/>
    </xf>
    <xf numFmtId="0" fontId="63" fillId="0" borderId="0" xfId="62" applyFill="1" applyBorder="1" applyAlignment="1" applyProtection="1"/>
    <xf numFmtId="0" fontId="86" fillId="29" borderId="0" xfId="66" applyFont="1" applyFill="1" applyBorder="1" applyAlignment="1" applyProtection="1"/>
    <xf numFmtId="0" fontId="97" fillId="29" borderId="0" xfId="66" applyFont="1" applyFill="1" applyBorder="1" applyAlignment="1" applyProtection="1"/>
    <xf numFmtId="0" fontId="98" fillId="0" borderId="0" xfId="67" applyFont="1" applyFill="1" applyAlignment="1" applyProtection="1">
      <alignment horizontal="right" vertical="center" readingOrder="2"/>
    </xf>
    <xf numFmtId="0" fontId="44" fillId="29" borderId="0" xfId="66" applyFont="1" applyFill="1" applyBorder="1" applyAlignment="1" applyProtection="1"/>
    <xf numFmtId="0" fontId="1" fillId="0" borderId="0" xfId="73" applyFill="1" applyProtection="1"/>
    <xf numFmtId="3" fontId="1" fillId="0" borderId="0" xfId="73" applyNumberFormat="1" applyProtection="1"/>
    <xf numFmtId="3" fontId="191" fillId="20" borderId="32" xfId="62" applyNumberFormat="1" applyFont="1" applyFill="1" applyBorder="1" applyAlignment="1" applyProtection="1">
      <alignment vertical="center"/>
    </xf>
    <xf numFmtId="0" fontId="1" fillId="28" borderId="0" xfId="73" applyFont="1" applyFill="1" applyProtection="1"/>
    <xf numFmtId="0" fontId="92" fillId="0" borderId="0" xfId="67" applyFont="1" applyFill="1" applyAlignment="1" applyProtection="1">
      <alignment vertical="center" readingOrder="2"/>
    </xf>
    <xf numFmtId="3" fontId="191" fillId="20" borderId="24" xfId="62" applyNumberFormat="1" applyFont="1" applyFill="1" applyBorder="1" applyAlignment="1" applyProtection="1">
      <alignment vertical="center"/>
    </xf>
    <xf numFmtId="3" fontId="83" fillId="0" borderId="20" xfId="62" applyNumberFormat="1" applyFont="1" applyFill="1" applyBorder="1" applyAlignment="1" applyProtection="1">
      <alignment vertical="center"/>
    </xf>
    <xf numFmtId="3" fontId="83" fillId="0" borderId="22" xfId="62" applyNumberFormat="1" applyFont="1" applyFill="1" applyBorder="1" applyAlignment="1" applyProtection="1">
      <alignment vertical="center"/>
    </xf>
    <xf numFmtId="3" fontId="191" fillId="20" borderId="22" xfId="62" applyNumberFormat="1" applyFont="1" applyFill="1" applyBorder="1" applyAlignment="1" applyProtection="1">
      <alignment vertical="center"/>
    </xf>
    <xf numFmtId="0" fontId="65" fillId="0" borderId="0" xfId="73" applyFont="1" applyProtection="1"/>
    <xf numFmtId="0" fontId="193" fillId="0" borderId="0" xfId="73" applyFont="1" applyProtection="1"/>
    <xf numFmtId="0" fontId="74" fillId="0" borderId="0" xfId="67" applyFont="1" applyAlignment="1" applyProtection="1">
      <alignment vertical="center" readingOrder="2"/>
    </xf>
    <xf numFmtId="3" fontId="65" fillId="0" borderId="39" xfId="62" applyNumberFormat="1" applyFont="1" applyFill="1" applyBorder="1" applyAlignment="1" applyProtection="1">
      <alignment vertical="center"/>
    </xf>
    <xf numFmtId="3" fontId="65" fillId="0" borderId="40" xfId="62" applyNumberFormat="1" applyFont="1" applyFill="1" applyBorder="1" applyAlignment="1" applyProtection="1">
      <alignment vertical="center"/>
    </xf>
    <xf numFmtId="3" fontId="65" fillId="0" borderId="17" xfId="62" applyNumberFormat="1" applyFont="1" applyFill="1" applyBorder="1" applyAlignment="1" applyProtection="1">
      <alignment vertical="center"/>
    </xf>
    <xf numFmtId="3" fontId="65" fillId="0" borderId="16" xfId="62" applyNumberFormat="1" applyFont="1" applyFill="1" applyBorder="1" applyAlignment="1" applyProtection="1">
      <alignment vertical="center"/>
    </xf>
    <xf numFmtId="3" fontId="65" fillId="0" borderId="18" xfId="62" applyNumberFormat="1" applyFont="1" applyFill="1" applyBorder="1" applyAlignment="1" applyProtection="1">
      <alignment vertical="center"/>
    </xf>
    <xf numFmtId="3" fontId="65" fillId="0" borderId="19" xfId="62" applyNumberFormat="1" applyFont="1" applyFill="1" applyBorder="1" applyAlignment="1" applyProtection="1">
      <alignment vertical="center"/>
    </xf>
    <xf numFmtId="3" fontId="102" fillId="0" borderId="23" xfId="62" applyNumberFormat="1" applyFont="1" applyFill="1" applyBorder="1" applyAlignment="1" applyProtection="1">
      <alignment vertical="center"/>
    </xf>
    <xf numFmtId="3" fontId="102" fillId="0" borderId="28" xfId="62" applyNumberFormat="1" applyFont="1" applyFill="1" applyBorder="1" applyAlignment="1" applyProtection="1">
      <alignment vertical="center"/>
    </xf>
    <xf numFmtId="3" fontId="65" fillId="0" borderId="15" xfId="62" applyNumberFormat="1" applyFont="1" applyFill="1" applyBorder="1" applyAlignment="1" applyProtection="1">
      <alignment vertical="center"/>
    </xf>
    <xf numFmtId="3" fontId="194" fillId="20" borderId="39" xfId="62" applyNumberFormat="1" applyFont="1" applyFill="1" applyBorder="1" applyAlignment="1" applyProtection="1">
      <alignment vertical="center"/>
    </xf>
    <xf numFmtId="3" fontId="194" fillId="20" borderId="40" xfId="62" applyNumberFormat="1" applyFont="1" applyFill="1" applyBorder="1" applyAlignment="1" applyProtection="1">
      <alignment vertical="center"/>
    </xf>
    <xf numFmtId="3" fontId="194" fillId="20" borderId="17" xfId="62" applyNumberFormat="1" applyFont="1" applyFill="1" applyBorder="1" applyAlignment="1" applyProtection="1">
      <alignment vertical="center"/>
    </xf>
    <xf numFmtId="3" fontId="194" fillId="20" borderId="16" xfId="62" applyNumberFormat="1" applyFont="1" applyFill="1" applyBorder="1" applyAlignment="1" applyProtection="1">
      <alignment vertical="center"/>
    </xf>
    <xf numFmtId="3" fontId="194" fillId="20" borderId="18" xfId="62" applyNumberFormat="1" applyFont="1" applyFill="1" applyBorder="1" applyAlignment="1" applyProtection="1">
      <alignment vertical="center"/>
    </xf>
    <xf numFmtId="3" fontId="194" fillId="20" borderId="19" xfId="62" applyNumberFormat="1" applyFont="1" applyFill="1" applyBorder="1" applyAlignment="1" applyProtection="1">
      <alignment vertical="center"/>
    </xf>
    <xf numFmtId="0" fontId="87" fillId="0" borderId="0" xfId="67" applyFont="1" applyFill="1" applyBorder="1" applyProtection="1"/>
    <xf numFmtId="0" fontId="74" fillId="0" borderId="0" xfId="67" applyFont="1" applyFill="1" applyBorder="1" applyAlignment="1" applyProtection="1">
      <alignment horizontal="right" vertical="center" readingOrder="2"/>
    </xf>
    <xf numFmtId="0" fontId="1" fillId="0" borderId="0" xfId="66" applyFont="1" applyFill="1" applyBorder="1" applyAlignment="1" applyProtection="1">
      <alignment horizontal="center"/>
    </xf>
    <xf numFmtId="3" fontId="194" fillId="0" borderId="18" xfId="62" applyNumberFormat="1" applyFont="1" applyFill="1" applyBorder="1" applyAlignment="1" applyProtection="1">
      <alignment vertical="center"/>
    </xf>
    <xf numFmtId="3" fontId="194" fillId="0" borderId="16" xfId="62" applyNumberFormat="1" applyFont="1" applyFill="1" applyBorder="1" applyAlignment="1" applyProtection="1">
      <alignment vertical="center"/>
    </xf>
    <xf numFmtId="3" fontId="194" fillId="0" borderId="17" xfId="62" applyNumberFormat="1" applyFont="1" applyFill="1" applyBorder="1" applyAlignment="1" applyProtection="1">
      <alignment vertical="center"/>
    </xf>
    <xf numFmtId="3" fontId="194" fillId="0" borderId="19" xfId="62" applyNumberFormat="1" applyFont="1" applyFill="1" applyBorder="1" applyAlignment="1" applyProtection="1">
      <alignment vertical="center"/>
    </xf>
    <xf numFmtId="3" fontId="65" fillId="0" borderId="31" xfId="62" applyNumberFormat="1" applyFont="1" applyFill="1" applyBorder="1" applyAlignment="1" applyProtection="1">
      <alignment vertical="center"/>
    </xf>
    <xf numFmtId="0" fontId="94" fillId="0" borderId="0" xfId="67" applyFont="1" applyFill="1" applyBorder="1" applyAlignment="1" applyProtection="1">
      <alignment horizontal="right" vertical="center" readingOrder="2"/>
    </xf>
    <xf numFmtId="0" fontId="87" fillId="0" borderId="0" xfId="67" applyFont="1" applyFill="1" applyProtection="1"/>
    <xf numFmtId="0" fontId="195" fillId="0" borderId="0" xfId="73" applyFont="1" applyProtection="1"/>
    <xf numFmtId="3" fontId="196" fillId="20" borderId="17" xfId="62" applyNumberFormat="1" applyFont="1" applyFill="1" applyBorder="1" applyAlignment="1" applyProtection="1">
      <alignment vertical="center"/>
    </xf>
    <xf numFmtId="3" fontId="196" fillId="20" borderId="16" xfId="62" applyNumberFormat="1" applyFont="1" applyFill="1" applyBorder="1" applyAlignment="1" applyProtection="1">
      <alignment vertical="center"/>
    </xf>
    <xf numFmtId="3" fontId="196" fillId="20" borderId="19" xfId="62" applyNumberFormat="1" applyFont="1" applyFill="1" applyBorder="1" applyAlignment="1" applyProtection="1">
      <alignment vertical="center"/>
    </xf>
    <xf numFmtId="3" fontId="194" fillId="0" borderId="36" xfId="62" applyNumberFormat="1" applyFont="1" applyFill="1" applyBorder="1" applyAlignment="1" applyProtection="1">
      <alignment vertical="center"/>
    </xf>
    <xf numFmtId="0" fontId="197" fillId="0" borderId="0" xfId="67" applyFont="1" applyAlignment="1">
      <alignment horizontal="right" vertical="center" readingOrder="2"/>
    </xf>
    <xf numFmtId="0" fontId="103" fillId="0" borderId="0" xfId="62" applyFont="1" applyFill="1" applyBorder="1" applyAlignment="1" applyProtection="1">
      <alignment vertical="center"/>
    </xf>
    <xf numFmtId="3" fontId="83" fillId="0" borderId="15" xfId="62" applyNumberFormat="1" applyFont="1" applyFill="1" applyBorder="1" applyAlignment="1" applyProtection="1">
      <alignment vertical="center"/>
    </xf>
    <xf numFmtId="3" fontId="83" fillId="0" borderId="16" xfId="62" applyNumberFormat="1" applyFont="1" applyFill="1" applyBorder="1" applyAlignment="1" applyProtection="1">
      <alignment vertical="center"/>
    </xf>
    <xf numFmtId="3" fontId="191" fillId="0" borderId="15" xfId="62" applyNumberFormat="1" applyFont="1" applyFill="1" applyBorder="1" applyAlignment="1" applyProtection="1">
      <alignment vertical="center"/>
    </xf>
    <xf numFmtId="3" fontId="191" fillId="0" borderId="16" xfId="62" applyNumberFormat="1" applyFont="1" applyFill="1" applyBorder="1" applyAlignment="1" applyProtection="1">
      <alignment vertical="center"/>
    </xf>
    <xf numFmtId="3" fontId="83" fillId="20" borderId="15" xfId="62" applyNumberFormat="1" applyFont="1" applyFill="1" applyBorder="1" applyAlignment="1" applyProtection="1">
      <alignment vertical="center"/>
    </xf>
    <xf numFmtId="3" fontId="83" fillId="20" borderId="16" xfId="62" applyNumberFormat="1" applyFont="1" applyFill="1" applyBorder="1" applyAlignment="1" applyProtection="1">
      <alignment vertical="center"/>
    </xf>
    <xf numFmtId="0" fontId="1" fillId="0" borderId="0" xfId="67" applyFont="1" applyFill="1" applyBorder="1" applyProtection="1"/>
    <xf numFmtId="0" fontId="76" fillId="0" borderId="0" xfId="67" applyFont="1" applyFill="1" applyBorder="1" applyAlignment="1" applyProtection="1">
      <alignment vertical="center"/>
    </xf>
    <xf numFmtId="0" fontId="76" fillId="0" borderId="41" xfId="67" applyFont="1" applyFill="1" applyBorder="1" applyAlignment="1" applyProtection="1">
      <alignment horizontal="center" vertical="center"/>
    </xf>
    <xf numFmtId="0" fontId="74" fillId="0" borderId="0" xfId="67" applyFont="1" applyAlignment="1" applyProtection="1">
      <alignment horizontal="right" vertical="center" readingOrder="2"/>
    </xf>
    <xf numFmtId="0" fontId="57" fillId="26" borderId="0" xfId="75" applyFont="1" applyFill="1" applyBorder="1" applyAlignment="1">
      <alignment horizontal="right" vertical="center" readingOrder="2"/>
    </xf>
    <xf numFmtId="0" fontId="104" fillId="0" borderId="0" xfId="67" applyFont="1" applyAlignment="1" applyProtection="1">
      <alignment horizontal="right" vertical="center" readingOrder="2"/>
    </xf>
    <xf numFmtId="0" fontId="1" fillId="0" borderId="0" xfId="73" applyFont="1" applyAlignment="1" applyProtection="1">
      <alignment horizontal="right"/>
    </xf>
    <xf numFmtId="0" fontId="1" fillId="0" borderId="0" xfId="73" applyAlignment="1" applyProtection="1">
      <alignment horizontal="right"/>
    </xf>
    <xf numFmtId="0" fontId="83" fillId="0" borderId="42" xfId="62" applyFont="1" applyFill="1" applyBorder="1" applyAlignment="1" applyProtection="1">
      <alignment vertical="center"/>
    </xf>
    <xf numFmtId="3" fontId="83" fillId="0" borderId="33" xfId="62" applyNumberFormat="1" applyFont="1" applyFill="1" applyBorder="1" applyAlignment="1" applyProtection="1">
      <alignment vertical="center"/>
    </xf>
    <xf numFmtId="3" fontId="73" fillId="0" borderId="21" xfId="62" applyNumberFormat="1" applyFont="1" applyFill="1" applyBorder="1" applyAlignment="1" applyProtection="1">
      <alignment vertical="center"/>
    </xf>
    <xf numFmtId="3" fontId="73" fillId="0" borderId="22" xfId="62" applyNumberFormat="1" applyFont="1" applyFill="1" applyBorder="1" applyAlignment="1" applyProtection="1">
      <alignment vertical="center"/>
    </xf>
    <xf numFmtId="0" fontId="58" fillId="0" borderId="0" xfId="73" applyFont="1" applyProtection="1"/>
    <xf numFmtId="3" fontId="83" fillId="0" borderId="19" xfId="62" applyNumberFormat="1" applyFont="1" applyFill="1" applyBorder="1" applyAlignment="1" applyProtection="1">
      <alignment vertical="center"/>
    </xf>
    <xf numFmtId="0" fontId="83" fillId="0" borderId="15" xfId="62" applyFont="1" applyFill="1" applyBorder="1" applyAlignment="1" applyProtection="1">
      <alignment vertical="center"/>
    </xf>
    <xf numFmtId="3" fontId="73" fillId="0" borderId="17" xfId="62" applyNumberFormat="1" applyFont="1" applyFill="1" applyBorder="1" applyAlignment="1" applyProtection="1">
      <alignment vertical="center"/>
    </xf>
    <xf numFmtId="3" fontId="73" fillId="0" borderId="16" xfId="62" applyNumberFormat="1" applyFont="1" applyFill="1" applyBorder="1" applyAlignment="1" applyProtection="1">
      <alignment vertical="center"/>
    </xf>
    <xf numFmtId="3" fontId="73" fillId="0" borderId="19" xfId="62" applyNumberFormat="1" applyFont="1" applyFill="1" applyBorder="1" applyAlignment="1" applyProtection="1">
      <alignment vertical="center"/>
    </xf>
    <xf numFmtId="0" fontId="94" fillId="0" borderId="0" xfId="67" applyFont="1" applyAlignment="1" applyProtection="1">
      <alignment horizontal="right" vertical="center" readingOrder="2"/>
    </xf>
    <xf numFmtId="0" fontId="87" fillId="0" borderId="0" xfId="67" applyFont="1" applyBorder="1" applyProtection="1"/>
    <xf numFmtId="0" fontId="94" fillId="0" borderId="0" xfId="64" applyFont="1" applyFill="1" applyBorder="1" applyAlignment="1" applyProtection="1">
      <alignment horizontal="right" vertical="center" readingOrder="2"/>
    </xf>
    <xf numFmtId="0" fontId="105" fillId="0" borderId="0" xfId="62" applyFont="1" applyFill="1" applyBorder="1" applyAlignment="1" applyProtection="1">
      <alignment vertical="center"/>
    </xf>
    <xf numFmtId="0" fontId="105" fillId="0" borderId="43" xfId="62" applyFont="1" applyFill="1" applyBorder="1" applyAlignment="1" applyProtection="1">
      <alignment vertical="center"/>
    </xf>
    <xf numFmtId="3" fontId="83" fillId="0" borderId="17" xfId="62" applyNumberFormat="1" applyFont="1" applyFill="1" applyBorder="1" applyAlignment="1" applyProtection="1">
      <alignment vertical="center"/>
    </xf>
    <xf numFmtId="0" fontId="198" fillId="0" borderId="0" xfId="73" applyFont="1" applyProtection="1"/>
    <xf numFmtId="3" fontId="73" fillId="0" borderId="20" xfId="62" applyNumberFormat="1" applyFont="1" applyFill="1" applyBorder="1" applyAlignment="1" applyProtection="1">
      <alignment vertical="center"/>
    </xf>
    <xf numFmtId="3" fontId="73" fillId="0" borderId="0" xfId="62" applyNumberFormat="1" applyFont="1" applyFill="1" applyBorder="1" applyAlignment="1" applyProtection="1">
      <alignment vertical="center"/>
    </xf>
    <xf numFmtId="3" fontId="73" fillId="0" borderId="25" xfId="62" applyNumberFormat="1" applyFont="1" applyFill="1" applyBorder="1" applyAlignment="1" applyProtection="1">
      <alignment vertical="center"/>
    </xf>
    <xf numFmtId="3" fontId="73" fillId="0" borderId="24" xfId="62" applyNumberFormat="1" applyFont="1" applyFill="1" applyBorder="1" applyAlignment="1" applyProtection="1">
      <alignment vertical="center"/>
    </xf>
    <xf numFmtId="3" fontId="73" fillId="0" borderId="28" xfId="62" applyNumberFormat="1" applyFont="1" applyFill="1" applyBorder="1" applyAlignment="1" applyProtection="1">
      <alignment vertical="center"/>
    </xf>
    <xf numFmtId="3" fontId="191" fillId="20" borderId="17" xfId="62" applyNumberFormat="1" applyFont="1" applyFill="1" applyBorder="1" applyAlignment="1" applyProtection="1">
      <alignment vertical="center"/>
    </xf>
    <xf numFmtId="3" fontId="191" fillId="20" borderId="18" xfId="62" applyNumberFormat="1" applyFont="1" applyFill="1" applyBorder="1" applyAlignment="1" applyProtection="1">
      <alignment vertical="center"/>
    </xf>
    <xf numFmtId="3" fontId="73" fillId="0" borderId="44" xfId="62" applyNumberFormat="1" applyFont="1" applyFill="1" applyBorder="1" applyAlignment="1" applyProtection="1">
      <alignment horizontal="right"/>
    </xf>
    <xf numFmtId="3" fontId="73" fillId="0" borderId="15" xfId="62" applyNumberFormat="1" applyFont="1" applyFill="1" applyBorder="1" applyAlignment="1" applyProtection="1">
      <alignment vertical="center"/>
    </xf>
    <xf numFmtId="0" fontId="74" fillId="0" borderId="0" xfId="67" applyFont="1" applyBorder="1" applyAlignment="1" applyProtection="1">
      <alignment horizontal="right" vertical="center" readingOrder="2"/>
    </xf>
    <xf numFmtId="0" fontId="76" fillId="0" borderId="41" xfId="67" applyFont="1" applyFill="1" applyBorder="1" applyAlignment="1" applyProtection="1">
      <alignment horizontal="center" vertical="center" readingOrder="2"/>
    </xf>
    <xf numFmtId="0" fontId="106" fillId="0" borderId="0" xfId="62" applyFont="1" applyFill="1" applyBorder="1" applyAlignment="1" applyProtection="1">
      <alignment vertical="center"/>
    </xf>
    <xf numFmtId="0" fontId="191" fillId="20" borderId="45" xfId="62" applyFont="1" applyFill="1" applyBorder="1" applyAlignment="1" applyProtection="1">
      <alignment vertical="center"/>
    </xf>
    <xf numFmtId="0" fontId="1" fillId="0" borderId="0" xfId="68" applyFont="1" applyFill="1" applyBorder="1" applyAlignment="1" applyProtection="1">
      <alignment horizontal="center"/>
    </xf>
    <xf numFmtId="3" fontId="73" fillId="0" borderId="23" xfId="62" applyNumberFormat="1" applyFont="1" applyFill="1" applyBorder="1" applyAlignment="1" applyProtection="1">
      <alignment vertical="center"/>
    </xf>
    <xf numFmtId="3" fontId="191" fillId="20" borderId="46" xfId="62" applyNumberFormat="1" applyFont="1" applyFill="1" applyBorder="1" applyAlignment="1" applyProtection="1">
      <alignment vertical="center"/>
    </xf>
    <xf numFmtId="3" fontId="73" fillId="0" borderId="31" xfId="62" applyNumberFormat="1" applyFont="1" applyFill="1" applyBorder="1" applyAlignment="1" applyProtection="1">
      <alignment vertical="center"/>
    </xf>
    <xf numFmtId="3" fontId="73" fillId="0" borderId="32" xfId="62" applyNumberFormat="1" applyFont="1" applyFill="1" applyBorder="1" applyAlignment="1" applyProtection="1">
      <alignment vertical="center"/>
    </xf>
    <xf numFmtId="0" fontId="73" fillId="0" borderId="46" xfId="62" applyFont="1" applyFill="1" applyBorder="1" applyAlignment="1" applyProtection="1">
      <alignment vertical="center"/>
    </xf>
    <xf numFmtId="1" fontId="73" fillId="0" borderId="16" xfId="62" applyNumberFormat="1" applyFont="1" applyFill="1" applyBorder="1" applyAlignment="1" applyProtection="1">
      <alignment vertical="center"/>
    </xf>
    <xf numFmtId="1" fontId="73" fillId="0" borderId="17" xfId="62" applyNumberFormat="1" applyFont="1" applyFill="1" applyBorder="1" applyAlignment="1" applyProtection="1">
      <alignment vertical="center"/>
    </xf>
    <xf numFmtId="1" fontId="73" fillId="0" borderId="31" xfId="62" applyNumberFormat="1" applyFont="1" applyFill="1" applyBorder="1" applyAlignment="1" applyProtection="1">
      <alignment vertical="center"/>
    </xf>
    <xf numFmtId="1" fontId="73" fillId="0" borderId="45" xfId="62" applyNumberFormat="1" applyFont="1" applyFill="1" applyBorder="1" applyAlignment="1" applyProtection="1">
      <alignment vertical="center"/>
    </xf>
    <xf numFmtId="1" fontId="73" fillId="0" borderId="38" xfId="62" applyNumberFormat="1" applyFont="1" applyFill="1" applyBorder="1" applyAlignment="1" applyProtection="1">
      <alignment vertical="center"/>
    </xf>
    <xf numFmtId="1" fontId="73" fillId="0" borderId="19" xfId="62" applyNumberFormat="1" applyFont="1" applyFill="1" applyBorder="1" applyAlignment="1" applyProtection="1">
      <alignment vertical="center"/>
    </xf>
    <xf numFmtId="0" fontId="73" fillId="0" borderId="15" xfId="62" applyFont="1" applyFill="1" applyBorder="1" applyAlignment="1" applyProtection="1">
      <alignment vertical="center"/>
    </xf>
    <xf numFmtId="0" fontId="73" fillId="0" borderId="31" xfId="62" applyFont="1" applyFill="1" applyBorder="1" applyAlignment="1" applyProtection="1">
      <alignment vertical="center"/>
    </xf>
    <xf numFmtId="0" fontId="73" fillId="0" borderId="18" xfId="62" applyFont="1" applyFill="1" applyBorder="1" applyAlignment="1" applyProtection="1">
      <alignment vertical="center"/>
    </xf>
    <xf numFmtId="0" fontId="73" fillId="0" borderId="32" xfId="62" applyFont="1" applyFill="1" applyBorder="1" applyAlignment="1" applyProtection="1">
      <alignment vertical="center"/>
    </xf>
    <xf numFmtId="0" fontId="73" fillId="0" borderId="16" xfId="62" applyFont="1" applyFill="1" applyBorder="1" applyAlignment="1" applyProtection="1">
      <alignment vertical="center"/>
    </xf>
    <xf numFmtId="0" fontId="73" fillId="0" borderId="17" xfId="62" applyFont="1" applyFill="1" applyBorder="1" applyAlignment="1" applyProtection="1">
      <alignment vertical="center"/>
    </xf>
    <xf numFmtId="0" fontId="73" fillId="0" borderId="29" xfId="62" applyFont="1" applyFill="1" applyBorder="1" applyAlignment="1" applyProtection="1">
      <alignment vertical="center"/>
    </xf>
    <xf numFmtId="169" fontId="73" fillId="0" borderId="17" xfId="62" applyNumberFormat="1" applyFont="1" applyFill="1" applyBorder="1" applyAlignment="1" applyProtection="1">
      <alignment vertical="center"/>
    </xf>
    <xf numFmtId="0" fontId="73" fillId="0" borderId="19" xfId="62" applyFont="1" applyFill="1" applyBorder="1" applyAlignment="1" applyProtection="1">
      <alignment vertical="center"/>
    </xf>
    <xf numFmtId="0" fontId="73" fillId="0" borderId="44" xfId="62" applyFont="1" applyFill="1" applyBorder="1" applyAlignment="1" applyProtection="1">
      <alignment vertical="center"/>
    </xf>
    <xf numFmtId="169" fontId="73" fillId="0" borderId="18" xfId="62" applyNumberFormat="1" applyFont="1" applyFill="1" applyBorder="1" applyAlignment="1" applyProtection="1">
      <alignment vertical="center"/>
    </xf>
    <xf numFmtId="169" fontId="73" fillId="0" borderId="19" xfId="62" applyNumberFormat="1" applyFont="1" applyFill="1" applyBorder="1" applyAlignment="1" applyProtection="1">
      <alignment vertical="center"/>
    </xf>
    <xf numFmtId="0" fontId="73" fillId="0" borderId="15" xfId="62" applyFont="1" applyFill="1" applyBorder="1" applyAlignment="1" applyProtection="1">
      <alignment horizontal="right" vertical="center"/>
    </xf>
    <xf numFmtId="0" fontId="73" fillId="0" borderId="31" xfId="62" applyFont="1" applyFill="1" applyBorder="1" applyAlignment="1" applyProtection="1">
      <alignment horizontal="right" vertical="center"/>
    </xf>
    <xf numFmtId="0" fontId="73" fillId="0" borderId="16" xfId="62" applyFont="1" applyFill="1" applyBorder="1" applyAlignment="1" applyProtection="1">
      <alignment horizontal="right" vertical="center"/>
    </xf>
    <xf numFmtId="0" fontId="73" fillId="0" borderId="17" xfId="62" applyFont="1" applyFill="1" applyBorder="1" applyAlignment="1" applyProtection="1">
      <alignment horizontal="right" vertical="center"/>
    </xf>
    <xf numFmtId="0" fontId="73" fillId="0" borderId="19" xfId="62" applyFont="1" applyFill="1" applyBorder="1" applyAlignment="1" applyProtection="1">
      <alignment horizontal="right" vertical="center"/>
    </xf>
    <xf numFmtId="0" fontId="73" fillId="0" borderId="47" xfId="62" applyFont="1" applyFill="1" applyBorder="1" applyAlignment="1" applyProtection="1">
      <alignment vertical="center"/>
    </xf>
    <xf numFmtId="0" fontId="103" fillId="0" borderId="46" xfId="62" applyFont="1" applyFill="1" applyBorder="1" applyAlignment="1" applyProtection="1">
      <alignment horizontal="right"/>
    </xf>
    <xf numFmtId="0" fontId="103" fillId="0" borderId="47" xfId="62" applyFont="1" applyFill="1" applyBorder="1" applyAlignment="1" applyProtection="1">
      <alignment horizontal="right"/>
    </xf>
    <xf numFmtId="0" fontId="107" fillId="0" borderId="47" xfId="62" applyFont="1" applyFill="1" applyBorder="1" applyAlignment="1" applyProtection="1">
      <alignment horizontal="right"/>
    </xf>
    <xf numFmtId="0" fontId="107" fillId="0" borderId="38" xfId="62" applyFont="1" applyFill="1" applyBorder="1" applyAlignment="1" applyProtection="1">
      <alignment horizontal="right"/>
    </xf>
    <xf numFmtId="0" fontId="108" fillId="30" borderId="48" xfId="62" applyFont="1" applyFill="1" applyBorder="1" applyAlignment="1" applyProtection="1">
      <alignment horizontal="center"/>
    </xf>
    <xf numFmtId="0" fontId="109" fillId="27" borderId="0" xfId="73" applyFont="1" applyFill="1" applyAlignment="1"/>
    <xf numFmtId="0" fontId="92" fillId="0" borderId="0" xfId="68" applyFont="1" applyFill="1" applyBorder="1" applyAlignment="1" applyProtection="1">
      <alignment horizontal="right" readingOrder="2"/>
    </xf>
    <xf numFmtId="0" fontId="74" fillId="0" borderId="0" xfId="68" applyFont="1" applyFill="1" applyBorder="1" applyAlignment="1" applyProtection="1">
      <alignment horizontal="right" readingOrder="2"/>
    </xf>
    <xf numFmtId="0" fontId="1" fillId="27" borderId="0" xfId="73" applyFill="1"/>
    <xf numFmtId="4" fontId="73" fillId="26" borderId="0" xfId="62" applyNumberFormat="1" applyFont="1" applyFill="1" applyBorder="1" applyAlignment="1" applyProtection="1">
      <alignment horizontal="center" vertical="center"/>
    </xf>
    <xf numFmtId="1" fontId="73" fillId="0" borderId="0" xfId="62" applyNumberFormat="1" applyFont="1" applyFill="1" applyBorder="1" applyAlignment="1" applyProtection="1">
      <alignment horizontal="center" vertical="center"/>
    </xf>
    <xf numFmtId="3" fontId="73" fillId="26" borderId="0" xfId="62" applyNumberFormat="1" applyFont="1" applyFill="1" applyBorder="1" applyAlignment="1" applyProtection="1">
      <alignment horizontal="center" vertical="center"/>
    </xf>
    <xf numFmtId="1" fontId="73" fillId="0" borderId="0" xfId="62" applyNumberFormat="1" applyFont="1" applyFill="1" applyBorder="1" applyAlignment="1" applyProtection="1">
      <alignment horizontal="center"/>
    </xf>
    <xf numFmtId="0" fontId="110" fillId="27" borderId="0" xfId="73" applyFont="1" applyFill="1"/>
    <xf numFmtId="4" fontId="73" fillId="26" borderId="49" xfId="62" applyNumberFormat="1" applyFont="1" applyFill="1" applyBorder="1" applyAlignment="1" applyProtection="1">
      <alignment horizontal="center" vertical="center"/>
    </xf>
    <xf numFmtId="4" fontId="73" fillId="26" borderId="50" xfId="62" applyNumberFormat="1" applyFont="1" applyFill="1" applyBorder="1" applyAlignment="1" applyProtection="1">
      <alignment horizontal="center" vertical="center"/>
    </xf>
    <xf numFmtId="1" fontId="73" fillId="0" borderId="50" xfId="62" applyNumberFormat="1" applyFont="1" applyFill="1" applyBorder="1" applyAlignment="1" applyProtection="1">
      <alignment horizontal="center" vertical="center"/>
    </xf>
    <xf numFmtId="1" fontId="73" fillId="0" borderId="50" xfId="62" applyNumberFormat="1" applyFont="1" applyFill="1" applyBorder="1" applyAlignment="1" applyProtection="1">
      <alignment horizontal="center"/>
    </xf>
    <xf numFmtId="1" fontId="73" fillId="0" borderId="51" xfId="62" applyNumberFormat="1" applyFont="1" applyFill="1" applyBorder="1" applyAlignment="1" applyProtection="1">
      <alignment horizontal="center"/>
    </xf>
    <xf numFmtId="1" fontId="73" fillId="0" borderId="49" xfId="62" applyNumberFormat="1" applyFont="1" applyFill="1" applyBorder="1" applyAlignment="1" applyProtection="1">
      <alignment horizontal="center" vertical="center"/>
    </xf>
    <xf numFmtId="4" fontId="73" fillId="26" borderId="52" xfId="62" applyNumberFormat="1" applyFont="1" applyFill="1" applyBorder="1" applyAlignment="1" applyProtection="1">
      <alignment horizontal="center" vertical="center"/>
    </xf>
    <xf numFmtId="2" fontId="73" fillId="26" borderId="49" xfId="62" applyNumberFormat="1" applyFont="1" applyFill="1" applyBorder="1" applyAlignment="1" applyProtection="1">
      <alignment horizontal="center" vertical="center"/>
    </xf>
    <xf numFmtId="2" fontId="73" fillId="0" borderId="50" xfId="62" applyNumberFormat="1" applyFont="1" applyFill="1" applyBorder="1" applyAlignment="1" applyProtection="1">
      <alignment horizontal="center" vertical="center"/>
    </xf>
    <xf numFmtId="1" fontId="73" fillId="0" borderId="49" xfId="62" applyNumberFormat="1" applyFont="1" applyFill="1" applyBorder="1" applyAlignment="1" applyProtection="1">
      <alignment horizontal="center"/>
    </xf>
    <xf numFmtId="1" fontId="73" fillId="0" borderId="51" xfId="62" applyNumberFormat="1" applyFont="1" applyFill="1" applyBorder="1" applyAlignment="1" applyProtection="1">
      <alignment horizontal="center" vertical="center"/>
    </xf>
    <xf numFmtId="4" fontId="73" fillId="26" borderId="51" xfId="62" applyNumberFormat="1" applyFont="1" applyFill="1" applyBorder="1" applyAlignment="1" applyProtection="1">
      <alignment horizontal="center" vertical="center"/>
    </xf>
    <xf numFmtId="1" fontId="73" fillId="0" borderId="52" xfId="62" applyNumberFormat="1" applyFont="1" applyFill="1" applyBorder="1" applyAlignment="1" applyProtection="1">
      <alignment horizontal="center" vertical="center"/>
    </xf>
    <xf numFmtId="3" fontId="73" fillId="26" borderId="52" xfId="62" applyNumberFormat="1" applyFont="1" applyFill="1" applyBorder="1" applyAlignment="1" applyProtection="1">
      <alignment horizontal="center" vertical="center"/>
    </xf>
    <xf numFmtId="0" fontId="112" fillId="0" borderId="53" xfId="62" applyFont="1" applyBorder="1" applyAlignment="1" applyProtection="1">
      <alignment vertical="center" wrapText="1"/>
    </xf>
    <xf numFmtId="0" fontId="112" fillId="0" borderId="54" xfId="62" applyFont="1" applyBorder="1" applyAlignment="1" applyProtection="1">
      <alignment horizontal="center" vertical="center" wrapText="1"/>
    </xf>
    <xf numFmtId="0" fontId="112" fillId="0" borderId="54" xfId="62" applyFont="1" applyBorder="1" applyAlignment="1" applyProtection="1">
      <alignment vertical="center" wrapText="1"/>
    </xf>
    <xf numFmtId="0" fontId="112" fillId="0" borderId="55" xfId="62" applyFont="1" applyBorder="1" applyAlignment="1" applyProtection="1">
      <alignment horizontal="center" vertical="center" wrapText="1"/>
    </xf>
    <xf numFmtId="0" fontId="112" fillId="0" borderId="56" xfId="62" applyFont="1" applyBorder="1" applyAlignment="1" applyProtection="1">
      <alignment horizontal="center" vertical="center" wrapText="1"/>
    </xf>
    <xf numFmtId="0" fontId="112" fillId="0" borderId="57" xfId="62" applyFont="1" applyBorder="1" applyAlignment="1" applyProtection="1">
      <alignment horizontal="center" vertical="center" wrapText="1"/>
    </xf>
    <xf numFmtId="0" fontId="113" fillId="0" borderId="58" xfId="62" applyFont="1" applyBorder="1" applyAlignment="1" applyProtection="1">
      <alignment horizontal="center" vertical="top"/>
    </xf>
    <xf numFmtId="0" fontId="113" fillId="0" borderId="59" xfId="62" applyFont="1" applyBorder="1" applyAlignment="1" applyProtection="1">
      <alignment horizontal="center" vertical="top"/>
    </xf>
    <xf numFmtId="0" fontId="113" fillId="0" borderId="60" xfId="62" applyFont="1" applyBorder="1" applyAlignment="1" applyProtection="1">
      <alignment horizontal="center" vertical="top"/>
    </xf>
    <xf numFmtId="0" fontId="114" fillId="0" borderId="60" xfId="73" applyFont="1" applyFill="1" applyBorder="1" applyAlignment="1" applyProtection="1">
      <alignment horizontal="center" vertical="top"/>
    </xf>
    <xf numFmtId="0" fontId="115" fillId="0" borderId="61" xfId="67" applyFont="1" applyFill="1" applyBorder="1" applyAlignment="1" applyProtection="1">
      <alignment vertical="center" wrapText="1"/>
    </xf>
    <xf numFmtId="0" fontId="115" fillId="0" borderId="62" xfId="67" applyFont="1" applyFill="1" applyBorder="1" applyAlignment="1" applyProtection="1">
      <alignment horizontal="center" vertical="center"/>
    </xf>
    <xf numFmtId="0" fontId="115" fillId="0" borderId="63" xfId="67" applyFont="1" applyFill="1" applyBorder="1" applyAlignment="1" applyProtection="1">
      <alignment vertical="center" wrapText="1"/>
    </xf>
    <xf numFmtId="0" fontId="115" fillId="0" borderId="64" xfId="67" applyFont="1" applyFill="1" applyBorder="1" applyAlignment="1" applyProtection="1">
      <alignment vertical="center" wrapText="1"/>
    </xf>
    <xf numFmtId="0" fontId="115" fillId="0" borderId="65" xfId="67" applyFont="1" applyFill="1" applyBorder="1" applyAlignment="1" applyProtection="1">
      <alignment vertical="center" wrapText="1"/>
    </xf>
    <xf numFmtId="0" fontId="116" fillId="31" borderId="66" xfId="62" applyFont="1" applyFill="1" applyBorder="1" applyAlignment="1" applyProtection="1">
      <alignment vertical="center" wrapText="1"/>
    </xf>
    <xf numFmtId="0" fontId="116" fillId="31" borderId="67" xfId="62" applyFont="1" applyFill="1" applyBorder="1" applyAlignment="1" applyProtection="1">
      <alignment vertical="center" wrapText="1"/>
    </xf>
    <xf numFmtId="0" fontId="116" fillId="31" borderId="68" xfId="62" applyFont="1" applyFill="1" applyBorder="1" applyAlignment="1" applyProtection="1">
      <alignment vertical="center" wrapText="1"/>
    </xf>
    <xf numFmtId="0" fontId="113" fillId="0" borderId="53" xfId="62" applyFont="1" applyBorder="1" applyAlignment="1" applyProtection="1">
      <alignment vertical="center" wrapText="1"/>
    </xf>
    <xf numFmtId="0" fontId="113" fillId="0" borderId="54" xfId="62" applyFont="1" applyBorder="1" applyAlignment="1" applyProtection="1">
      <alignment vertical="center" wrapText="1"/>
    </xf>
    <xf numFmtId="0" fontId="113" fillId="0" borderId="56" xfId="62" applyFont="1" applyBorder="1" applyAlignment="1" applyProtection="1">
      <alignment vertical="center" wrapText="1"/>
    </xf>
    <xf numFmtId="0" fontId="114" fillId="0" borderId="69" xfId="73" applyFont="1" applyFill="1" applyBorder="1" applyAlignment="1" applyProtection="1">
      <alignment vertical="center" wrapText="1"/>
    </xf>
    <xf numFmtId="0" fontId="116" fillId="31" borderId="43" xfId="62" applyFont="1" applyFill="1" applyBorder="1" applyAlignment="1" applyProtection="1">
      <alignment vertical="center" wrapText="1"/>
    </xf>
    <xf numFmtId="0" fontId="116" fillId="31" borderId="0" xfId="62" applyFont="1" applyFill="1" applyBorder="1" applyAlignment="1" applyProtection="1">
      <alignment vertical="center" wrapText="1"/>
    </xf>
    <xf numFmtId="0" fontId="116" fillId="31" borderId="0" xfId="62" applyFont="1" applyFill="1" applyBorder="1" applyAlignment="1" applyProtection="1">
      <alignment vertical="center"/>
    </xf>
    <xf numFmtId="0" fontId="116" fillId="31" borderId="0" xfId="62" applyFont="1" applyFill="1" applyBorder="1" applyAlignment="1" applyProtection="1">
      <alignment horizontal="right" vertical="center"/>
    </xf>
    <xf numFmtId="0" fontId="116" fillId="31" borderId="70" xfId="62" applyFont="1" applyFill="1" applyBorder="1" applyAlignment="1" applyProtection="1">
      <alignment vertical="center" wrapText="1"/>
    </xf>
    <xf numFmtId="0" fontId="82" fillId="0" borderId="61" xfId="67" applyFont="1" applyFill="1" applyBorder="1" applyAlignment="1" applyProtection="1">
      <alignment vertical="center" wrapText="1"/>
    </xf>
    <xf numFmtId="0" fontId="82" fillId="0" borderId="62" xfId="67" applyFont="1" applyFill="1" applyBorder="1" applyAlignment="1" applyProtection="1">
      <alignment horizontal="center" vertical="center"/>
    </xf>
    <xf numFmtId="0" fontId="82" fillId="0" borderId="65" xfId="67" applyFont="1" applyFill="1" applyBorder="1" applyAlignment="1" applyProtection="1">
      <alignment vertical="center" wrapText="1"/>
    </xf>
    <xf numFmtId="0" fontId="82" fillId="0" borderId="63" xfId="67" applyFont="1" applyFill="1" applyBorder="1" applyAlignment="1" applyProtection="1">
      <alignment vertical="center" wrapText="1"/>
    </xf>
    <xf numFmtId="0" fontId="82" fillId="0" borderId="64" xfId="67" applyFont="1" applyFill="1" applyBorder="1" applyAlignment="1" applyProtection="1">
      <alignment vertical="center" wrapText="1"/>
    </xf>
    <xf numFmtId="0" fontId="114" fillId="0" borderId="56" xfId="73" applyFont="1" applyFill="1" applyBorder="1" applyAlignment="1" applyProtection="1">
      <alignment vertical="center" wrapText="1"/>
    </xf>
    <xf numFmtId="0" fontId="116" fillId="31" borderId="71" xfId="62" applyFont="1" applyFill="1" applyBorder="1" applyAlignment="1" applyProtection="1">
      <alignment vertical="center" wrapText="1"/>
    </xf>
    <xf numFmtId="0" fontId="116" fillId="31" borderId="42" xfId="62" applyFont="1" applyFill="1" applyBorder="1" applyAlignment="1" applyProtection="1">
      <alignment vertical="center" wrapText="1"/>
    </xf>
    <xf numFmtId="0" fontId="116" fillId="31" borderId="33" xfId="62" applyFont="1" applyFill="1" applyBorder="1" applyAlignment="1" applyProtection="1">
      <alignment vertical="center" wrapText="1"/>
    </xf>
    <xf numFmtId="0" fontId="117" fillId="32" borderId="72" xfId="62" applyFont="1" applyFill="1" applyBorder="1" applyAlignment="1" applyProtection="1">
      <alignment vertical="center" wrapText="1"/>
    </xf>
    <xf numFmtId="0" fontId="117" fillId="32" borderId="73" xfId="62" applyFont="1" applyFill="1" applyBorder="1" applyAlignment="1" applyProtection="1">
      <alignment vertical="center" wrapText="1"/>
    </xf>
    <xf numFmtId="0" fontId="117" fillId="32" borderId="73" xfId="62" applyFont="1" applyFill="1" applyBorder="1" applyAlignment="1" applyProtection="1">
      <alignment vertical="center"/>
    </xf>
    <xf numFmtId="0" fontId="117" fillId="32" borderId="74" xfId="62" applyFont="1" applyFill="1" applyBorder="1" applyAlignment="1" applyProtection="1">
      <alignment vertical="center" wrapText="1"/>
    </xf>
    <xf numFmtId="0" fontId="89" fillId="0" borderId="0" xfId="62" applyFont="1" applyProtection="1"/>
    <xf numFmtId="0" fontId="88" fillId="0" borderId="0" xfId="62" applyFont="1" applyProtection="1"/>
    <xf numFmtId="0" fontId="118" fillId="0" borderId="0" xfId="62" applyFont="1" applyProtection="1"/>
    <xf numFmtId="0" fontId="42" fillId="0" borderId="0" xfId="62" applyFont="1" applyProtection="1"/>
    <xf numFmtId="0" fontId="119" fillId="0" borderId="0" xfId="62" applyFont="1" applyProtection="1"/>
    <xf numFmtId="0" fontId="92" fillId="32" borderId="66" xfId="62" applyFont="1" applyFill="1" applyBorder="1" applyAlignment="1" applyProtection="1">
      <alignment vertical="center" wrapText="1"/>
    </xf>
    <xf numFmtId="0" fontId="92" fillId="32" borderId="67" xfId="62" applyFont="1" applyFill="1" applyBorder="1" applyAlignment="1" applyProtection="1">
      <alignment vertical="center" wrapText="1"/>
    </xf>
    <xf numFmtId="0" fontId="92" fillId="32" borderId="68" xfId="62" applyFont="1" applyFill="1" applyBorder="1" applyAlignment="1" applyProtection="1">
      <alignment vertical="center" wrapText="1"/>
    </xf>
    <xf numFmtId="0" fontId="92" fillId="32" borderId="43" xfId="62" applyFont="1" applyFill="1" applyBorder="1" applyAlignment="1" applyProtection="1">
      <alignment vertical="center" wrapText="1"/>
    </xf>
    <xf numFmtId="0" fontId="92" fillId="32" borderId="0" xfId="62" applyFont="1" applyFill="1" applyBorder="1" applyAlignment="1" applyProtection="1">
      <alignment horizontal="center" vertical="center"/>
    </xf>
    <xf numFmtId="0" fontId="92" fillId="32" borderId="70" xfId="62" applyFont="1" applyFill="1" applyBorder="1" applyAlignment="1" applyProtection="1">
      <alignment vertical="center" wrapText="1"/>
    </xf>
    <xf numFmtId="0" fontId="116" fillId="32" borderId="73" xfId="62" applyFont="1" applyFill="1" applyBorder="1" applyAlignment="1" applyProtection="1">
      <alignment vertical="center"/>
    </xf>
    <xf numFmtId="0" fontId="116" fillId="32" borderId="74" xfId="62" applyFont="1" applyFill="1" applyBorder="1" applyAlignment="1" applyProtection="1">
      <alignment vertical="center" wrapText="1"/>
    </xf>
    <xf numFmtId="0" fontId="92" fillId="32" borderId="71" xfId="62" applyFont="1" applyFill="1" applyBorder="1" applyAlignment="1" applyProtection="1">
      <alignment vertical="center" wrapText="1"/>
    </xf>
    <xf numFmtId="0" fontId="92" fillId="32" borderId="42" xfId="62" applyFont="1" applyFill="1" applyBorder="1" applyAlignment="1" applyProtection="1">
      <alignment vertical="center" wrapText="1"/>
    </xf>
    <xf numFmtId="0" fontId="92" fillId="32" borderId="33" xfId="62" applyFont="1" applyFill="1" applyBorder="1" applyAlignment="1" applyProtection="1">
      <alignment vertical="center" wrapText="1"/>
    </xf>
    <xf numFmtId="0" fontId="112" fillId="0" borderId="53" xfId="62" applyFont="1" applyBorder="1" applyAlignment="1" applyProtection="1">
      <alignment horizontal="center" vertical="center" wrapText="1"/>
    </xf>
    <xf numFmtId="0" fontId="110" fillId="27" borderId="0" xfId="73" applyFont="1" applyFill="1" applyAlignment="1"/>
    <xf numFmtId="2" fontId="73" fillId="0" borderId="49" xfId="62" applyNumberFormat="1" applyFont="1" applyFill="1" applyBorder="1" applyAlignment="1" applyProtection="1">
      <alignment horizontal="center" vertical="center"/>
    </xf>
    <xf numFmtId="2" fontId="73" fillId="0" borderId="51" xfId="62" applyNumberFormat="1" applyFont="1" applyFill="1" applyBorder="1" applyAlignment="1" applyProtection="1">
      <alignment horizontal="center" vertical="center"/>
    </xf>
    <xf numFmtId="0" fontId="82" fillId="0" borderId="53" xfId="67" applyFont="1" applyFill="1" applyBorder="1" applyAlignment="1" applyProtection="1">
      <alignment vertical="center" wrapText="1"/>
    </xf>
    <xf numFmtId="0" fontId="82" fillId="0" borderId="54" xfId="67" applyFont="1" applyFill="1" applyBorder="1" applyAlignment="1" applyProtection="1">
      <alignment vertical="center" wrapText="1"/>
    </xf>
    <xf numFmtId="0" fontId="121" fillId="0" borderId="56" xfId="73" applyFont="1" applyFill="1" applyBorder="1" applyAlignment="1" applyProtection="1">
      <alignment vertical="center" wrapText="1"/>
    </xf>
    <xf numFmtId="0" fontId="58" fillId="27" borderId="0" xfId="73" applyFont="1" applyFill="1" applyAlignment="1" applyProtection="1">
      <alignment horizontal="center"/>
    </xf>
    <xf numFmtId="0" fontId="123" fillId="27" borderId="0" xfId="73" applyFont="1" applyFill="1" applyAlignment="1">
      <alignment horizontal="center"/>
    </xf>
    <xf numFmtId="3" fontId="103" fillId="26" borderId="50" xfId="62" applyNumberFormat="1" applyFont="1" applyFill="1" applyBorder="1" applyAlignment="1" applyProtection="1">
      <alignment horizontal="center" vertical="center"/>
    </xf>
    <xf numFmtId="3" fontId="103" fillId="26" borderId="51" xfId="62" applyNumberFormat="1" applyFont="1" applyFill="1" applyBorder="1" applyAlignment="1" applyProtection="1">
      <alignment horizontal="center" vertical="center"/>
    </xf>
    <xf numFmtId="0" fontId="125" fillId="0" borderId="0" xfId="67" applyFont="1" applyAlignment="1" applyProtection="1">
      <alignment horizontal="right" vertical="center" readingOrder="2"/>
    </xf>
    <xf numFmtId="1" fontId="73" fillId="0" borderId="15" xfId="62" applyNumberFormat="1" applyFont="1" applyFill="1" applyBorder="1" applyAlignment="1" applyProtection="1">
      <alignment vertical="center"/>
    </xf>
    <xf numFmtId="0" fontId="126" fillId="0" borderId="0" xfId="62" applyFont="1" applyProtection="1"/>
    <xf numFmtId="0" fontId="82" fillId="0" borderId="75" xfId="67" applyFont="1" applyFill="1" applyBorder="1" applyAlignment="1" applyProtection="1">
      <alignment horizontal="center" vertical="center" readingOrder="2"/>
    </xf>
    <xf numFmtId="0" fontId="82" fillId="0" borderId="76" xfId="67" applyFont="1" applyFill="1" applyBorder="1" applyAlignment="1" applyProtection="1">
      <alignment horizontal="center" vertical="center" readingOrder="2"/>
    </xf>
    <xf numFmtId="0" fontId="121" fillId="0" borderId="77" xfId="73" applyFont="1" applyFill="1" applyBorder="1" applyAlignment="1" applyProtection="1">
      <alignment horizontal="center"/>
    </xf>
    <xf numFmtId="0" fontId="3" fillId="0" borderId="43" xfId="73" applyFont="1" applyFill="1" applyBorder="1" applyAlignment="1" applyProtection="1"/>
    <xf numFmtId="0" fontId="3" fillId="0" borderId="0" xfId="73" applyFont="1" applyFill="1" applyBorder="1" applyAlignment="1" applyProtection="1"/>
    <xf numFmtId="0" fontId="3" fillId="0" borderId="70" xfId="73" applyFont="1" applyFill="1" applyBorder="1" applyAlignment="1" applyProtection="1"/>
    <xf numFmtId="0" fontId="63" fillId="0" borderId="0" xfId="62" applyAlignment="1" applyProtection="1"/>
    <xf numFmtId="0" fontId="128" fillId="0" borderId="0" xfId="67" applyFont="1" applyAlignment="1" applyProtection="1">
      <alignment horizontal="right" vertical="center" readingOrder="2"/>
    </xf>
    <xf numFmtId="0" fontId="1" fillId="27" borderId="0" xfId="73" applyFont="1" applyFill="1" applyBorder="1" applyAlignment="1" applyProtection="1"/>
    <xf numFmtId="0" fontId="110" fillId="27" borderId="0" xfId="73" applyFont="1" applyFill="1" applyBorder="1"/>
    <xf numFmtId="0" fontId="1" fillId="0" borderId="0" xfId="73" applyFont="1" applyFill="1" applyBorder="1" applyProtection="1"/>
    <xf numFmtId="0" fontId="1" fillId="0" borderId="0" xfId="73" applyFont="1" applyFill="1" applyBorder="1" applyAlignment="1" applyProtection="1"/>
    <xf numFmtId="2" fontId="73" fillId="0" borderId="78" xfId="62" applyNumberFormat="1" applyFont="1" applyFill="1" applyBorder="1" applyAlignment="1" applyProtection="1">
      <alignment horizontal="center" vertical="center"/>
    </xf>
    <xf numFmtId="2" fontId="73" fillId="0" borderId="79" xfId="62" applyNumberFormat="1" applyFont="1" applyFill="1" applyBorder="1" applyAlignment="1" applyProtection="1">
      <alignment horizontal="center" vertical="center"/>
    </xf>
    <xf numFmtId="2" fontId="73" fillId="0" borderId="80" xfId="62" applyNumberFormat="1" applyFont="1" applyFill="1" applyBorder="1" applyAlignment="1" applyProtection="1">
      <alignment horizontal="center" vertical="center"/>
    </xf>
    <xf numFmtId="1" fontId="73" fillId="0" borderId="78" xfId="62" applyNumberFormat="1" applyFont="1" applyFill="1" applyBorder="1" applyAlignment="1" applyProtection="1">
      <alignment horizontal="center" vertical="center"/>
    </xf>
    <xf numFmtId="1" fontId="73" fillId="0" borderId="79" xfId="62" applyNumberFormat="1" applyFont="1" applyFill="1" applyBorder="1" applyAlignment="1" applyProtection="1">
      <alignment horizontal="center" vertical="center"/>
    </xf>
    <xf numFmtId="1" fontId="73" fillId="0" borderId="80" xfId="62" applyNumberFormat="1" applyFont="1" applyFill="1" applyBorder="1" applyAlignment="1" applyProtection="1">
      <alignment horizontal="center" vertical="center"/>
    </xf>
    <xf numFmtId="1" fontId="73" fillId="0" borderId="81" xfId="62" applyNumberFormat="1" applyFont="1" applyFill="1" applyBorder="1" applyAlignment="1" applyProtection="1">
      <alignment horizontal="center" vertical="center"/>
    </xf>
    <xf numFmtId="1" fontId="73" fillId="0" borderId="82" xfId="62" applyNumberFormat="1" applyFont="1" applyFill="1" applyBorder="1" applyAlignment="1" applyProtection="1">
      <alignment horizontal="center" vertical="center"/>
    </xf>
    <xf numFmtId="1" fontId="73" fillId="0" borderId="83" xfId="62" applyNumberFormat="1" applyFont="1" applyFill="1" applyBorder="1" applyAlignment="1" applyProtection="1">
      <alignment horizontal="center" vertical="center"/>
    </xf>
    <xf numFmtId="2" fontId="73" fillId="0" borderId="84" xfId="62" applyNumberFormat="1" applyFont="1" applyFill="1" applyBorder="1" applyAlignment="1" applyProtection="1">
      <alignment horizontal="center" vertical="center"/>
    </xf>
    <xf numFmtId="1" fontId="73" fillId="0" borderId="85" xfId="62" applyNumberFormat="1" applyFont="1" applyFill="1" applyBorder="1" applyAlignment="1" applyProtection="1">
      <alignment horizontal="center" vertical="center"/>
    </xf>
    <xf numFmtId="2" fontId="73" fillId="0" borderId="15" xfId="62" applyNumberFormat="1" applyFont="1" applyFill="1" applyBorder="1" applyAlignment="1" applyProtection="1">
      <alignment vertical="center"/>
    </xf>
    <xf numFmtId="2" fontId="73" fillId="0" borderId="31" xfId="62" applyNumberFormat="1" applyFont="1" applyFill="1" applyBorder="1" applyAlignment="1" applyProtection="1">
      <alignment vertical="center"/>
    </xf>
    <xf numFmtId="2" fontId="73" fillId="0" borderId="19" xfId="62" applyNumberFormat="1" applyFont="1" applyFill="1" applyBorder="1" applyAlignment="1" applyProtection="1">
      <alignment vertical="center"/>
    </xf>
    <xf numFmtId="2" fontId="73" fillId="0" borderId="36" xfId="62" applyNumberFormat="1" applyFont="1" applyFill="1" applyBorder="1" applyAlignment="1" applyProtection="1">
      <alignment vertical="center"/>
    </xf>
    <xf numFmtId="1" fontId="73" fillId="0" borderId="18" xfId="62" applyNumberFormat="1" applyFont="1" applyFill="1" applyBorder="1" applyAlignment="1" applyProtection="1">
      <alignment vertical="center"/>
    </xf>
    <xf numFmtId="2" fontId="73" fillId="0" borderId="30" xfId="62" applyNumberFormat="1" applyFont="1" applyFill="1" applyBorder="1" applyAlignment="1" applyProtection="1">
      <alignment vertical="center"/>
    </xf>
    <xf numFmtId="2" fontId="73" fillId="0" borderId="45" xfId="62" applyNumberFormat="1" applyFont="1" applyFill="1" applyBorder="1" applyAlignment="1" applyProtection="1">
      <alignment vertical="center"/>
    </xf>
    <xf numFmtId="2" fontId="73" fillId="0" borderId="48" xfId="62" applyNumberFormat="1" applyFont="1" applyFill="1" applyBorder="1" applyAlignment="1" applyProtection="1">
      <alignment vertical="center"/>
    </xf>
    <xf numFmtId="1" fontId="73" fillId="0" borderId="29" xfId="62" applyNumberFormat="1" applyFont="1" applyFill="1" applyBorder="1" applyAlignment="1" applyProtection="1">
      <alignment vertical="center"/>
    </xf>
    <xf numFmtId="0" fontId="129" fillId="26" borderId="86" xfId="62" applyFont="1" applyFill="1" applyBorder="1" applyAlignment="1" applyProtection="1">
      <alignment horizontal="center" vertical="center"/>
    </xf>
    <xf numFmtId="0" fontId="129" fillId="26" borderId="87" xfId="62" applyFont="1" applyFill="1" applyBorder="1" applyAlignment="1" applyProtection="1">
      <alignment horizontal="center" vertical="center"/>
    </xf>
    <xf numFmtId="0" fontId="129" fillId="26" borderId="88" xfId="62" applyFont="1" applyFill="1" applyBorder="1" applyAlignment="1" applyProtection="1">
      <alignment horizontal="center" vertical="center"/>
    </xf>
    <xf numFmtId="0" fontId="129" fillId="26" borderId="89" xfId="62" applyFont="1" applyFill="1" applyBorder="1" applyAlignment="1" applyProtection="1">
      <alignment horizontal="center" vertical="center"/>
    </xf>
    <xf numFmtId="0" fontId="129" fillId="26" borderId="90" xfId="62" applyFont="1" applyFill="1" applyBorder="1" applyAlignment="1" applyProtection="1">
      <alignment horizontal="center" vertical="center"/>
    </xf>
    <xf numFmtId="0" fontId="129" fillId="26" borderId="91" xfId="62" applyFont="1" applyFill="1" applyBorder="1" applyAlignment="1" applyProtection="1">
      <alignment horizontal="center" vertical="center"/>
    </xf>
    <xf numFmtId="0" fontId="115" fillId="0" borderId="75" xfId="67" applyFont="1" applyFill="1" applyBorder="1" applyAlignment="1" applyProtection="1">
      <alignment horizontal="center" vertical="center" readingOrder="2"/>
    </xf>
    <xf numFmtId="0" fontId="115" fillId="0" borderId="76" xfId="67" applyFont="1" applyFill="1" applyBorder="1" applyAlignment="1" applyProtection="1">
      <alignment horizontal="center" vertical="center" readingOrder="2"/>
    </xf>
    <xf numFmtId="0" fontId="132" fillId="0" borderId="77" xfId="73" applyFont="1" applyFill="1" applyBorder="1" applyAlignment="1" applyProtection="1">
      <alignment horizontal="center"/>
    </xf>
    <xf numFmtId="0" fontId="98" fillId="0" borderId="49" xfId="67" applyFont="1" applyFill="1" applyBorder="1" applyAlignment="1" applyProtection="1">
      <alignment horizontal="center" vertical="center" readingOrder="2"/>
    </xf>
    <xf numFmtId="0" fontId="133" fillId="0" borderId="51" xfId="73" applyFont="1" applyFill="1" applyBorder="1" applyAlignment="1" applyProtection="1">
      <alignment horizontal="center"/>
    </xf>
    <xf numFmtId="0" fontId="98" fillId="0" borderId="52" xfId="67" applyFont="1" applyFill="1" applyBorder="1" applyAlignment="1" applyProtection="1">
      <alignment horizontal="center" vertical="center" readingOrder="2"/>
    </xf>
    <xf numFmtId="0" fontId="121" fillId="0" borderId="92" xfId="73" applyFont="1" applyFill="1" applyBorder="1" applyAlignment="1" applyProtection="1">
      <alignment horizontal="center"/>
    </xf>
    <xf numFmtId="0" fontId="98" fillId="0" borderId="75" xfId="67" applyFont="1" applyFill="1" applyBorder="1" applyAlignment="1" applyProtection="1">
      <alignment horizontal="center" vertical="center" readingOrder="2"/>
    </xf>
    <xf numFmtId="0" fontId="133" fillId="0" borderId="93" xfId="73" applyFont="1" applyFill="1" applyBorder="1" applyAlignment="1" applyProtection="1">
      <alignment horizontal="center"/>
    </xf>
    <xf numFmtId="0" fontId="98" fillId="0" borderId="94" xfId="67" applyFont="1" applyFill="1" applyBorder="1" applyAlignment="1" applyProtection="1">
      <alignment horizontal="center" vertical="center" readingOrder="2"/>
    </xf>
    <xf numFmtId="0" fontId="133" fillId="0" borderId="77" xfId="73" applyFont="1" applyFill="1" applyBorder="1" applyAlignment="1" applyProtection="1">
      <alignment horizontal="center"/>
    </xf>
    <xf numFmtId="0" fontId="134" fillId="26" borderId="61" xfId="62" applyFont="1" applyFill="1" applyBorder="1" applyAlignment="1" applyProtection="1">
      <alignment vertical="center"/>
    </xf>
    <xf numFmtId="0" fontId="134" fillId="26" borderId="62" xfId="62" applyFont="1" applyFill="1" applyBorder="1" applyAlignment="1" applyProtection="1">
      <alignment vertical="center"/>
    </xf>
    <xf numFmtId="0" fontId="134" fillId="26" borderId="65" xfId="62" applyFont="1" applyFill="1" applyBorder="1" applyAlignment="1" applyProtection="1">
      <alignment vertical="center"/>
    </xf>
    <xf numFmtId="0" fontId="134" fillId="26" borderId="95" xfId="62" applyFont="1" applyFill="1" applyBorder="1" applyAlignment="1" applyProtection="1">
      <alignment vertical="center"/>
    </xf>
    <xf numFmtId="0" fontId="134" fillId="26" borderId="96" xfId="62" applyFont="1" applyFill="1" applyBorder="1" applyAlignment="1" applyProtection="1">
      <alignment vertical="center"/>
    </xf>
    <xf numFmtId="0" fontId="134" fillId="26" borderId="97" xfId="62" applyFont="1" applyFill="1" applyBorder="1" applyAlignment="1" applyProtection="1">
      <alignment vertical="center"/>
    </xf>
    <xf numFmtId="0" fontId="144" fillId="0" borderId="0" xfId="73" applyFont="1" applyProtection="1"/>
    <xf numFmtId="0" fontId="144" fillId="0" borderId="0" xfId="62" applyFont="1" applyAlignment="1" applyProtection="1"/>
    <xf numFmtId="0" fontId="145" fillId="0" borderId="0" xfId="67" applyFont="1" applyAlignment="1" applyProtection="1">
      <alignment horizontal="right" vertical="center" readingOrder="2"/>
    </xf>
    <xf numFmtId="0" fontId="136" fillId="0" borderId="0" xfId="73" applyFont="1" applyProtection="1"/>
    <xf numFmtId="0" fontId="136" fillId="0" borderId="0" xfId="62" applyFont="1" applyAlignment="1" applyProtection="1"/>
    <xf numFmtId="0" fontId="146" fillId="0" borderId="0" xfId="67" applyFont="1" applyAlignment="1" applyProtection="1">
      <alignment horizontal="right" vertical="center" readingOrder="2"/>
    </xf>
    <xf numFmtId="0" fontId="147" fillId="0" borderId="0" xfId="67" applyFont="1" applyAlignment="1" applyProtection="1">
      <alignment horizontal="right" vertical="center" readingOrder="2"/>
    </xf>
    <xf numFmtId="0" fontId="63" fillId="0" borderId="0" xfId="62" applyFill="1" applyAlignment="1" applyProtection="1"/>
    <xf numFmtId="0" fontId="147" fillId="0" borderId="0" xfId="67" applyFont="1" applyFill="1" applyAlignment="1" applyProtection="1">
      <alignment horizontal="right" vertical="center" readingOrder="2"/>
    </xf>
    <xf numFmtId="0" fontId="63" fillId="0" borderId="0" xfId="62" applyFill="1" applyProtection="1"/>
    <xf numFmtId="0" fontId="1" fillId="28" borderId="0" xfId="67" applyFill="1" applyBorder="1" applyProtection="1"/>
    <xf numFmtId="0" fontId="98" fillId="0" borderId="78" xfId="67" applyFont="1" applyFill="1" applyBorder="1" applyAlignment="1" applyProtection="1">
      <alignment horizontal="center" vertical="center" readingOrder="2"/>
    </xf>
    <xf numFmtId="0" fontId="133" fillId="0" borderId="98" xfId="73" applyFont="1" applyFill="1" applyBorder="1" applyAlignment="1" applyProtection="1">
      <alignment horizontal="center"/>
    </xf>
    <xf numFmtId="0" fontId="98" fillId="0" borderId="99" xfId="67" applyFont="1" applyFill="1" applyBorder="1" applyAlignment="1" applyProtection="1">
      <alignment horizontal="center" vertical="center" readingOrder="2"/>
    </xf>
    <xf numFmtId="0" fontId="133" fillId="0" borderId="100" xfId="73" applyFont="1" applyFill="1" applyBorder="1" applyAlignment="1" applyProtection="1">
      <alignment horizontal="center"/>
    </xf>
    <xf numFmtId="0" fontId="98" fillId="0" borderId="101" xfId="67" applyFont="1" applyFill="1" applyBorder="1" applyAlignment="1" applyProtection="1">
      <alignment horizontal="center" vertical="center" readingOrder="2"/>
    </xf>
    <xf numFmtId="0" fontId="133" fillId="0" borderId="80" xfId="73" applyFont="1" applyFill="1" applyBorder="1" applyAlignment="1" applyProtection="1">
      <alignment horizontal="center"/>
    </xf>
    <xf numFmtId="0" fontId="1" fillId="33" borderId="0" xfId="73" applyFill="1" applyProtection="1"/>
    <xf numFmtId="0" fontId="92" fillId="0" borderId="0" xfId="67" applyFont="1" applyFill="1" applyAlignment="1" applyProtection="1">
      <alignment horizontal="right" vertical="top" readingOrder="2"/>
    </xf>
    <xf numFmtId="0" fontId="152" fillId="0" borderId="0" xfId="67" applyFont="1" applyAlignment="1" applyProtection="1">
      <alignment horizontal="right" vertical="top" readingOrder="2"/>
    </xf>
    <xf numFmtId="0" fontId="92" fillId="0" borderId="0" xfId="67" applyFont="1" applyAlignment="1" applyProtection="1">
      <alignment horizontal="right" vertical="top" readingOrder="2"/>
    </xf>
    <xf numFmtId="0" fontId="128" fillId="0" borderId="0" xfId="67" applyFont="1" applyFill="1" applyAlignment="1" applyProtection="1">
      <alignment horizontal="right" vertical="center" readingOrder="2"/>
    </xf>
    <xf numFmtId="2" fontId="73" fillId="0" borderId="102" xfId="62" applyNumberFormat="1" applyFont="1" applyFill="1" applyBorder="1" applyAlignment="1" applyProtection="1">
      <alignment horizontal="center" vertical="center"/>
    </xf>
    <xf numFmtId="2" fontId="73" fillId="0" borderId="49" xfId="62" applyNumberFormat="1" applyFont="1" applyFill="1" applyBorder="1" applyAlignment="1" applyProtection="1">
      <alignment vertical="center"/>
    </xf>
    <xf numFmtId="2" fontId="73" fillId="0" borderId="50" xfId="62" applyNumberFormat="1" applyFont="1" applyFill="1" applyBorder="1" applyAlignment="1" applyProtection="1">
      <alignment vertical="center"/>
    </xf>
    <xf numFmtId="3" fontId="73" fillId="0" borderId="50" xfId="62" applyNumberFormat="1" applyFont="1" applyFill="1" applyBorder="1" applyAlignment="1" applyProtection="1">
      <alignment vertical="center"/>
    </xf>
    <xf numFmtId="3" fontId="73" fillId="0" borderId="51" xfId="62" applyNumberFormat="1" applyFont="1" applyFill="1" applyBorder="1" applyAlignment="1" applyProtection="1">
      <alignment vertical="center"/>
    </xf>
    <xf numFmtId="2" fontId="73" fillId="0" borderId="103" xfId="62" applyNumberFormat="1" applyFont="1" applyFill="1" applyBorder="1" applyAlignment="1" applyProtection="1">
      <alignment horizontal="center" vertical="center"/>
    </xf>
    <xf numFmtId="1" fontId="73" fillId="0" borderId="104" xfId="62" applyNumberFormat="1" applyFont="1" applyFill="1" applyBorder="1" applyAlignment="1" applyProtection="1">
      <alignment horizontal="center" vertical="center"/>
    </xf>
    <xf numFmtId="1" fontId="73" fillId="0" borderId="105" xfId="62" applyNumberFormat="1" applyFont="1" applyFill="1" applyBorder="1" applyAlignment="1" applyProtection="1">
      <alignment horizontal="center" vertical="center"/>
    </xf>
    <xf numFmtId="2" fontId="73" fillId="0" borderId="106" xfId="62" applyNumberFormat="1" applyFont="1" applyFill="1" applyBorder="1" applyAlignment="1" applyProtection="1">
      <alignment horizontal="center" vertical="center"/>
    </xf>
    <xf numFmtId="1" fontId="73" fillId="0" borderId="107" xfId="62" applyNumberFormat="1" applyFont="1" applyFill="1" applyBorder="1" applyAlignment="1" applyProtection="1">
      <alignment horizontal="center" vertical="center"/>
    </xf>
    <xf numFmtId="2" fontId="73" fillId="0" borderId="30" xfId="62" applyNumberFormat="1" applyFont="1" applyFill="1" applyBorder="1" applyAlignment="1" applyProtection="1">
      <alignment horizontal="center"/>
    </xf>
    <xf numFmtId="2" fontId="73" fillId="0" borderId="17" xfId="62" applyNumberFormat="1" applyFont="1" applyFill="1" applyBorder="1" applyAlignment="1" applyProtection="1">
      <alignment horizontal="center"/>
    </xf>
    <xf numFmtId="2" fontId="73" fillId="0" borderId="16" xfId="62" applyNumberFormat="1" applyFont="1" applyFill="1" applyBorder="1" applyAlignment="1" applyProtection="1">
      <alignment horizontal="center"/>
    </xf>
    <xf numFmtId="2" fontId="73" fillId="0" borderId="47" xfId="62" applyNumberFormat="1" applyFont="1" applyFill="1" applyBorder="1" applyAlignment="1" applyProtection="1">
      <alignment horizontal="center"/>
    </xf>
    <xf numFmtId="2" fontId="73" fillId="0" borderId="48" xfId="62" applyNumberFormat="1" applyFont="1" applyFill="1" applyBorder="1" applyAlignment="1" applyProtection="1">
      <alignment horizontal="center"/>
    </xf>
    <xf numFmtId="1" fontId="73" fillId="0" borderId="36" xfId="62" applyNumberFormat="1" applyFont="1" applyFill="1" applyBorder="1" applyAlignment="1" applyProtection="1">
      <alignment horizontal="center"/>
    </xf>
    <xf numFmtId="1" fontId="73" fillId="0" borderId="48" xfId="62" applyNumberFormat="1" applyFont="1" applyFill="1" applyBorder="1" applyAlignment="1" applyProtection="1">
      <alignment horizontal="center"/>
    </xf>
    <xf numFmtId="0" fontId="82" fillId="26" borderId="108" xfId="62" applyFont="1" applyFill="1" applyBorder="1" applyAlignment="1" applyProtection="1">
      <alignment vertical="center" wrapText="1"/>
    </xf>
    <xf numFmtId="0" fontId="82" fillId="26" borderId="59" xfId="62" applyFont="1" applyFill="1" applyBorder="1" applyAlignment="1" applyProtection="1">
      <alignment vertical="center" wrapText="1"/>
    </xf>
    <xf numFmtId="0" fontId="154" fillId="26" borderId="109" xfId="62" applyFont="1" applyFill="1" applyBorder="1" applyAlignment="1" applyProtection="1">
      <alignment vertical="center"/>
    </xf>
    <xf numFmtId="0" fontId="154" fillId="26" borderId="110" xfId="62" applyFont="1" applyFill="1" applyBorder="1" applyAlignment="1" applyProtection="1">
      <alignment vertical="center"/>
    </xf>
    <xf numFmtId="0" fontId="154" fillId="26" borderId="111" xfId="62" applyFont="1" applyFill="1" applyBorder="1" applyAlignment="1" applyProtection="1">
      <alignment vertical="center"/>
    </xf>
    <xf numFmtId="0" fontId="156" fillId="0" borderId="75" xfId="62" applyFont="1" applyFill="1" applyBorder="1" applyAlignment="1" applyProtection="1">
      <alignment horizontal="center" vertical="center"/>
    </xf>
    <xf numFmtId="0" fontId="156" fillId="0" borderId="76" xfId="62" applyFont="1" applyFill="1" applyBorder="1" applyAlignment="1" applyProtection="1">
      <alignment horizontal="center" vertical="center"/>
    </xf>
    <xf numFmtId="0" fontId="156" fillId="0" borderId="92" xfId="62" applyFont="1" applyFill="1" applyBorder="1" applyAlignment="1" applyProtection="1">
      <alignment horizontal="center" vertical="center"/>
    </xf>
    <xf numFmtId="0" fontId="156" fillId="0" borderId="94" xfId="62" applyFont="1" applyFill="1" applyBorder="1" applyAlignment="1" applyProtection="1">
      <alignment horizontal="center" vertical="center"/>
    </xf>
    <xf numFmtId="0" fontId="156" fillId="0" borderId="93" xfId="62" applyFont="1" applyFill="1" applyBorder="1" applyAlignment="1" applyProtection="1">
      <alignment horizontal="center" vertical="center"/>
    </xf>
    <xf numFmtId="0" fontId="156" fillId="0" borderId="112" xfId="62" applyFont="1" applyFill="1" applyBorder="1" applyAlignment="1" applyProtection="1">
      <alignment horizontal="center" vertical="center"/>
    </xf>
    <xf numFmtId="0" fontId="156" fillId="0" borderId="77" xfId="62" applyFont="1" applyFill="1" applyBorder="1" applyAlignment="1" applyProtection="1">
      <alignment horizontal="center" vertical="center"/>
    </xf>
    <xf numFmtId="0" fontId="160" fillId="0" borderId="95" xfId="62" applyFont="1" applyFill="1" applyBorder="1" applyAlignment="1" applyProtection="1">
      <alignment vertical="center"/>
    </xf>
    <xf numFmtId="0" fontId="160" fillId="0" borderId="96" xfId="62" applyFont="1" applyFill="1" applyBorder="1" applyAlignment="1" applyProtection="1">
      <alignment horizontal="center" vertical="center"/>
    </xf>
    <xf numFmtId="0" fontId="160" fillId="0" borderId="113" xfId="62" applyFont="1" applyFill="1" applyBorder="1" applyAlignment="1" applyProtection="1">
      <alignment vertical="center"/>
    </xf>
    <xf numFmtId="0" fontId="160" fillId="0" borderId="114" xfId="62" applyFont="1" applyFill="1" applyBorder="1" applyAlignment="1" applyProtection="1">
      <alignment vertical="center"/>
    </xf>
    <xf numFmtId="0" fontId="160" fillId="0" borderId="97" xfId="62" applyFont="1" applyFill="1" applyBorder="1" applyAlignment="1" applyProtection="1">
      <alignment vertical="center"/>
    </xf>
    <xf numFmtId="0" fontId="164" fillId="26" borderId="62" xfId="62" applyFont="1" applyFill="1" applyBorder="1" applyAlignment="1" applyProtection="1">
      <alignment horizontal="center" vertical="center"/>
    </xf>
    <xf numFmtId="0" fontId="164" fillId="26" borderId="61" xfId="62" applyFont="1" applyFill="1" applyBorder="1" applyAlignment="1" applyProtection="1">
      <alignment vertical="center"/>
    </xf>
    <xf numFmtId="0" fontId="164" fillId="26" borderId="62" xfId="62" applyFont="1" applyFill="1" applyBorder="1" applyAlignment="1" applyProtection="1">
      <alignment vertical="center"/>
    </xf>
    <xf numFmtId="0" fontId="164" fillId="26" borderId="65" xfId="62" applyFont="1" applyFill="1" applyBorder="1" applyAlignment="1" applyProtection="1">
      <alignment vertical="center"/>
    </xf>
    <xf numFmtId="0" fontId="164" fillId="26" borderId="72" xfId="62" applyFont="1" applyFill="1" applyBorder="1" applyAlignment="1" applyProtection="1">
      <alignment vertical="center"/>
    </xf>
    <xf numFmtId="0" fontId="164" fillId="26" borderId="73" xfId="62" applyFont="1" applyFill="1" applyBorder="1" applyAlignment="1" applyProtection="1">
      <alignment vertical="center"/>
    </xf>
    <xf numFmtId="0" fontId="164" fillId="26" borderId="73" xfId="62" applyFont="1" applyFill="1" applyBorder="1" applyAlignment="1" applyProtection="1">
      <alignment horizontal="center" vertical="center"/>
    </xf>
    <xf numFmtId="0" fontId="164" fillId="26" borderId="74" xfId="62" applyFont="1" applyFill="1" applyBorder="1" applyAlignment="1" applyProtection="1">
      <alignment vertical="center"/>
    </xf>
    <xf numFmtId="0" fontId="199" fillId="0" borderId="0" xfId="67" applyFont="1" applyAlignment="1" applyProtection="1">
      <alignment horizontal="right" vertical="center" readingOrder="2"/>
    </xf>
    <xf numFmtId="0" fontId="166" fillId="0" borderId="0" xfId="62" applyFont="1" applyProtection="1"/>
    <xf numFmtId="0" fontId="152" fillId="0" borderId="0" xfId="67" applyFont="1" applyAlignment="1" applyProtection="1">
      <alignment horizontal="right" vertical="center" readingOrder="2"/>
    </xf>
    <xf numFmtId="0" fontId="1" fillId="0" borderId="0" xfId="69" applyFont="1" applyFill="1" applyBorder="1" applyAlignment="1" applyProtection="1">
      <alignment horizontal="center"/>
    </xf>
    <xf numFmtId="0" fontId="167" fillId="0" borderId="0" xfId="69" applyFont="1" applyFill="1" applyBorder="1" applyAlignment="1" applyProtection="1">
      <alignment horizontal="right"/>
    </xf>
    <xf numFmtId="0" fontId="92" fillId="0" borderId="0" xfId="69" applyFont="1" applyFill="1" applyBorder="1" applyAlignment="1" applyProtection="1">
      <alignment horizontal="right" readingOrder="2"/>
    </xf>
    <xf numFmtId="0" fontId="152" fillId="0" borderId="0" xfId="69" applyFont="1" applyFill="1" applyBorder="1" applyAlignment="1" applyProtection="1">
      <alignment horizontal="right" readingOrder="2"/>
    </xf>
    <xf numFmtId="0" fontId="168" fillId="0" borderId="0" xfId="69" applyFont="1" applyFill="1" applyBorder="1" applyAlignment="1" applyProtection="1">
      <alignment horizontal="center"/>
    </xf>
    <xf numFmtId="0" fontId="1" fillId="27" borderId="0" xfId="73" applyFont="1" applyFill="1" applyBorder="1"/>
    <xf numFmtId="0" fontId="203" fillId="31" borderId="116" xfId="60" applyFont="1" applyFill="1" applyBorder="1" applyAlignment="1">
      <alignment horizontal="center"/>
    </xf>
    <xf numFmtId="3" fontId="200" fillId="0" borderId="13" xfId="60" applyNumberFormat="1" applyFont="1" applyFill="1" applyBorder="1" applyAlignment="1" applyProtection="1">
      <alignment horizontal="right" vertical="center"/>
      <protection locked="0"/>
    </xf>
    <xf numFmtId="0" fontId="57" fillId="0" borderId="0" xfId="64" applyFont="1" applyFill="1" applyBorder="1" applyAlignment="1">
      <alignment vertical="center" readingOrder="2"/>
    </xf>
    <xf numFmtId="0" fontId="1" fillId="0" borderId="0" xfId="64" applyProtection="1"/>
    <xf numFmtId="0" fontId="1" fillId="0" borderId="0" xfId="71" applyBorder="1" applyProtection="1">
      <protection locked="0"/>
    </xf>
    <xf numFmtId="0" fontId="1" fillId="0" borderId="0" xfId="71" applyFont="1" applyBorder="1" applyProtection="1">
      <protection locked="0"/>
    </xf>
    <xf numFmtId="0" fontId="7" fillId="0" borderId="0" xfId="71" applyFont="1" applyFill="1" applyBorder="1" applyAlignment="1" applyProtection="1">
      <alignment horizontal="center" vertical="center" readingOrder="2"/>
      <protection locked="0"/>
    </xf>
    <xf numFmtId="0" fontId="7" fillId="0" borderId="0" xfId="73" applyFont="1" applyFill="1" applyBorder="1" applyAlignment="1">
      <alignment horizontal="right" vertical="center" readingOrder="2"/>
    </xf>
    <xf numFmtId="0" fontId="116" fillId="0" borderId="0" xfId="73" applyFont="1" applyFill="1" applyBorder="1" applyAlignment="1">
      <alignment horizontal="right" vertical="center" readingOrder="2"/>
    </xf>
    <xf numFmtId="0" fontId="55" fillId="0" borderId="0" xfId="73" applyFont="1" applyFill="1" applyBorder="1" applyAlignment="1">
      <alignment horizontal="center" vertical="center" readingOrder="2"/>
    </xf>
    <xf numFmtId="0" fontId="58" fillId="0" borderId="0" xfId="73" applyFont="1" applyFill="1" applyBorder="1" applyAlignment="1" applyProtection="1">
      <alignment vertical="center" readingOrder="2"/>
      <protection hidden="1"/>
    </xf>
    <xf numFmtId="0" fontId="58" fillId="0" borderId="0" xfId="73" applyFont="1" applyFill="1" applyBorder="1" applyAlignment="1">
      <alignment horizontal="right" vertical="center" readingOrder="2"/>
    </xf>
    <xf numFmtId="0" fontId="2" fillId="0" borderId="0" xfId="73" applyFont="1" applyFill="1" applyBorder="1" applyAlignment="1">
      <alignment horizontal="center" vertical="center"/>
    </xf>
    <xf numFmtId="0" fontId="55" fillId="0" borderId="0" xfId="73" applyFont="1" applyFill="1" applyBorder="1" applyAlignment="1">
      <alignment horizontal="right" vertical="center" readingOrder="2"/>
    </xf>
    <xf numFmtId="0" fontId="7" fillId="0" borderId="0" xfId="73" applyFont="1" applyFill="1" applyBorder="1" applyAlignment="1">
      <alignment horizontal="center" vertical="center" readingOrder="2"/>
    </xf>
    <xf numFmtId="0" fontId="58" fillId="26" borderId="119" xfId="73" applyFont="1" applyFill="1" applyBorder="1" applyAlignment="1" applyProtection="1">
      <alignment vertical="center" readingOrder="2"/>
      <protection locked="0"/>
    </xf>
    <xf numFmtId="0" fontId="1" fillId="0" borderId="0" xfId="76" applyFill="1" applyBorder="1"/>
    <xf numFmtId="0" fontId="1" fillId="0" borderId="0" xfId="70" applyFill="1" applyBorder="1"/>
    <xf numFmtId="0" fontId="7" fillId="0" borderId="0" xfId="73" applyFont="1" applyFill="1" applyBorder="1" applyAlignment="1">
      <alignment vertical="center" readingOrder="2"/>
    </xf>
    <xf numFmtId="0" fontId="2" fillId="0" borderId="0" xfId="64" applyFont="1" applyFill="1" applyBorder="1" applyAlignment="1">
      <alignment vertical="center" readingOrder="1"/>
    </xf>
    <xf numFmtId="0" fontId="2" fillId="0" borderId="0" xfId="64" applyFont="1" applyFill="1" applyBorder="1" applyAlignment="1">
      <alignment horizontal="center" vertical="center" readingOrder="1"/>
    </xf>
    <xf numFmtId="0" fontId="2" fillId="0" borderId="0" xfId="64" applyFont="1" applyFill="1" applyBorder="1" applyAlignment="1">
      <alignment vertical="center" readingOrder="2"/>
    </xf>
    <xf numFmtId="0" fontId="2" fillId="0" borderId="0" xfId="64" applyFont="1" applyFill="1" applyBorder="1" applyAlignment="1">
      <alignment horizontal="center" vertical="center"/>
    </xf>
    <xf numFmtId="0" fontId="2" fillId="0" borderId="0" xfId="73" applyFont="1" applyFill="1" applyBorder="1" applyAlignment="1">
      <alignment vertical="center" readingOrder="1"/>
    </xf>
    <xf numFmtId="0" fontId="2" fillId="0" borderId="0" xfId="73" applyFont="1" applyFill="1" applyBorder="1" applyAlignment="1">
      <alignment horizontal="center" vertical="center" readingOrder="1"/>
    </xf>
    <xf numFmtId="0" fontId="1" fillId="0" borderId="0" xfId="73" applyFill="1" applyBorder="1" applyAlignment="1">
      <alignment vertical="center"/>
    </xf>
    <xf numFmtId="0" fontId="58" fillId="0" borderId="0" xfId="73" applyFont="1" applyFill="1" applyBorder="1" applyAlignment="1">
      <alignment horizontal="center" vertical="center" readingOrder="1"/>
    </xf>
    <xf numFmtId="0" fontId="58" fillId="0" borderId="0" xfId="73" applyFont="1" applyFill="1" applyBorder="1" applyAlignment="1">
      <alignment horizontal="center" vertical="center" readingOrder="2"/>
    </xf>
    <xf numFmtId="0" fontId="87" fillId="0" borderId="0" xfId="73" applyFont="1" applyFill="1" applyBorder="1" applyAlignment="1">
      <alignment horizontal="right" vertical="center" readingOrder="2"/>
    </xf>
    <xf numFmtId="0" fontId="173" fillId="0" borderId="0" xfId="73" applyFont="1" applyFill="1" applyBorder="1" applyAlignment="1">
      <alignment horizontal="center" vertical="center" readingOrder="2"/>
    </xf>
    <xf numFmtId="0" fontId="58" fillId="0" borderId="0" xfId="73" applyFont="1" applyFill="1" applyBorder="1" applyAlignment="1">
      <alignment vertical="center" readingOrder="2"/>
    </xf>
    <xf numFmtId="0" fontId="7" fillId="0" borderId="0" xfId="73" applyFont="1" applyFill="1" applyBorder="1" applyAlignment="1">
      <alignment horizontal="left" vertical="center" readingOrder="2"/>
    </xf>
    <xf numFmtId="0" fontId="2" fillId="0" borderId="0" xfId="73" applyFont="1" applyFill="1" applyBorder="1" applyAlignment="1">
      <alignment horizontal="right" vertical="center"/>
    </xf>
    <xf numFmtId="0" fontId="58" fillId="0" borderId="0" xfId="70" applyFont="1" applyFill="1" applyBorder="1" applyAlignment="1">
      <alignment horizontal="center" vertical="center" readingOrder="1"/>
    </xf>
    <xf numFmtId="0" fontId="2" fillId="0" borderId="0" xfId="70" applyFont="1" applyFill="1" applyBorder="1" applyAlignment="1">
      <alignment vertical="center" readingOrder="1"/>
    </xf>
    <xf numFmtId="0" fontId="2" fillId="0" borderId="0" xfId="70" applyFont="1" applyFill="1" applyBorder="1" applyAlignment="1">
      <alignment vertical="center"/>
    </xf>
    <xf numFmtId="0" fontId="1" fillId="0" borderId="0" xfId="70" applyFill="1" applyBorder="1" applyAlignment="1">
      <alignment vertical="center"/>
    </xf>
    <xf numFmtId="0" fontId="7" fillId="0" borderId="0" xfId="70" applyFont="1" applyFill="1" applyBorder="1" applyAlignment="1">
      <alignment vertical="center" readingOrder="2"/>
    </xf>
    <xf numFmtId="0" fontId="58" fillId="0" borderId="117" xfId="70" applyFont="1" applyFill="1" applyBorder="1" applyAlignment="1" applyProtection="1">
      <alignment horizontal="center" vertical="center" readingOrder="2"/>
      <protection locked="0"/>
    </xf>
    <xf numFmtId="0" fontId="7" fillId="0" borderId="0" xfId="70" applyFont="1" applyFill="1" applyBorder="1" applyAlignment="1">
      <alignment horizontal="right" vertical="center" readingOrder="2"/>
    </xf>
    <xf numFmtId="0" fontId="58" fillId="0" borderId="0" xfId="73" applyFont="1" applyFill="1" applyBorder="1" applyAlignment="1">
      <alignment horizontal="center" vertical="center"/>
    </xf>
    <xf numFmtId="0" fontId="1" fillId="0" borderId="0" xfId="73" applyFont="1" applyFill="1" applyBorder="1" applyAlignment="1">
      <alignment vertical="center"/>
    </xf>
    <xf numFmtId="0" fontId="207" fillId="26" borderId="117" xfId="73" applyFont="1" applyFill="1" applyBorder="1" applyAlignment="1" applyProtection="1">
      <alignment horizontal="center" vertical="center"/>
      <protection locked="0"/>
    </xf>
    <xf numFmtId="0" fontId="58" fillId="0" borderId="0" xfId="73" applyFont="1" applyBorder="1" applyAlignment="1">
      <alignment horizontal="center" vertical="center"/>
    </xf>
    <xf numFmtId="2" fontId="7" fillId="0" borderId="116" xfId="73" applyNumberFormat="1" applyFont="1" applyFill="1" applyBorder="1" applyAlignment="1">
      <alignment readingOrder="2"/>
    </xf>
    <xf numFmtId="2" fontId="7" fillId="0" borderId="116" xfId="73" applyNumberFormat="1" applyFont="1" applyFill="1" applyBorder="1" applyAlignment="1">
      <alignment horizontal="left" readingOrder="2"/>
    </xf>
    <xf numFmtId="0" fontId="2" fillId="0" borderId="0" xfId="73" applyFont="1" applyFill="1" applyBorder="1" applyAlignment="1">
      <alignment horizontal="center" vertical="center" readingOrder="2"/>
    </xf>
    <xf numFmtId="0" fontId="2" fillId="0" borderId="0" xfId="73" applyFont="1" applyFill="1" applyBorder="1" applyAlignment="1">
      <alignment horizontal="right" vertical="center" readingOrder="2"/>
    </xf>
    <xf numFmtId="0" fontId="1" fillId="0" borderId="0" xfId="73" applyFill="1" applyBorder="1"/>
    <xf numFmtId="0" fontId="58" fillId="0" borderId="0" xfId="73" applyFont="1" applyFill="1" applyBorder="1"/>
    <xf numFmtId="49" fontId="7" fillId="0" borderId="0" xfId="73" applyNumberFormat="1" applyFont="1" applyFill="1" applyBorder="1" applyAlignment="1">
      <alignment horizontal="right" vertical="center" readingOrder="2"/>
    </xf>
    <xf numFmtId="0" fontId="7" fillId="0" borderId="0" xfId="73" applyFont="1" applyFill="1" applyBorder="1" applyAlignment="1">
      <alignment horizontal="left" vertical="center"/>
    </xf>
    <xf numFmtId="49" fontId="58" fillId="0" borderId="0" xfId="73" applyNumberFormat="1" applyFont="1" applyFill="1" applyBorder="1" applyAlignment="1">
      <alignment horizontal="center" vertical="center" readingOrder="2"/>
    </xf>
    <xf numFmtId="49" fontId="1" fillId="0" borderId="0" xfId="73" applyNumberFormat="1" applyFill="1" applyBorder="1"/>
    <xf numFmtId="49" fontId="58" fillId="0" borderId="0" xfId="73" applyNumberFormat="1" applyFont="1" applyFill="1" applyBorder="1" applyAlignment="1">
      <alignment vertical="center" readingOrder="2"/>
    </xf>
    <xf numFmtId="49" fontId="58" fillId="0" borderId="0" xfId="73" applyNumberFormat="1" applyFont="1" applyFill="1" applyBorder="1"/>
    <xf numFmtId="49" fontId="7" fillId="0" borderId="0" xfId="73" applyNumberFormat="1" applyFont="1" applyFill="1" applyBorder="1" applyAlignment="1">
      <alignment horizontal="center" vertical="center" readingOrder="2"/>
    </xf>
    <xf numFmtId="49" fontId="7" fillId="0" borderId="0" xfId="73" applyNumberFormat="1" applyFont="1" applyFill="1" applyBorder="1" applyAlignment="1">
      <alignment vertical="center" readingOrder="2"/>
    </xf>
    <xf numFmtId="0" fontId="1" fillId="0" borderId="0" xfId="73" applyFill="1" applyBorder="1" applyAlignment="1"/>
    <xf numFmtId="0" fontId="1" fillId="0" borderId="0" xfId="70" applyBorder="1" applyAlignment="1"/>
    <xf numFmtId="49" fontId="7" fillId="0" borderId="0" xfId="73" applyNumberFormat="1" applyFont="1" applyFill="1" applyBorder="1" applyAlignment="1">
      <alignment horizontal="left" vertical="center" readingOrder="2"/>
    </xf>
    <xf numFmtId="0" fontId="7" fillId="0" borderId="0" xfId="70" applyFont="1" applyFill="1" applyBorder="1" applyAlignment="1">
      <alignment horizontal="left" vertical="center" readingOrder="2"/>
    </xf>
    <xf numFmtId="3" fontId="3" fillId="26" borderId="125" xfId="64" applyNumberFormat="1" applyFont="1" applyFill="1" applyBorder="1" applyAlignment="1" applyProtection="1">
      <alignment horizontal="center" vertical="center" wrapText="1" readingOrder="1"/>
      <protection locked="0"/>
    </xf>
    <xf numFmtId="3" fontId="3" fillId="26" borderId="126" xfId="64" applyNumberFormat="1" applyFont="1" applyFill="1" applyBorder="1" applyAlignment="1" applyProtection="1">
      <alignment horizontal="center" vertical="center" wrapText="1" readingOrder="1"/>
      <protection locked="0"/>
    </xf>
    <xf numFmtId="3" fontId="3" fillId="26" borderId="127" xfId="64" applyNumberFormat="1" applyFont="1" applyFill="1" applyBorder="1" applyAlignment="1" applyProtection="1">
      <alignment horizontal="center" vertical="center" wrapText="1" readingOrder="1"/>
      <protection locked="0"/>
    </xf>
    <xf numFmtId="3" fontId="3" fillId="26" borderId="128" xfId="64" applyNumberFormat="1" applyFont="1" applyFill="1" applyBorder="1" applyAlignment="1" applyProtection="1">
      <alignment horizontal="center" vertical="center" wrapText="1" readingOrder="1"/>
      <protection locked="0"/>
    </xf>
    <xf numFmtId="3" fontId="3" fillId="26" borderId="129" xfId="64" applyNumberFormat="1" applyFont="1" applyFill="1" applyBorder="1" applyAlignment="1" applyProtection="1">
      <alignment horizontal="center" vertical="center" wrapText="1" readingOrder="1"/>
      <protection locked="0"/>
    </xf>
    <xf numFmtId="3" fontId="3" fillId="26" borderId="130" xfId="64" applyNumberFormat="1" applyFont="1" applyFill="1" applyBorder="1" applyAlignment="1" applyProtection="1">
      <alignment horizontal="center" vertical="center" wrapText="1" readingOrder="1"/>
      <protection locked="0"/>
    </xf>
    <xf numFmtId="0" fontId="65" fillId="0" borderId="0" xfId="73" applyFont="1" applyAlignment="1" applyProtection="1">
      <alignment horizontal="center" vertical="center" wrapText="1"/>
    </xf>
    <xf numFmtId="3" fontId="3" fillId="0" borderId="125" xfId="64" applyNumberFormat="1" applyFont="1" applyFill="1" applyBorder="1" applyAlignment="1" applyProtection="1">
      <alignment horizontal="center" vertical="center" wrapText="1" readingOrder="1"/>
      <protection locked="0"/>
    </xf>
    <xf numFmtId="3" fontId="3" fillId="0" borderId="128" xfId="64" applyNumberFormat="1" applyFont="1" applyFill="1" applyBorder="1" applyAlignment="1" applyProtection="1">
      <alignment horizontal="center" vertical="center" wrapText="1" readingOrder="1"/>
      <protection locked="0"/>
    </xf>
    <xf numFmtId="3" fontId="3" fillId="0" borderId="135" xfId="64" applyNumberFormat="1" applyFont="1" applyFill="1" applyBorder="1" applyAlignment="1" applyProtection="1">
      <alignment horizontal="center" vertical="center" wrapText="1" readingOrder="1"/>
      <protection locked="0"/>
    </xf>
    <xf numFmtId="3" fontId="3" fillId="0" borderId="136" xfId="64" applyNumberFormat="1" applyFont="1" applyFill="1" applyBorder="1" applyAlignment="1" applyProtection="1">
      <alignment horizontal="center" vertical="center" wrapText="1" readingOrder="1"/>
      <protection locked="0"/>
    </xf>
    <xf numFmtId="3" fontId="3" fillId="0" borderId="137" xfId="64" applyNumberFormat="1" applyFont="1" applyFill="1" applyBorder="1" applyAlignment="1" applyProtection="1">
      <alignment horizontal="center" vertical="center" wrapText="1" readingOrder="1"/>
      <protection locked="0"/>
    </xf>
    <xf numFmtId="3" fontId="3" fillId="0" borderId="138" xfId="64" applyNumberFormat="1" applyFont="1" applyFill="1" applyBorder="1" applyAlignment="1" applyProtection="1">
      <alignment horizontal="center" vertical="center" wrapText="1" readingOrder="1"/>
      <protection locked="0"/>
    </xf>
    <xf numFmtId="3" fontId="3" fillId="0" borderId="139" xfId="64" applyNumberFormat="1" applyFont="1" applyFill="1" applyBorder="1" applyAlignment="1" applyProtection="1">
      <alignment horizontal="center" vertical="center" wrapText="1" readingOrder="1"/>
      <protection locked="0"/>
    </xf>
    <xf numFmtId="3" fontId="3" fillId="0" borderId="140" xfId="64" applyNumberFormat="1" applyFont="1" applyFill="1" applyBorder="1" applyAlignment="1" applyProtection="1">
      <alignment horizontal="center" vertical="center" wrapText="1" readingOrder="1"/>
      <protection locked="0"/>
    </xf>
    <xf numFmtId="3" fontId="3" fillId="26" borderId="141" xfId="64" applyNumberFormat="1" applyFont="1" applyFill="1" applyBorder="1" applyAlignment="1" applyProtection="1">
      <alignment horizontal="center" vertical="center" wrapText="1" readingOrder="1"/>
      <protection locked="0"/>
    </xf>
    <xf numFmtId="3" fontId="3" fillId="26" borderId="142" xfId="64" applyNumberFormat="1" applyFont="1" applyFill="1" applyBorder="1" applyAlignment="1" applyProtection="1">
      <alignment horizontal="center" vertical="center" wrapText="1" readingOrder="1"/>
      <protection locked="0"/>
    </xf>
    <xf numFmtId="3" fontId="3" fillId="0" borderId="143" xfId="64" applyNumberFormat="1" applyFont="1" applyFill="1" applyBorder="1" applyAlignment="1" applyProtection="1">
      <alignment horizontal="center" vertical="center" wrapText="1" readingOrder="1"/>
      <protection locked="0"/>
    </xf>
    <xf numFmtId="3" fontId="3" fillId="26" borderId="123" xfId="64" applyNumberFormat="1" applyFont="1" applyFill="1" applyBorder="1" applyAlignment="1" applyProtection="1">
      <alignment horizontal="center" vertical="center" wrapText="1" readingOrder="1"/>
      <protection locked="0"/>
    </xf>
    <xf numFmtId="3" fontId="3" fillId="26" borderId="124" xfId="64" applyNumberFormat="1" applyFont="1" applyFill="1" applyBorder="1" applyAlignment="1" applyProtection="1">
      <alignment horizontal="center" vertical="center" wrapText="1" readingOrder="1"/>
      <protection locked="0"/>
    </xf>
    <xf numFmtId="3" fontId="3" fillId="26" borderId="144" xfId="64" applyNumberFormat="1" applyFont="1" applyFill="1" applyBorder="1" applyAlignment="1" applyProtection="1">
      <alignment horizontal="center" vertical="center" wrapText="1" readingOrder="1"/>
      <protection locked="0"/>
    </xf>
    <xf numFmtId="3" fontId="3" fillId="26" borderId="145" xfId="64" applyNumberFormat="1" applyFont="1" applyFill="1" applyBorder="1" applyAlignment="1" applyProtection="1">
      <alignment horizontal="center" vertical="center" wrapText="1" readingOrder="1"/>
      <protection locked="0"/>
    </xf>
    <xf numFmtId="3" fontId="3" fillId="26" borderId="146" xfId="64" applyNumberFormat="1" applyFont="1" applyFill="1" applyBorder="1" applyAlignment="1" applyProtection="1">
      <alignment horizontal="center" vertical="center" wrapText="1" readingOrder="1"/>
      <protection locked="0"/>
    </xf>
    <xf numFmtId="3" fontId="3" fillId="26" borderId="147" xfId="64" applyNumberFormat="1" applyFont="1" applyFill="1" applyBorder="1" applyAlignment="1" applyProtection="1">
      <alignment horizontal="center" vertical="center" wrapText="1" readingOrder="1"/>
      <protection locked="0"/>
    </xf>
    <xf numFmtId="3" fontId="3" fillId="26" borderId="148" xfId="64" applyNumberFormat="1" applyFont="1" applyFill="1" applyBorder="1" applyAlignment="1" applyProtection="1">
      <alignment horizontal="center" vertical="center" wrapText="1" readingOrder="1"/>
      <protection locked="0"/>
    </xf>
    <xf numFmtId="3" fontId="3" fillId="26" borderId="149" xfId="64" applyNumberFormat="1" applyFont="1" applyFill="1" applyBorder="1" applyAlignment="1" applyProtection="1">
      <alignment horizontal="center" vertical="center" wrapText="1" readingOrder="1"/>
      <protection locked="0"/>
    </xf>
    <xf numFmtId="3" fontId="3" fillId="26" borderId="150" xfId="64" applyNumberFormat="1" applyFont="1" applyFill="1" applyBorder="1" applyAlignment="1" applyProtection="1">
      <alignment horizontal="center" vertical="center" wrapText="1" readingOrder="1"/>
      <protection locked="0"/>
    </xf>
    <xf numFmtId="3" fontId="3" fillId="26" borderId="151" xfId="64" applyNumberFormat="1" applyFont="1" applyFill="1" applyBorder="1" applyAlignment="1" applyProtection="1">
      <alignment horizontal="center" vertical="center" wrapText="1" readingOrder="1"/>
      <protection locked="0"/>
    </xf>
    <xf numFmtId="3" fontId="3" fillId="26" borderId="152" xfId="64" applyNumberFormat="1" applyFont="1" applyFill="1" applyBorder="1" applyAlignment="1" applyProtection="1">
      <alignment horizontal="center" vertical="center" wrapText="1" readingOrder="1"/>
      <protection locked="0"/>
    </xf>
    <xf numFmtId="3" fontId="65" fillId="0" borderId="50" xfId="62" applyNumberFormat="1" applyFont="1" applyFill="1" applyBorder="1" applyAlignment="1" applyProtection="1">
      <alignment vertical="center"/>
    </xf>
    <xf numFmtId="0" fontId="1" fillId="0" borderId="0" xfId="67" applyFill="1" applyBorder="1" applyAlignment="1" applyProtection="1">
      <alignment horizontal="left"/>
    </xf>
    <xf numFmtId="0" fontId="80" fillId="28" borderId="164" xfId="67" applyFont="1" applyFill="1" applyBorder="1" applyAlignment="1" applyProtection="1">
      <alignment vertical="center" readingOrder="2"/>
    </xf>
    <xf numFmtId="0" fontId="80" fillId="28" borderId="41" xfId="67" applyFont="1" applyFill="1" applyBorder="1" applyAlignment="1" applyProtection="1">
      <alignment vertical="center" readingOrder="2"/>
    </xf>
    <xf numFmtId="3" fontId="102" fillId="0" borderId="19" xfId="62" applyNumberFormat="1" applyFont="1" applyFill="1" applyBorder="1" applyAlignment="1" applyProtection="1">
      <alignment vertical="center"/>
    </xf>
    <xf numFmtId="3" fontId="102" fillId="0" borderId="165" xfId="62" applyNumberFormat="1" applyFont="1" applyFill="1" applyBorder="1" applyAlignment="1" applyProtection="1">
      <alignment vertical="center"/>
    </xf>
    <xf numFmtId="0" fontId="1" fillId="0" borderId="0" xfId="73" applyAlignment="1" applyProtection="1">
      <alignment horizontal="left"/>
    </xf>
    <xf numFmtId="3" fontId="194" fillId="20" borderId="15" xfId="62" applyNumberFormat="1" applyFont="1" applyFill="1" applyBorder="1" applyAlignment="1" applyProtection="1">
      <alignment vertical="center"/>
    </xf>
    <xf numFmtId="3" fontId="191" fillId="0" borderId="32" xfId="62" applyNumberFormat="1" applyFont="1" applyFill="1" applyBorder="1" applyAlignment="1" applyProtection="1">
      <alignment horizontal="right"/>
    </xf>
    <xf numFmtId="3" fontId="191" fillId="0" borderId="17" xfId="62" applyNumberFormat="1" applyFont="1" applyFill="1" applyBorder="1" applyAlignment="1" applyProtection="1">
      <alignment horizontal="right"/>
    </xf>
    <xf numFmtId="3" fontId="191" fillId="0" borderId="16" xfId="62" applyNumberFormat="1" applyFont="1" applyFill="1" applyBorder="1" applyAlignment="1" applyProtection="1">
      <alignment horizontal="right"/>
    </xf>
    <xf numFmtId="3" fontId="191" fillId="0" borderId="38" xfId="62" applyNumberFormat="1" applyFont="1" applyFill="1" applyBorder="1" applyAlignment="1" applyProtection="1">
      <alignment horizontal="right"/>
    </xf>
    <xf numFmtId="1" fontId="73" fillId="34" borderId="19" xfId="62" applyNumberFormat="1" applyFont="1" applyFill="1" applyBorder="1" applyAlignment="1" applyProtection="1">
      <alignment horizontal="right"/>
    </xf>
    <xf numFmtId="1" fontId="73" fillId="34" borderId="18" xfId="62" applyNumberFormat="1" applyFont="1" applyFill="1" applyBorder="1" applyAlignment="1" applyProtection="1">
      <alignment horizontal="right"/>
    </xf>
    <xf numFmtId="1" fontId="73" fillId="34" borderId="16" xfId="62" applyNumberFormat="1" applyFont="1" applyFill="1" applyBorder="1" applyAlignment="1" applyProtection="1">
      <alignment horizontal="right"/>
    </xf>
    <xf numFmtId="1" fontId="73" fillId="34" borderId="17" xfId="62" applyNumberFormat="1" applyFont="1" applyFill="1" applyBorder="1" applyAlignment="1" applyProtection="1">
      <alignment horizontal="right"/>
    </xf>
    <xf numFmtId="3" fontId="191" fillId="34" borderId="16" xfId="62" applyNumberFormat="1" applyFont="1" applyFill="1" applyBorder="1" applyAlignment="1" applyProtection="1">
      <alignment vertical="center"/>
    </xf>
    <xf numFmtId="3" fontId="191" fillId="34" borderId="15" xfId="62" applyNumberFormat="1" applyFont="1" applyFill="1" applyBorder="1" applyAlignment="1" applyProtection="1">
      <alignment vertical="center"/>
    </xf>
    <xf numFmtId="0" fontId="1" fillId="34" borderId="0" xfId="73" applyFill="1" applyProtection="1"/>
    <xf numFmtId="1" fontId="73" fillId="34" borderId="28" xfId="62" applyNumberFormat="1" applyFont="1" applyFill="1" applyBorder="1" applyAlignment="1" applyProtection="1">
      <alignment horizontal="right"/>
    </xf>
    <xf numFmtId="1" fontId="73" fillId="34" borderId="27" xfId="62" applyNumberFormat="1" applyFont="1" applyFill="1" applyBorder="1" applyAlignment="1" applyProtection="1">
      <alignment horizontal="right"/>
    </xf>
    <xf numFmtId="1" fontId="73" fillId="34" borderId="24" xfId="62" applyNumberFormat="1" applyFont="1" applyFill="1" applyBorder="1" applyAlignment="1" applyProtection="1">
      <alignment horizontal="right"/>
    </xf>
    <xf numFmtId="1" fontId="73" fillId="34" borderId="25" xfId="62" applyNumberFormat="1" applyFont="1" applyFill="1" applyBorder="1" applyAlignment="1" applyProtection="1">
      <alignment horizontal="right"/>
    </xf>
    <xf numFmtId="3" fontId="191" fillId="34" borderId="24" xfId="62" applyNumberFormat="1" applyFont="1" applyFill="1" applyBorder="1" applyAlignment="1" applyProtection="1">
      <alignment vertical="center"/>
    </xf>
    <xf numFmtId="3" fontId="191" fillId="34" borderId="23" xfId="62" applyNumberFormat="1" applyFont="1" applyFill="1" applyBorder="1" applyAlignment="1" applyProtection="1">
      <alignment vertical="center"/>
    </xf>
    <xf numFmtId="1" fontId="73" fillId="34" borderId="22" xfId="62" applyNumberFormat="1" applyFont="1" applyFill="1" applyBorder="1" applyAlignment="1" applyProtection="1">
      <alignment horizontal="right"/>
    </xf>
    <xf numFmtId="1" fontId="73" fillId="34" borderId="21" xfId="62" applyNumberFormat="1" applyFont="1" applyFill="1" applyBorder="1" applyAlignment="1" applyProtection="1">
      <alignment horizontal="right"/>
    </xf>
    <xf numFmtId="3" fontId="191" fillId="34" borderId="21" xfId="62" applyNumberFormat="1" applyFont="1" applyFill="1" applyBorder="1" applyAlignment="1" applyProtection="1">
      <alignment vertical="center"/>
    </xf>
    <xf numFmtId="3" fontId="191" fillId="34" borderId="20" xfId="62" applyNumberFormat="1" applyFont="1" applyFill="1" applyBorder="1" applyAlignment="1" applyProtection="1">
      <alignment vertical="center"/>
    </xf>
    <xf numFmtId="3" fontId="212" fillId="35" borderId="32" xfId="62" applyNumberFormat="1" applyFont="1" applyFill="1" applyBorder="1" applyAlignment="1" applyProtection="1">
      <alignment horizontal="right"/>
    </xf>
    <xf numFmtId="3" fontId="212" fillId="35" borderId="17" xfId="62" applyNumberFormat="1" applyFont="1" applyFill="1" applyBorder="1" applyAlignment="1" applyProtection="1">
      <alignment horizontal="right"/>
    </xf>
    <xf numFmtId="3" fontId="212" fillId="35" borderId="16" xfId="62" applyNumberFormat="1" applyFont="1" applyFill="1" applyBorder="1" applyAlignment="1" applyProtection="1">
      <alignment horizontal="right"/>
    </xf>
    <xf numFmtId="3" fontId="212" fillId="35" borderId="38" xfId="62" applyNumberFormat="1" applyFont="1" applyFill="1" applyBorder="1" applyAlignment="1" applyProtection="1">
      <alignment horizontal="right"/>
    </xf>
    <xf numFmtId="3" fontId="213" fillId="35" borderId="19" xfId="62" applyNumberFormat="1" applyFont="1" applyFill="1" applyBorder="1" applyAlignment="1" applyProtection="1">
      <alignment vertical="center"/>
    </xf>
    <xf numFmtId="0" fontId="213" fillId="35" borderId="15" xfId="62" applyFont="1" applyFill="1" applyBorder="1" applyAlignment="1" applyProtection="1">
      <alignment vertical="center"/>
    </xf>
    <xf numFmtId="0" fontId="117" fillId="0" borderId="0" xfId="67" applyFont="1" applyFill="1" applyAlignment="1" applyProtection="1">
      <alignment horizontal="right" vertical="center" readingOrder="2"/>
    </xf>
    <xf numFmtId="3" fontId="3" fillId="26" borderId="136" xfId="64" applyNumberFormat="1" applyFont="1" applyFill="1" applyBorder="1" applyAlignment="1" applyProtection="1">
      <alignment horizontal="center" vertical="center" wrapText="1" readingOrder="1"/>
      <protection locked="0"/>
    </xf>
    <xf numFmtId="3" fontId="3" fillId="26" borderId="137" xfId="64" applyNumberFormat="1" applyFont="1" applyFill="1" applyBorder="1" applyAlignment="1" applyProtection="1">
      <alignment horizontal="center" vertical="center" wrapText="1" readingOrder="1"/>
      <protection locked="0"/>
    </xf>
    <xf numFmtId="3" fontId="3" fillId="26" borderId="169" xfId="64" applyNumberFormat="1" applyFont="1" applyFill="1" applyBorder="1" applyAlignment="1" applyProtection="1">
      <alignment horizontal="center" vertical="center" wrapText="1" readingOrder="1"/>
      <protection locked="0"/>
    </xf>
    <xf numFmtId="3" fontId="3" fillId="26" borderId="170" xfId="64" applyNumberFormat="1" applyFont="1" applyFill="1" applyBorder="1" applyAlignment="1" applyProtection="1">
      <alignment horizontal="center" vertical="center" wrapText="1" readingOrder="1"/>
      <protection locked="0"/>
    </xf>
    <xf numFmtId="3" fontId="3" fillId="26" borderId="171" xfId="64" applyNumberFormat="1" applyFont="1" applyFill="1" applyBorder="1" applyAlignment="1" applyProtection="1">
      <alignment horizontal="center" vertical="center" wrapText="1" readingOrder="1"/>
      <protection locked="0"/>
    </xf>
    <xf numFmtId="3" fontId="3" fillId="26" borderId="138" xfId="64" applyNumberFormat="1" applyFont="1" applyFill="1" applyBorder="1" applyAlignment="1" applyProtection="1">
      <alignment horizontal="center" vertical="center" wrapText="1" readingOrder="1"/>
      <protection locked="0"/>
    </xf>
    <xf numFmtId="3" fontId="3" fillId="26" borderId="139" xfId="64" applyNumberFormat="1" applyFont="1" applyFill="1" applyBorder="1" applyAlignment="1" applyProtection="1">
      <alignment horizontal="center" vertical="center" wrapText="1" readingOrder="1"/>
      <protection locked="0"/>
    </xf>
    <xf numFmtId="3" fontId="3" fillId="26" borderId="174" xfId="64" applyNumberFormat="1" applyFont="1" applyFill="1" applyBorder="1" applyAlignment="1" applyProtection="1">
      <alignment horizontal="center" vertical="center" wrapText="1" readingOrder="1"/>
      <protection locked="0"/>
    </xf>
    <xf numFmtId="3" fontId="3" fillId="26" borderId="175" xfId="64" applyNumberFormat="1" applyFont="1" applyFill="1" applyBorder="1" applyAlignment="1" applyProtection="1">
      <alignment horizontal="center" vertical="center" wrapText="1" readingOrder="1"/>
      <protection locked="0"/>
    </xf>
    <xf numFmtId="3" fontId="3" fillId="26" borderId="176" xfId="64" applyNumberFormat="1" applyFont="1" applyFill="1" applyBorder="1" applyAlignment="1" applyProtection="1">
      <alignment horizontal="center" vertical="center" wrapText="1" readingOrder="1"/>
      <protection locked="0"/>
    </xf>
    <xf numFmtId="3" fontId="3" fillId="26" borderId="177" xfId="64" applyNumberFormat="1" applyFont="1" applyFill="1" applyBorder="1" applyAlignment="1" applyProtection="1">
      <alignment horizontal="center" vertical="center" wrapText="1" readingOrder="1"/>
      <protection locked="0"/>
    </xf>
    <xf numFmtId="3" fontId="3" fillId="26" borderId="178" xfId="64" applyNumberFormat="1" applyFont="1" applyFill="1" applyBorder="1" applyAlignment="1" applyProtection="1">
      <alignment horizontal="center" vertical="center" wrapText="1" readingOrder="1"/>
      <protection locked="0"/>
    </xf>
    <xf numFmtId="3" fontId="3" fillId="26" borderId="179" xfId="64" applyNumberFormat="1" applyFont="1" applyFill="1" applyBorder="1" applyAlignment="1" applyProtection="1">
      <alignment horizontal="center" vertical="center" wrapText="1" readingOrder="1"/>
      <protection locked="0"/>
    </xf>
    <xf numFmtId="3" fontId="212" fillId="35" borderId="19" xfId="62" applyNumberFormat="1" applyFont="1" applyFill="1" applyBorder="1" applyAlignment="1" applyProtection="1">
      <alignment horizontal="right"/>
    </xf>
    <xf numFmtId="3" fontId="212" fillId="35" borderId="31" xfId="62" applyNumberFormat="1" applyFont="1" applyFill="1" applyBorder="1" applyAlignment="1" applyProtection="1">
      <alignment horizontal="right"/>
    </xf>
    <xf numFmtId="3" fontId="212" fillId="35" borderId="15" xfId="62" applyNumberFormat="1" applyFont="1" applyFill="1" applyBorder="1" applyAlignment="1" applyProtection="1">
      <alignment horizontal="right"/>
    </xf>
    <xf numFmtId="3" fontId="213" fillId="35" borderId="36" xfId="62" applyNumberFormat="1" applyFont="1" applyFill="1" applyBorder="1" applyAlignment="1" applyProtection="1">
      <alignment vertical="center"/>
    </xf>
    <xf numFmtId="3" fontId="3" fillId="0" borderId="181" xfId="64" applyNumberFormat="1" applyFont="1" applyFill="1" applyBorder="1" applyAlignment="1" applyProtection="1">
      <alignment horizontal="center" vertical="center" wrapText="1" readingOrder="1"/>
      <protection locked="0"/>
    </xf>
    <xf numFmtId="3" fontId="3" fillId="0" borderId="182" xfId="64" applyNumberFormat="1" applyFont="1" applyFill="1" applyBorder="1" applyAlignment="1" applyProtection="1">
      <alignment horizontal="center" vertical="center" wrapText="1" readingOrder="1"/>
      <protection locked="0"/>
    </xf>
    <xf numFmtId="1" fontId="182" fillId="0" borderId="17" xfId="62" applyNumberFormat="1" applyFont="1" applyFill="1" applyBorder="1" applyAlignment="1" applyProtection="1">
      <alignment vertical="center"/>
    </xf>
    <xf numFmtId="3" fontId="73" fillId="0" borderId="183" xfId="62" applyNumberFormat="1" applyFont="1" applyFill="1" applyBorder="1" applyAlignment="1" applyProtection="1">
      <alignment vertical="center"/>
    </xf>
    <xf numFmtId="3" fontId="191" fillId="20" borderId="183" xfId="62" applyNumberFormat="1" applyFont="1" applyFill="1" applyBorder="1" applyAlignment="1" applyProtection="1">
      <alignment vertical="center"/>
    </xf>
    <xf numFmtId="0" fontId="191" fillId="20" borderId="183" xfId="62" applyFont="1" applyFill="1" applyBorder="1" applyAlignment="1" applyProtection="1">
      <alignment vertical="center"/>
    </xf>
    <xf numFmtId="3" fontId="214" fillId="35" borderId="16" xfId="62" applyNumberFormat="1" applyFont="1" applyFill="1" applyBorder="1" applyAlignment="1" applyProtection="1">
      <alignment horizontal="right"/>
    </xf>
    <xf numFmtId="3" fontId="214" fillId="35" borderId="38" xfId="62" applyNumberFormat="1" applyFont="1" applyFill="1" applyBorder="1" applyAlignment="1" applyProtection="1">
      <alignment horizontal="right"/>
    </xf>
    <xf numFmtId="3" fontId="192" fillId="32" borderId="16" xfId="62" applyNumberFormat="1" applyFont="1" applyFill="1" applyBorder="1" applyAlignment="1" applyProtection="1">
      <alignment horizontal="right"/>
    </xf>
    <xf numFmtId="3" fontId="192" fillId="32" borderId="38" xfId="62" applyNumberFormat="1" applyFont="1" applyFill="1" applyBorder="1" applyAlignment="1" applyProtection="1">
      <alignment horizontal="right"/>
    </xf>
    <xf numFmtId="0" fontId="196" fillId="32" borderId="0" xfId="73" applyFont="1" applyFill="1" applyAlignment="1" applyProtection="1">
      <alignment horizontal="center" vertical="center" wrapText="1"/>
    </xf>
    <xf numFmtId="0" fontId="215" fillId="35" borderId="0" xfId="73" applyFont="1" applyFill="1" applyAlignment="1" applyProtection="1">
      <alignment horizontal="center" vertical="center" wrapText="1"/>
    </xf>
    <xf numFmtId="0" fontId="76" fillId="29" borderId="0" xfId="67" applyFont="1" applyFill="1" applyBorder="1" applyAlignment="1" applyProtection="1">
      <alignment horizontal="center" vertical="center" readingOrder="2"/>
    </xf>
    <xf numFmtId="1" fontId="73" fillId="34" borderId="18" xfId="62" applyNumberFormat="1" applyFont="1" applyFill="1" applyBorder="1" applyAlignment="1" applyProtection="1">
      <alignment vertical="center"/>
    </xf>
    <xf numFmtId="1" fontId="73" fillId="34" borderId="17" xfId="62" applyNumberFormat="1" applyFont="1" applyFill="1" applyBorder="1" applyAlignment="1" applyProtection="1">
      <alignment vertical="center"/>
    </xf>
    <xf numFmtId="1" fontId="73" fillId="34" borderId="15" xfId="62" applyNumberFormat="1" applyFont="1" applyFill="1" applyBorder="1" applyAlignment="1" applyProtection="1">
      <alignment vertical="center"/>
    </xf>
    <xf numFmtId="169" fontId="73" fillId="0" borderId="49" xfId="62" applyNumberFormat="1" applyFont="1" applyFill="1" applyBorder="1" applyAlignment="1" applyProtection="1">
      <alignment horizontal="center" vertical="center"/>
    </xf>
    <xf numFmtId="0" fontId="211" fillId="32" borderId="0" xfId="62" applyFont="1" applyFill="1" applyProtection="1"/>
    <xf numFmtId="0" fontId="202" fillId="32" borderId="0" xfId="62" applyFont="1" applyFill="1" applyProtection="1"/>
    <xf numFmtId="0" fontId="202" fillId="31" borderId="0" xfId="62" applyFont="1" applyFill="1" applyProtection="1"/>
    <xf numFmtId="0" fontId="211" fillId="31" borderId="0" xfId="62" applyFont="1" applyFill="1" applyProtection="1"/>
    <xf numFmtId="1" fontId="73" fillId="32" borderId="0" xfId="62" applyNumberFormat="1" applyFont="1" applyFill="1" applyBorder="1" applyAlignment="1" applyProtection="1">
      <alignment horizontal="center"/>
    </xf>
    <xf numFmtId="1" fontId="73" fillId="32" borderId="0" xfId="62" applyNumberFormat="1" applyFont="1" applyFill="1" applyBorder="1" applyAlignment="1" applyProtection="1">
      <alignment horizontal="center" vertical="center"/>
    </xf>
    <xf numFmtId="3" fontId="73" fillId="32" borderId="0" xfId="62" applyNumberFormat="1" applyFont="1" applyFill="1" applyBorder="1" applyAlignment="1" applyProtection="1">
      <alignment horizontal="center" vertical="center"/>
    </xf>
    <xf numFmtId="4" fontId="73" fillId="32" borderId="0" xfId="62" applyNumberFormat="1" applyFont="1" applyFill="1" applyBorder="1" applyAlignment="1" applyProtection="1">
      <alignment horizontal="center" vertical="center"/>
    </xf>
    <xf numFmtId="3" fontId="3" fillId="26" borderId="189" xfId="64" applyNumberFormat="1" applyFont="1" applyFill="1" applyBorder="1" applyAlignment="1" applyProtection="1">
      <alignment horizontal="center" vertical="center" wrapText="1" readingOrder="1"/>
    </xf>
    <xf numFmtId="3" fontId="3" fillId="26" borderId="190" xfId="64" applyNumberFormat="1" applyFont="1" applyFill="1" applyBorder="1" applyAlignment="1" applyProtection="1">
      <alignment horizontal="center" vertical="center" wrapText="1" readingOrder="1"/>
    </xf>
    <xf numFmtId="3" fontId="3" fillId="26" borderId="191" xfId="64" applyNumberFormat="1" applyFont="1" applyFill="1" applyBorder="1" applyAlignment="1" applyProtection="1">
      <alignment horizontal="center" vertical="center" wrapText="1" readingOrder="1"/>
    </xf>
    <xf numFmtId="0" fontId="64" fillId="0" borderId="0" xfId="71" applyFont="1" applyFill="1" applyBorder="1" applyAlignment="1" applyProtection="1">
      <alignment vertical="center" readingOrder="2"/>
    </xf>
    <xf numFmtId="0" fontId="1" fillId="0" borderId="0" xfId="71" applyBorder="1" applyProtection="1"/>
    <xf numFmtId="0" fontId="7" fillId="0" borderId="0" xfId="71" applyFont="1" applyFill="1" applyBorder="1" applyAlignment="1" applyProtection="1">
      <alignment horizontal="right" vertical="center" readingOrder="2"/>
    </xf>
    <xf numFmtId="0" fontId="7" fillId="0" borderId="0" xfId="71" applyFont="1" applyFill="1" applyBorder="1" applyAlignment="1" applyProtection="1">
      <alignment horizontal="justify" vertical="center" readingOrder="2"/>
    </xf>
    <xf numFmtId="0" fontId="62" fillId="0" borderId="0" xfId="71" applyFont="1" applyFill="1" applyBorder="1" applyAlignment="1" applyProtection="1">
      <alignment vertical="center" readingOrder="1"/>
    </xf>
    <xf numFmtId="0" fontId="64" fillId="0" borderId="0" xfId="71" applyFont="1" applyFill="1" applyBorder="1" applyAlignment="1" applyProtection="1">
      <alignment horizontal="right" vertical="center" readingOrder="2"/>
    </xf>
    <xf numFmtId="0" fontId="62" fillId="0" borderId="0" xfId="71" applyFont="1" applyFill="1" applyBorder="1" applyAlignment="1" applyProtection="1">
      <alignment horizontal="left" vertical="center" readingOrder="1"/>
    </xf>
    <xf numFmtId="0" fontId="1" fillId="0" borderId="0" xfId="75" applyBorder="1" applyProtection="1"/>
    <xf numFmtId="0" fontId="1" fillId="0" borderId="0" xfId="75" applyBorder="1" applyAlignment="1" applyProtection="1"/>
    <xf numFmtId="0" fontId="58" fillId="26" borderId="123" xfId="64" applyFont="1" applyFill="1" applyBorder="1" applyAlignment="1" applyProtection="1">
      <alignment horizontal="center" vertical="center" wrapText="1" readingOrder="2"/>
    </xf>
    <xf numFmtId="0" fontId="58" fillId="26" borderId="124" xfId="64" applyFont="1" applyFill="1" applyBorder="1" applyAlignment="1" applyProtection="1">
      <alignment horizontal="center" vertical="center" wrapText="1" readingOrder="2"/>
    </xf>
    <xf numFmtId="0" fontId="55" fillId="0" borderId="0" xfId="75" applyFont="1" applyFill="1" applyBorder="1" applyAlignment="1" applyProtection="1">
      <alignment horizontal="right" vertical="center" readingOrder="2"/>
    </xf>
    <xf numFmtId="0" fontId="57" fillId="0" borderId="0" xfId="71" applyFont="1" applyFill="1" applyBorder="1" applyAlignment="1" applyProtection="1">
      <alignment vertical="center" readingOrder="2"/>
    </xf>
    <xf numFmtId="0" fontId="57" fillId="0" borderId="0" xfId="72" applyFont="1" applyFill="1" applyBorder="1" applyAlignment="1" applyProtection="1">
      <alignment vertical="center" readingOrder="2"/>
    </xf>
    <xf numFmtId="0" fontId="55" fillId="0" borderId="0" xfId="75" applyFont="1" applyFill="1" applyBorder="1" applyAlignment="1" applyProtection="1">
      <alignment horizontal="center" vertical="center" readingOrder="2"/>
    </xf>
    <xf numFmtId="3" fontId="54" fillId="0" borderId="0" xfId="75" applyNumberFormat="1" applyFont="1" applyFill="1" applyBorder="1" applyAlignment="1" applyProtection="1">
      <alignment horizontal="center" vertical="center" wrapText="1" readingOrder="1"/>
    </xf>
    <xf numFmtId="0" fontId="1" fillId="0" borderId="0" xfId="64" applyBorder="1" applyProtection="1"/>
    <xf numFmtId="0" fontId="64" fillId="0" borderId="0" xfId="64" applyFont="1" applyFill="1" applyBorder="1" applyAlignment="1" applyProtection="1">
      <alignment vertical="center" readingOrder="2"/>
    </xf>
    <xf numFmtId="0" fontId="7" fillId="0" borderId="0" xfId="64" applyFont="1" applyFill="1" applyBorder="1" applyAlignment="1" applyProtection="1">
      <alignment horizontal="justify" vertical="center" readingOrder="2"/>
    </xf>
    <xf numFmtId="0" fontId="62" fillId="0" borderId="0" xfId="64" applyFont="1" applyFill="1" applyBorder="1" applyAlignment="1" applyProtection="1">
      <alignment vertical="center" readingOrder="1"/>
    </xf>
    <xf numFmtId="0" fontId="7" fillId="0" borderId="0" xfId="64" applyFont="1" applyFill="1" applyBorder="1" applyAlignment="1" applyProtection="1">
      <alignment horizontal="right" vertical="center" readingOrder="2"/>
    </xf>
    <xf numFmtId="0" fontId="55" fillId="0" borderId="0" xfId="64" applyFont="1" applyFill="1" applyBorder="1" applyAlignment="1" applyProtection="1">
      <alignment horizontal="right" vertical="center" readingOrder="2"/>
    </xf>
    <xf numFmtId="0" fontId="55" fillId="0" borderId="0" xfId="64" applyFont="1" applyFill="1" applyBorder="1" applyAlignment="1" applyProtection="1">
      <alignment vertical="center" readingOrder="2"/>
    </xf>
    <xf numFmtId="0" fontId="55" fillId="0" borderId="189" xfId="64" applyFont="1" applyFill="1" applyBorder="1" applyAlignment="1" applyProtection="1">
      <alignment horizontal="center" vertical="center" readingOrder="2"/>
    </xf>
    <xf numFmtId="0" fontId="55" fillId="0" borderId="192" xfId="64" applyFont="1" applyFill="1" applyBorder="1" applyAlignment="1" applyProtection="1">
      <alignment horizontal="center" vertical="center" readingOrder="2"/>
    </xf>
    <xf numFmtId="3" fontId="58" fillId="0" borderId="0" xfId="64" applyNumberFormat="1" applyFont="1" applyFill="1" applyBorder="1" applyAlignment="1" applyProtection="1">
      <alignment horizontal="center" wrapText="1" readingOrder="1"/>
    </xf>
    <xf numFmtId="0" fontId="64" fillId="0" borderId="0" xfId="64" applyFont="1" applyFill="1" applyBorder="1" applyAlignment="1" applyProtection="1">
      <alignment horizontal="right" vertical="center" readingOrder="2"/>
    </xf>
    <xf numFmtId="0" fontId="62" fillId="0" borderId="0" xfId="64" applyFont="1" applyFill="1" applyBorder="1" applyAlignment="1" applyProtection="1">
      <alignment horizontal="left" vertical="center" readingOrder="1"/>
    </xf>
    <xf numFmtId="3" fontId="65" fillId="0" borderId="0" xfId="64" applyNumberFormat="1" applyFont="1" applyBorder="1" applyAlignment="1" applyProtection="1">
      <alignment readingOrder="1"/>
    </xf>
    <xf numFmtId="0" fontId="55" fillId="0" borderId="184" xfId="64" applyFont="1" applyFill="1" applyBorder="1" applyAlignment="1" applyProtection="1">
      <alignment horizontal="center" vertical="center" readingOrder="2"/>
    </xf>
    <xf numFmtId="0" fontId="55" fillId="0" borderId="186" xfId="64" applyFont="1" applyFill="1" applyBorder="1" applyAlignment="1" applyProtection="1">
      <alignment horizontal="center" vertical="center" readingOrder="2"/>
    </xf>
    <xf numFmtId="0" fontId="1" fillId="0" borderId="0" xfId="64" applyFill="1" applyBorder="1" applyProtection="1"/>
    <xf numFmtId="0" fontId="7" fillId="0" borderId="0" xfId="64" applyFont="1" applyFill="1" applyBorder="1" applyAlignment="1" applyProtection="1">
      <alignment vertical="center" readingOrder="2"/>
    </xf>
    <xf numFmtId="3" fontId="3" fillId="0" borderId="0" xfId="64" applyNumberFormat="1" applyFont="1" applyFill="1" applyBorder="1" applyAlignment="1" applyProtection="1">
      <alignment horizontal="center" vertical="center" wrapText="1" readingOrder="1"/>
    </xf>
    <xf numFmtId="0" fontId="1" fillId="0" borderId="0" xfId="71" applyFill="1" applyBorder="1" applyProtection="1"/>
    <xf numFmtId="0" fontId="7" fillId="0" borderId="0" xfId="71" applyFont="1" applyFill="1" applyBorder="1" applyAlignment="1" applyProtection="1">
      <alignment vertical="center" readingOrder="2"/>
    </xf>
    <xf numFmtId="0" fontId="1" fillId="0" borderId="0" xfId="71" applyBorder="1" applyAlignment="1" applyProtection="1"/>
    <xf numFmtId="0" fontId="64" fillId="0" borderId="0" xfId="64" applyFont="1" applyFill="1" applyBorder="1" applyAlignment="1" applyProtection="1">
      <alignment vertical="center" wrapText="1" readingOrder="2"/>
    </xf>
    <xf numFmtId="3" fontId="1" fillId="0" borderId="0" xfId="64" applyNumberFormat="1" applyFont="1" applyBorder="1" applyAlignment="1" applyProtection="1">
      <alignment readingOrder="1"/>
    </xf>
    <xf numFmtId="0" fontId="60" fillId="0" borderId="0" xfId="64" applyFont="1" applyFill="1" applyBorder="1" applyAlignment="1" applyProtection="1">
      <alignment vertical="center" readingOrder="1"/>
    </xf>
    <xf numFmtId="0" fontId="1" fillId="0" borderId="0" xfId="64" applyBorder="1" applyAlignment="1" applyProtection="1">
      <alignment vertical="center"/>
    </xf>
    <xf numFmtId="0" fontId="62" fillId="0" borderId="0" xfId="64" applyFont="1" applyFill="1" applyBorder="1" applyAlignment="1" applyProtection="1">
      <alignment vertical="center" readingOrder="2"/>
    </xf>
    <xf numFmtId="0" fontId="58" fillId="26" borderId="127" xfId="64" applyFont="1" applyFill="1" applyBorder="1" applyAlignment="1" applyProtection="1">
      <alignment horizontal="center" vertical="center" wrapText="1" readingOrder="2"/>
    </xf>
    <xf numFmtId="0" fontId="58" fillId="26" borderId="130" xfId="64" applyFont="1" applyFill="1" applyBorder="1" applyAlignment="1" applyProtection="1">
      <alignment horizontal="center" vertical="center" wrapText="1" readingOrder="2"/>
    </xf>
    <xf numFmtId="0" fontId="57" fillId="0" borderId="0" xfId="72" applyFont="1" applyFill="1" applyBorder="1" applyAlignment="1" applyProtection="1">
      <alignment vertical="center" wrapText="1" readingOrder="2"/>
    </xf>
    <xf numFmtId="0" fontId="1" fillId="0" borderId="0" xfId="73" applyFill="1" applyBorder="1" applyAlignment="1" applyProtection="1"/>
    <xf numFmtId="0" fontId="2" fillId="0" borderId="0" xfId="73" applyFont="1" applyFill="1" applyBorder="1" applyAlignment="1" applyProtection="1"/>
    <xf numFmtId="0" fontId="62" fillId="0" borderId="0" xfId="71" applyFont="1" applyFill="1" applyBorder="1" applyAlignment="1" applyProtection="1">
      <alignment vertical="center" readingOrder="2"/>
    </xf>
    <xf numFmtId="0" fontId="61" fillId="0" borderId="0" xfId="72" applyFont="1" applyFill="1" applyBorder="1" applyAlignment="1" applyProtection="1">
      <alignment horizontal="right" vertical="center" readingOrder="2"/>
    </xf>
    <xf numFmtId="0" fontId="69" fillId="0" borderId="0" xfId="71" applyFont="1" applyFill="1" applyBorder="1" applyAlignment="1" applyProtection="1">
      <alignment horizontal="left" vertical="center" readingOrder="2"/>
    </xf>
    <xf numFmtId="0" fontId="7" fillId="0" borderId="0" xfId="71" applyFont="1" applyFill="1" applyBorder="1" applyAlignment="1" applyProtection="1">
      <alignment horizontal="left" vertical="center" readingOrder="2"/>
    </xf>
    <xf numFmtId="0" fontId="60" fillId="0" borderId="0" xfId="71" applyFont="1" applyFill="1" applyBorder="1" applyAlignment="1" applyProtection="1">
      <alignment horizontal="left" vertical="center" readingOrder="1"/>
    </xf>
    <xf numFmtId="0" fontId="2" fillId="0" borderId="194" xfId="62" applyFont="1" applyFill="1" applyBorder="1" applyAlignment="1" applyProtection="1">
      <alignment horizontal="right" vertical="center"/>
    </xf>
    <xf numFmtId="0" fontId="2" fillId="0" borderId="174" xfId="62" applyFont="1" applyFill="1" applyBorder="1" applyAlignment="1" applyProtection="1">
      <alignment horizontal="right" vertical="center"/>
    </xf>
    <xf numFmtId="0" fontId="2" fillId="0" borderId="195" xfId="62" applyFont="1" applyFill="1" applyBorder="1" applyAlignment="1" applyProtection="1">
      <alignment horizontal="right" vertical="center"/>
    </xf>
    <xf numFmtId="0" fontId="2" fillId="0" borderId="186" xfId="62" applyFont="1" applyFill="1" applyBorder="1" applyAlignment="1" applyProtection="1">
      <alignment horizontal="right" vertical="center"/>
    </xf>
    <xf numFmtId="0" fontId="2" fillId="0" borderId="196" xfId="62" applyFont="1" applyFill="1" applyBorder="1" applyAlignment="1" applyProtection="1">
      <alignment horizontal="right" vertical="center"/>
    </xf>
    <xf numFmtId="0" fontId="58" fillId="0" borderId="195" xfId="62" applyFont="1" applyFill="1" applyBorder="1" applyAlignment="1" applyProtection="1">
      <alignment horizontal="right" vertical="center"/>
    </xf>
    <xf numFmtId="0" fontId="58" fillId="0" borderId="184" xfId="62" applyFont="1" applyFill="1" applyBorder="1" applyAlignment="1" applyProtection="1">
      <alignment horizontal="right" vertical="center"/>
    </xf>
    <xf numFmtId="0" fontId="60" fillId="0" borderId="0" xfId="64" applyFont="1" applyFill="1" applyBorder="1" applyAlignment="1" applyProtection="1">
      <alignment horizontal="left" vertical="center" readingOrder="1"/>
    </xf>
    <xf numFmtId="0" fontId="2" fillId="0" borderId="197" xfId="62" applyFont="1" applyFill="1" applyBorder="1" applyAlignment="1" applyProtection="1">
      <alignment horizontal="right" vertical="center"/>
    </xf>
    <xf numFmtId="0" fontId="2" fillId="0" borderId="198" xfId="62" applyFont="1" applyFill="1" applyBorder="1" applyAlignment="1" applyProtection="1">
      <alignment horizontal="right" vertical="center"/>
    </xf>
    <xf numFmtId="0" fontId="2" fillId="0" borderId="199" xfId="62" applyFont="1" applyFill="1" applyBorder="1" applyAlignment="1" applyProtection="1">
      <alignment horizontal="right" vertical="center"/>
    </xf>
    <xf numFmtId="0" fontId="2" fillId="0" borderId="200" xfId="62" applyFont="1" applyFill="1" applyBorder="1" applyAlignment="1" applyProtection="1">
      <alignment horizontal="right" vertical="center"/>
    </xf>
    <xf numFmtId="0" fontId="58" fillId="0" borderId="198" xfId="62" applyFont="1" applyFill="1" applyBorder="1" applyAlignment="1" applyProtection="1">
      <alignment horizontal="right" vertical="center"/>
    </xf>
    <xf numFmtId="0" fontId="58" fillId="0" borderId="201" xfId="62" applyFont="1" applyFill="1" applyBorder="1" applyAlignment="1" applyProtection="1">
      <alignment horizontal="right" vertical="center"/>
    </xf>
    <xf numFmtId="3" fontId="3" fillId="26" borderId="202" xfId="64" applyNumberFormat="1" applyFont="1" applyFill="1" applyBorder="1" applyAlignment="1" applyProtection="1">
      <alignment horizontal="center" vertical="center" wrapText="1" readingOrder="1"/>
    </xf>
    <xf numFmtId="3" fontId="3" fillId="26" borderId="192" xfId="64" applyNumberFormat="1" applyFont="1" applyFill="1" applyBorder="1" applyAlignment="1" applyProtection="1">
      <alignment horizontal="center" vertical="center" wrapText="1" readingOrder="1"/>
    </xf>
    <xf numFmtId="0" fontId="58" fillId="26" borderId="119" xfId="73" applyFont="1" applyFill="1" applyBorder="1" applyAlignment="1" applyProtection="1">
      <alignment horizontal="left" vertical="center" readingOrder="2"/>
      <protection locked="0"/>
    </xf>
    <xf numFmtId="0" fontId="1" fillId="0" borderId="0" xfId="62" applyFont="1"/>
    <xf numFmtId="0" fontId="1" fillId="31" borderId="0" xfId="73" applyFont="1" applyFill="1" applyBorder="1"/>
    <xf numFmtId="0" fontId="119" fillId="31" borderId="0" xfId="68" applyFont="1" applyFill="1" applyBorder="1" applyAlignment="1" applyProtection="1"/>
    <xf numFmtId="0" fontId="1" fillId="31" borderId="0" xfId="73" applyFill="1" applyAlignment="1"/>
    <xf numFmtId="0" fontId="3" fillId="31" borderId="0" xfId="73" applyFont="1" applyFill="1" applyBorder="1" applyAlignment="1">
      <alignment horizontal="center"/>
    </xf>
    <xf numFmtId="0" fontId="1" fillId="31" borderId="0" xfId="73" applyFont="1" applyFill="1" applyBorder="1" applyAlignment="1">
      <alignment vertical="center"/>
    </xf>
    <xf numFmtId="0" fontId="3" fillId="31" borderId="0" xfId="73" applyFont="1" applyFill="1" applyBorder="1" applyAlignment="1">
      <alignment horizontal="center" vertical="center"/>
    </xf>
    <xf numFmtId="0" fontId="2" fillId="31" borderId="0" xfId="73" applyFont="1" applyFill="1" applyBorder="1" applyAlignment="1">
      <alignment horizontal="center" vertical="center"/>
    </xf>
    <xf numFmtId="0" fontId="1" fillId="31" borderId="0" xfId="70" applyFill="1" applyBorder="1" applyAlignment="1">
      <alignment vertical="center"/>
    </xf>
    <xf numFmtId="0" fontId="1" fillId="0" borderId="33" xfId="73" applyBorder="1" applyAlignment="1">
      <alignment vertical="center"/>
    </xf>
    <xf numFmtId="0" fontId="1" fillId="0" borderId="42" xfId="73" applyBorder="1" applyAlignment="1">
      <alignment vertical="center"/>
    </xf>
    <xf numFmtId="0" fontId="1" fillId="0" borderId="42" xfId="73" applyBorder="1" applyAlignment="1"/>
    <xf numFmtId="0" fontId="1" fillId="0" borderId="71" xfId="73" applyBorder="1" applyAlignment="1">
      <alignment vertical="center"/>
    </xf>
    <xf numFmtId="0" fontId="1" fillId="0" borderId="70" xfId="73" applyBorder="1" applyAlignment="1">
      <alignment vertical="center"/>
    </xf>
    <xf numFmtId="0" fontId="1" fillId="0" borderId="43" xfId="73" applyBorder="1" applyAlignment="1">
      <alignment vertical="center"/>
    </xf>
    <xf numFmtId="0" fontId="1" fillId="0" borderId="43" xfId="73" applyBorder="1" applyAlignment="1"/>
    <xf numFmtId="0" fontId="2" fillId="0" borderId="70" xfId="73" applyFont="1" applyBorder="1" applyAlignment="1"/>
    <xf numFmtId="0" fontId="1" fillId="0" borderId="70" xfId="73" applyBorder="1" applyAlignment="1"/>
    <xf numFmtId="0" fontId="1" fillId="0" borderId="70" xfId="73" applyBorder="1"/>
    <xf numFmtId="0" fontId="1" fillId="0" borderId="0" xfId="73" applyFont="1" applyBorder="1"/>
    <xf numFmtId="0" fontId="1" fillId="0" borderId="70" xfId="73" applyFont="1" applyBorder="1" applyAlignment="1">
      <alignment vertical="center"/>
    </xf>
    <xf numFmtId="0" fontId="2" fillId="0" borderId="43" xfId="73" applyFont="1" applyFill="1" applyBorder="1" applyAlignment="1">
      <alignment vertical="center"/>
    </xf>
    <xf numFmtId="0" fontId="2" fillId="0" borderId="164" xfId="73" applyFont="1" applyFill="1" applyBorder="1" applyAlignment="1">
      <alignment horizontal="center"/>
    </xf>
    <xf numFmtId="0" fontId="2" fillId="0" borderId="41" xfId="73" applyFont="1" applyFill="1" applyBorder="1" applyAlignment="1">
      <alignment horizontal="center"/>
    </xf>
    <xf numFmtId="0" fontId="2" fillId="0" borderId="216" xfId="73" applyFont="1" applyFill="1" applyBorder="1" applyAlignment="1">
      <alignment horizontal="center"/>
    </xf>
    <xf numFmtId="0" fontId="14" fillId="0" borderId="33" xfId="73" applyFont="1" applyFill="1" applyBorder="1" applyAlignment="1">
      <alignment vertical="center" readingOrder="2"/>
    </xf>
    <xf numFmtId="0" fontId="14" fillId="0" borderId="42" xfId="73" applyFont="1" applyFill="1" applyBorder="1" applyAlignment="1">
      <alignment vertical="center" readingOrder="2"/>
    </xf>
    <xf numFmtId="0" fontId="14" fillId="0" borderId="71" xfId="73" applyFont="1" applyFill="1" applyBorder="1" applyAlignment="1">
      <alignment vertical="center" readingOrder="2"/>
    </xf>
    <xf numFmtId="0" fontId="12" fillId="0" borderId="43" xfId="73" applyFont="1" applyBorder="1" applyAlignment="1">
      <alignment horizontal="center" vertical="center" wrapText="1"/>
    </xf>
    <xf numFmtId="0" fontId="1" fillId="0" borderId="70" xfId="73" applyFont="1" applyFill="1" applyBorder="1"/>
    <xf numFmtId="0" fontId="1" fillId="0" borderId="70" xfId="73" applyFont="1" applyFill="1" applyBorder="1" applyAlignment="1"/>
    <xf numFmtId="0" fontId="7" fillId="0" borderId="43" xfId="73" applyFont="1" applyFill="1" applyBorder="1" applyAlignment="1">
      <alignment vertical="center" readingOrder="2"/>
    </xf>
    <xf numFmtId="0" fontId="2" fillId="0" borderId="43" xfId="73" applyFont="1" applyFill="1" applyBorder="1" applyAlignment="1">
      <alignment vertical="center" readingOrder="2"/>
    </xf>
    <xf numFmtId="0" fontId="2" fillId="0" borderId="70" xfId="73" applyFont="1" applyFill="1" applyBorder="1" applyAlignment="1">
      <alignment horizontal="center"/>
    </xf>
    <xf numFmtId="0" fontId="2" fillId="0" borderId="43" xfId="73" applyFont="1" applyFill="1" applyBorder="1" applyAlignment="1">
      <alignment horizontal="center" vertical="center"/>
    </xf>
    <xf numFmtId="0" fontId="1" fillId="31" borderId="32" xfId="73" applyFill="1" applyBorder="1"/>
    <xf numFmtId="0" fontId="227" fillId="31" borderId="44" xfId="73" applyFont="1" applyFill="1" applyBorder="1" applyAlignment="1">
      <alignment horizontal="center"/>
    </xf>
    <xf numFmtId="0" fontId="1" fillId="31" borderId="46" xfId="73" applyFill="1" applyBorder="1"/>
    <xf numFmtId="0" fontId="1" fillId="31" borderId="0" xfId="54" applyFill="1"/>
    <xf numFmtId="0" fontId="1" fillId="31" borderId="0" xfId="54" applyFill="1" applyAlignment="1"/>
    <xf numFmtId="0" fontId="202" fillId="31" borderId="218" xfId="54" applyFont="1" applyFill="1" applyBorder="1" applyAlignment="1">
      <alignment vertical="center"/>
    </xf>
    <xf numFmtId="0" fontId="200" fillId="0" borderId="217" xfId="60" applyFont="1" applyFill="1" applyBorder="1" applyAlignment="1" applyProtection="1">
      <alignment horizontal="right" vertical="center"/>
    </xf>
    <xf numFmtId="0" fontId="200" fillId="0" borderId="219" xfId="60" applyFont="1" applyFill="1" applyBorder="1" applyAlignment="1" applyProtection="1">
      <alignment vertical="center"/>
    </xf>
    <xf numFmtId="0" fontId="205" fillId="0" borderId="221" xfId="60" applyFont="1" applyFill="1" applyBorder="1" applyAlignment="1" applyProtection="1">
      <alignment horizontal="right" vertical="center"/>
    </xf>
    <xf numFmtId="0" fontId="201" fillId="0" borderId="10" xfId="60" applyFont="1" applyBorder="1" applyAlignment="1">
      <alignment horizontal="center"/>
    </xf>
    <xf numFmtId="0" fontId="202" fillId="26" borderId="220" xfId="54" applyFont="1" applyFill="1" applyBorder="1" applyAlignment="1">
      <alignment vertical="center"/>
    </xf>
    <xf numFmtId="0" fontId="206" fillId="0" borderId="223" xfId="54" applyFont="1" applyFill="1" applyBorder="1" applyAlignment="1" applyProtection="1">
      <alignment horizontal="center" vertical="center" textRotation="90" wrapText="1"/>
    </xf>
    <xf numFmtId="0" fontId="206" fillId="0" borderId="225" xfId="54" applyFont="1" applyFill="1" applyBorder="1" applyAlignment="1" applyProtection="1">
      <alignment horizontal="center" vertical="center" textRotation="90" wrapText="1"/>
    </xf>
    <xf numFmtId="0" fontId="1" fillId="31" borderId="0" xfId="71" applyFont="1" applyFill="1" applyBorder="1"/>
    <xf numFmtId="0" fontId="2" fillId="31" borderId="0" xfId="71" applyFont="1" applyFill="1" applyBorder="1" applyAlignment="1">
      <alignment horizontal="center"/>
    </xf>
    <xf numFmtId="0" fontId="1" fillId="31" borderId="0" xfId="71" applyFill="1" applyAlignment="1"/>
    <xf numFmtId="0" fontId="3" fillId="31" borderId="0" xfId="71" applyFont="1" applyFill="1" applyBorder="1" applyAlignment="1">
      <alignment horizontal="center" vertical="center"/>
    </xf>
    <xf numFmtId="0" fontId="2" fillId="31" borderId="0" xfId="71" applyFont="1" applyFill="1" applyBorder="1" applyAlignment="1">
      <alignment horizontal="center" vertical="center"/>
    </xf>
    <xf numFmtId="0" fontId="14" fillId="0" borderId="33" xfId="71" applyFont="1" applyFill="1" applyBorder="1" applyAlignment="1">
      <alignment vertical="center" readingOrder="2"/>
    </xf>
    <xf numFmtId="0" fontId="14" fillId="0" borderId="42" xfId="71" applyFont="1" applyFill="1" applyBorder="1" applyAlignment="1">
      <alignment vertical="center" readingOrder="2"/>
    </xf>
    <xf numFmtId="0" fontId="14" fillId="0" borderId="71" xfId="71" applyFont="1" applyFill="1" applyBorder="1" applyAlignment="1">
      <alignment vertical="center" readingOrder="2"/>
    </xf>
    <xf numFmtId="0" fontId="1" fillId="0" borderId="70" xfId="71" applyBorder="1" applyAlignment="1"/>
    <xf numFmtId="0" fontId="12" fillId="0" borderId="43" xfId="71" applyFont="1" applyBorder="1" applyAlignment="1">
      <alignment horizontal="center" vertical="center" wrapText="1"/>
    </xf>
    <xf numFmtId="0" fontId="1" fillId="0" borderId="70" xfId="71" applyFont="1" applyFill="1" applyBorder="1" applyAlignment="1"/>
    <xf numFmtId="0" fontId="0" fillId="0" borderId="0" xfId="0" applyBorder="1"/>
    <xf numFmtId="0" fontId="2" fillId="0" borderId="164" xfId="71" applyFont="1" applyFill="1" applyBorder="1" applyAlignment="1">
      <alignment horizontal="center"/>
    </xf>
    <xf numFmtId="0" fontId="7" fillId="0" borderId="70" xfId="64" applyFont="1" applyFill="1" applyBorder="1" applyAlignment="1">
      <alignment horizontal="right" vertical="center" readingOrder="2"/>
    </xf>
    <xf numFmtId="0" fontId="1" fillId="0" borderId="43" xfId="64" applyBorder="1" applyAlignment="1">
      <alignment vertical="center"/>
    </xf>
    <xf numFmtId="0" fontId="1" fillId="0" borderId="216" xfId="71" applyBorder="1" applyAlignment="1">
      <alignment vertical="center"/>
    </xf>
    <xf numFmtId="3" fontId="3" fillId="31" borderId="128" xfId="64" applyNumberFormat="1" applyFont="1" applyFill="1" applyBorder="1" applyAlignment="1" applyProtection="1">
      <alignment horizontal="center" vertical="center" wrapText="1" readingOrder="1"/>
    </xf>
    <xf numFmtId="3" fontId="3" fillId="31" borderId="125" xfId="64" applyNumberFormat="1" applyFont="1" applyFill="1" applyBorder="1" applyAlignment="1" applyProtection="1">
      <alignment horizontal="center" vertical="center" wrapText="1" readingOrder="1"/>
    </xf>
    <xf numFmtId="3" fontId="3" fillId="31" borderId="129" xfId="64" applyNumberFormat="1" applyFont="1" applyFill="1" applyBorder="1" applyAlignment="1" applyProtection="1">
      <alignment horizontal="center" vertical="center" wrapText="1" readingOrder="1"/>
    </xf>
    <xf numFmtId="3" fontId="3" fillId="31" borderId="126" xfId="64" applyNumberFormat="1" applyFont="1" applyFill="1" applyBorder="1" applyAlignment="1" applyProtection="1">
      <alignment horizontal="center" vertical="center" wrapText="1" readingOrder="1"/>
    </xf>
    <xf numFmtId="3" fontId="3" fillId="31" borderId="130" xfId="64" applyNumberFormat="1" applyFont="1" applyFill="1" applyBorder="1" applyAlignment="1" applyProtection="1">
      <alignment horizontal="center" vertical="center" wrapText="1" readingOrder="1"/>
    </xf>
    <xf numFmtId="3" fontId="3" fillId="31" borderId="127" xfId="64" applyNumberFormat="1" applyFont="1" applyFill="1" applyBorder="1" applyAlignment="1" applyProtection="1">
      <alignment horizontal="center" vertical="center" wrapText="1" readingOrder="1"/>
    </xf>
    <xf numFmtId="3" fontId="3" fillId="31" borderId="133" xfId="64" applyNumberFormat="1" applyFont="1" applyFill="1" applyBorder="1" applyAlignment="1" applyProtection="1">
      <alignment horizontal="center" vertical="center" wrapText="1" readingOrder="1"/>
    </xf>
    <xf numFmtId="3" fontId="3" fillId="31" borderId="134" xfId="64" applyNumberFormat="1" applyFont="1" applyFill="1" applyBorder="1" applyAlignment="1" applyProtection="1">
      <alignment horizontal="center" vertical="center" wrapText="1" readingOrder="1"/>
    </xf>
    <xf numFmtId="3" fontId="3" fillId="31" borderId="117" xfId="64" applyNumberFormat="1" applyFont="1" applyFill="1" applyBorder="1" applyAlignment="1" applyProtection="1">
      <alignment horizontal="center" vertical="center" wrapText="1" readingOrder="1"/>
    </xf>
    <xf numFmtId="0" fontId="1" fillId="31" borderId="0" xfId="73" applyFill="1" applyBorder="1" applyAlignment="1"/>
    <xf numFmtId="0" fontId="1" fillId="31" borderId="0" xfId="64" applyFill="1" applyBorder="1" applyAlignment="1" applyProtection="1"/>
    <xf numFmtId="0" fontId="2" fillId="31" borderId="0" xfId="73" applyFont="1" applyFill="1" applyBorder="1" applyAlignment="1">
      <alignment vertical="center"/>
    </xf>
    <xf numFmtId="0" fontId="7" fillId="31" borderId="0" xfId="73" applyFont="1" applyFill="1" applyBorder="1" applyAlignment="1">
      <alignment horizontal="right" vertical="center" readingOrder="2"/>
    </xf>
    <xf numFmtId="0" fontId="1" fillId="31" borderId="0" xfId="73" applyFill="1" applyBorder="1" applyAlignment="1">
      <alignment vertical="center"/>
    </xf>
    <xf numFmtId="0" fontId="58" fillId="31" borderId="0" xfId="73" applyFont="1" applyFill="1" applyBorder="1" applyAlignment="1">
      <alignment vertical="center"/>
    </xf>
    <xf numFmtId="0" fontId="2" fillId="26" borderId="0" xfId="73" applyFont="1" applyFill="1" applyBorder="1" applyAlignment="1">
      <alignment vertical="center" readingOrder="1"/>
    </xf>
    <xf numFmtId="0" fontId="2" fillId="26" borderId="0" xfId="73" applyFont="1" applyFill="1" applyBorder="1" applyAlignment="1">
      <alignment horizontal="center" vertical="center" readingOrder="1"/>
    </xf>
    <xf numFmtId="0" fontId="58" fillId="26" borderId="0" xfId="73" applyFont="1" applyFill="1" applyBorder="1" applyAlignment="1">
      <alignment horizontal="center" vertical="center" readingOrder="2"/>
    </xf>
    <xf numFmtId="0" fontId="7" fillId="0" borderId="41" xfId="68" applyFont="1" applyFill="1" applyBorder="1" applyAlignment="1" applyProtection="1">
      <alignment horizontal="right" vertical="center" readingOrder="2"/>
    </xf>
    <xf numFmtId="0" fontId="7" fillId="0" borderId="0" xfId="64" applyFont="1" applyFill="1" applyBorder="1" applyAlignment="1">
      <alignment horizontal="left" vertical="center" readingOrder="2"/>
    </xf>
    <xf numFmtId="2" fontId="7" fillId="26" borderId="116" xfId="73" applyNumberFormat="1" applyFont="1" applyFill="1" applyBorder="1" applyAlignment="1">
      <alignment horizontal="left" vertical="center" readingOrder="2"/>
    </xf>
    <xf numFmtId="0" fontId="2" fillId="31" borderId="0" xfId="73" applyFont="1" applyFill="1" applyBorder="1" applyAlignment="1">
      <alignment horizontal="left" vertical="center"/>
    </xf>
    <xf numFmtId="0" fontId="1" fillId="31" borderId="0" xfId="64" applyFont="1" applyFill="1" applyBorder="1"/>
    <xf numFmtId="0" fontId="2" fillId="31" borderId="0" xfId="64" applyFont="1" applyFill="1" applyBorder="1" applyAlignment="1">
      <alignment horizontal="center"/>
    </xf>
    <xf numFmtId="0" fontId="1" fillId="31" borderId="0" xfId="64" applyFill="1" applyAlignment="1"/>
    <xf numFmtId="0" fontId="3" fillId="31" borderId="0" xfId="64" applyFont="1" applyFill="1" applyBorder="1" applyAlignment="1">
      <alignment horizontal="center"/>
    </xf>
    <xf numFmtId="0" fontId="1" fillId="31" borderId="0" xfId="64" applyFont="1" applyFill="1" applyBorder="1" applyAlignment="1">
      <alignment vertical="center"/>
    </xf>
    <xf numFmtId="0" fontId="3" fillId="31" borderId="0" xfId="64" applyFont="1" applyFill="1" applyBorder="1" applyAlignment="1">
      <alignment horizontal="center" vertical="center"/>
    </xf>
    <xf numFmtId="0" fontId="2" fillId="31" borderId="0" xfId="64" applyFont="1" applyFill="1" applyBorder="1" applyAlignment="1">
      <alignment horizontal="center" vertical="center"/>
    </xf>
    <xf numFmtId="0" fontId="1" fillId="31" borderId="0" xfId="64" applyFont="1" applyFill="1" applyBorder="1" applyAlignment="1"/>
    <xf numFmtId="0" fontId="1" fillId="31" borderId="0" xfId="64" applyFill="1"/>
    <xf numFmtId="0" fontId="1" fillId="31" borderId="0" xfId="64" applyFill="1" applyBorder="1" applyAlignment="1">
      <alignment vertical="center"/>
    </xf>
    <xf numFmtId="0" fontId="1" fillId="31" borderId="0" xfId="64" applyFill="1" applyBorder="1" applyAlignment="1"/>
    <xf numFmtId="0" fontId="56" fillId="31" borderId="0" xfId="64" applyFont="1" applyFill="1" applyBorder="1" applyAlignment="1">
      <alignment vertical="center"/>
    </xf>
    <xf numFmtId="0" fontId="57" fillId="31" borderId="70" xfId="64" applyFont="1" applyFill="1" applyBorder="1" applyAlignment="1">
      <alignment horizontal="right" vertical="center" readingOrder="2"/>
    </xf>
    <xf numFmtId="0" fontId="1" fillId="31" borderId="43" xfId="64" applyFill="1" applyBorder="1" applyAlignment="1">
      <alignment vertical="center"/>
    </xf>
    <xf numFmtId="0" fontId="57" fillId="26" borderId="0" xfId="64" applyFont="1" applyFill="1" applyBorder="1" applyAlignment="1">
      <alignment horizontal="right" vertical="center" readingOrder="2"/>
    </xf>
    <xf numFmtId="0" fontId="14" fillId="31" borderId="0" xfId="64" applyFont="1" applyFill="1" applyBorder="1" applyAlignment="1">
      <alignment vertical="center" readingOrder="2"/>
    </xf>
    <xf numFmtId="0" fontId="12" fillId="31" borderId="0" xfId="64" applyFont="1" applyFill="1" applyBorder="1" applyAlignment="1">
      <alignment horizontal="center" vertical="center" wrapText="1"/>
    </xf>
    <xf numFmtId="0" fontId="7" fillId="0" borderId="33" xfId="64" applyFont="1" applyFill="1" applyBorder="1" applyAlignment="1">
      <alignment horizontal="right" vertical="center" readingOrder="2"/>
    </xf>
    <xf numFmtId="0" fontId="7" fillId="0" borderId="42" xfId="64" applyFont="1" applyFill="1" applyBorder="1" applyAlignment="1">
      <alignment horizontal="right" vertical="center" readingOrder="2"/>
    </xf>
    <xf numFmtId="0" fontId="1" fillId="0" borderId="42" xfId="64" applyBorder="1" applyAlignment="1">
      <alignment vertical="center"/>
    </xf>
    <xf numFmtId="0" fontId="1" fillId="0" borderId="42" xfId="64" applyBorder="1" applyAlignment="1"/>
    <xf numFmtId="0" fontId="1" fillId="0" borderId="71" xfId="64" applyBorder="1" applyAlignment="1">
      <alignment vertical="center"/>
    </xf>
    <xf numFmtId="0" fontId="64" fillId="0" borderId="70" xfId="64" applyFont="1" applyFill="1" applyBorder="1" applyAlignment="1">
      <alignment horizontal="right" vertical="center" readingOrder="2"/>
    </xf>
    <xf numFmtId="0" fontId="1" fillId="0" borderId="43" xfId="64" applyBorder="1" applyAlignment="1"/>
    <xf numFmtId="0" fontId="7" fillId="0" borderId="164" xfId="64" applyFont="1" applyFill="1" applyBorder="1" applyAlignment="1">
      <alignment horizontal="right" vertical="center" readingOrder="2"/>
    </xf>
    <xf numFmtId="0" fontId="1" fillId="0" borderId="41" xfId="64" applyBorder="1"/>
    <xf numFmtId="0" fontId="1" fillId="0" borderId="216" xfId="64" applyBorder="1" applyAlignment="1">
      <alignment vertical="center"/>
    </xf>
    <xf numFmtId="0" fontId="2" fillId="31" borderId="0" xfId="64" applyFont="1" applyFill="1" applyBorder="1" applyAlignment="1"/>
    <xf numFmtId="0" fontId="14" fillId="0" borderId="33" xfId="64" applyFont="1" applyFill="1" applyBorder="1" applyAlignment="1">
      <alignment vertical="center" readingOrder="2"/>
    </xf>
    <xf numFmtId="0" fontId="14" fillId="0" borderId="42" xfId="64" applyFont="1" applyFill="1" applyBorder="1" applyAlignment="1">
      <alignment vertical="center" readingOrder="2"/>
    </xf>
    <xf numFmtId="0" fontId="14" fillId="0" borderId="71" xfId="64" applyFont="1" applyFill="1" applyBorder="1" applyAlignment="1">
      <alignment vertical="center" readingOrder="2"/>
    </xf>
    <xf numFmtId="0" fontId="1" fillId="0" borderId="70" xfId="64" applyBorder="1" applyAlignment="1"/>
    <xf numFmtId="0" fontId="12" fillId="0" borderId="43" xfId="64" applyFont="1" applyBorder="1" applyAlignment="1">
      <alignment horizontal="center" vertical="center" wrapText="1"/>
    </xf>
    <xf numFmtId="0" fontId="1" fillId="0" borderId="70" xfId="64" applyFont="1" applyFill="1" applyBorder="1"/>
    <xf numFmtId="0" fontId="1" fillId="0" borderId="70" xfId="64" applyFont="1" applyFill="1" applyBorder="1" applyAlignment="1"/>
    <xf numFmtId="0" fontId="2" fillId="0" borderId="164" xfId="64" applyFont="1" applyFill="1" applyBorder="1" applyAlignment="1">
      <alignment horizontal="center"/>
    </xf>
    <xf numFmtId="0" fontId="2" fillId="0" borderId="216" xfId="64" applyFont="1" applyFill="1" applyBorder="1" applyAlignment="1">
      <alignment horizontal="center"/>
    </xf>
    <xf numFmtId="0" fontId="81" fillId="31" borderId="228" xfId="68" applyFont="1" applyFill="1" applyBorder="1" applyAlignment="1" applyProtection="1"/>
    <xf numFmtId="0" fontId="2" fillId="31" borderId="0" xfId="73" applyFont="1" applyFill="1" applyBorder="1"/>
    <xf numFmtId="0" fontId="2" fillId="26" borderId="43" xfId="73" applyFont="1" applyFill="1" applyBorder="1" applyAlignment="1">
      <alignment vertical="center"/>
    </xf>
    <xf numFmtId="0" fontId="1" fillId="0" borderId="33" xfId="73" applyBorder="1" applyAlignment="1"/>
    <xf numFmtId="0" fontId="1" fillId="0" borderId="71" xfId="73" applyBorder="1" applyAlignment="1"/>
    <xf numFmtId="0" fontId="1" fillId="31" borderId="43" xfId="73" applyFill="1" applyBorder="1" applyAlignment="1"/>
    <xf numFmtId="0" fontId="1" fillId="0" borderId="70" xfId="70" applyFill="1" applyBorder="1" applyAlignment="1"/>
    <xf numFmtId="0" fontId="1" fillId="0" borderId="43" xfId="73" applyFill="1" applyBorder="1" applyAlignment="1"/>
    <xf numFmtId="0" fontId="1" fillId="0" borderId="43" xfId="73" applyFill="1" applyBorder="1"/>
    <xf numFmtId="0" fontId="1" fillId="0" borderId="70" xfId="73" applyFill="1" applyBorder="1" applyAlignment="1"/>
    <xf numFmtId="0" fontId="7" fillId="0" borderId="70" xfId="73" applyFont="1" applyFill="1" applyBorder="1" applyAlignment="1">
      <alignment horizontal="right" vertical="center" readingOrder="2"/>
    </xf>
    <xf numFmtId="0" fontId="7" fillId="0" borderId="70" xfId="73" applyFont="1" applyFill="1" applyBorder="1" applyAlignment="1">
      <alignment horizontal="left" vertical="center"/>
    </xf>
    <xf numFmtId="0" fontId="7" fillId="0" borderId="70" xfId="68" applyFont="1" applyFill="1" applyBorder="1" applyAlignment="1" applyProtection="1">
      <alignment horizontal="right" vertical="center" readingOrder="2"/>
    </xf>
    <xf numFmtId="0" fontId="2" fillId="0" borderId="70" xfId="73" applyFont="1" applyFill="1" applyBorder="1" applyAlignment="1">
      <alignment horizontal="right" vertical="center" readingOrder="2"/>
    </xf>
    <xf numFmtId="0" fontId="1" fillId="31" borderId="43" xfId="73" applyFill="1" applyBorder="1" applyAlignment="1">
      <alignment vertical="center"/>
    </xf>
    <xf numFmtId="0" fontId="1" fillId="0" borderId="70" xfId="73" applyFill="1" applyBorder="1" applyAlignment="1">
      <alignment vertical="center"/>
    </xf>
    <xf numFmtId="0" fontId="7" fillId="0" borderId="43" xfId="70" applyFont="1" applyFill="1" applyBorder="1" applyAlignment="1">
      <alignment vertical="center" readingOrder="2"/>
    </xf>
    <xf numFmtId="0" fontId="1" fillId="0" borderId="70" xfId="70" applyFill="1" applyBorder="1" applyAlignment="1">
      <alignment vertical="center"/>
    </xf>
    <xf numFmtId="0" fontId="1" fillId="0" borderId="164" xfId="73" applyBorder="1" applyAlignment="1">
      <alignment vertical="center"/>
    </xf>
    <xf numFmtId="0" fontId="1" fillId="0" borderId="41" xfId="73" applyBorder="1" applyAlignment="1">
      <alignment vertical="center"/>
    </xf>
    <xf numFmtId="0" fontId="1" fillId="0" borderId="216" xfId="73" applyBorder="1" applyAlignment="1">
      <alignment vertical="center"/>
    </xf>
    <xf numFmtId="0" fontId="208" fillId="26" borderId="0" xfId="73" applyFont="1" applyFill="1" applyBorder="1" applyAlignment="1">
      <alignment horizontal="right" vertical="center" readingOrder="2"/>
    </xf>
    <xf numFmtId="0" fontId="208" fillId="26" borderId="0" xfId="70" applyFont="1" applyFill="1" applyBorder="1" applyAlignment="1">
      <alignment horizontal="right" vertical="center" readingOrder="2"/>
    </xf>
    <xf numFmtId="0" fontId="208" fillId="26" borderId="0" xfId="70" applyFont="1" applyFill="1" applyBorder="1" applyAlignment="1">
      <alignment vertical="center" readingOrder="2"/>
    </xf>
    <xf numFmtId="0" fontId="209" fillId="26" borderId="0" xfId="70" applyFont="1" applyFill="1" applyBorder="1" applyAlignment="1">
      <alignment vertical="center"/>
    </xf>
    <xf numFmtId="0" fontId="209" fillId="26" borderId="0" xfId="73" applyFont="1" applyFill="1" applyBorder="1" applyAlignment="1">
      <alignment vertical="center"/>
    </xf>
    <xf numFmtId="0" fontId="2" fillId="0" borderId="70" xfId="73" applyFont="1" applyFill="1" applyBorder="1" applyAlignment="1">
      <alignment horizontal="center" vertical="center"/>
    </xf>
    <xf numFmtId="0" fontId="2" fillId="26" borderId="43" xfId="73" applyFont="1" applyFill="1" applyBorder="1" applyAlignment="1">
      <alignment horizontal="center" vertical="center"/>
    </xf>
    <xf numFmtId="0" fontId="1" fillId="0" borderId="70" xfId="64" applyFill="1" applyBorder="1" applyAlignment="1">
      <alignment vertical="center"/>
    </xf>
    <xf numFmtId="0" fontId="7" fillId="0" borderId="43" xfId="64" applyFont="1" applyFill="1" applyBorder="1" applyAlignment="1">
      <alignment vertical="center" readingOrder="2"/>
    </xf>
    <xf numFmtId="0" fontId="1" fillId="0" borderId="42" xfId="64" applyFill="1" applyBorder="1" applyAlignment="1">
      <alignment vertical="center"/>
    </xf>
    <xf numFmtId="0" fontId="62" fillId="0" borderId="43" xfId="64" applyFont="1" applyFill="1" applyBorder="1" applyAlignment="1">
      <alignment vertical="center" readingOrder="1"/>
    </xf>
    <xf numFmtId="0" fontId="1" fillId="0" borderId="70" xfId="71" applyFont="1" applyFill="1" applyBorder="1"/>
    <xf numFmtId="0" fontId="7" fillId="0" borderId="42" xfId="71" applyFont="1" applyFill="1" applyBorder="1" applyAlignment="1" applyProtection="1">
      <alignment horizontal="right" vertical="center" readingOrder="2"/>
    </xf>
    <xf numFmtId="0" fontId="1" fillId="0" borderId="42" xfId="71" applyBorder="1" applyAlignment="1" applyProtection="1">
      <alignment vertical="center"/>
    </xf>
    <xf numFmtId="0" fontId="1" fillId="0" borderId="43" xfId="71" applyBorder="1" applyAlignment="1"/>
    <xf numFmtId="0" fontId="12" fillId="0" borderId="43" xfId="71" applyFont="1" applyFill="1" applyBorder="1" applyAlignment="1">
      <alignment horizontal="center" vertical="center" wrapText="1"/>
    </xf>
    <xf numFmtId="0" fontId="7" fillId="0" borderId="33" xfId="71" applyFont="1" applyFill="1" applyBorder="1" applyAlignment="1" applyProtection="1">
      <alignment horizontal="right" vertical="center" readingOrder="2"/>
    </xf>
    <xf numFmtId="0" fontId="1" fillId="0" borderId="42" xfId="71" applyBorder="1" applyAlignment="1" applyProtection="1"/>
    <xf numFmtId="0" fontId="64" fillId="0" borderId="70" xfId="71" applyFont="1" applyFill="1" applyBorder="1" applyAlignment="1" applyProtection="1">
      <alignment horizontal="right" vertical="center" readingOrder="2"/>
    </xf>
    <xf numFmtId="0" fontId="7" fillId="0" borderId="70" xfId="75" applyFont="1" applyFill="1" applyBorder="1" applyAlignment="1" applyProtection="1">
      <alignment horizontal="right" vertical="center" readingOrder="2"/>
    </xf>
    <xf numFmtId="0" fontId="1" fillId="0" borderId="43" xfId="71" applyFill="1" applyBorder="1" applyAlignment="1"/>
    <xf numFmtId="0" fontId="57" fillId="0" borderId="70" xfId="71" applyFont="1" applyFill="1" applyBorder="1" applyAlignment="1" applyProtection="1">
      <alignment vertical="center" readingOrder="2"/>
    </xf>
    <xf numFmtId="0" fontId="57" fillId="0" borderId="70" xfId="72" applyFont="1" applyFill="1" applyBorder="1" applyAlignment="1" applyProtection="1">
      <alignment vertical="center" readingOrder="2"/>
    </xf>
    <xf numFmtId="0" fontId="7" fillId="0" borderId="70" xfId="75" applyFont="1" applyFill="1" applyBorder="1" applyAlignment="1" applyProtection="1">
      <alignment vertical="center" textRotation="90" readingOrder="2"/>
    </xf>
    <xf numFmtId="0" fontId="7" fillId="0" borderId="164" xfId="71" applyFont="1" applyFill="1" applyBorder="1" applyAlignment="1" applyProtection="1">
      <alignment horizontal="right" vertical="center" readingOrder="2"/>
    </xf>
    <xf numFmtId="0" fontId="1" fillId="0" borderId="41" xfId="71" applyBorder="1" applyProtection="1"/>
    <xf numFmtId="0" fontId="12" fillId="0" borderId="43" xfId="64" applyFont="1" applyBorder="1" applyAlignment="1" applyProtection="1">
      <alignment horizontal="center" vertical="center" wrapText="1"/>
    </xf>
    <xf numFmtId="0" fontId="1" fillId="0" borderId="43" xfId="64" applyBorder="1" applyAlignment="1" applyProtection="1"/>
    <xf numFmtId="0" fontId="2" fillId="0" borderId="0" xfId="64" applyFont="1" applyBorder="1" applyAlignment="1" applyProtection="1">
      <alignment vertical="center"/>
    </xf>
    <xf numFmtId="0" fontId="2" fillId="0" borderId="216" xfId="64" applyFont="1" applyFill="1" applyBorder="1" applyAlignment="1" applyProtection="1">
      <alignment horizontal="center"/>
    </xf>
    <xf numFmtId="0" fontId="7" fillId="0" borderId="33" xfId="64" applyFont="1" applyFill="1" applyBorder="1" applyAlignment="1" applyProtection="1">
      <alignment horizontal="right" vertical="center" readingOrder="2"/>
    </xf>
    <xf numFmtId="0" fontId="7" fillId="0" borderId="42" xfId="64" applyFont="1" applyFill="1" applyBorder="1" applyAlignment="1" applyProtection="1">
      <alignment horizontal="right" vertical="center" readingOrder="2"/>
    </xf>
    <xf numFmtId="0" fontId="1" fillId="0" borderId="42" xfId="64" applyBorder="1" applyAlignment="1" applyProtection="1">
      <alignment vertical="center"/>
    </xf>
    <xf numFmtId="0" fontId="1" fillId="0" borderId="42" xfId="64" applyBorder="1" applyAlignment="1" applyProtection="1"/>
    <xf numFmtId="0" fontId="1" fillId="0" borderId="71" xfId="64" applyBorder="1" applyAlignment="1" applyProtection="1">
      <alignment vertical="center"/>
    </xf>
    <xf numFmtId="0" fontId="64" fillId="0" borderId="70" xfId="64" applyFont="1" applyFill="1" applyBorder="1" applyAlignment="1" applyProtection="1">
      <alignment horizontal="right" vertical="center" readingOrder="2"/>
    </xf>
    <xf numFmtId="0" fontId="62" fillId="0" borderId="43" xfId="64" applyFont="1" applyFill="1" applyBorder="1" applyAlignment="1" applyProtection="1">
      <alignment vertical="center" readingOrder="1"/>
    </xf>
    <xf numFmtId="0" fontId="64" fillId="0" borderId="70" xfId="64" applyFont="1" applyFill="1" applyBorder="1" applyAlignment="1" applyProtection="1">
      <alignment vertical="center" readingOrder="2"/>
    </xf>
    <xf numFmtId="0" fontId="7" fillId="0" borderId="70" xfId="64" applyFont="1" applyFill="1" applyBorder="1" applyAlignment="1" applyProtection="1">
      <alignment horizontal="right" vertical="center" readingOrder="2"/>
    </xf>
    <xf numFmtId="0" fontId="7" fillId="0" borderId="164" xfId="64" applyFont="1" applyFill="1" applyBorder="1" applyAlignment="1" applyProtection="1">
      <alignment horizontal="right" vertical="center" readingOrder="2"/>
    </xf>
    <xf numFmtId="0" fontId="7" fillId="0" borderId="41" xfId="64" applyFont="1" applyFill="1" applyBorder="1" applyAlignment="1" applyProtection="1">
      <alignment horizontal="right" vertical="center" readingOrder="2"/>
    </xf>
    <xf numFmtId="0" fontId="55" fillId="0" borderId="41" xfId="64" applyFont="1" applyFill="1" applyBorder="1" applyAlignment="1" applyProtection="1">
      <alignment horizontal="center" vertical="center" readingOrder="2"/>
    </xf>
    <xf numFmtId="3" fontId="58" fillId="0" borderId="41" xfId="64" applyNumberFormat="1" applyFont="1" applyFill="1" applyBorder="1" applyAlignment="1" applyProtection="1">
      <alignment horizontal="center" wrapText="1" readingOrder="1"/>
    </xf>
    <xf numFmtId="0" fontId="1" fillId="0" borderId="216" xfId="64" applyBorder="1" applyAlignment="1" applyProtection="1"/>
    <xf numFmtId="0" fontId="1" fillId="0" borderId="33" xfId="64" applyFont="1" applyFill="1" applyBorder="1" applyProtection="1"/>
    <xf numFmtId="0" fontId="14" fillId="0" borderId="42" xfId="64" applyFont="1" applyFill="1" applyBorder="1" applyAlignment="1" applyProtection="1">
      <alignment vertical="center" readingOrder="2"/>
    </xf>
    <xf numFmtId="0" fontId="14" fillId="0" borderId="71" xfId="64" applyFont="1" applyFill="1" applyBorder="1" applyAlignment="1" applyProtection="1">
      <alignment vertical="center" readingOrder="2"/>
    </xf>
    <xf numFmtId="0" fontId="1" fillId="0" borderId="70" xfId="64" applyFont="1" applyFill="1" applyBorder="1" applyProtection="1"/>
    <xf numFmtId="0" fontId="1" fillId="0" borderId="70" xfId="64" applyBorder="1" applyAlignment="1" applyProtection="1"/>
    <xf numFmtId="0" fontId="1" fillId="0" borderId="70" xfId="64" applyFont="1" applyFill="1" applyBorder="1" applyAlignment="1" applyProtection="1"/>
    <xf numFmtId="0" fontId="2" fillId="0" borderId="164" xfId="64" applyFont="1" applyFill="1" applyBorder="1" applyAlignment="1" applyProtection="1">
      <alignment horizontal="center"/>
    </xf>
    <xf numFmtId="0" fontId="60" fillId="0" borderId="70" xfId="64" applyFont="1" applyFill="1" applyBorder="1" applyAlignment="1" applyProtection="1">
      <alignment horizontal="right" vertical="center" readingOrder="2"/>
    </xf>
    <xf numFmtId="0" fontId="60" fillId="0" borderId="43" xfId="64" applyFont="1" applyFill="1" applyBorder="1" applyAlignment="1" applyProtection="1">
      <alignment vertical="center" readingOrder="1"/>
    </xf>
    <xf numFmtId="0" fontId="1" fillId="0" borderId="43" xfId="64" applyFill="1" applyBorder="1" applyAlignment="1" applyProtection="1"/>
    <xf numFmtId="0" fontId="14" fillId="0" borderId="33" xfId="64" applyFont="1" applyFill="1" applyBorder="1" applyAlignment="1" applyProtection="1">
      <alignment vertical="center" readingOrder="2"/>
    </xf>
    <xf numFmtId="0" fontId="1" fillId="26" borderId="0" xfId="64" applyFill="1" applyBorder="1" applyProtection="1"/>
    <xf numFmtId="3" fontId="65" fillId="0" borderId="0" xfId="64" applyNumberFormat="1" applyFont="1" applyFill="1" applyBorder="1" applyAlignment="1" applyProtection="1">
      <alignment readingOrder="1"/>
    </xf>
    <xf numFmtId="0" fontId="1" fillId="0" borderId="216" xfId="64" applyFill="1" applyBorder="1" applyAlignment="1" applyProtection="1"/>
    <xf numFmtId="0" fontId="14" fillId="0" borderId="33" xfId="71" applyFont="1" applyFill="1" applyBorder="1" applyAlignment="1" applyProtection="1">
      <alignment vertical="center" readingOrder="2"/>
    </xf>
    <xf numFmtId="0" fontId="14" fillId="0" borderId="42" xfId="71" applyFont="1" applyFill="1" applyBorder="1" applyAlignment="1" applyProtection="1">
      <alignment vertical="center" readingOrder="2"/>
    </xf>
    <xf numFmtId="0" fontId="14" fillId="0" borderId="71" xfId="71" applyFont="1" applyFill="1" applyBorder="1" applyAlignment="1" applyProtection="1">
      <alignment vertical="center" readingOrder="2"/>
    </xf>
    <xf numFmtId="0" fontId="1" fillId="0" borderId="70" xfId="71" applyBorder="1" applyAlignment="1" applyProtection="1"/>
    <xf numFmtId="0" fontId="1" fillId="0" borderId="43" xfId="71" applyFill="1" applyBorder="1" applyProtection="1"/>
    <xf numFmtId="0" fontId="1" fillId="0" borderId="70" xfId="71" applyFont="1" applyFill="1" applyBorder="1" applyProtection="1"/>
    <xf numFmtId="0" fontId="1" fillId="0" borderId="70" xfId="71" applyFill="1" applyBorder="1" applyAlignment="1" applyProtection="1"/>
    <xf numFmtId="0" fontId="2" fillId="0" borderId="164" xfId="71" applyFont="1" applyFill="1" applyBorder="1" applyAlignment="1" applyProtection="1">
      <alignment horizontal="center"/>
    </xf>
    <xf numFmtId="0" fontId="1" fillId="0" borderId="216" xfId="71" applyFill="1" applyBorder="1" applyProtection="1"/>
    <xf numFmtId="0" fontId="1" fillId="0" borderId="71" xfId="71" applyBorder="1" applyAlignment="1" applyProtection="1">
      <alignment vertical="center"/>
    </xf>
    <xf numFmtId="0" fontId="62" fillId="0" borderId="43" xfId="71" applyFont="1" applyFill="1" applyBorder="1" applyAlignment="1" applyProtection="1">
      <alignment vertical="center" readingOrder="1"/>
    </xf>
    <xf numFmtId="0" fontId="64" fillId="0" borderId="70" xfId="71" applyFont="1" applyFill="1" applyBorder="1" applyAlignment="1" applyProtection="1">
      <alignment vertical="center" readingOrder="2"/>
    </xf>
    <xf numFmtId="0" fontId="7" fillId="0" borderId="70" xfId="71" applyFont="1" applyFill="1" applyBorder="1" applyAlignment="1" applyProtection="1">
      <alignment vertical="center" readingOrder="2"/>
    </xf>
    <xf numFmtId="0" fontId="7" fillId="0" borderId="43" xfId="71" applyFont="1" applyFill="1" applyBorder="1" applyAlignment="1" applyProtection="1">
      <alignment vertical="center" readingOrder="2"/>
    </xf>
    <xf numFmtId="0" fontId="7" fillId="0" borderId="70" xfId="71" applyFont="1" applyFill="1" applyBorder="1" applyAlignment="1" applyProtection="1">
      <alignment horizontal="right" vertical="center" readingOrder="2"/>
    </xf>
    <xf numFmtId="0" fontId="1" fillId="0" borderId="43" xfId="71" applyBorder="1" applyAlignment="1" applyProtection="1"/>
    <xf numFmtId="0" fontId="7" fillId="0" borderId="41" xfId="71" applyFont="1" applyFill="1" applyBorder="1" applyAlignment="1" applyProtection="1">
      <alignment horizontal="right" vertical="center" readingOrder="2"/>
    </xf>
    <xf numFmtId="0" fontId="55" fillId="0" borderId="41" xfId="71" applyFont="1" applyFill="1" applyBorder="1" applyAlignment="1" applyProtection="1">
      <alignment horizontal="center" vertical="center" readingOrder="2"/>
    </xf>
    <xf numFmtId="3" fontId="58" fillId="0" borderId="41" xfId="71" applyNumberFormat="1" applyFont="1" applyFill="1" applyBorder="1" applyAlignment="1" applyProtection="1">
      <alignment horizontal="center" wrapText="1" readingOrder="1"/>
    </xf>
    <xf numFmtId="0" fontId="1" fillId="0" borderId="41" xfId="71" applyFill="1" applyBorder="1" applyAlignment="1" applyProtection="1"/>
    <xf numFmtId="0" fontId="1" fillId="0" borderId="216" xfId="71" applyFill="1" applyBorder="1" applyAlignment="1" applyProtection="1"/>
    <xf numFmtId="0" fontId="12" fillId="0" borderId="43" xfId="71" applyFont="1" applyBorder="1" applyAlignment="1" applyProtection="1">
      <alignment horizontal="center" vertical="center" wrapText="1"/>
    </xf>
    <xf numFmtId="0" fontId="1" fillId="0" borderId="70" xfId="71" applyFont="1" applyFill="1" applyBorder="1" applyAlignment="1" applyProtection="1"/>
    <xf numFmtId="0" fontId="2" fillId="0" borderId="216" xfId="71" applyFont="1" applyFill="1" applyBorder="1" applyAlignment="1" applyProtection="1">
      <alignment horizontal="center"/>
    </xf>
    <xf numFmtId="0" fontId="62" fillId="0" borderId="70" xfId="71" applyFont="1" applyFill="1" applyBorder="1" applyAlignment="1" applyProtection="1">
      <alignment horizontal="right" vertical="center" readingOrder="2"/>
    </xf>
    <xf numFmtId="0" fontId="60" fillId="0" borderId="43" xfId="71" applyFont="1" applyFill="1" applyBorder="1" applyAlignment="1" applyProtection="1">
      <alignment vertical="center" readingOrder="1"/>
    </xf>
    <xf numFmtId="3" fontId="54" fillId="0" borderId="41" xfId="71" applyNumberFormat="1" applyFont="1" applyFill="1" applyBorder="1" applyAlignment="1" applyProtection="1">
      <alignment horizontal="center" vertical="center" readingOrder="1"/>
    </xf>
    <xf numFmtId="0" fontId="1" fillId="0" borderId="216" xfId="71" applyBorder="1" applyAlignment="1" applyProtection="1"/>
    <xf numFmtId="0" fontId="12" fillId="0" borderId="43" xfId="64" applyFont="1" applyFill="1" applyBorder="1" applyAlignment="1" applyProtection="1">
      <alignment horizontal="center" vertical="center" wrapText="1"/>
    </xf>
    <xf numFmtId="3" fontId="54" fillId="0" borderId="41" xfId="64" applyNumberFormat="1" applyFont="1" applyFill="1" applyBorder="1" applyAlignment="1" applyProtection="1">
      <alignment horizontal="center" vertical="center" readingOrder="1"/>
    </xf>
    <xf numFmtId="0" fontId="12" fillId="0" borderId="43" xfId="71" applyFont="1" applyFill="1" applyBorder="1" applyAlignment="1" applyProtection="1">
      <alignment horizontal="center" vertical="center" wrapText="1"/>
    </xf>
    <xf numFmtId="0" fontId="1" fillId="0" borderId="43" xfId="71" applyFill="1" applyBorder="1" applyAlignment="1" applyProtection="1"/>
    <xf numFmtId="0" fontId="1" fillId="0" borderId="0" xfId="72" applyBorder="1" applyProtection="1"/>
    <xf numFmtId="0" fontId="2" fillId="0" borderId="43" xfId="64" applyFont="1" applyFill="1" applyBorder="1" applyAlignment="1" applyProtection="1">
      <alignment horizontal="center" vertical="center"/>
    </xf>
    <xf numFmtId="0" fontId="1" fillId="0" borderId="43" xfId="64" applyBorder="1" applyAlignment="1" applyProtection="1">
      <alignment vertical="center"/>
    </xf>
    <xf numFmtId="0" fontId="58" fillId="0" borderId="41" xfId="64" applyFont="1" applyFill="1" applyBorder="1" applyAlignment="1" applyProtection="1">
      <alignment vertical="center"/>
    </xf>
    <xf numFmtId="0" fontId="1" fillId="0" borderId="216" xfId="64" applyBorder="1" applyAlignment="1" applyProtection="1">
      <alignment vertical="center"/>
    </xf>
    <xf numFmtId="0" fontId="0" fillId="0" borderId="0" xfId="0" applyBorder="1" applyProtection="1"/>
    <xf numFmtId="0" fontId="3" fillId="0" borderId="0" xfId="71" applyFont="1" applyBorder="1" applyAlignment="1" applyProtection="1">
      <alignment horizontal="right"/>
      <protection locked="0"/>
    </xf>
    <xf numFmtId="0" fontId="2" fillId="0" borderId="43" xfId="71" applyFont="1" applyFill="1" applyBorder="1" applyAlignment="1" applyProtection="1">
      <alignment horizontal="center" vertical="center"/>
    </xf>
    <xf numFmtId="0" fontId="1" fillId="0" borderId="43" xfId="71" applyBorder="1" applyAlignment="1" applyProtection="1">
      <alignment vertical="center"/>
    </xf>
    <xf numFmtId="0" fontId="1" fillId="0" borderId="43" xfId="71" applyBorder="1" applyAlignment="1" applyProtection="1">
      <alignment vertical="center"/>
      <protection locked="0"/>
    </xf>
    <xf numFmtId="0" fontId="1" fillId="0" borderId="216" xfId="71" applyBorder="1" applyAlignment="1" applyProtection="1">
      <alignment vertical="center"/>
    </xf>
    <xf numFmtId="0" fontId="7" fillId="0" borderId="70" xfId="71" applyFont="1" applyBorder="1" applyAlignment="1" applyProtection="1">
      <alignment horizontal="right"/>
    </xf>
    <xf numFmtId="0" fontId="1" fillId="0" borderId="70" xfId="71" applyBorder="1" applyAlignment="1" applyProtection="1">
      <alignment horizontal="left"/>
    </xf>
    <xf numFmtId="0" fontId="1" fillId="0" borderId="70" xfId="71" applyBorder="1" applyAlignment="1" applyProtection="1">
      <alignment horizontal="left"/>
      <protection locked="0"/>
    </xf>
    <xf numFmtId="0" fontId="7" fillId="0" borderId="70" xfId="71" applyFont="1" applyBorder="1" applyAlignment="1" applyProtection="1">
      <alignment horizontal="right"/>
      <protection locked="0"/>
    </xf>
    <xf numFmtId="0" fontId="1" fillId="0" borderId="70" xfId="71" applyBorder="1" applyProtection="1">
      <protection locked="0"/>
    </xf>
    <xf numFmtId="0" fontId="1" fillId="0" borderId="42" xfId="71" applyBorder="1" applyProtection="1"/>
    <xf numFmtId="0" fontId="62" fillId="0" borderId="41" xfId="71" applyFont="1" applyFill="1" applyBorder="1" applyAlignment="1" applyProtection="1">
      <alignment vertical="center" readingOrder="2"/>
    </xf>
    <xf numFmtId="0" fontId="57" fillId="31" borderId="70" xfId="64" applyFont="1" applyFill="1" applyBorder="1" applyAlignment="1" applyProtection="1">
      <alignment horizontal="right" vertical="center" readingOrder="2"/>
    </xf>
    <xf numFmtId="0" fontId="1" fillId="31" borderId="0" xfId="64" applyFill="1" applyBorder="1" applyAlignment="1" applyProtection="1">
      <alignment vertical="center"/>
    </xf>
    <xf numFmtId="0" fontId="57" fillId="31" borderId="43" xfId="72" applyFont="1" applyFill="1" applyBorder="1" applyAlignment="1" applyProtection="1">
      <alignment horizontal="left" readingOrder="1"/>
    </xf>
    <xf numFmtId="0" fontId="1" fillId="31" borderId="0" xfId="64" applyFill="1" applyBorder="1" applyProtection="1"/>
    <xf numFmtId="0" fontId="7" fillId="31" borderId="0" xfId="72" applyFont="1" applyFill="1" applyBorder="1" applyAlignment="1" applyProtection="1">
      <alignment vertical="center" wrapText="1" readingOrder="2"/>
    </xf>
    <xf numFmtId="0" fontId="1" fillId="31" borderId="0" xfId="72" applyFont="1" applyFill="1" applyBorder="1" applyAlignment="1" applyProtection="1">
      <alignment horizontal="left" vertical="center"/>
    </xf>
    <xf numFmtId="0" fontId="57" fillId="31" borderId="0" xfId="72" applyFont="1" applyFill="1" applyBorder="1" applyAlignment="1" applyProtection="1">
      <alignment vertical="center" wrapText="1" readingOrder="1"/>
    </xf>
    <xf numFmtId="0" fontId="7" fillId="31" borderId="43" xfId="72" applyFont="1" applyFill="1" applyBorder="1" applyAlignment="1" applyProtection="1">
      <alignment horizontal="left" readingOrder="1"/>
    </xf>
    <xf numFmtId="0" fontId="1" fillId="31" borderId="43" xfId="64" applyFill="1" applyBorder="1" applyAlignment="1" applyProtection="1">
      <alignment vertical="center"/>
    </xf>
    <xf numFmtId="0" fontId="1" fillId="31" borderId="43" xfId="64" applyFill="1" applyBorder="1" applyAlignment="1" applyProtection="1"/>
    <xf numFmtId="0" fontId="58" fillId="31" borderId="123" xfId="64" applyFont="1" applyFill="1" applyBorder="1" applyAlignment="1" applyProtection="1">
      <alignment horizontal="center" vertical="center" wrapText="1" readingOrder="2"/>
    </xf>
    <xf numFmtId="3" fontId="3" fillId="31" borderId="123" xfId="64" applyNumberFormat="1" applyFont="1" applyFill="1" applyBorder="1" applyAlignment="1" applyProtection="1">
      <alignment horizontal="center" vertical="center" wrapText="1" readingOrder="1"/>
    </xf>
    <xf numFmtId="3" fontId="3" fillId="31" borderId="124" xfId="64" applyNumberFormat="1" applyFont="1" applyFill="1" applyBorder="1" applyAlignment="1" applyProtection="1">
      <alignment horizontal="center" vertical="center" wrapText="1" readingOrder="1"/>
    </xf>
    <xf numFmtId="0" fontId="58" fillId="31" borderId="130" xfId="64" applyFont="1" applyFill="1" applyBorder="1" applyAlignment="1" applyProtection="1">
      <alignment horizontal="center" vertical="center" wrapText="1" readingOrder="2"/>
    </xf>
    <xf numFmtId="0" fontId="58" fillId="31" borderId="148" xfId="64" applyFont="1" applyFill="1" applyBorder="1" applyAlignment="1" applyProtection="1">
      <alignment horizontal="center" vertical="center" wrapText="1" readingOrder="2"/>
    </xf>
    <xf numFmtId="0" fontId="0" fillId="31" borderId="0" xfId="0" applyFill="1"/>
    <xf numFmtId="0" fontId="3" fillId="31" borderId="0" xfId="71" applyFont="1" applyFill="1" applyBorder="1" applyAlignment="1">
      <alignment horizontal="center"/>
    </xf>
    <xf numFmtId="3" fontId="3" fillId="31" borderId="144" xfId="64" applyNumberFormat="1" applyFont="1" applyFill="1" applyBorder="1" applyAlignment="1" applyProtection="1">
      <alignment horizontal="center" vertical="center" wrapText="1" readingOrder="1"/>
    </xf>
    <xf numFmtId="3" fontId="3" fillId="31" borderId="145" xfId="64" applyNumberFormat="1" applyFont="1" applyFill="1" applyBorder="1" applyAlignment="1" applyProtection="1">
      <alignment horizontal="center" vertical="center" wrapText="1" readingOrder="1"/>
    </xf>
    <xf numFmtId="0" fontId="55" fillId="31" borderId="121" xfId="71" applyFont="1" applyFill="1" applyBorder="1" applyAlignment="1" applyProtection="1">
      <alignment horizontal="center" vertical="center" readingOrder="2"/>
    </xf>
    <xf numFmtId="0" fontId="57" fillId="31" borderId="70" xfId="71" applyFont="1" applyFill="1" applyBorder="1" applyAlignment="1" applyProtection="1">
      <alignment horizontal="right" vertical="center" readingOrder="2"/>
    </xf>
    <xf numFmtId="0" fontId="57" fillId="31" borderId="0" xfId="71" applyFont="1" applyFill="1" applyBorder="1" applyAlignment="1" applyProtection="1">
      <alignment horizontal="right" vertical="center" readingOrder="2"/>
    </xf>
    <xf numFmtId="0" fontId="1" fillId="31" borderId="0" xfId="71" applyFill="1" applyBorder="1" applyAlignment="1" applyProtection="1">
      <alignment vertical="center"/>
    </xf>
    <xf numFmtId="0" fontId="1" fillId="31" borderId="0" xfId="71" applyFill="1" applyBorder="1" applyAlignment="1" applyProtection="1"/>
    <xf numFmtId="0" fontId="1" fillId="31" borderId="43" xfId="71" applyFill="1" applyBorder="1" applyAlignment="1" applyProtection="1">
      <alignment vertical="center"/>
    </xf>
    <xf numFmtId="0" fontId="57" fillId="31" borderId="0" xfId="64" applyFont="1" applyFill="1" applyBorder="1" applyAlignment="1" applyProtection="1">
      <alignment horizontal="right" vertical="center" readingOrder="2"/>
    </xf>
    <xf numFmtId="0" fontId="55" fillId="31" borderId="230" xfId="71" applyFont="1" applyFill="1" applyBorder="1" applyAlignment="1" applyProtection="1">
      <alignment horizontal="center" vertical="center" readingOrder="2"/>
    </xf>
    <xf numFmtId="3" fontId="3" fillId="31" borderId="231" xfId="64" applyNumberFormat="1" applyFont="1" applyFill="1" applyBorder="1" applyAlignment="1" applyProtection="1">
      <alignment horizontal="center" vertical="center" wrapText="1" readingOrder="1"/>
    </xf>
    <xf numFmtId="3" fontId="3" fillId="31" borderId="232" xfId="64" applyNumberFormat="1" applyFont="1" applyFill="1" applyBorder="1" applyAlignment="1" applyProtection="1">
      <alignment horizontal="center" vertical="center" wrapText="1" readingOrder="1"/>
    </xf>
    <xf numFmtId="3" fontId="3" fillId="31" borderId="233" xfId="64" applyNumberFormat="1" applyFont="1" applyFill="1" applyBorder="1" applyAlignment="1" applyProtection="1">
      <alignment horizontal="center" vertical="center" wrapText="1" readingOrder="1"/>
    </xf>
    <xf numFmtId="3" fontId="3" fillId="31" borderId="192" xfId="64" applyNumberFormat="1" applyFont="1" applyFill="1" applyBorder="1" applyAlignment="1" applyProtection="1">
      <alignment horizontal="center" vertical="center" wrapText="1" readingOrder="1"/>
    </xf>
    <xf numFmtId="3" fontId="3" fillId="31" borderId="189" xfId="64" applyNumberFormat="1" applyFont="1" applyFill="1" applyBorder="1" applyAlignment="1" applyProtection="1">
      <alignment horizontal="center" vertical="center" wrapText="1" readingOrder="1"/>
    </xf>
    <xf numFmtId="0" fontId="55" fillId="31" borderId="189" xfId="64" applyFont="1" applyFill="1" applyBorder="1" applyAlignment="1" applyProtection="1">
      <alignment horizontal="center" vertical="center" readingOrder="2"/>
    </xf>
    <xf numFmtId="0" fontId="55" fillId="31" borderId="192" xfId="64" applyFont="1" applyFill="1" applyBorder="1" applyAlignment="1" applyProtection="1">
      <alignment horizontal="center" vertical="center" readingOrder="2"/>
    </xf>
    <xf numFmtId="0" fontId="1" fillId="31" borderId="43" xfId="71" applyFill="1" applyBorder="1" applyProtection="1"/>
    <xf numFmtId="0" fontId="56" fillId="31" borderId="0" xfId="64" applyFont="1" applyFill="1" applyBorder="1" applyAlignment="1" applyProtection="1">
      <alignment vertical="center"/>
    </xf>
    <xf numFmtId="0" fontId="58" fillId="31" borderId="124" xfId="64" applyFont="1" applyFill="1" applyBorder="1" applyAlignment="1" applyProtection="1">
      <alignment horizontal="center" vertical="center" wrapText="1" readingOrder="2"/>
    </xf>
    <xf numFmtId="0" fontId="55" fillId="31" borderId="184" xfId="64" applyFont="1" applyFill="1" applyBorder="1" applyAlignment="1" applyProtection="1">
      <alignment horizontal="center" vertical="center" readingOrder="2"/>
    </xf>
    <xf numFmtId="3" fontId="3" fillId="31" borderId="135" xfId="64" applyNumberFormat="1" applyFont="1" applyFill="1" applyBorder="1" applyAlignment="1" applyProtection="1">
      <alignment horizontal="center" vertical="center" wrapText="1" readingOrder="1"/>
    </xf>
    <xf numFmtId="3" fontId="3" fillId="31" borderId="136" xfId="64" applyNumberFormat="1" applyFont="1" applyFill="1" applyBorder="1" applyAlignment="1" applyProtection="1">
      <alignment horizontal="center" vertical="center" wrapText="1" readingOrder="1"/>
    </xf>
    <xf numFmtId="3" fontId="3" fillId="31" borderId="137" xfId="64" applyNumberFormat="1" applyFont="1" applyFill="1" applyBorder="1" applyAlignment="1" applyProtection="1">
      <alignment horizontal="center" vertical="center" wrapText="1" readingOrder="1"/>
    </xf>
    <xf numFmtId="0" fontId="55" fillId="31" borderId="186" xfId="64" applyFont="1" applyFill="1" applyBorder="1" applyAlignment="1" applyProtection="1">
      <alignment horizontal="center" vertical="center" readingOrder="2"/>
    </xf>
    <xf numFmtId="3" fontId="3" fillId="31" borderId="138" xfId="64" applyNumberFormat="1" applyFont="1" applyFill="1" applyBorder="1" applyAlignment="1" applyProtection="1">
      <alignment horizontal="center" vertical="center" wrapText="1" readingOrder="1"/>
    </xf>
    <xf numFmtId="3" fontId="3" fillId="31" borderId="139" xfId="64" applyNumberFormat="1" applyFont="1" applyFill="1" applyBorder="1" applyAlignment="1" applyProtection="1">
      <alignment horizontal="center" vertical="center" wrapText="1" readingOrder="1"/>
    </xf>
    <xf numFmtId="3" fontId="3" fillId="31" borderId="140" xfId="64" applyNumberFormat="1" applyFont="1" applyFill="1" applyBorder="1" applyAlignment="1" applyProtection="1">
      <alignment horizontal="center" vertical="center" wrapText="1" readingOrder="1"/>
    </xf>
    <xf numFmtId="3" fontId="65" fillId="31" borderId="0" xfId="64" applyNumberFormat="1" applyFont="1" applyFill="1" applyBorder="1" applyAlignment="1" applyProtection="1">
      <alignment readingOrder="1"/>
    </xf>
    <xf numFmtId="3" fontId="3" fillId="31" borderId="210" xfId="64" applyNumberFormat="1" applyFont="1" applyFill="1" applyBorder="1" applyAlignment="1" applyProtection="1">
      <alignment horizontal="center" vertical="center" wrapText="1" readingOrder="1"/>
    </xf>
    <xf numFmtId="3" fontId="3" fillId="31" borderId="213" xfId="64" applyNumberFormat="1" applyFont="1" applyFill="1" applyBorder="1" applyAlignment="1" applyProtection="1">
      <alignment horizontal="center" vertical="center" wrapText="1" readingOrder="1"/>
    </xf>
    <xf numFmtId="0" fontId="1" fillId="31" borderId="0" xfId="64" applyFill="1" applyAlignment="1" applyProtection="1"/>
    <xf numFmtId="0" fontId="3" fillId="31" borderId="0" xfId="64" applyFont="1" applyFill="1" applyBorder="1" applyAlignment="1" applyProtection="1">
      <alignment horizontal="center"/>
    </xf>
    <xf numFmtId="0" fontId="3" fillId="31" borderId="0" xfId="64" applyFont="1" applyFill="1" applyBorder="1" applyAlignment="1" applyProtection="1">
      <alignment horizontal="center" vertical="center"/>
    </xf>
    <xf numFmtId="0" fontId="1" fillId="31" borderId="0" xfId="71" applyFont="1" applyFill="1" applyBorder="1" applyAlignment="1"/>
    <xf numFmtId="0" fontId="1" fillId="31" borderId="0" xfId="71" applyFill="1"/>
    <xf numFmtId="0" fontId="55" fillId="31" borderId="0" xfId="75" applyFont="1" applyFill="1" applyBorder="1" applyAlignment="1" applyProtection="1">
      <alignment horizontal="center" vertical="center" readingOrder="2"/>
    </xf>
    <xf numFmtId="0" fontId="1" fillId="31" borderId="0" xfId="75" applyFill="1" applyBorder="1" applyAlignment="1" applyProtection="1">
      <alignment vertical="center"/>
    </xf>
    <xf numFmtId="0" fontId="1" fillId="31" borderId="0" xfId="75" applyFill="1" applyBorder="1" applyAlignment="1" applyProtection="1"/>
    <xf numFmtId="0" fontId="1" fillId="31" borderId="43" xfId="71" applyFill="1" applyBorder="1" applyAlignment="1"/>
    <xf numFmtId="0" fontId="57" fillId="31" borderId="70" xfId="72" applyFont="1" applyFill="1" applyBorder="1" applyAlignment="1" applyProtection="1">
      <alignment horizontal="right" vertical="center" readingOrder="2"/>
    </xf>
    <xf numFmtId="0" fontId="1" fillId="31" borderId="0" xfId="72" applyFill="1" applyBorder="1" applyAlignment="1" applyProtection="1">
      <alignment vertical="center"/>
    </xf>
    <xf numFmtId="0" fontId="1" fillId="31" borderId="0" xfId="72" applyFill="1" applyBorder="1" applyAlignment="1" applyProtection="1"/>
    <xf numFmtId="0" fontId="55" fillId="26" borderId="0" xfId="64" applyFont="1" applyFill="1" applyBorder="1" applyAlignment="1">
      <alignment horizontal="center" vertical="center" readingOrder="2"/>
    </xf>
    <xf numFmtId="3" fontId="3" fillId="26" borderId="0" xfId="64" applyNumberFormat="1" applyFont="1" applyFill="1" applyBorder="1" applyAlignment="1" applyProtection="1">
      <alignment horizontal="center" vertical="center" wrapText="1" readingOrder="1"/>
    </xf>
    <xf numFmtId="0" fontId="230" fillId="31" borderId="0" xfId="70" applyFont="1" applyFill="1" applyBorder="1" applyAlignment="1" applyProtection="1">
      <alignment vertical="center" readingOrder="2"/>
    </xf>
    <xf numFmtId="0" fontId="231" fillId="31" borderId="0" xfId="70" applyFont="1" applyFill="1" applyBorder="1" applyAlignment="1" applyProtection="1">
      <alignment horizontal="left" vertical="center" readingOrder="2"/>
    </xf>
    <xf numFmtId="49" fontId="145" fillId="0" borderId="0" xfId="73" applyNumberFormat="1" applyFont="1" applyFill="1" applyBorder="1" applyAlignment="1">
      <alignment horizontal="left" vertical="center" readingOrder="2"/>
    </xf>
    <xf numFmtId="0" fontId="2" fillId="31" borderId="0" xfId="73" applyFont="1" applyFill="1" applyBorder="1" applyAlignment="1"/>
    <xf numFmtId="0" fontId="1" fillId="31" borderId="0" xfId="73" applyFont="1" applyFill="1" applyBorder="1" applyAlignment="1">
      <alignment horizontal="center"/>
    </xf>
    <xf numFmtId="0" fontId="7" fillId="26" borderId="70" xfId="64" applyFont="1" applyFill="1" applyBorder="1" applyAlignment="1">
      <alignment horizontal="right" vertical="center" readingOrder="2"/>
    </xf>
    <xf numFmtId="0" fontId="7" fillId="26" borderId="0" xfId="73" applyFont="1" applyFill="1" applyBorder="1" applyAlignment="1">
      <alignment horizontal="right" vertical="center" readingOrder="2"/>
    </xf>
    <xf numFmtId="0" fontId="1" fillId="26" borderId="0" xfId="76" applyFill="1" applyBorder="1"/>
    <xf numFmtId="3" fontId="81" fillId="26" borderId="0" xfId="64" applyNumberFormat="1" applyFont="1" applyFill="1" applyBorder="1" applyAlignment="1" applyProtection="1">
      <alignment horizontal="center" vertical="center" wrapText="1" readingOrder="1"/>
      <protection hidden="1"/>
    </xf>
    <xf numFmtId="3" fontId="89" fillId="26" borderId="0" xfId="64" applyNumberFormat="1" applyFont="1" applyFill="1" applyBorder="1" applyAlignment="1" applyProtection="1">
      <alignment horizontal="center" vertical="center" wrapText="1" readingOrder="1"/>
      <protection hidden="1"/>
    </xf>
    <xf numFmtId="0" fontId="62" fillId="0" borderId="0" xfId="64" applyFont="1" applyFill="1" applyBorder="1" applyAlignment="1" applyProtection="1">
      <alignment vertical="center" readingOrder="2"/>
      <protection hidden="1"/>
    </xf>
    <xf numFmtId="0" fontId="229" fillId="31" borderId="0" xfId="64" applyFont="1" applyFill="1" applyBorder="1" applyAlignment="1"/>
    <xf numFmtId="0" fontId="229" fillId="31" borderId="0" xfId="71" applyFont="1" applyFill="1" applyBorder="1" applyAlignment="1">
      <alignment horizontal="center"/>
    </xf>
    <xf numFmtId="0" fontId="7" fillId="0" borderId="116" xfId="73" applyFont="1" applyFill="1" applyBorder="1" applyAlignment="1" applyProtection="1">
      <alignment horizontal="right" vertical="center" readingOrder="2"/>
      <protection locked="0"/>
    </xf>
    <xf numFmtId="0" fontId="62" fillId="0" borderId="70" xfId="71" applyFont="1" applyBorder="1" applyAlignment="1" applyProtection="1">
      <alignment horizontal="right"/>
    </xf>
    <xf numFmtId="0" fontId="0" fillId="31" borderId="0" xfId="0" applyFill="1"/>
    <xf numFmtId="0" fontId="0" fillId="0" borderId="0" xfId="0" applyProtection="1">
      <protection hidden="1"/>
    </xf>
    <xf numFmtId="0" fontId="0" fillId="0" borderId="0" xfId="0" applyAlignment="1">
      <alignment horizontal="center" vertical="center"/>
    </xf>
    <xf numFmtId="0" fontId="226" fillId="0" borderId="0" xfId="0" applyFont="1" applyAlignment="1">
      <alignment horizontal="center" vertical="center"/>
    </xf>
    <xf numFmtId="0" fontId="2" fillId="26" borderId="196" xfId="62" applyFont="1" applyFill="1" applyBorder="1" applyAlignment="1" applyProtection="1">
      <alignment horizontal="right" vertical="center"/>
    </xf>
    <xf numFmtId="0" fontId="0" fillId="31" borderId="0" xfId="0" applyFill="1" applyAlignment="1">
      <alignment horizontal="center" vertical="center"/>
    </xf>
    <xf numFmtId="0" fontId="226" fillId="31" borderId="0" xfId="0" applyFont="1" applyFill="1" applyAlignment="1">
      <alignment horizontal="center" vertical="center"/>
    </xf>
    <xf numFmtId="3" fontId="58" fillId="0" borderId="0" xfId="64" applyNumberFormat="1" applyFont="1" applyFill="1" applyBorder="1" applyAlignment="1" applyProtection="1">
      <alignment horizontal="center" wrapText="1" readingOrder="1"/>
      <protection hidden="1"/>
    </xf>
    <xf numFmtId="0" fontId="2" fillId="0" borderId="216" xfId="64" applyFont="1" applyFill="1" applyBorder="1" applyAlignment="1" applyProtection="1">
      <alignment horizontal="center"/>
      <protection hidden="1"/>
    </xf>
    <xf numFmtId="0" fontId="0" fillId="31" borderId="0" xfId="0" applyFill="1" applyProtection="1"/>
    <xf numFmtId="0" fontId="0" fillId="0" borderId="0" xfId="0" applyProtection="1"/>
    <xf numFmtId="0" fontId="239" fillId="0" borderId="0" xfId="0" applyFont="1" applyProtection="1"/>
    <xf numFmtId="0" fontId="1" fillId="31" borderId="0" xfId="71" applyFont="1" applyFill="1" applyBorder="1" applyProtection="1"/>
    <xf numFmtId="0" fontId="1" fillId="26" borderId="0" xfId="71" applyFill="1" applyAlignment="1" applyProtection="1"/>
    <xf numFmtId="0" fontId="55" fillId="35" borderId="117" xfId="71" applyFont="1" applyFill="1" applyBorder="1" applyAlignment="1" applyProtection="1">
      <alignment horizontal="center" vertical="center" readingOrder="2"/>
    </xf>
    <xf numFmtId="0" fontId="55" fillId="35" borderId="121" xfId="71" applyFont="1" applyFill="1" applyBorder="1" applyAlignment="1" applyProtection="1">
      <alignment horizontal="center" vertical="center" readingOrder="2"/>
    </xf>
    <xf numFmtId="0" fontId="55" fillId="35" borderId="116" xfId="71" applyFont="1" applyFill="1" applyBorder="1" applyAlignment="1" applyProtection="1">
      <alignment horizontal="center" vertical="center" readingOrder="2"/>
    </xf>
    <xf numFmtId="0" fontId="3" fillId="26" borderId="0" xfId="71" applyFont="1" applyFill="1" applyBorder="1" applyAlignment="1" applyProtection="1">
      <alignment horizontal="center" vertical="center"/>
    </xf>
    <xf numFmtId="0" fontId="2" fillId="31" borderId="0" xfId="71" applyFont="1" applyFill="1" applyBorder="1" applyAlignment="1" applyProtection="1">
      <alignment horizontal="center"/>
    </xf>
    <xf numFmtId="0" fontId="240" fillId="31" borderId="0" xfId="0" applyFont="1" applyFill="1" applyProtection="1"/>
    <xf numFmtId="0" fontId="239" fillId="31" borderId="0" xfId="0" applyFont="1" applyFill="1" applyProtection="1"/>
    <xf numFmtId="0" fontId="240" fillId="0" borderId="0" xfId="0" applyFont="1" applyProtection="1"/>
    <xf numFmtId="0" fontId="242" fillId="0" borderId="156" xfId="0" applyFont="1" applyBorder="1" applyAlignment="1" applyProtection="1">
      <alignment vertical="center"/>
    </xf>
    <xf numFmtId="0" fontId="244" fillId="0" borderId="156" xfId="0" applyFont="1" applyBorder="1" applyAlignment="1" applyProtection="1">
      <alignment vertical="center"/>
    </xf>
    <xf numFmtId="0" fontId="1" fillId="31" borderId="0" xfId="64" applyFont="1" applyFill="1" applyBorder="1" applyProtection="1"/>
    <xf numFmtId="0" fontId="1" fillId="31" borderId="0" xfId="64" applyFill="1" applyProtection="1"/>
    <xf numFmtId="0" fontId="1" fillId="26" borderId="0" xfId="64" applyFill="1" applyAlignment="1" applyProtection="1"/>
    <xf numFmtId="0" fontId="233" fillId="0" borderId="0" xfId="0" applyFont="1" applyBorder="1" applyAlignment="1" applyProtection="1">
      <alignment vertical="center"/>
    </xf>
    <xf numFmtId="0" fontId="1" fillId="31" borderId="0" xfId="71" applyFill="1" applyProtection="1"/>
    <xf numFmtId="0" fontId="7" fillId="0" borderId="0" xfId="71" applyFont="1" applyFill="1" applyBorder="1" applyAlignment="1">
      <alignment horizontal="left" vertical="center" readingOrder="2"/>
    </xf>
    <xf numFmtId="0" fontId="7" fillId="26" borderId="0" xfId="73" applyFont="1" applyFill="1" applyBorder="1" applyAlignment="1">
      <alignment horizontal="left" vertical="center" readingOrder="2"/>
    </xf>
    <xf numFmtId="0" fontId="0" fillId="26" borderId="0" xfId="0" applyFill="1"/>
    <xf numFmtId="0" fontId="2" fillId="26" borderId="43" xfId="64" applyFont="1" applyFill="1" applyBorder="1" applyAlignment="1">
      <alignment horizontal="center" vertical="center"/>
    </xf>
    <xf numFmtId="0" fontId="229" fillId="0" borderId="0" xfId="73" applyFont="1" applyFill="1" applyBorder="1" applyAlignment="1" applyProtection="1">
      <protection hidden="1"/>
    </xf>
    <xf numFmtId="0" fontId="7" fillId="0" borderId="0" xfId="73" applyFont="1" applyFill="1" applyBorder="1" applyAlignment="1" applyProtection="1">
      <alignment horizontal="right" vertical="center" readingOrder="2"/>
      <protection hidden="1"/>
    </xf>
    <xf numFmtId="0" fontId="57" fillId="26" borderId="70" xfId="64" applyFont="1" applyFill="1" applyBorder="1" applyAlignment="1" applyProtection="1">
      <alignment horizontal="right" vertical="center" readingOrder="2"/>
    </xf>
    <xf numFmtId="0" fontId="1" fillId="26" borderId="43" xfId="64" applyFill="1" applyBorder="1" applyAlignment="1" applyProtection="1">
      <alignment vertical="center"/>
    </xf>
    <xf numFmtId="0" fontId="1" fillId="0" borderId="0" xfId="54"/>
    <xf numFmtId="0" fontId="1" fillId="0" borderId="0" xfId="54" applyFill="1"/>
    <xf numFmtId="3" fontId="1" fillId="0" borderId="0" xfId="54" applyNumberFormat="1" applyFill="1"/>
    <xf numFmtId="0" fontId="278" fillId="31" borderId="0" xfId="54" applyFont="1" applyFill="1" applyAlignment="1"/>
    <xf numFmtId="0" fontId="280" fillId="31" borderId="0" xfId="54" applyFont="1" applyFill="1"/>
    <xf numFmtId="3" fontId="285" fillId="0" borderId="272" xfId="55" applyNumberFormat="1" applyFont="1" applyFill="1" applyBorder="1" applyAlignment="1" applyProtection="1">
      <alignment horizontal="center"/>
    </xf>
    <xf numFmtId="3" fontId="285" fillId="0" borderId="273" xfId="55" applyNumberFormat="1" applyFont="1" applyFill="1" applyBorder="1" applyAlignment="1" applyProtection="1">
      <alignment horizontal="center"/>
    </xf>
    <xf numFmtId="3" fontId="285" fillId="0" borderId="274" xfId="55" applyNumberFormat="1" applyFont="1" applyFill="1" applyBorder="1" applyAlignment="1" applyProtection="1">
      <alignment horizontal="center"/>
    </xf>
    <xf numFmtId="3" fontId="285" fillId="0" borderId="275" xfId="55" applyNumberFormat="1" applyFont="1" applyFill="1" applyBorder="1" applyAlignment="1" applyProtection="1">
      <alignment horizontal="center"/>
    </xf>
    <xf numFmtId="3" fontId="285" fillId="0" borderId="170" xfId="55" applyNumberFormat="1" applyFont="1" applyFill="1" applyBorder="1" applyAlignment="1" applyProtection="1">
      <alignment horizontal="center"/>
    </xf>
    <xf numFmtId="3" fontId="285" fillId="0" borderId="276" xfId="55" applyNumberFormat="1" applyFont="1" applyFill="1" applyBorder="1" applyAlignment="1" applyProtection="1">
      <alignment horizontal="center"/>
    </xf>
    <xf numFmtId="3" fontId="285" fillId="0" borderId="277" xfId="55" applyNumberFormat="1" applyFont="1" applyFill="1" applyBorder="1" applyAlignment="1" applyProtection="1">
      <alignment horizontal="center"/>
    </xf>
    <xf numFmtId="3" fontId="285" fillId="0" borderId="278" xfId="55" applyNumberFormat="1" applyFont="1" applyFill="1" applyBorder="1" applyAlignment="1" applyProtection="1">
      <alignment horizontal="center"/>
    </xf>
    <xf numFmtId="3" fontId="285" fillId="0" borderId="279" xfId="55" applyNumberFormat="1" applyFont="1" applyFill="1" applyBorder="1" applyAlignment="1" applyProtection="1">
      <alignment horizontal="center"/>
    </xf>
    <xf numFmtId="0" fontId="299" fillId="31" borderId="0" xfId="54" applyFont="1" applyFill="1" applyAlignment="1"/>
    <xf numFmtId="0" fontId="302" fillId="31" borderId="0" xfId="54" applyFont="1" applyFill="1" applyAlignment="1"/>
    <xf numFmtId="0" fontId="249" fillId="31" borderId="0" xfId="67" applyFont="1" applyFill="1" applyBorder="1" applyProtection="1">
      <protection hidden="1"/>
    </xf>
    <xf numFmtId="0" fontId="1" fillId="31" borderId="0" xfId="67" applyFont="1" applyFill="1" applyBorder="1" applyAlignment="1" applyProtection="1">
      <protection hidden="1"/>
    </xf>
    <xf numFmtId="0" fontId="74" fillId="0" borderId="0" xfId="67" applyFont="1" applyAlignment="1" applyProtection="1">
      <alignment horizontal="right" vertical="center" readingOrder="2"/>
      <protection hidden="1"/>
    </xf>
    <xf numFmtId="0" fontId="87" fillId="0" borderId="0" xfId="67" applyFont="1" applyProtection="1">
      <protection hidden="1"/>
    </xf>
    <xf numFmtId="0" fontId="87" fillId="0" borderId="0" xfId="67" applyFont="1" applyBorder="1" applyProtection="1">
      <protection hidden="1"/>
    </xf>
    <xf numFmtId="0" fontId="276" fillId="0" borderId="0" xfId="67" applyFont="1" applyFill="1" applyBorder="1" applyProtection="1">
      <protection hidden="1"/>
    </xf>
    <xf numFmtId="0" fontId="275" fillId="0" borderId="0" xfId="67" applyFont="1" applyFill="1" applyBorder="1" applyProtection="1">
      <protection hidden="1"/>
    </xf>
    <xf numFmtId="0" fontId="87" fillId="0" borderId="0" xfId="67" applyFont="1" applyFill="1" applyBorder="1" applyProtection="1">
      <protection hidden="1"/>
    </xf>
    <xf numFmtId="0" fontId="273" fillId="0" borderId="0" xfId="67" applyFont="1" applyFill="1" applyBorder="1" applyProtection="1">
      <protection hidden="1"/>
    </xf>
    <xf numFmtId="0" fontId="272" fillId="31" borderId="0" xfId="67" applyFont="1" applyFill="1" applyBorder="1" applyAlignment="1" applyProtection="1">
      <protection hidden="1"/>
    </xf>
    <xf numFmtId="0" fontId="271" fillId="0" borderId="0" xfId="67" applyFont="1" applyAlignment="1" applyProtection="1">
      <alignment horizontal="right" vertical="center" readingOrder="2"/>
      <protection hidden="1"/>
    </xf>
    <xf numFmtId="0" fontId="1" fillId="31" borderId="0" xfId="67" applyFont="1" applyFill="1" applyBorder="1" applyAlignment="1" applyProtection="1">
      <alignment horizontal="center"/>
      <protection hidden="1"/>
    </xf>
    <xf numFmtId="0" fontId="270" fillId="38" borderId="33" xfId="0" applyFont="1" applyFill="1" applyBorder="1" applyAlignment="1" applyProtection="1">
      <alignment vertical="center" wrapText="1"/>
      <protection hidden="1"/>
    </xf>
    <xf numFmtId="0" fontId="270" fillId="38" borderId="71" xfId="0" applyFont="1" applyFill="1" applyBorder="1" applyAlignment="1" applyProtection="1">
      <alignment vertical="center" wrapText="1"/>
      <protection hidden="1"/>
    </xf>
    <xf numFmtId="0" fontId="4" fillId="38" borderId="33" xfId="73" applyFont="1" applyFill="1" applyBorder="1" applyAlignment="1" applyProtection="1">
      <alignment vertical="center" wrapText="1"/>
      <protection hidden="1"/>
    </xf>
    <xf numFmtId="0" fontId="4" fillId="38" borderId="42" xfId="73" applyFont="1" applyFill="1" applyBorder="1" applyAlignment="1" applyProtection="1">
      <alignment vertical="center" wrapText="1"/>
      <protection hidden="1"/>
    </xf>
    <xf numFmtId="0" fontId="4" fillId="38" borderId="71" xfId="73" applyFont="1" applyFill="1" applyBorder="1" applyAlignment="1" applyProtection="1">
      <alignment vertical="center" wrapText="1"/>
      <protection hidden="1"/>
    </xf>
    <xf numFmtId="0" fontId="89" fillId="39" borderId="33" xfId="73" applyFont="1" applyFill="1" applyBorder="1" applyAlignment="1" applyProtection="1">
      <alignment vertical="center" wrapText="1"/>
      <protection hidden="1"/>
    </xf>
    <xf numFmtId="0" fontId="89" fillId="39" borderId="42" xfId="73" applyFont="1" applyFill="1" applyBorder="1" applyAlignment="1" applyProtection="1">
      <alignment horizontal="center" vertical="center"/>
      <protection hidden="1"/>
    </xf>
    <xf numFmtId="0" fontId="89" fillId="39" borderId="42" xfId="73" applyFont="1" applyFill="1" applyBorder="1" applyAlignment="1" applyProtection="1">
      <alignment vertical="center" wrapText="1"/>
      <protection hidden="1"/>
    </xf>
    <xf numFmtId="0" fontId="89" fillId="38" borderId="33" xfId="73" applyFont="1" applyFill="1" applyBorder="1" applyAlignment="1" applyProtection="1">
      <alignment vertical="center" wrapText="1"/>
      <protection hidden="1"/>
    </xf>
    <xf numFmtId="0" fontId="89" fillId="38" borderId="42" xfId="73" applyFont="1" applyFill="1" applyBorder="1" applyAlignment="1" applyProtection="1">
      <alignment horizontal="center" vertical="center"/>
      <protection hidden="1"/>
    </xf>
    <xf numFmtId="0" fontId="89" fillId="38" borderId="71" xfId="73" applyFont="1" applyFill="1" applyBorder="1" applyAlignment="1" applyProtection="1">
      <alignment vertical="center" wrapText="1"/>
      <protection hidden="1"/>
    </xf>
    <xf numFmtId="0" fontId="141" fillId="27" borderId="33" xfId="73" applyFont="1" applyFill="1" applyBorder="1" applyAlignment="1" applyProtection="1">
      <alignment vertical="center" wrapText="1"/>
      <protection hidden="1"/>
    </xf>
    <xf numFmtId="0" fontId="141" fillId="27" borderId="42" xfId="73" applyFont="1" applyFill="1" applyBorder="1" applyAlignment="1" applyProtection="1">
      <alignment vertical="center" wrapText="1"/>
      <protection hidden="1"/>
    </xf>
    <xf numFmtId="0" fontId="141" fillId="27" borderId="71" xfId="73" applyFont="1" applyFill="1" applyBorder="1" applyAlignment="1" applyProtection="1">
      <alignment vertical="center" wrapText="1"/>
      <protection hidden="1"/>
    </xf>
    <xf numFmtId="0" fontId="269" fillId="39" borderId="33" xfId="0" applyFont="1" applyFill="1" applyBorder="1" applyAlignment="1" applyProtection="1">
      <alignment vertical="center" wrapText="1"/>
      <protection hidden="1"/>
    </xf>
    <xf numFmtId="0" fontId="269" fillId="39" borderId="42" xfId="0" applyFont="1" applyFill="1" applyBorder="1" applyAlignment="1" applyProtection="1">
      <alignment horizontal="center" vertical="center"/>
      <protection hidden="1"/>
    </xf>
    <xf numFmtId="0" fontId="269" fillId="39" borderId="37" xfId="0" applyFont="1" applyFill="1" applyBorder="1" applyAlignment="1" applyProtection="1">
      <alignment vertical="center" wrapText="1"/>
      <protection hidden="1"/>
    </xf>
    <xf numFmtId="0" fontId="151" fillId="39" borderId="280" xfId="73" applyFont="1" applyFill="1" applyBorder="1" applyAlignment="1" applyProtection="1">
      <alignment vertical="center" wrapText="1"/>
      <protection hidden="1"/>
    </xf>
    <xf numFmtId="0" fontId="151" fillId="39" borderId="42" xfId="73" applyFont="1" applyFill="1" applyBorder="1" applyAlignment="1" applyProtection="1">
      <alignment horizontal="center" vertical="center"/>
      <protection hidden="1"/>
    </xf>
    <xf numFmtId="0" fontId="151" fillId="39" borderId="37" xfId="73" applyFont="1" applyFill="1" applyBorder="1" applyAlignment="1" applyProtection="1">
      <alignment vertical="center" wrapText="1"/>
      <protection hidden="1"/>
    </xf>
    <xf numFmtId="0" fontId="269" fillId="27" borderId="33" xfId="0" applyFont="1" applyFill="1" applyBorder="1" applyAlignment="1" applyProtection="1">
      <alignment vertical="center" wrapText="1"/>
      <protection hidden="1"/>
    </xf>
    <xf numFmtId="0" fontId="269" fillId="27" borderId="42" xfId="0" applyFont="1" applyFill="1" applyBorder="1" applyAlignment="1" applyProtection="1">
      <alignment horizontal="center" vertical="center"/>
      <protection hidden="1"/>
    </xf>
    <xf numFmtId="0" fontId="269" fillId="27" borderId="37" xfId="0" applyFont="1" applyFill="1" applyBorder="1" applyAlignment="1" applyProtection="1">
      <alignment vertical="center" wrapText="1"/>
      <protection hidden="1"/>
    </xf>
    <xf numFmtId="0" fontId="118" fillId="27" borderId="280" xfId="73" applyFont="1" applyFill="1" applyBorder="1" applyAlignment="1" applyProtection="1">
      <alignment vertical="center" wrapText="1"/>
      <protection hidden="1"/>
    </xf>
    <xf numFmtId="0" fontId="118" fillId="27" borderId="42" xfId="73" applyFont="1" applyFill="1" applyBorder="1" applyAlignment="1" applyProtection="1">
      <alignment horizontal="center" vertical="center"/>
      <protection hidden="1"/>
    </xf>
    <xf numFmtId="0" fontId="118" fillId="27" borderId="37" xfId="73" applyFont="1" applyFill="1" applyBorder="1" applyAlignment="1" applyProtection="1">
      <alignment vertical="center" wrapText="1"/>
      <protection hidden="1"/>
    </xf>
    <xf numFmtId="0" fontId="1" fillId="31" borderId="0" xfId="65" applyFont="1" applyFill="1" applyBorder="1" applyProtection="1">
      <protection hidden="1"/>
    </xf>
    <xf numFmtId="0" fontId="270" fillId="38" borderId="68" xfId="0" applyFont="1" applyFill="1" applyBorder="1" applyAlignment="1" applyProtection="1">
      <alignment vertical="center" wrapText="1"/>
      <protection hidden="1"/>
    </xf>
    <xf numFmtId="0" fontId="270" fillId="38" borderId="66" xfId="0" applyFont="1" applyFill="1" applyBorder="1" applyAlignment="1" applyProtection="1">
      <alignment vertical="center" wrapText="1"/>
      <protection hidden="1"/>
    </xf>
    <xf numFmtId="0" fontId="4" fillId="38" borderId="70" xfId="73" applyFont="1" applyFill="1" applyBorder="1" applyAlignment="1" applyProtection="1">
      <alignment vertical="center" wrapText="1"/>
      <protection hidden="1"/>
    </xf>
    <xf numFmtId="0" fontId="4" fillId="38" borderId="0" xfId="73" applyFont="1" applyFill="1" applyBorder="1" applyAlignment="1" applyProtection="1">
      <alignment horizontal="center" vertical="center"/>
      <protection hidden="1"/>
    </xf>
    <xf numFmtId="0" fontId="4" fillId="38" borderId="43" xfId="73" applyFont="1" applyFill="1" applyBorder="1" applyAlignment="1" applyProtection="1">
      <alignment vertical="center" wrapText="1"/>
      <protection hidden="1"/>
    </xf>
    <xf numFmtId="0" fontId="89" fillId="39" borderId="70" xfId="73" applyFont="1" applyFill="1" applyBorder="1" applyAlignment="1" applyProtection="1">
      <alignment vertical="center" wrapText="1"/>
      <protection hidden="1"/>
    </xf>
    <xf numFmtId="0" fontId="89" fillId="39" borderId="0" xfId="73" applyFont="1" applyFill="1" applyBorder="1" applyAlignment="1" applyProtection="1">
      <alignment horizontal="center" vertical="center"/>
      <protection hidden="1"/>
    </xf>
    <xf numFmtId="0" fontId="89" fillId="39" borderId="0" xfId="73" applyFont="1" applyFill="1" applyBorder="1" applyAlignment="1" applyProtection="1">
      <alignment vertical="center" wrapText="1"/>
      <protection hidden="1"/>
    </xf>
    <xf numFmtId="0" fontId="89" fillId="38" borderId="281" xfId="73" applyFont="1" applyFill="1" applyBorder="1" applyAlignment="1" applyProtection="1">
      <alignment vertical="center" wrapText="1"/>
      <protection hidden="1"/>
    </xf>
    <xf numFmtId="0" fontId="89" fillId="38" borderId="0" xfId="73" applyFont="1" applyFill="1" applyBorder="1" applyAlignment="1" applyProtection="1">
      <alignment horizontal="center" vertical="center"/>
      <protection hidden="1"/>
    </xf>
    <xf numFmtId="0" fontId="89" fillId="38" borderId="43" xfId="73" applyFont="1" applyFill="1" applyBorder="1" applyAlignment="1" applyProtection="1">
      <alignment vertical="center" wrapText="1"/>
      <protection hidden="1"/>
    </xf>
    <xf numFmtId="0" fontId="141" fillId="27" borderId="70" xfId="73" applyFont="1" applyFill="1" applyBorder="1" applyAlignment="1" applyProtection="1">
      <alignment vertical="center" wrapText="1"/>
      <protection hidden="1"/>
    </xf>
    <xf numFmtId="0" fontId="141" fillId="27" borderId="0" xfId="73" applyFont="1" applyFill="1" applyBorder="1" applyAlignment="1" applyProtection="1">
      <alignment horizontal="center" vertical="center"/>
      <protection hidden="1"/>
    </xf>
    <xf numFmtId="0" fontId="141" fillId="27" borderId="43" xfId="73" applyFont="1" applyFill="1" applyBorder="1" applyAlignment="1" applyProtection="1">
      <alignment vertical="center" wrapText="1"/>
      <protection hidden="1"/>
    </xf>
    <xf numFmtId="0" fontId="269" fillId="39" borderId="282" xfId="0" applyFont="1" applyFill="1" applyBorder="1" applyAlignment="1" applyProtection="1">
      <alignment vertical="center" wrapText="1"/>
      <protection hidden="1"/>
    </xf>
    <xf numFmtId="0" fontId="269" fillId="39" borderId="283" xfId="0" applyFont="1" applyFill="1" applyBorder="1" applyAlignment="1" applyProtection="1">
      <alignment horizontal="center" vertical="center"/>
      <protection hidden="1"/>
    </xf>
    <xf numFmtId="0" fontId="269" fillId="39" borderId="284" xfId="0" applyFont="1" applyFill="1" applyBorder="1" applyAlignment="1" applyProtection="1">
      <alignment vertical="center" wrapText="1"/>
      <protection hidden="1"/>
    </xf>
    <xf numFmtId="0" fontId="151" fillId="39" borderId="285" xfId="73" applyFont="1" applyFill="1" applyBorder="1" applyAlignment="1" applyProtection="1">
      <alignment vertical="center" wrapText="1"/>
      <protection hidden="1"/>
    </xf>
    <xf numFmtId="0" fontId="151" fillId="39" borderId="283" xfId="73" applyFont="1" applyFill="1" applyBorder="1" applyAlignment="1" applyProtection="1">
      <alignment horizontal="center" vertical="center"/>
      <protection hidden="1"/>
    </xf>
    <xf numFmtId="0" fontId="151" fillId="39" borderId="284" xfId="73" applyFont="1" applyFill="1" applyBorder="1" applyAlignment="1" applyProtection="1">
      <alignment vertical="center" wrapText="1"/>
      <protection hidden="1"/>
    </xf>
    <xf numFmtId="0" fontId="269" fillId="27" borderId="282" xfId="0" applyFont="1" applyFill="1" applyBorder="1" applyAlignment="1" applyProtection="1">
      <alignment vertical="center" wrapText="1"/>
      <protection hidden="1"/>
    </xf>
    <xf numFmtId="0" fontId="269" fillId="27" borderId="283" xfId="0" applyFont="1" applyFill="1" applyBorder="1" applyAlignment="1" applyProtection="1">
      <alignment horizontal="center" vertical="center"/>
      <protection hidden="1"/>
    </xf>
    <xf numFmtId="0" fontId="269" fillId="27" borderId="284" xfId="0" applyFont="1" applyFill="1" applyBorder="1" applyAlignment="1" applyProtection="1">
      <alignment vertical="center" wrapText="1"/>
      <protection hidden="1"/>
    </xf>
    <xf numFmtId="0" fontId="118" fillId="27" borderId="285" xfId="73" applyFont="1" applyFill="1" applyBorder="1" applyAlignment="1" applyProtection="1">
      <alignment vertical="center" wrapText="1"/>
      <protection hidden="1"/>
    </xf>
    <xf numFmtId="0" fontId="118" fillId="27" borderId="283" xfId="73" applyFont="1" applyFill="1" applyBorder="1" applyAlignment="1" applyProtection="1">
      <alignment horizontal="center" vertical="center"/>
      <protection hidden="1"/>
    </xf>
    <xf numFmtId="0" fontId="118" fillId="27" borderId="284" xfId="73" applyFont="1" applyFill="1" applyBorder="1" applyAlignment="1" applyProtection="1">
      <alignment vertical="center" wrapText="1"/>
      <protection hidden="1"/>
    </xf>
    <xf numFmtId="0" fontId="129" fillId="38" borderId="282" xfId="73" applyFont="1" applyFill="1" applyBorder="1" applyAlignment="1" applyProtection="1">
      <alignment vertical="center" wrapText="1"/>
      <protection hidden="1"/>
    </xf>
    <xf numFmtId="0" fontId="4" fillId="38" borderId="283" xfId="73" applyFont="1" applyFill="1" applyBorder="1" applyAlignment="1" applyProtection="1">
      <alignment vertical="center" wrapText="1"/>
      <protection hidden="1"/>
    </xf>
    <xf numFmtId="0" fontId="4" fillId="38" borderId="286" xfId="73" applyFont="1" applyFill="1" applyBorder="1" applyAlignment="1" applyProtection="1">
      <alignment vertical="center" wrapText="1"/>
      <protection hidden="1"/>
    </xf>
    <xf numFmtId="0" fontId="89" fillId="39" borderId="282" xfId="73" applyFont="1" applyFill="1" applyBorder="1" applyAlignment="1" applyProtection="1">
      <alignment vertical="center" wrapText="1"/>
      <protection hidden="1"/>
    </xf>
    <xf numFmtId="0" fontId="89" fillId="39" borderId="283" xfId="73" applyFont="1" applyFill="1" applyBorder="1" applyAlignment="1" applyProtection="1">
      <alignment horizontal="center" vertical="center"/>
      <protection hidden="1"/>
    </xf>
    <xf numFmtId="0" fontId="89" fillId="39" borderId="283" xfId="73" applyFont="1" applyFill="1" applyBorder="1" applyAlignment="1" applyProtection="1">
      <alignment vertical="center" wrapText="1"/>
      <protection hidden="1"/>
    </xf>
    <xf numFmtId="0" fontId="89" fillId="38" borderId="282" xfId="73" applyFont="1" applyFill="1" applyBorder="1" applyAlignment="1" applyProtection="1">
      <alignment vertical="center" wrapText="1"/>
      <protection hidden="1"/>
    </xf>
    <xf numFmtId="0" fontId="89" fillId="38" borderId="283" xfId="73" applyFont="1" applyFill="1" applyBorder="1" applyAlignment="1" applyProtection="1">
      <alignment horizontal="center" vertical="center"/>
      <protection hidden="1"/>
    </xf>
    <xf numFmtId="0" fontId="89" fillId="38" borderId="286" xfId="73" applyFont="1" applyFill="1" applyBorder="1" applyAlignment="1" applyProtection="1">
      <alignment vertical="center" wrapText="1"/>
      <protection hidden="1"/>
    </xf>
    <xf numFmtId="0" fontId="110" fillId="27" borderId="282" xfId="0" applyFont="1" applyFill="1" applyBorder="1" applyAlignment="1" applyProtection="1">
      <alignment vertical="center" wrapText="1"/>
      <protection hidden="1"/>
    </xf>
    <xf numFmtId="0" fontId="110" fillId="27" borderId="283" xfId="0" applyFont="1" applyFill="1" applyBorder="1" applyAlignment="1" applyProtection="1">
      <alignment vertical="center" wrapText="1"/>
      <protection hidden="1"/>
    </xf>
    <xf numFmtId="0" fontId="110" fillId="27" borderId="286" xfId="0" applyFont="1" applyFill="1" applyBorder="1" applyAlignment="1" applyProtection="1">
      <alignment vertical="center" wrapText="1"/>
      <protection hidden="1"/>
    </xf>
    <xf numFmtId="0" fontId="133" fillId="38" borderId="77" xfId="73" applyFont="1" applyFill="1" applyBorder="1" applyAlignment="1" applyProtection="1">
      <alignment horizontal="center" vertical="center"/>
      <protection hidden="1"/>
    </xf>
    <xf numFmtId="0" fontId="98" fillId="38" borderId="94" xfId="67" applyFont="1" applyFill="1" applyBorder="1" applyAlignment="1" applyProtection="1">
      <alignment horizontal="center" vertical="center" readingOrder="2"/>
      <protection hidden="1"/>
    </xf>
    <xf numFmtId="0" fontId="133" fillId="38" borderId="93" xfId="73" applyFont="1" applyFill="1" applyBorder="1" applyAlignment="1" applyProtection="1">
      <alignment horizontal="center" vertical="center"/>
      <protection hidden="1"/>
    </xf>
    <xf numFmtId="0" fontId="98" fillId="38" borderId="112" xfId="67" applyFont="1" applyFill="1" applyBorder="1" applyAlignment="1" applyProtection="1">
      <alignment horizontal="center" vertical="center" readingOrder="2"/>
      <protection hidden="1"/>
    </xf>
    <xf numFmtId="0" fontId="121" fillId="38" borderId="77" xfId="73" applyFont="1" applyFill="1" applyBorder="1" applyAlignment="1" applyProtection="1">
      <alignment horizontal="center" vertical="center"/>
      <protection hidden="1"/>
    </xf>
    <xf numFmtId="0" fontId="82" fillId="38" borderId="76" xfId="67" applyFont="1" applyFill="1" applyBorder="1" applyAlignment="1" applyProtection="1">
      <alignment horizontal="center" vertical="center" readingOrder="2"/>
      <protection hidden="1"/>
    </xf>
    <xf numFmtId="0" fontId="82" fillId="38" borderId="75" xfId="67" applyFont="1" applyFill="1" applyBorder="1" applyAlignment="1" applyProtection="1">
      <alignment horizontal="center" vertical="center" readingOrder="2"/>
      <protection hidden="1"/>
    </xf>
    <xf numFmtId="0" fontId="121" fillId="38" borderId="92" xfId="73" applyFont="1" applyFill="1" applyBorder="1" applyAlignment="1" applyProtection="1">
      <alignment horizontal="center" vertical="center"/>
      <protection hidden="1"/>
    </xf>
    <xf numFmtId="0" fontId="82" fillId="38" borderId="112" xfId="67" applyFont="1" applyFill="1" applyBorder="1" applyAlignment="1" applyProtection="1">
      <alignment horizontal="center" vertical="center" readingOrder="2"/>
      <protection hidden="1"/>
    </xf>
    <xf numFmtId="0" fontId="121" fillId="39" borderId="77" xfId="73" applyFont="1" applyFill="1" applyBorder="1" applyAlignment="1" applyProtection="1">
      <alignment horizontal="center"/>
      <protection hidden="1"/>
    </xf>
    <xf numFmtId="0" fontId="82" fillId="39" borderId="76" xfId="67" applyFont="1" applyFill="1" applyBorder="1" applyAlignment="1" applyProtection="1">
      <alignment horizontal="center" vertical="center" readingOrder="2"/>
      <protection hidden="1"/>
    </xf>
    <xf numFmtId="0" fontId="82" fillId="39" borderId="112" xfId="67" applyFont="1" applyFill="1" applyBorder="1" applyAlignment="1" applyProtection="1">
      <alignment horizontal="center" vertical="center" readingOrder="2"/>
      <protection hidden="1"/>
    </xf>
    <xf numFmtId="0" fontId="121" fillId="38" borderId="77" xfId="73" applyFont="1" applyFill="1" applyBorder="1" applyAlignment="1" applyProtection="1">
      <alignment horizontal="center"/>
      <protection hidden="1"/>
    </xf>
    <xf numFmtId="0" fontId="82" fillId="38" borderId="92" xfId="67" applyFont="1" applyFill="1" applyBorder="1" applyAlignment="1" applyProtection="1">
      <alignment horizontal="center" vertical="center" readingOrder="2"/>
      <protection hidden="1"/>
    </xf>
    <xf numFmtId="0" fontId="82" fillId="39" borderId="75" xfId="67" applyFont="1" applyFill="1" applyBorder="1" applyAlignment="1" applyProtection="1">
      <alignment horizontal="center" vertical="center" readingOrder="2"/>
      <protection hidden="1"/>
    </xf>
    <xf numFmtId="0" fontId="121" fillId="27" borderId="77" xfId="73" applyFont="1" applyFill="1" applyBorder="1" applyAlignment="1" applyProtection="1">
      <alignment horizontal="center"/>
      <protection hidden="1"/>
    </xf>
    <xf numFmtId="0" fontId="82" fillId="27" borderId="76" xfId="67" applyFont="1" applyFill="1" applyBorder="1" applyAlignment="1" applyProtection="1">
      <alignment horizontal="center" vertical="center" readingOrder="2"/>
      <protection hidden="1"/>
    </xf>
    <xf numFmtId="0" fontId="82" fillId="27" borderId="75" xfId="67" applyFont="1" applyFill="1" applyBorder="1" applyAlignment="1" applyProtection="1">
      <alignment horizontal="center" vertical="center" readingOrder="2"/>
      <protection hidden="1"/>
    </xf>
    <xf numFmtId="0" fontId="272" fillId="31" borderId="43" xfId="64" applyFont="1" applyFill="1" applyBorder="1" applyAlignment="1" applyProtection="1">
      <alignment textRotation="90"/>
      <protection hidden="1"/>
    </xf>
    <xf numFmtId="0" fontId="274" fillId="0" borderId="0" xfId="67" applyFont="1" applyFill="1" applyBorder="1" applyProtection="1">
      <protection hidden="1"/>
    </xf>
    <xf numFmtId="0" fontId="4" fillId="38" borderId="282" xfId="73" applyFont="1" applyFill="1" applyBorder="1" applyAlignment="1" applyProtection="1">
      <alignment vertical="center" wrapText="1"/>
      <protection hidden="1"/>
    </xf>
    <xf numFmtId="0" fontId="121" fillId="20" borderId="77" xfId="73" applyFont="1" applyFill="1" applyBorder="1" applyAlignment="1" applyProtection="1">
      <alignment horizontal="center"/>
      <protection hidden="1"/>
    </xf>
    <xf numFmtId="0" fontId="82" fillId="20" borderId="76" xfId="67" applyFont="1" applyFill="1" applyBorder="1" applyAlignment="1" applyProtection="1">
      <alignment horizontal="center" vertical="center" readingOrder="2"/>
      <protection hidden="1"/>
    </xf>
    <xf numFmtId="0" fontId="82" fillId="20" borderId="112" xfId="67" applyFont="1" applyFill="1" applyBorder="1" applyAlignment="1" applyProtection="1">
      <alignment horizontal="center" vertical="center" readingOrder="2"/>
      <protection hidden="1"/>
    </xf>
    <xf numFmtId="0" fontId="121" fillId="20" borderId="93" xfId="73" applyFont="1" applyFill="1" applyBorder="1" applyAlignment="1" applyProtection="1">
      <alignment horizontal="center"/>
      <protection hidden="1"/>
    </xf>
    <xf numFmtId="0" fontId="82" fillId="20" borderId="94" xfId="67" applyFont="1" applyFill="1" applyBorder="1" applyAlignment="1" applyProtection="1">
      <alignment horizontal="center" vertical="center" readingOrder="2"/>
      <protection hidden="1"/>
    </xf>
    <xf numFmtId="0" fontId="121" fillId="20" borderId="92" xfId="73" applyFont="1" applyFill="1" applyBorder="1" applyAlignment="1" applyProtection="1">
      <alignment horizontal="center" vertical="center"/>
      <protection hidden="1"/>
    </xf>
    <xf numFmtId="0" fontId="121" fillId="20" borderId="93" xfId="73" applyFont="1" applyFill="1" applyBorder="1" applyAlignment="1" applyProtection="1">
      <alignment horizontal="center" vertical="center"/>
      <protection hidden="1"/>
    </xf>
    <xf numFmtId="0" fontId="82" fillId="20" borderId="75" xfId="67" applyFont="1" applyFill="1" applyBorder="1" applyAlignment="1" applyProtection="1">
      <alignment horizontal="center" vertical="center" readingOrder="2"/>
      <protection hidden="1"/>
    </xf>
    <xf numFmtId="0" fontId="272" fillId="31" borderId="0" xfId="67" applyFont="1" applyFill="1" applyBorder="1" applyProtection="1">
      <protection hidden="1"/>
    </xf>
    <xf numFmtId="0" fontId="141" fillId="20" borderId="33" xfId="73" applyFont="1" applyFill="1" applyBorder="1" applyAlignment="1" applyProtection="1">
      <alignment vertical="center" wrapText="1"/>
      <protection hidden="1"/>
    </xf>
    <xf numFmtId="0" fontId="141" fillId="20" borderId="42" xfId="73" applyFont="1" applyFill="1" applyBorder="1" applyAlignment="1" applyProtection="1">
      <alignment vertical="center" wrapText="1"/>
      <protection hidden="1"/>
    </xf>
    <xf numFmtId="0" fontId="141" fillId="20" borderId="71" xfId="73" applyFont="1" applyFill="1" applyBorder="1" applyAlignment="1" applyProtection="1">
      <alignment vertical="center" wrapText="1"/>
      <protection hidden="1"/>
    </xf>
    <xf numFmtId="0" fontId="141" fillId="20" borderId="70" xfId="73" applyFont="1" applyFill="1" applyBorder="1" applyAlignment="1" applyProtection="1">
      <alignment vertical="center" wrapText="1"/>
      <protection hidden="1"/>
    </xf>
    <xf numFmtId="0" fontId="141" fillId="20" borderId="0" xfId="73" applyFont="1" applyFill="1" applyBorder="1" applyAlignment="1" applyProtection="1">
      <alignment horizontal="center" vertical="center"/>
      <protection hidden="1"/>
    </xf>
    <xf numFmtId="0" fontId="141" fillId="20" borderId="43" xfId="73" applyFont="1" applyFill="1" applyBorder="1" applyAlignment="1" applyProtection="1">
      <alignment vertical="center" wrapText="1"/>
      <protection hidden="1"/>
    </xf>
    <xf numFmtId="0" fontId="110" fillId="20" borderId="282" xfId="0" applyFont="1" applyFill="1" applyBorder="1" applyAlignment="1" applyProtection="1">
      <alignment vertical="center" wrapText="1"/>
      <protection hidden="1"/>
    </xf>
    <xf numFmtId="0" fontId="110" fillId="20" borderId="283" xfId="0" applyFont="1" applyFill="1" applyBorder="1" applyAlignment="1" applyProtection="1">
      <alignment vertical="center" wrapText="1"/>
      <protection hidden="1"/>
    </xf>
    <xf numFmtId="0" fontId="110" fillId="20" borderId="286" xfId="0" applyFont="1" applyFill="1" applyBorder="1" applyAlignment="1" applyProtection="1">
      <alignment vertical="center" wrapText="1"/>
      <protection hidden="1"/>
    </xf>
    <xf numFmtId="0" fontId="274" fillId="27" borderId="0" xfId="67" applyFont="1" applyFill="1" applyBorder="1" applyProtection="1">
      <protection hidden="1"/>
    </xf>
    <xf numFmtId="0" fontId="141" fillId="40" borderId="33" xfId="73" applyFont="1" applyFill="1" applyBorder="1" applyAlignment="1" applyProtection="1">
      <alignment vertical="center" wrapText="1"/>
      <protection hidden="1"/>
    </xf>
    <xf numFmtId="0" fontId="141" fillId="40" borderId="42" xfId="73" applyFont="1" applyFill="1" applyBorder="1" applyAlignment="1" applyProtection="1">
      <alignment vertical="center" wrapText="1"/>
      <protection hidden="1"/>
    </xf>
    <xf numFmtId="0" fontId="141" fillId="40" borderId="71" xfId="73" applyFont="1" applyFill="1" applyBorder="1" applyAlignment="1" applyProtection="1">
      <alignment vertical="center" wrapText="1"/>
      <protection hidden="1"/>
    </xf>
    <xf numFmtId="0" fontId="1" fillId="31" borderId="0" xfId="67" applyFill="1" applyProtection="1">
      <protection hidden="1"/>
    </xf>
    <xf numFmtId="0" fontId="141" fillId="40" borderId="70" xfId="73" applyFont="1" applyFill="1" applyBorder="1" applyAlignment="1" applyProtection="1">
      <alignment vertical="center" wrapText="1"/>
      <protection hidden="1"/>
    </xf>
    <xf numFmtId="0" fontId="141" fillId="40" borderId="0" xfId="73" applyFont="1" applyFill="1" applyBorder="1" applyAlignment="1" applyProtection="1">
      <alignment horizontal="center" vertical="center"/>
      <protection hidden="1"/>
    </xf>
    <xf numFmtId="0" fontId="141" fillId="40" borderId="43" xfId="73" applyFont="1" applyFill="1" applyBorder="1" applyAlignment="1" applyProtection="1">
      <alignment vertical="center" wrapText="1"/>
      <protection hidden="1"/>
    </xf>
    <xf numFmtId="0" fontId="110" fillId="40" borderId="282" xfId="0" applyFont="1" applyFill="1" applyBorder="1" applyAlignment="1" applyProtection="1">
      <alignment vertical="center" wrapText="1"/>
      <protection hidden="1"/>
    </xf>
    <xf numFmtId="0" fontId="110" fillId="40" borderId="283" xfId="0" applyFont="1" applyFill="1" applyBorder="1" applyAlignment="1" applyProtection="1">
      <alignment vertical="center" wrapText="1"/>
      <protection hidden="1"/>
    </xf>
    <xf numFmtId="0" fontId="110" fillId="40" borderId="286" xfId="0" applyFont="1" applyFill="1" applyBorder="1" applyAlignment="1" applyProtection="1">
      <alignment vertical="center" wrapText="1"/>
      <protection hidden="1"/>
    </xf>
    <xf numFmtId="0" fontId="121" fillId="40" borderId="77" xfId="73" applyFont="1" applyFill="1" applyBorder="1" applyAlignment="1" applyProtection="1">
      <alignment horizontal="center"/>
      <protection hidden="1"/>
    </xf>
    <xf numFmtId="0" fontId="82" fillId="40" borderId="76" xfId="67" applyFont="1" applyFill="1" applyBorder="1" applyAlignment="1" applyProtection="1">
      <alignment horizontal="center" vertical="center" readingOrder="2"/>
      <protection hidden="1"/>
    </xf>
    <xf numFmtId="0" fontId="82" fillId="40" borderId="75" xfId="67" applyFont="1" applyFill="1" applyBorder="1" applyAlignment="1" applyProtection="1">
      <alignment horizontal="center" vertical="center" readingOrder="2"/>
      <protection hidden="1"/>
    </xf>
    <xf numFmtId="0" fontId="121" fillId="40" borderId="77" xfId="73" applyFont="1" applyFill="1" applyBorder="1" applyAlignment="1" applyProtection="1">
      <alignment horizontal="center" vertical="center"/>
      <protection hidden="1"/>
    </xf>
    <xf numFmtId="0" fontId="121" fillId="40" borderId="92" xfId="73" applyFont="1" applyFill="1" applyBorder="1" applyAlignment="1" applyProtection="1">
      <alignment horizontal="center" vertical="center"/>
      <protection hidden="1"/>
    </xf>
    <xf numFmtId="0" fontId="82" fillId="40" borderId="112" xfId="67" applyFont="1" applyFill="1" applyBorder="1" applyAlignment="1" applyProtection="1">
      <alignment horizontal="center" vertical="center" readingOrder="2"/>
      <protection hidden="1"/>
    </xf>
    <xf numFmtId="0" fontId="249" fillId="31" borderId="0" xfId="67" applyFont="1" applyFill="1" applyBorder="1" applyAlignment="1" applyProtection="1">
      <protection hidden="1"/>
    </xf>
    <xf numFmtId="0" fontId="1" fillId="0" borderId="0" xfId="54" applyProtection="1"/>
    <xf numFmtId="0" fontId="300" fillId="0" borderId="0" xfId="54" applyFont="1" applyFill="1" applyAlignment="1" applyProtection="1">
      <alignment horizontal="center" vertical="center"/>
    </xf>
    <xf numFmtId="0" fontId="302" fillId="0" borderId="0" xfId="54" applyFont="1" applyFill="1" applyAlignment="1" applyProtection="1"/>
    <xf numFmtId="0" fontId="299" fillId="0" borderId="0" xfId="54" applyFont="1" applyFill="1" applyAlignment="1" applyProtection="1"/>
    <xf numFmtId="0" fontId="1" fillId="0" borderId="0" xfId="54" applyFill="1" applyProtection="1"/>
    <xf numFmtId="0" fontId="1" fillId="31" borderId="0" xfId="54" applyFill="1" applyProtection="1"/>
    <xf numFmtId="0" fontId="295" fillId="0" borderId="0" xfId="54" applyFont="1" applyFill="1" applyBorder="1" applyAlignment="1" applyProtection="1">
      <alignment horizontal="center" vertical="center"/>
    </xf>
    <xf numFmtId="0" fontId="261" fillId="0" borderId="287" xfId="54" applyFont="1" applyFill="1" applyBorder="1" applyAlignment="1" applyProtection="1">
      <alignment horizontal="center" vertical="center"/>
    </xf>
    <xf numFmtId="0" fontId="295" fillId="0" borderId="288" xfId="54" applyFont="1" applyFill="1" applyBorder="1" applyAlignment="1" applyProtection="1"/>
    <xf numFmtId="0" fontId="294" fillId="0" borderId="287" xfId="54" applyFont="1" applyFill="1" applyBorder="1" applyAlignment="1" applyProtection="1">
      <alignment horizontal="center"/>
    </xf>
    <xf numFmtId="0" fontId="294" fillId="0" borderId="0" xfId="54" applyFont="1" applyFill="1" applyBorder="1" applyAlignment="1" applyProtection="1">
      <alignment horizontal="center"/>
    </xf>
    <xf numFmtId="0" fontId="294" fillId="0" borderId="288" xfId="54" applyFont="1" applyFill="1" applyBorder="1" applyAlignment="1" applyProtection="1">
      <alignment horizontal="center"/>
    </xf>
    <xf numFmtId="0" fontId="294" fillId="0" borderId="289" xfId="54" applyFont="1" applyFill="1" applyBorder="1" applyAlignment="1" applyProtection="1">
      <alignment horizontal="center"/>
    </xf>
    <xf numFmtId="0" fontId="294" fillId="0" borderId="290" xfId="54" applyFont="1" applyFill="1" applyBorder="1" applyAlignment="1" applyProtection="1">
      <alignment horizontal="center"/>
    </xf>
    <xf numFmtId="170" fontId="288" fillId="20" borderId="291" xfId="55" applyNumberFormat="1" applyFont="1" applyFill="1" applyBorder="1" applyAlignment="1" applyProtection="1">
      <alignment horizontal="center"/>
    </xf>
    <xf numFmtId="3" fontId="285" fillId="0" borderId="292" xfId="55" applyNumberFormat="1" applyFont="1" applyFill="1" applyBorder="1" applyAlignment="1" applyProtection="1">
      <alignment horizontal="center"/>
    </xf>
    <xf numFmtId="170" fontId="308" fillId="0" borderId="278" xfId="55" applyNumberFormat="1" applyFont="1" applyFill="1" applyBorder="1" applyAlignment="1" applyProtection="1">
      <alignment horizontal="center"/>
    </xf>
    <xf numFmtId="3" fontId="285" fillId="0" borderId="293" xfId="55" applyNumberFormat="1" applyFont="1" applyFill="1" applyBorder="1" applyAlignment="1" applyProtection="1">
      <alignment horizontal="center"/>
    </xf>
    <xf numFmtId="170" fontId="308" fillId="0" borderId="293" xfId="55" applyNumberFormat="1" applyFont="1" applyFill="1" applyBorder="1" applyAlignment="1" applyProtection="1">
      <alignment horizontal="center"/>
    </xf>
    <xf numFmtId="170" fontId="288" fillId="20" borderId="292" xfId="55" applyNumberFormat="1" applyFont="1" applyFill="1" applyBorder="1" applyAlignment="1" applyProtection="1">
      <alignment horizontal="center"/>
    </xf>
    <xf numFmtId="3" fontId="289" fillId="0" borderId="278" xfId="55" applyNumberFormat="1" applyFont="1" applyFill="1" applyBorder="1" applyAlignment="1" applyProtection="1">
      <alignment horizontal="center"/>
    </xf>
    <xf numFmtId="170" fontId="286" fillId="0" borderId="278" xfId="55" applyNumberFormat="1" applyFont="1" applyFill="1" applyBorder="1" applyAlignment="1" applyProtection="1">
      <alignment horizontal="center"/>
    </xf>
    <xf numFmtId="170" fontId="286" fillId="0" borderId="293" xfId="55" applyNumberFormat="1" applyFont="1" applyFill="1" applyBorder="1" applyAlignment="1" applyProtection="1">
      <alignment horizontal="center"/>
    </xf>
    <xf numFmtId="1" fontId="285" fillId="0" borderId="278" xfId="55" applyNumberFormat="1" applyFont="1" applyFill="1" applyBorder="1" applyAlignment="1" applyProtection="1">
      <alignment horizontal="center"/>
    </xf>
    <xf numFmtId="2" fontId="304" fillId="0" borderId="278" xfId="55" applyNumberFormat="1" applyFont="1" applyFill="1" applyBorder="1" applyAlignment="1" applyProtection="1">
      <alignment horizontal="center"/>
    </xf>
    <xf numFmtId="1" fontId="289" fillId="0" borderId="278" xfId="55" applyNumberFormat="1" applyFont="1" applyFill="1" applyBorder="1" applyAlignment="1" applyProtection="1">
      <alignment horizontal="center"/>
    </xf>
    <xf numFmtId="2" fontId="304" fillId="0" borderId="293" xfId="55" applyNumberFormat="1" applyFont="1" applyFill="1" applyBorder="1" applyAlignment="1" applyProtection="1">
      <alignment horizontal="center"/>
    </xf>
    <xf numFmtId="1" fontId="289" fillId="0" borderId="294" xfId="55" applyNumberFormat="1" applyFont="1" applyFill="1" applyBorder="1" applyAlignment="1" applyProtection="1">
      <alignment horizontal="center"/>
    </xf>
    <xf numFmtId="2" fontId="304" fillId="0" borderId="277" xfId="55" applyNumberFormat="1" applyFont="1" applyFill="1" applyBorder="1" applyAlignment="1" applyProtection="1">
      <alignment horizontal="center"/>
    </xf>
    <xf numFmtId="170" fontId="288" fillId="20" borderId="295" xfId="55" applyNumberFormat="1" applyFont="1" applyFill="1" applyBorder="1" applyAlignment="1" applyProtection="1">
      <alignment horizontal="center"/>
    </xf>
    <xf numFmtId="3" fontId="285" fillId="0" borderId="296" xfId="55" applyNumberFormat="1" applyFont="1" applyFill="1" applyBorder="1" applyAlignment="1" applyProtection="1">
      <alignment horizontal="center"/>
    </xf>
    <xf numFmtId="170" fontId="308" fillId="0" borderId="170" xfId="55" applyNumberFormat="1" applyFont="1" applyFill="1" applyBorder="1" applyAlignment="1" applyProtection="1">
      <alignment horizontal="center"/>
    </xf>
    <xf numFmtId="3" fontId="285" fillId="0" borderId="297" xfId="55" applyNumberFormat="1" applyFont="1" applyFill="1" applyBorder="1" applyAlignment="1" applyProtection="1">
      <alignment horizontal="center"/>
    </xf>
    <xf numFmtId="170" fontId="308" fillId="0" borderId="297" xfId="55" applyNumberFormat="1" applyFont="1" applyFill="1" applyBorder="1" applyAlignment="1" applyProtection="1">
      <alignment horizontal="center"/>
    </xf>
    <xf numFmtId="170" fontId="288" fillId="20" borderId="296" xfId="55" applyNumberFormat="1" applyFont="1" applyFill="1" applyBorder="1" applyAlignment="1" applyProtection="1">
      <alignment horizontal="center"/>
    </xf>
    <xf numFmtId="3" fontId="289" fillId="0" borderId="170" xfId="55" applyNumberFormat="1" applyFont="1" applyFill="1" applyBorder="1" applyAlignment="1" applyProtection="1">
      <alignment horizontal="center"/>
    </xf>
    <xf numFmtId="170" fontId="286" fillId="0" borderId="170" xfId="55" applyNumberFormat="1" applyFont="1" applyFill="1" applyBorder="1" applyAlignment="1" applyProtection="1">
      <alignment horizontal="center"/>
    </xf>
    <xf numFmtId="170" fontId="286" fillId="0" borderId="297" xfId="55" applyNumberFormat="1" applyFont="1" applyFill="1" applyBorder="1" applyAlignment="1" applyProtection="1">
      <alignment horizontal="center"/>
    </xf>
    <xf numFmtId="1" fontId="285" fillId="0" borderId="170" xfId="55" applyNumberFormat="1" applyFont="1" applyFill="1" applyBorder="1" applyAlignment="1" applyProtection="1">
      <alignment horizontal="center"/>
    </xf>
    <xf numFmtId="2" fontId="304" fillId="0" borderId="170" xfId="55" applyNumberFormat="1" applyFont="1" applyFill="1" applyBorder="1" applyAlignment="1" applyProtection="1">
      <alignment horizontal="center"/>
    </xf>
    <xf numFmtId="1" fontId="289" fillId="0" borderId="170" xfId="55" applyNumberFormat="1" applyFont="1" applyFill="1" applyBorder="1" applyAlignment="1" applyProtection="1">
      <alignment horizontal="center"/>
    </xf>
    <xf numFmtId="2" fontId="304" fillId="0" borderId="297" xfId="55" applyNumberFormat="1" applyFont="1" applyFill="1" applyBorder="1" applyAlignment="1" applyProtection="1">
      <alignment horizontal="center"/>
    </xf>
    <xf numFmtId="1" fontId="289" fillId="0" borderId="298" xfId="55" applyNumberFormat="1" applyFont="1" applyFill="1" applyBorder="1" applyAlignment="1" applyProtection="1">
      <alignment horizontal="center"/>
    </xf>
    <xf numFmtId="2" fontId="304" fillId="0" borderId="275" xfId="55" applyNumberFormat="1" applyFont="1" applyFill="1" applyBorder="1" applyAlignment="1" applyProtection="1">
      <alignment horizontal="center"/>
    </xf>
    <xf numFmtId="170" fontId="288" fillId="20" borderId="299" xfId="55" applyNumberFormat="1" applyFont="1" applyFill="1" applyBorder="1" applyAlignment="1" applyProtection="1">
      <alignment horizontal="center"/>
    </xf>
    <xf numFmtId="3" fontId="285" fillId="0" borderId="300" xfId="55" applyNumberFormat="1" applyFont="1" applyFill="1" applyBorder="1" applyAlignment="1" applyProtection="1">
      <alignment horizontal="center"/>
    </xf>
    <xf numFmtId="170" fontId="308" fillId="0" borderId="273" xfId="55" applyNumberFormat="1" applyFont="1" applyFill="1" applyBorder="1" applyAlignment="1" applyProtection="1">
      <alignment horizontal="center"/>
    </xf>
    <xf numFmtId="3" fontId="285" fillId="0" borderId="301" xfId="55" applyNumberFormat="1" applyFont="1" applyFill="1" applyBorder="1" applyAlignment="1" applyProtection="1">
      <alignment horizontal="center"/>
    </xf>
    <xf numFmtId="170" fontId="308" fillId="0" borderId="301" xfId="55" applyNumberFormat="1" applyFont="1" applyFill="1" applyBorder="1" applyAlignment="1" applyProtection="1">
      <alignment horizontal="center"/>
    </xf>
    <xf numFmtId="170" fontId="288" fillId="20" borderId="300" xfId="55" applyNumberFormat="1" applyFont="1" applyFill="1" applyBorder="1" applyAlignment="1" applyProtection="1">
      <alignment horizontal="center"/>
    </xf>
    <xf numFmtId="3" fontId="289" fillId="0" borderId="273" xfId="55" applyNumberFormat="1" applyFont="1" applyFill="1" applyBorder="1" applyAlignment="1" applyProtection="1">
      <alignment horizontal="center"/>
    </xf>
    <xf numFmtId="170" fontId="286" fillId="0" borderId="273" xfId="55" applyNumberFormat="1" applyFont="1" applyFill="1" applyBorder="1" applyAlignment="1" applyProtection="1">
      <alignment horizontal="center"/>
    </xf>
    <xf numFmtId="170" fontId="286" fillId="0" borderId="301" xfId="55" applyNumberFormat="1" applyFont="1" applyFill="1" applyBorder="1" applyAlignment="1" applyProtection="1">
      <alignment horizontal="center"/>
    </xf>
    <xf numFmtId="1" fontId="285" fillId="0" borderId="273" xfId="55" applyNumberFormat="1" applyFont="1" applyFill="1" applyBorder="1" applyAlignment="1" applyProtection="1">
      <alignment horizontal="center"/>
    </xf>
    <xf numFmtId="2" fontId="304" fillId="0" borderId="273" xfId="55" applyNumberFormat="1" applyFont="1" applyFill="1" applyBorder="1" applyAlignment="1" applyProtection="1">
      <alignment horizontal="center"/>
    </xf>
    <xf numFmtId="1" fontId="289" fillId="0" borderId="273" xfId="55" applyNumberFormat="1" applyFont="1" applyFill="1" applyBorder="1" applyAlignment="1" applyProtection="1">
      <alignment horizontal="center"/>
    </xf>
    <xf numFmtId="2" fontId="304" fillId="0" borderId="301" xfId="55" applyNumberFormat="1" applyFont="1" applyFill="1" applyBorder="1" applyAlignment="1" applyProtection="1">
      <alignment horizontal="center"/>
    </xf>
    <xf numFmtId="1" fontId="289" fillId="0" borderId="302" xfId="55" applyNumberFormat="1" applyFont="1" applyFill="1" applyBorder="1" applyAlignment="1" applyProtection="1">
      <alignment horizontal="center"/>
    </xf>
    <xf numFmtId="2" fontId="304" fillId="0" borderId="272" xfId="55" applyNumberFormat="1" applyFont="1" applyFill="1" applyBorder="1" applyAlignment="1" applyProtection="1">
      <alignment horizontal="center"/>
    </xf>
    <xf numFmtId="0" fontId="280" fillId="0" borderId="0" xfId="54" applyFont="1" applyFill="1" applyProtection="1"/>
    <xf numFmtId="0" fontId="280" fillId="0" borderId="0" xfId="54" applyFont="1" applyFill="1" applyBorder="1" applyProtection="1"/>
    <xf numFmtId="0" fontId="280" fillId="0" borderId="306" xfId="54" applyFont="1" applyFill="1" applyBorder="1" applyProtection="1"/>
    <xf numFmtId="0" fontId="278" fillId="0" borderId="0" xfId="54" applyFont="1" applyFill="1" applyAlignment="1" applyProtection="1"/>
    <xf numFmtId="3" fontId="3" fillId="26" borderId="128" xfId="64" applyNumberFormat="1" applyFont="1" applyFill="1" applyBorder="1" applyAlignment="1" applyProtection="1">
      <alignment horizontal="center" vertical="center" wrapText="1" readingOrder="1"/>
    </xf>
    <xf numFmtId="3" fontId="3" fillId="26" borderId="125" xfId="64" applyNumberFormat="1" applyFont="1" applyFill="1" applyBorder="1" applyAlignment="1" applyProtection="1">
      <alignment horizontal="center" vertical="center" wrapText="1" readingOrder="1"/>
    </xf>
    <xf numFmtId="3" fontId="3" fillId="26" borderId="129" xfId="64" applyNumberFormat="1" applyFont="1" applyFill="1" applyBorder="1" applyAlignment="1" applyProtection="1">
      <alignment horizontal="center" vertical="center" wrapText="1" readingOrder="1"/>
    </xf>
    <xf numFmtId="3" fontId="3" fillId="26" borderId="126" xfId="64" applyNumberFormat="1" applyFont="1" applyFill="1" applyBorder="1" applyAlignment="1" applyProtection="1">
      <alignment horizontal="center" vertical="center" wrapText="1" readingOrder="1"/>
    </xf>
    <xf numFmtId="0" fontId="1" fillId="47" borderId="0" xfId="54" applyFill="1"/>
    <xf numFmtId="0" fontId="310" fillId="0" borderId="0" xfId="76" applyFont="1" applyFill="1" applyBorder="1" applyAlignment="1" applyProtection="1">
      <alignment horizontal="center" vertical="center" readingOrder="2"/>
      <protection locked="0"/>
    </xf>
    <xf numFmtId="1" fontId="83" fillId="0" borderId="19" xfId="0" applyNumberFormat="1" applyFont="1" applyFill="1" applyBorder="1" applyAlignment="1" applyProtection="1">
      <alignment vertical="center"/>
    </xf>
    <xf numFmtId="1" fontId="83" fillId="0" borderId="18" xfId="0" applyNumberFormat="1" applyFont="1" applyFill="1" applyBorder="1" applyAlignment="1" applyProtection="1">
      <alignment vertical="center"/>
    </xf>
    <xf numFmtId="1" fontId="83" fillId="0" borderId="16" xfId="0" applyNumberFormat="1" applyFont="1" applyFill="1" applyBorder="1" applyAlignment="1" applyProtection="1">
      <alignment vertical="center"/>
    </xf>
    <xf numFmtId="1" fontId="83" fillId="0" borderId="17" xfId="0" applyNumberFormat="1" applyFont="1" applyFill="1" applyBorder="1" applyAlignment="1" applyProtection="1">
      <alignment vertical="center"/>
    </xf>
    <xf numFmtId="1" fontId="83" fillId="0" borderId="29" xfId="0" applyNumberFormat="1" applyFont="1" applyFill="1" applyBorder="1" applyAlignment="1" applyProtection="1">
      <alignment vertical="center"/>
    </xf>
    <xf numFmtId="1" fontId="83" fillId="0" borderId="31" xfId="0" applyNumberFormat="1" applyFont="1" applyFill="1" applyBorder="1" applyAlignment="1" applyProtection="1">
      <alignment vertical="center"/>
    </xf>
    <xf numFmtId="1" fontId="83" fillId="0" borderId="15" xfId="0" applyNumberFormat="1" applyFont="1" applyFill="1" applyBorder="1" applyAlignment="1" applyProtection="1">
      <alignment vertical="center"/>
    </xf>
    <xf numFmtId="2" fontId="83" fillId="0" borderId="29" xfId="0" applyNumberFormat="1" applyFont="1" applyFill="1" applyBorder="1" applyAlignment="1" applyProtection="1">
      <alignment vertical="center"/>
    </xf>
    <xf numFmtId="2" fontId="83" fillId="0" borderId="31" xfId="0" applyNumberFormat="1" applyFont="1" applyFill="1" applyBorder="1" applyAlignment="1" applyProtection="1">
      <alignment vertical="center"/>
    </xf>
    <xf numFmtId="2" fontId="83" fillId="0" borderId="18" xfId="0" applyNumberFormat="1" applyFont="1" applyFill="1" applyBorder="1" applyAlignment="1" applyProtection="1">
      <alignment vertical="center"/>
    </xf>
    <xf numFmtId="1" fontId="83" fillId="0" borderId="32" xfId="0" applyNumberFormat="1" applyFont="1" applyFill="1" applyBorder="1" applyAlignment="1" applyProtection="1">
      <alignment vertical="center"/>
    </xf>
    <xf numFmtId="1" fontId="83" fillId="0" borderId="307" xfId="0" applyNumberFormat="1" applyFont="1" applyFill="1" applyBorder="1" applyAlignment="1" applyProtection="1">
      <alignment vertical="center"/>
    </xf>
    <xf numFmtId="1" fontId="83" fillId="0" borderId="46" xfId="0" applyNumberFormat="1" applyFont="1" applyFill="1" applyBorder="1" applyAlignment="1" applyProtection="1">
      <alignment vertical="center"/>
    </xf>
    <xf numFmtId="1" fontId="83" fillId="26" borderId="19" xfId="0" applyNumberFormat="1" applyFont="1" applyFill="1" applyBorder="1" applyAlignment="1" applyProtection="1">
      <alignment vertical="center"/>
    </xf>
    <xf numFmtId="1" fontId="83" fillId="26" borderId="31" xfId="0" applyNumberFormat="1" applyFont="1" applyFill="1" applyBorder="1" applyAlignment="1" applyProtection="1">
      <alignment vertical="center"/>
    </xf>
    <xf numFmtId="1" fontId="83" fillId="26" borderId="15" xfId="0" applyNumberFormat="1" applyFont="1" applyFill="1" applyBorder="1" applyAlignment="1" applyProtection="1">
      <alignment vertical="center"/>
    </xf>
    <xf numFmtId="1" fontId="83" fillId="26" borderId="18" xfId="0" applyNumberFormat="1" applyFont="1" applyFill="1" applyBorder="1" applyAlignment="1" applyProtection="1">
      <alignment vertical="center"/>
    </xf>
    <xf numFmtId="1" fontId="103" fillId="26" borderId="19" xfId="0" applyNumberFormat="1" applyFont="1" applyFill="1" applyBorder="1" applyAlignment="1" applyProtection="1">
      <alignment vertical="center"/>
    </xf>
    <xf numFmtId="1" fontId="103" fillId="26" borderId="31" xfId="0" applyNumberFormat="1" applyFont="1" applyFill="1" applyBorder="1" applyAlignment="1" applyProtection="1">
      <alignment vertical="center"/>
    </xf>
    <xf numFmtId="1" fontId="103" fillId="26" borderId="15" xfId="0" applyNumberFormat="1" applyFont="1" applyFill="1" applyBorder="1" applyAlignment="1" applyProtection="1">
      <alignment vertical="center"/>
    </xf>
    <xf numFmtId="2" fontId="83" fillId="0" borderId="15" xfId="0" applyNumberFormat="1" applyFont="1" applyFill="1" applyBorder="1" applyAlignment="1" applyProtection="1">
      <alignment vertical="center"/>
    </xf>
    <xf numFmtId="0" fontId="1" fillId="31" borderId="0" xfId="67" applyFont="1" applyFill="1" applyBorder="1" applyAlignment="1" applyProtection="1"/>
    <xf numFmtId="2" fontId="83" fillId="0" borderId="16" xfId="0" applyNumberFormat="1" applyFont="1" applyFill="1" applyBorder="1" applyAlignment="1" applyProtection="1">
      <alignment vertical="center"/>
    </xf>
    <xf numFmtId="2" fontId="83" fillId="0" borderId="17" xfId="0" applyNumberFormat="1" applyFont="1" applyFill="1" applyBorder="1" applyAlignment="1" applyProtection="1">
      <alignment vertical="center"/>
    </xf>
    <xf numFmtId="2" fontId="83" fillId="0" borderId="19" xfId="0" applyNumberFormat="1" applyFont="1" applyFill="1" applyBorder="1" applyAlignment="1" applyProtection="1">
      <alignment vertical="center"/>
    </xf>
    <xf numFmtId="0" fontId="1" fillId="26" borderId="32" xfId="64" applyFont="1" applyFill="1" applyBorder="1" applyAlignment="1" applyProtection="1">
      <alignment horizontal="center"/>
    </xf>
    <xf numFmtId="0" fontId="265" fillId="26" borderId="44" xfId="0" applyFont="1" applyFill="1" applyBorder="1" applyAlignment="1" applyProtection="1">
      <alignment horizontal="center" vertical="center"/>
    </xf>
    <xf numFmtId="0" fontId="61" fillId="31" borderId="0" xfId="64" applyFont="1" applyFill="1" applyBorder="1" applyAlignment="1" applyProtection="1">
      <alignment horizontal="right" vertical="center" readingOrder="2"/>
    </xf>
    <xf numFmtId="0" fontId="61" fillId="31" borderId="70" xfId="64" applyFont="1" applyFill="1" applyBorder="1" applyAlignment="1" applyProtection="1">
      <alignment horizontal="right" vertical="center" readingOrder="2"/>
    </xf>
    <xf numFmtId="0" fontId="1" fillId="0" borderId="0" xfId="64" applyBorder="1" applyProtection="1">
      <protection hidden="1"/>
    </xf>
    <xf numFmtId="0" fontId="315" fillId="31" borderId="0" xfId="64" applyFont="1" applyFill="1" applyBorder="1" applyAlignment="1" applyProtection="1">
      <alignment horizontal="center" vertical="center"/>
      <protection hidden="1"/>
    </xf>
    <xf numFmtId="3" fontId="3" fillId="49" borderId="128" xfId="64" applyNumberFormat="1" applyFont="1" applyFill="1" applyBorder="1" applyAlignment="1" applyProtection="1">
      <alignment horizontal="center" vertical="center" wrapText="1" readingOrder="1"/>
      <protection locked="0"/>
    </xf>
    <xf numFmtId="3" fontId="3" fillId="49" borderId="125" xfId="64" applyNumberFormat="1" applyFont="1" applyFill="1" applyBorder="1" applyAlignment="1" applyProtection="1">
      <alignment horizontal="center" vertical="center" wrapText="1" readingOrder="1"/>
      <protection locked="0"/>
    </xf>
    <xf numFmtId="3" fontId="3" fillId="49" borderId="129" xfId="64" applyNumberFormat="1" applyFont="1" applyFill="1" applyBorder="1" applyAlignment="1" applyProtection="1">
      <alignment horizontal="center" vertical="center" wrapText="1" readingOrder="1"/>
      <protection locked="0"/>
    </xf>
    <xf numFmtId="3" fontId="3" fillId="49" borderId="126" xfId="64" applyNumberFormat="1" applyFont="1" applyFill="1" applyBorder="1" applyAlignment="1" applyProtection="1">
      <alignment horizontal="center" vertical="center" wrapText="1" readingOrder="1"/>
      <protection locked="0"/>
    </xf>
    <xf numFmtId="3" fontId="3" fillId="49" borderId="130" xfId="64" applyNumberFormat="1" applyFont="1" applyFill="1" applyBorder="1" applyAlignment="1" applyProtection="1">
      <alignment horizontal="center" vertical="center" wrapText="1" readingOrder="1"/>
      <protection locked="0"/>
    </xf>
    <xf numFmtId="3" fontId="3" fillId="49" borderId="127" xfId="64" applyNumberFormat="1" applyFont="1" applyFill="1" applyBorder="1" applyAlignment="1" applyProtection="1">
      <alignment horizontal="center" vertical="center" wrapText="1" readingOrder="1"/>
      <protection locked="0"/>
    </xf>
    <xf numFmtId="0" fontId="58" fillId="49" borderId="123" xfId="64" applyFont="1" applyFill="1" applyBorder="1" applyAlignment="1" applyProtection="1">
      <alignment horizontal="center" vertical="center" wrapText="1" readingOrder="2"/>
    </xf>
    <xf numFmtId="0" fontId="58" fillId="49" borderId="124" xfId="64" applyFont="1" applyFill="1" applyBorder="1" applyAlignment="1" applyProtection="1">
      <alignment horizontal="center" vertical="center" wrapText="1" readingOrder="2"/>
    </xf>
    <xf numFmtId="0" fontId="55" fillId="49" borderId="0" xfId="75" applyFont="1" applyFill="1" applyBorder="1" applyAlignment="1" applyProtection="1">
      <alignment horizontal="right" vertical="center" readingOrder="2"/>
    </xf>
    <xf numFmtId="0" fontId="7" fillId="49" borderId="0" xfId="64" applyFont="1" applyFill="1" applyBorder="1" applyAlignment="1" applyProtection="1">
      <alignment vertical="center" wrapText="1" readingOrder="2"/>
    </xf>
    <xf numFmtId="0" fontId="7" fillId="49" borderId="120" xfId="64" applyFont="1" applyFill="1" applyBorder="1" applyAlignment="1" applyProtection="1">
      <alignment vertical="center" wrapText="1" readingOrder="2"/>
    </xf>
    <xf numFmtId="0" fontId="7" fillId="49" borderId="0" xfId="64" applyFont="1" applyFill="1" applyBorder="1" applyAlignment="1" applyProtection="1">
      <alignment vertical="center" readingOrder="2"/>
    </xf>
    <xf numFmtId="0" fontId="55" fillId="49" borderId="0" xfId="64" applyFont="1" applyFill="1" applyBorder="1" applyAlignment="1" applyProtection="1">
      <alignment vertical="center" readingOrder="2"/>
    </xf>
    <xf numFmtId="0" fontId="7" fillId="49" borderId="118" xfId="71" applyFont="1" applyFill="1" applyBorder="1" applyAlignment="1" applyProtection="1">
      <alignment horizontal="left" vertical="center" readingOrder="2"/>
    </xf>
    <xf numFmtId="0" fontId="7" fillId="49" borderId="10" xfId="71" applyFont="1" applyFill="1" applyBorder="1" applyAlignment="1" applyProtection="1">
      <alignment vertical="center" wrapText="1" readingOrder="2"/>
    </xf>
    <xf numFmtId="0" fontId="7" fillId="49" borderId="308" xfId="71" applyFont="1" applyFill="1" applyBorder="1" applyAlignment="1" applyProtection="1">
      <alignment vertical="center" wrapText="1" readingOrder="2"/>
    </xf>
    <xf numFmtId="0" fontId="55" fillId="49" borderId="123" xfId="71" applyFont="1" applyFill="1" applyBorder="1" applyAlignment="1" applyProtection="1">
      <alignment horizontal="center" vertical="center" readingOrder="2"/>
    </xf>
    <xf numFmtId="0" fontId="55" fillId="49" borderId="124" xfId="71" applyFont="1" applyFill="1" applyBorder="1" applyAlignment="1" applyProtection="1">
      <alignment horizontal="center" vertical="center" readingOrder="2"/>
    </xf>
    <xf numFmtId="0" fontId="2" fillId="49" borderId="195" xfId="62" applyFont="1" applyFill="1" applyBorder="1" applyAlignment="1" applyProtection="1">
      <alignment horizontal="right" vertical="center"/>
    </xf>
    <xf numFmtId="0" fontId="2" fillId="49" borderId="186" xfId="62" applyFont="1" applyFill="1" applyBorder="1" applyAlignment="1" applyProtection="1">
      <alignment horizontal="right" vertical="center"/>
    </xf>
    <xf numFmtId="0" fontId="2" fillId="49" borderId="184" xfId="62" applyFont="1" applyFill="1" applyBorder="1" applyAlignment="1" applyProtection="1">
      <alignment horizontal="right" vertical="center"/>
    </xf>
    <xf numFmtId="0" fontId="58" fillId="49" borderId="196" xfId="62" applyFont="1" applyFill="1" applyBorder="1" applyAlignment="1" applyProtection="1">
      <alignment horizontal="right" vertical="center"/>
    </xf>
    <xf numFmtId="0" fontId="58" fillId="49" borderId="195" xfId="62" applyFont="1" applyFill="1" applyBorder="1" applyAlignment="1" applyProtection="1">
      <alignment horizontal="right" vertical="center"/>
    </xf>
    <xf numFmtId="0" fontId="58" fillId="49" borderId="186" xfId="62" applyFont="1" applyFill="1" applyBorder="1" applyAlignment="1" applyProtection="1">
      <alignment horizontal="right" vertical="center"/>
    </xf>
    <xf numFmtId="3" fontId="3" fillId="49" borderId="123" xfId="64" applyNumberFormat="1" applyFont="1" applyFill="1" applyBorder="1" applyAlignment="1" applyProtection="1">
      <alignment horizontal="center" vertical="center" wrapText="1" readingOrder="1"/>
      <protection locked="0"/>
    </xf>
    <xf numFmtId="3" fontId="3" fillId="49" borderId="124" xfId="64" applyNumberFormat="1" applyFont="1" applyFill="1" applyBorder="1" applyAlignment="1" applyProtection="1">
      <alignment horizontal="center" vertical="center" wrapText="1" readingOrder="1"/>
      <protection locked="0"/>
    </xf>
    <xf numFmtId="3" fontId="3" fillId="49" borderId="144" xfId="64" applyNumberFormat="1" applyFont="1" applyFill="1" applyBorder="1" applyAlignment="1" applyProtection="1">
      <alignment horizontal="center" vertical="center" wrapText="1" readingOrder="1"/>
      <protection locked="0"/>
    </xf>
    <xf numFmtId="3" fontId="3" fillId="49" borderId="145" xfId="64" applyNumberFormat="1" applyFont="1" applyFill="1" applyBorder="1" applyAlignment="1" applyProtection="1">
      <alignment horizontal="center" vertical="center" wrapText="1" readingOrder="1"/>
      <protection locked="0"/>
    </xf>
    <xf numFmtId="0" fontId="7" fillId="49" borderId="309" xfId="64" applyFont="1" applyFill="1" applyBorder="1" applyAlignment="1" applyProtection="1">
      <alignment horizontal="left" vertical="center" wrapText="1" readingOrder="2"/>
    </xf>
    <xf numFmtId="0" fontId="7" fillId="49" borderId="310" xfId="71" applyFont="1" applyFill="1" applyBorder="1" applyAlignment="1" applyProtection="1">
      <alignment vertical="center" wrapText="1" readingOrder="2"/>
    </xf>
    <xf numFmtId="0" fontId="3" fillId="49" borderId="123" xfId="62" applyFont="1" applyFill="1" applyBorder="1" applyAlignment="1" applyProtection="1">
      <alignment horizontal="center"/>
    </xf>
    <xf numFmtId="0" fontId="3" fillId="49" borderId="124" xfId="62" applyFont="1" applyFill="1" applyBorder="1" applyAlignment="1" applyProtection="1">
      <alignment horizontal="center"/>
    </xf>
    <xf numFmtId="0" fontId="2" fillId="49" borderId="198" xfId="62" applyFont="1" applyFill="1" applyBorder="1" applyAlignment="1" applyProtection="1">
      <alignment horizontal="right" vertical="center"/>
    </xf>
    <xf numFmtId="0" fontId="2" fillId="49" borderId="199" xfId="62" applyFont="1" applyFill="1" applyBorder="1" applyAlignment="1" applyProtection="1">
      <alignment horizontal="right" vertical="center"/>
    </xf>
    <xf numFmtId="0" fontId="2" fillId="49" borderId="201" xfId="62" applyFont="1" applyFill="1" applyBorder="1" applyAlignment="1" applyProtection="1">
      <alignment horizontal="right" vertical="center"/>
    </xf>
    <xf numFmtId="0" fontId="58" fillId="49" borderId="200" xfId="62" applyFont="1" applyFill="1" applyBorder="1" applyAlignment="1" applyProtection="1">
      <alignment horizontal="right" vertical="center"/>
    </xf>
    <xf numFmtId="0" fontId="58" fillId="49" borderId="198" xfId="62" applyFont="1" applyFill="1" applyBorder="1" applyAlignment="1" applyProtection="1">
      <alignment horizontal="right" vertical="center"/>
    </xf>
    <xf numFmtId="0" fontId="58" fillId="49" borderId="199" xfId="62" applyFont="1" applyFill="1" applyBorder="1" applyAlignment="1" applyProtection="1">
      <alignment horizontal="right" vertical="center"/>
    </xf>
    <xf numFmtId="0" fontId="7" fillId="49" borderId="194" xfId="64" applyFont="1" applyFill="1" applyBorder="1" applyAlignment="1" applyProtection="1">
      <alignment horizontal="left" vertical="center" wrapText="1" readingOrder="2"/>
    </xf>
    <xf numFmtId="0" fontId="58" fillId="49" borderId="130" xfId="64" applyFont="1" applyFill="1" applyBorder="1" applyAlignment="1" applyProtection="1">
      <alignment horizontal="center" vertical="center" wrapText="1" readingOrder="2"/>
    </xf>
    <xf numFmtId="0" fontId="58" fillId="49" borderId="127" xfId="64" applyFont="1" applyFill="1" applyBorder="1" applyAlignment="1" applyProtection="1">
      <alignment horizontal="center" vertical="center" wrapText="1" readingOrder="2"/>
    </xf>
    <xf numFmtId="0" fontId="7" fillId="0" borderId="0" xfId="70" applyFont="1" applyFill="1" applyBorder="1" applyAlignment="1" applyProtection="1">
      <alignment vertical="center" readingOrder="2"/>
      <protection hidden="1"/>
    </xf>
    <xf numFmtId="0" fontId="2" fillId="0" borderId="0" xfId="73" applyFont="1" applyFill="1" applyBorder="1" applyAlignment="1" applyProtection="1">
      <alignment horizontal="right" vertical="center"/>
      <protection hidden="1"/>
    </xf>
    <xf numFmtId="0" fontId="1" fillId="0" borderId="0" xfId="73" applyFont="1" applyFill="1" applyBorder="1" applyAlignment="1" applyProtection="1">
      <alignment horizontal="right" vertical="center"/>
      <protection hidden="1"/>
    </xf>
    <xf numFmtId="0" fontId="116" fillId="0" borderId="0" xfId="73" applyFont="1" applyFill="1" applyBorder="1" applyAlignment="1" applyProtection="1">
      <alignment horizontal="right" vertical="center" readingOrder="2"/>
      <protection hidden="1"/>
    </xf>
    <xf numFmtId="0" fontId="2" fillId="0" borderId="0" xfId="73" applyFont="1" applyFill="1" applyBorder="1" applyAlignment="1" applyProtection="1">
      <alignment vertical="center"/>
      <protection hidden="1"/>
    </xf>
    <xf numFmtId="0" fontId="1" fillId="0" borderId="0" xfId="73" applyFont="1" applyFill="1" applyBorder="1" applyAlignment="1" applyProtection="1">
      <alignment vertical="center"/>
      <protection hidden="1"/>
    </xf>
    <xf numFmtId="0" fontId="2" fillId="0" borderId="0" xfId="73" applyFont="1" applyFill="1" applyBorder="1" applyAlignment="1" applyProtection="1">
      <alignment vertical="center" readingOrder="1"/>
      <protection hidden="1"/>
    </xf>
    <xf numFmtId="0" fontId="7" fillId="0" borderId="0" xfId="70" applyFont="1" applyFill="1" applyBorder="1" applyAlignment="1" applyProtection="1">
      <alignment horizontal="right" vertical="center" readingOrder="2"/>
      <protection hidden="1"/>
    </xf>
    <xf numFmtId="0" fontId="7" fillId="0" borderId="0" xfId="70" applyFont="1" applyFill="1" applyBorder="1" applyAlignment="1" applyProtection="1">
      <alignment horizontal="left" vertical="center" readingOrder="2"/>
      <protection hidden="1"/>
    </xf>
    <xf numFmtId="0" fontId="2" fillId="0" borderId="0" xfId="70" applyFont="1" applyFill="1" applyBorder="1" applyAlignment="1" applyProtection="1">
      <alignment vertical="center" readingOrder="1"/>
      <protection hidden="1"/>
    </xf>
    <xf numFmtId="0" fontId="2" fillId="0" borderId="0" xfId="70" applyFont="1" applyFill="1" applyBorder="1" applyAlignment="1" applyProtection="1">
      <alignment vertical="center"/>
      <protection hidden="1"/>
    </xf>
    <xf numFmtId="0" fontId="7" fillId="0" borderId="0" xfId="73" applyFont="1" applyFill="1" applyBorder="1" applyAlignment="1" applyProtection="1">
      <alignment horizontal="left" vertical="center" readingOrder="2"/>
      <protection hidden="1"/>
    </xf>
    <xf numFmtId="0" fontId="1" fillId="0" borderId="0" xfId="76" applyFill="1" applyBorder="1" applyProtection="1">
      <protection hidden="1"/>
    </xf>
    <xf numFmtId="0" fontId="1" fillId="0" borderId="0" xfId="73" applyBorder="1" applyProtection="1">
      <protection hidden="1"/>
    </xf>
    <xf numFmtId="0" fontId="229" fillId="0" borderId="0" xfId="70" applyFont="1" applyFill="1" applyBorder="1" applyAlignment="1" applyProtection="1">
      <alignment horizontal="right" vertical="center"/>
      <protection hidden="1"/>
    </xf>
    <xf numFmtId="0" fontId="7" fillId="0" borderId="0" xfId="64" applyFont="1" applyFill="1" applyBorder="1" applyAlignment="1" applyProtection="1">
      <alignment horizontal="left" vertical="center" readingOrder="2"/>
      <protection hidden="1"/>
    </xf>
    <xf numFmtId="0" fontId="55" fillId="0" borderId="0" xfId="73" applyFont="1" applyFill="1" applyBorder="1" applyAlignment="1" applyProtection="1">
      <alignment horizontal="center" vertical="center" readingOrder="2"/>
      <protection hidden="1"/>
    </xf>
    <xf numFmtId="0" fontId="229" fillId="0" borderId="0" xfId="73" applyFont="1" applyFill="1" applyBorder="1" applyProtection="1">
      <protection hidden="1"/>
    </xf>
    <xf numFmtId="0" fontId="2" fillId="0" borderId="0" xfId="64" applyFont="1" applyFill="1" applyBorder="1" applyAlignment="1" applyProtection="1">
      <alignment vertical="center" readingOrder="1"/>
      <protection hidden="1"/>
    </xf>
    <xf numFmtId="0" fontId="1" fillId="26" borderId="0" xfId="76" applyFill="1" applyBorder="1" applyProtection="1">
      <protection hidden="1"/>
    </xf>
    <xf numFmtId="0" fontId="1" fillId="0" borderId="0" xfId="76" applyBorder="1" applyProtection="1">
      <protection hidden="1"/>
    </xf>
    <xf numFmtId="0" fontId="7" fillId="0" borderId="0" xfId="73" applyFont="1" applyFill="1" applyBorder="1" applyAlignment="1" applyProtection="1">
      <alignment horizontal="center" vertical="center" readingOrder="2"/>
      <protection hidden="1"/>
    </xf>
    <xf numFmtId="0" fontId="7" fillId="0" borderId="0" xfId="64" applyFont="1" applyFill="1" applyBorder="1" applyAlignment="1" applyProtection="1">
      <alignment horizontal="right" vertical="center" readingOrder="2"/>
      <protection hidden="1"/>
    </xf>
    <xf numFmtId="0" fontId="57" fillId="26" borderId="0" xfId="72" applyFont="1" applyFill="1" applyBorder="1" applyAlignment="1" applyProtection="1">
      <alignment horizontal="left" vertical="center" readingOrder="2"/>
      <protection hidden="1"/>
    </xf>
    <xf numFmtId="0" fontId="0" fillId="0" borderId="0" xfId="0" applyBorder="1" applyProtection="1">
      <protection hidden="1"/>
    </xf>
    <xf numFmtId="0" fontId="1" fillId="48" borderId="0" xfId="64" applyFill="1"/>
    <xf numFmtId="0" fontId="0" fillId="48" borderId="0" xfId="0" applyFill="1"/>
    <xf numFmtId="0" fontId="61" fillId="31" borderId="70" xfId="64" applyFont="1" applyFill="1" applyBorder="1" applyAlignment="1">
      <alignment horizontal="right" vertical="center" readingOrder="2"/>
    </xf>
    <xf numFmtId="3" fontId="317" fillId="26" borderId="0" xfId="64" applyNumberFormat="1" applyFont="1" applyFill="1" applyBorder="1" applyAlignment="1" applyProtection="1">
      <alignment horizontal="center" vertical="center" wrapText="1" readingOrder="1"/>
      <protection hidden="1"/>
    </xf>
    <xf numFmtId="0" fontId="317" fillId="0" borderId="0" xfId="64" applyFont="1" applyBorder="1" applyAlignment="1" applyProtection="1">
      <alignment horizontal="center" vertical="center"/>
    </xf>
    <xf numFmtId="0" fontId="7" fillId="48" borderId="70" xfId="64" applyFont="1" applyFill="1" applyBorder="1" applyAlignment="1" applyProtection="1">
      <alignment horizontal="right" vertical="center" readingOrder="2"/>
    </xf>
    <xf numFmtId="0" fontId="1" fillId="48" borderId="0" xfId="64" applyFill="1" applyBorder="1" applyProtection="1"/>
    <xf numFmtId="3" fontId="317" fillId="48" borderId="0" xfId="64" applyNumberFormat="1" applyFont="1" applyFill="1" applyBorder="1" applyAlignment="1" applyProtection="1">
      <alignment horizontal="center" vertical="center" wrapText="1" readingOrder="1"/>
      <protection hidden="1"/>
    </xf>
    <xf numFmtId="0" fontId="1" fillId="48" borderId="43" xfId="64" applyFill="1" applyBorder="1" applyAlignment="1" applyProtection="1"/>
    <xf numFmtId="0" fontId="317" fillId="0" borderId="0" xfId="64" applyFont="1" applyBorder="1" applyAlignment="1" applyProtection="1">
      <alignment horizontal="center" vertical="center"/>
      <protection hidden="1"/>
    </xf>
    <xf numFmtId="3" fontId="3" fillId="31" borderId="189" xfId="64" applyNumberFormat="1" applyFont="1" applyFill="1" applyBorder="1" applyAlignment="1" applyProtection="1">
      <alignment horizontal="center" vertical="center" wrapText="1" readingOrder="1"/>
      <protection hidden="1"/>
    </xf>
    <xf numFmtId="3" fontId="3" fillId="31" borderId="192" xfId="64" applyNumberFormat="1" applyFont="1" applyFill="1" applyBorder="1" applyAlignment="1" applyProtection="1">
      <alignment horizontal="center" vertical="center" wrapText="1" readingOrder="1"/>
      <protection hidden="1"/>
    </xf>
    <xf numFmtId="0" fontId="318" fillId="0" borderId="0" xfId="64" applyFont="1" applyBorder="1" applyAlignment="1" applyProtection="1">
      <alignment horizontal="center" vertical="center"/>
      <protection hidden="1"/>
    </xf>
    <xf numFmtId="0" fontId="1" fillId="0" borderId="0" xfId="64" applyFill="1" applyBorder="1" applyProtection="1">
      <protection hidden="1"/>
    </xf>
    <xf numFmtId="0" fontId="7" fillId="0" borderId="43" xfId="71" applyFont="1" applyFill="1" applyBorder="1" applyAlignment="1" applyProtection="1">
      <alignment vertical="center" readingOrder="2"/>
      <protection hidden="1"/>
    </xf>
    <xf numFmtId="0" fontId="1" fillId="49" borderId="0" xfId="71" applyFill="1" applyBorder="1" applyProtection="1"/>
    <xf numFmtId="0" fontId="7" fillId="49" borderId="0" xfId="71" applyFont="1" applyFill="1" applyBorder="1" applyAlignment="1" applyProtection="1">
      <alignment horizontal="left"/>
    </xf>
    <xf numFmtId="0" fontId="250" fillId="49" borderId="0" xfId="71" applyFont="1" applyFill="1" applyBorder="1" applyAlignment="1" applyProtection="1">
      <alignment vertical="center" readingOrder="2"/>
    </xf>
    <xf numFmtId="0" fontId="250" fillId="49" borderId="43" xfId="71" applyFont="1" applyFill="1" applyBorder="1" applyAlignment="1" applyProtection="1">
      <alignment vertical="center" readingOrder="2"/>
    </xf>
    <xf numFmtId="0" fontId="61" fillId="49" borderId="0" xfId="71" applyFont="1" applyFill="1" applyBorder="1" applyAlignment="1" applyProtection="1">
      <alignment horizontal="right" vertical="center" readingOrder="2"/>
    </xf>
    <xf numFmtId="0" fontId="1" fillId="0" borderId="483" xfId="73" applyBorder="1" applyAlignment="1" applyProtection="1">
      <alignment vertical="center"/>
      <protection locked="0"/>
    </xf>
    <xf numFmtId="0" fontId="1" fillId="0" borderId="484" xfId="73" applyBorder="1" applyAlignment="1" applyProtection="1">
      <alignment vertical="center"/>
      <protection locked="0"/>
    </xf>
    <xf numFmtId="0" fontId="1" fillId="0" borderId="485" xfId="73" applyBorder="1" applyAlignment="1" applyProtection="1">
      <alignment vertical="center"/>
      <protection locked="0"/>
    </xf>
    <xf numFmtId="0" fontId="1" fillId="0" borderId="486" xfId="73" applyBorder="1" applyAlignment="1" applyProtection="1">
      <alignment vertical="center"/>
      <protection locked="0"/>
    </xf>
    <xf numFmtId="0" fontId="1" fillId="0" borderId="487" xfId="73" applyBorder="1" applyAlignment="1" applyProtection="1">
      <alignment vertical="center"/>
      <protection locked="0"/>
    </xf>
    <xf numFmtId="0" fontId="1" fillId="0" borderId="488" xfId="73" applyBorder="1" applyAlignment="1" applyProtection="1">
      <alignment vertical="center"/>
      <protection locked="0"/>
    </xf>
    <xf numFmtId="0" fontId="1" fillId="50" borderId="0" xfId="54" applyFill="1"/>
    <xf numFmtId="0" fontId="302" fillId="50" borderId="0" xfId="54" applyFont="1" applyFill="1" applyAlignment="1"/>
    <xf numFmtId="0" fontId="299" fillId="50" borderId="0" xfId="54" applyFont="1" applyFill="1" applyAlignment="1"/>
    <xf numFmtId="0" fontId="280" fillId="50" borderId="0" xfId="54" applyFont="1" applyFill="1"/>
    <xf numFmtId="0" fontId="278" fillId="50" borderId="0" xfId="54" applyFont="1" applyFill="1" applyAlignment="1"/>
    <xf numFmtId="0" fontId="325" fillId="52" borderId="0" xfId="64" applyFont="1" applyFill="1" applyBorder="1"/>
    <xf numFmtId="0" fontId="2" fillId="52" borderId="0" xfId="64" applyFont="1" applyFill="1" applyBorder="1" applyAlignment="1">
      <alignment horizontal="center"/>
    </xf>
    <xf numFmtId="0" fontId="2" fillId="52" borderId="0" xfId="64" applyFont="1" applyFill="1" applyBorder="1" applyAlignment="1"/>
    <xf numFmtId="0" fontId="1" fillId="52" borderId="0" xfId="64" applyFont="1" applyFill="1" applyBorder="1"/>
    <xf numFmtId="0" fontId="0" fillId="52" borderId="0" xfId="0" applyFill="1" applyProtection="1"/>
    <xf numFmtId="0" fontId="0" fillId="52" borderId="0" xfId="0" applyFill="1"/>
    <xf numFmtId="0" fontId="14" fillId="0" borderId="494" xfId="64" applyFont="1" applyFill="1" applyBorder="1" applyAlignment="1">
      <alignment vertical="center" readingOrder="2"/>
    </xf>
    <xf numFmtId="0" fontId="14" fillId="0" borderId="495" xfId="64" applyFont="1" applyFill="1" applyBorder="1" applyAlignment="1">
      <alignment vertical="center" readingOrder="2"/>
    </xf>
    <xf numFmtId="0" fontId="14" fillId="0" borderId="496" xfId="64" applyFont="1" applyFill="1" applyBorder="1" applyAlignment="1">
      <alignment vertical="center" readingOrder="2"/>
    </xf>
    <xf numFmtId="0" fontId="1" fillId="52" borderId="0" xfId="64" applyFill="1" applyAlignment="1"/>
    <xf numFmtId="0" fontId="1" fillId="0" borderId="497" xfId="64" applyBorder="1" applyAlignment="1"/>
    <xf numFmtId="0" fontId="7" fillId="0" borderId="494" xfId="64" applyFont="1" applyFill="1" applyBorder="1" applyAlignment="1">
      <alignment horizontal="right" vertical="center" readingOrder="2"/>
    </xf>
    <xf numFmtId="0" fontId="1" fillId="0" borderId="495" xfId="64" applyBorder="1" applyAlignment="1">
      <alignment vertical="center"/>
    </xf>
    <xf numFmtId="0" fontId="1" fillId="0" borderId="495" xfId="64" applyBorder="1" applyAlignment="1"/>
    <xf numFmtId="0" fontId="1" fillId="0" borderId="496" xfId="64" applyBorder="1" applyAlignment="1">
      <alignment vertical="center"/>
    </xf>
    <xf numFmtId="0" fontId="12" fillId="0" borderId="498" xfId="64" applyFont="1" applyBorder="1" applyAlignment="1">
      <alignment horizontal="center" vertical="center" wrapText="1"/>
    </xf>
    <xf numFmtId="0" fontId="1" fillId="0" borderId="497" xfId="64" applyFont="1" applyFill="1" applyBorder="1"/>
    <xf numFmtId="0" fontId="326" fillId="0" borderId="497" xfId="64" applyFont="1" applyFill="1" applyBorder="1" applyAlignment="1" applyProtection="1">
      <alignment horizontal="right" vertical="center" readingOrder="2"/>
      <protection locked="0"/>
    </xf>
    <xf numFmtId="0" fontId="327" fillId="0" borderId="0" xfId="64" applyFont="1" applyFill="1" applyBorder="1" applyAlignment="1" applyProtection="1">
      <alignment vertical="center" readingOrder="2"/>
      <protection locked="0"/>
    </xf>
    <xf numFmtId="0" fontId="64" fillId="0" borderId="0" xfId="64" applyFont="1" applyFill="1" applyBorder="1" applyAlignment="1" applyProtection="1">
      <alignment vertical="center" readingOrder="2"/>
      <protection locked="0"/>
    </xf>
    <xf numFmtId="0" fontId="328" fillId="48" borderId="0" xfId="64" applyFont="1" applyFill="1" applyBorder="1" applyAlignment="1" applyProtection="1">
      <alignment vertical="center" readingOrder="2"/>
      <protection locked="0"/>
    </xf>
    <xf numFmtId="0" fontId="328" fillId="48" borderId="0" xfId="64" applyFont="1" applyFill="1" applyBorder="1" applyAlignment="1" applyProtection="1">
      <alignment vertical="center" readingOrder="1"/>
      <protection locked="0"/>
    </xf>
    <xf numFmtId="0" fontId="1" fillId="48" borderId="0" xfId="64" applyFill="1" applyBorder="1" applyProtection="1">
      <protection locked="0"/>
    </xf>
    <xf numFmtId="0" fontId="62" fillId="0" borderId="0" xfId="64" applyFont="1" applyFill="1" applyBorder="1" applyAlignment="1" applyProtection="1">
      <alignment vertical="center" readingOrder="1"/>
      <protection locked="0"/>
    </xf>
    <xf numFmtId="0" fontId="326" fillId="0" borderId="0" xfId="64" applyFont="1" applyFill="1" applyBorder="1" applyAlignment="1" applyProtection="1">
      <alignment horizontal="left" vertical="center" readingOrder="1"/>
      <protection locked="0"/>
    </xf>
    <xf numFmtId="0" fontId="61" fillId="0" borderId="0" xfId="64" applyFont="1" applyFill="1" applyBorder="1" applyAlignment="1" applyProtection="1">
      <alignment vertical="center" readingOrder="1"/>
      <protection locked="0"/>
    </xf>
    <xf numFmtId="0" fontId="62" fillId="0" borderId="498" xfId="64" applyFont="1" applyFill="1" applyBorder="1" applyAlignment="1" applyProtection="1">
      <alignment vertical="center" readingOrder="1"/>
      <protection locked="0"/>
    </xf>
    <xf numFmtId="0" fontId="64" fillId="0" borderId="497" xfId="64" applyFont="1" applyFill="1" applyBorder="1" applyAlignment="1" applyProtection="1">
      <alignment horizontal="right" vertical="center" readingOrder="2"/>
      <protection locked="0"/>
    </xf>
    <xf numFmtId="0" fontId="7" fillId="0" borderId="0" xfId="64" applyFont="1" applyFill="1" applyBorder="1" applyAlignment="1" applyProtection="1">
      <alignment horizontal="left" vertical="center" readingOrder="1"/>
      <protection locked="0"/>
    </xf>
    <xf numFmtId="0" fontId="7" fillId="0" borderId="0" xfId="64" applyFont="1" applyFill="1" applyBorder="1" applyAlignment="1" applyProtection="1">
      <alignment horizontal="justify" vertical="center" readingOrder="2"/>
      <protection locked="0"/>
    </xf>
    <xf numFmtId="0" fontId="328" fillId="48" borderId="0" xfId="64" applyFont="1" applyFill="1" applyBorder="1" applyAlignment="1" applyProtection="1">
      <alignment horizontal="center" vertical="center" readingOrder="1"/>
      <protection locked="0"/>
    </xf>
    <xf numFmtId="0" fontId="1" fillId="0" borderId="0" xfId="64" applyBorder="1" applyProtection="1">
      <protection locked="0"/>
    </xf>
    <xf numFmtId="0" fontId="320" fillId="53" borderId="0" xfId="64" applyFont="1" applyFill="1" applyBorder="1" applyAlignment="1" applyProtection="1">
      <alignment horizontal="right" vertical="center" readingOrder="2"/>
      <protection locked="0"/>
    </xf>
    <xf numFmtId="0" fontId="319" fillId="53" borderId="0" xfId="64" applyFont="1" applyFill="1" applyBorder="1" applyAlignment="1" applyProtection="1">
      <alignment vertical="center"/>
      <protection locked="0"/>
    </xf>
    <xf numFmtId="0" fontId="319" fillId="53" borderId="0" xfId="64" applyFont="1" applyFill="1" applyBorder="1" applyAlignment="1" applyProtection="1">
      <protection locked="0"/>
    </xf>
    <xf numFmtId="0" fontId="319" fillId="53" borderId="0" xfId="64" applyFont="1" applyFill="1" applyBorder="1" applyAlignment="1" applyProtection="1">
      <alignment horizontal="right" vertical="center"/>
      <protection locked="0"/>
    </xf>
    <xf numFmtId="0" fontId="330" fillId="53" borderId="0" xfId="64" applyFont="1" applyFill="1" applyBorder="1" applyAlignment="1" applyProtection="1">
      <alignment vertical="center"/>
      <protection locked="0"/>
    </xf>
    <xf numFmtId="0" fontId="320" fillId="48" borderId="0" xfId="64" applyFont="1" applyFill="1" applyBorder="1" applyAlignment="1" applyProtection="1">
      <alignment horizontal="right" vertical="center" readingOrder="2"/>
      <protection locked="0"/>
    </xf>
    <xf numFmtId="0" fontId="329" fillId="48" borderId="0" xfId="64" applyFont="1" applyFill="1" applyBorder="1" applyAlignment="1" applyProtection="1">
      <alignment horizontal="right" vertical="center"/>
      <protection locked="0"/>
    </xf>
    <xf numFmtId="0" fontId="319" fillId="48" borderId="0" xfId="64" applyFont="1" applyFill="1" applyBorder="1" applyAlignment="1" applyProtection="1">
      <alignment vertical="center"/>
      <protection locked="0"/>
    </xf>
    <xf numFmtId="0" fontId="319" fillId="48" borderId="0" xfId="64" applyFont="1" applyFill="1" applyBorder="1" applyAlignment="1" applyProtection="1">
      <protection locked="0"/>
    </xf>
    <xf numFmtId="0" fontId="319" fillId="48" borderId="0" xfId="64" applyFont="1" applyFill="1" applyBorder="1" applyAlignment="1" applyProtection="1">
      <alignment horizontal="right" vertical="center"/>
      <protection locked="0"/>
    </xf>
    <xf numFmtId="0" fontId="330" fillId="48" borderId="0" xfId="64" applyFont="1" applyFill="1" applyBorder="1" applyAlignment="1" applyProtection="1">
      <alignment vertical="center"/>
      <protection locked="0"/>
    </xf>
    <xf numFmtId="0" fontId="2" fillId="51" borderId="0" xfId="64" applyFont="1" applyFill="1" applyBorder="1" applyAlignment="1" applyProtection="1">
      <alignment vertical="center"/>
      <protection locked="0"/>
    </xf>
    <xf numFmtId="0" fontId="2" fillId="51" borderId="0" xfId="64" applyFont="1" applyFill="1" applyBorder="1" applyAlignment="1" applyProtection="1">
      <protection locked="0"/>
    </xf>
    <xf numFmtId="0" fontId="319" fillId="51" borderId="0" xfId="64" applyFont="1" applyFill="1" applyBorder="1" applyAlignment="1" applyProtection="1">
      <alignment horizontal="right" vertical="center"/>
      <protection locked="0"/>
    </xf>
    <xf numFmtId="0" fontId="69" fillId="48" borderId="117" xfId="64" applyFont="1" applyFill="1" applyBorder="1" applyAlignment="1" applyProtection="1">
      <alignment horizontal="center" vertical="center" readingOrder="2"/>
      <protection locked="0"/>
    </xf>
    <xf numFmtId="3" fontId="334" fillId="48" borderId="116" xfId="64" applyNumberFormat="1" applyFont="1" applyFill="1" applyBorder="1" applyAlignment="1" applyProtection="1">
      <alignment horizontal="center" vertical="center" readingOrder="1"/>
      <protection locked="0"/>
    </xf>
    <xf numFmtId="0" fontId="7" fillId="0" borderId="0" xfId="64" applyFont="1" applyFill="1" applyBorder="1" applyAlignment="1" applyProtection="1">
      <alignment horizontal="left" vertical="center" readingOrder="1"/>
    </xf>
    <xf numFmtId="0" fontId="7" fillId="0" borderId="497" xfId="64" applyFont="1" applyFill="1" applyBorder="1" applyAlignment="1" applyProtection="1">
      <alignment horizontal="right" vertical="center" readingOrder="2"/>
      <protection locked="0"/>
    </xf>
    <xf numFmtId="0" fontId="58" fillId="48" borderId="0" xfId="64" applyFont="1" applyFill="1" applyBorder="1" applyAlignment="1" applyProtection="1">
      <alignment vertical="center" wrapText="1" readingOrder="2"/>
      <protection locked="0"/>
    </xf>
    <xf numFmtId="0" fontId="58" fillId="48" borderId="0" xfId="64" applyFont="1" applyFill="1" applyBorder="1" applyAlignment="1" applyProtection="1">
      <alignment vertical="center" wrapText="1"/>
      <protection locked="0"/>
    </xf>
    <xf numFmtId="0" fontId="1" fillId="0" borderId="498" xfId="64" applyBorder="1" applyAlignment="1" applyProtection="1">
      <protection locked="0"/>
    </xf>
    <xf numFmtId="0" fontId="55" fillId="48" borderId="0" xfId="64" applyFont="1" applyFill="1" applyBorder="1" applyAlignment="1" applyProtection="1">
      <alignment horizontal="center" vertical="center" readingOrder="2"/>
      <protection locked="0"/>
    </xf>
    <xf numFmtId="0" fontId="55" fillId="48" borderId="0" xfId="64" applyFont="1" applyFill="1" applyBorder="1" applyAlignment="1" applyProtection="1">
      <alignment horizontal="center" vertical="center" readingOrder="2"/>
    </xf>
    <xf numFmtId="0" fontId="1" fillId="54" borderId="0" xfId="64" applyFill="1" applyBorder="1" applyProtection="1">
      <protection locked="0"/>
    </xf>
    <xf numFmtId="0" fontId="1" fillId="54" borderId="0" xfId="64" applyFill="1" applyBorder="1" applyProtection="1"/>
    <xf numFmtId="0" fontId="340" fillId="53" borderId="0" xfId="64" applyFont="1" applyFill="1" applyBorder="1" applyAlignment="1" applyProtection="1">
      <alignment vertical="center"/>
      <protection locked="0"/>
    </xf>
    <xf numFmtId="0" fontId="340" fillId="53" borderId="0" xfId="64" applyFont="1" applyFill="1" applyBorder="1" applyAlignment="1" applyProtection="1">
      <protection locked="0"/>
    </xf>
    <xf numFmtId="0" fontId="340" fillId="53" borderId="0" xfId="64" applyFont="1" applyFill="1" applyBorder="1" applyAlignment="1" applyProtection="1">
      <alignment horizontal="right" vertical="center"/>
      <protection locked="0"/>
    </xf>
    <xf numFmtId="0" fontId="341" fillId="53" borderId="0" xfId="64" applyFont="1" applyFill="1" applyBorder="1" applyAlignment="1" applyProtection="1">
      <alignment vertical="center"/>
      <protection locked="0"/>
    </xf>
    <xf numFmtId="0" fontId="339" fillId="48" borderId="0" xfId="64" applyFont="1" applyFill="1" applyBorder="1" applyAlignment="1" applyProtection="1">
      <alignment horizontal="right" vertical="center"/>
      <protection locked="0"/>
    </xf>
    <xf numFmtId="0" fontId="340" fillId="48" borderId="0" xfId="64" applyFont="1" applyFill="1" applyBorder="1" applyAlignment="1" applyProtection="1">
      <alignment vertical="center"/>
      <protection locked="0"/>
    </xf>
    <xf numFmtId="0" fontId="340" fillId="48" borderId="0" xfId="64" applyFont="1" applyFill="1" applyBorder="1" applyAlignment="1" applyProtection="1">
      <protection locked="0"/>
    </xf>
    <xf numFmtId="0" fontId="340" fillId="48" borderId="0" xfId="64" applyFont="1" applyFill="1" applyBorder="1" applyAlignment="1" applyProtection="1">
      <alignment horizontal="right" vertical="center"/>
      <protection locked="0"/>
    </xf>
    <xf numFmtId="0" fontId="341" fillId="48" borderId="0" xfId="64" applyFont="1" applyFill="1" applyBorder="1" applyAlignment="1" applyProtection="1">
      <alignment vertical="center"/>
      <protection locked="0"/>
    </xf>
    <xf numFmtId="0" fontId="1" fillId="0" borderId="497" xfId="64" applyFont="1" applyFill="1" applyBorder="1" applyAlignment="1"/>
    <xf numFmtId="0" fontId="57" fillId="50" borderId="497" xfId="64" applyFont="1" applyFill="1" applyBorder="1" applyAlignment="1" applyProtection="1">
      <alignment horizontal="right" vertical="center" readingOrder="2"/>
      <protection locked="0"/>
    </xf>
    <xf numFmtId="0" fontId="342" fillId="51" borderId="0" xfId="64" applyFont="1" applyFill="1" applyBorder="1" applyAlignment="1" applyProtection="1">
      <alignment horizontal="right" vertical="center"/>
      <protection locked="0"/>
    </xf>
    <xf numFmtId="0" fontId="58" fillId="51" borderId="0" xfId="64" applyFont="1" applyFill="1" applyBorder="1" applyAlignment="1" applyProtection="1">
      <alignment horizontal="left" vertical="center"/>
    </xf>
    <xf numFmtId="0" fontId="2" fillId="48" borderId="0" xfId="64" applyFont="1" applyFill="1" applyBorder="1" applyAlignment="1" applyProtection="1">
      <alignment vertical="center"/>
      <protection locked="0"/>
    </xf>
    <xf numFmtId="0" fontId="1" fillId="48" borderId="498" xfId="64" applyFill="1" applyBorder="1" applyAlignment="1" applyProtection="1">
      <alignment vertical="center"/>
      <protection locked="0"/>
    </xf>
    <xf numFmtId="0" fontId="3" fillId="52" borderId="0" xfId="64" applyFont="1" applyFill="1" applyBorder="1" applyAlignment="1">
      <alignment horizontal="center"/>
    </xf>
    <xf numFmtId="0" fontId="69" fillId="48" borderId="117" xfId="64" applyFont="1" applyFill="1" applyBorder="1" applyAlignment="1" applyProtection="1">
      <alignment horizontal="center" vertical="center" readingOrder="2"/>
    </xf>
    <xf numFmtId="0" fontId="69" fillId="48" borderId="0" xfId="64" applyFont="1" applyFill="1" applyBorder="1" applyAlignment="1" applyProtection="1">
      <alignment horizontal="center" vertical="center" readingOrder="2"/>
      <protection locked="0"/>
    </xf>
    <xf numFmtId="0" fontId="3" fillId="52" borderId="0" xfId="64" applyFont="1" applyFill="1" applyBorder="1" applyAlignment="1">
      <alignment horizontal="center" vertical="center"/>
    </xf>
    <xf numFmtId="0" fontId="1" fillId="52" borderId="0" xfId="64" applyFont="1" applyFill="1" applyBorder="1" applyAlignment="1">
      <alignment vertical="center"/>
    </xf>
    <xf numFmtId="3" fontId="333" fillId="48" borderId="116" xfId="64" applyNumberFormat="1" applyFont="1" applyFill="1" applyBorder="1" applyAlignment="1" applyProtection="1">
      <alignment horizontal="center" vertical="center" readingOrder="1"/>
    </xf>
    <xf numFmtId="0" fontId="58" fillId="48" borderId="0" xfId="64" applyFont="1" applyFill="1" applyBorder="1" applyAlignment="1" applyProtection="1">
      <alignment horizontal="center" vertical="center" wrapText="1" readingOrder="2"/>
      <protection locked="0"/>
    </xf>
    <xf numFmtId="3" fontId="333" fillId="48" borderId="0" xfId="64" applyNumberFormat="1" applyFont="1" applyFill="1" applyBorder="1" applyAlignment="1" applyProtection="1">
      <alignment horizontal="center" vertical="center" readingOrder="1"/>
    </xf>
    <xf numFmtId="3" fontId="333" fillId="48" borderId="0" xfId="64" applyNumberFormat="1" applyFont="1" applyFill="1" applyBorder="1" applyAlignment="1" applyProtection="1">
      <alignment horizontal="center" vertical="center" readingOrder="1"/>
      <protection locked="0"/>
    </xf>
    <xf numFmtId="0" fontId="2" fillId="51" borderId="0" xfId="64" applyFont="1" applyFill="1" applyBorder="1" applyProtection="1">
      <protection locked="0"/>
    </xf>
    <xf numFmtId="0" fontId="352" fillId="51" borderId="0" xfId="64" applyFont="1" applyFill="1" applyBorder="1" applyAlignment="1" applyProtection="1">
      <alignment horizontal="right" vertical="center"/>
      <protection locked="0"/>
    </xf>
    <xf numFmtId="0" fontId="7" fillId="0" borderId="499" xfId="64" applyFont="1" applyFill="1" applyBorder="1" applyAlignment="1" applyProtection="1">
      <alignment horizontal="right" vertical="center" readingOrder="2"/>
      <protection locked="0"/>
    </xf>
    <xf numFmtId="0" fontId="3" fillId="48" borderId="500" xfId="64" applyFont="1" applyFill="1" applyBorder="1" applyAlignment="1" applyProtection="1">
      <alignment horizontal="center" vertical="center" wrapText="1" readingOrder="2"/>
      <protection locked="0"/>
    </xf>
    <xf numFmtId="0" fontId="55" fillId="48" borderId="500" xfId="64" applyFont="1" applyFill="1" applyBorder="1" applyAlignment="1" applyProtection="1">
      <alignment horizontal="center" vertical="center" readingOrder="2"/>
      <protection locked="0"/>
    </xf>
    <xf numFmtId="0" fontId="1" fillId="0" borderId="501" xfId="64" applyBorder="1" applyAlignment="1" applyProtection="1">
      <protection locked="0"/>
    </xf>
    <xf numFmtId="0" fontId="2" fillId="0" borderId="499" xfId="64" applyFont="1" applyFill="1" applyBorder="1" applyAlignment="1">
      <alignment horizontal="center"/>
    </xf>
    <xf numFmtId="0" fontId="2" fillId="0" borderId="501" xfId="64" applyFont="1" applyFill="1" applyBorder="1" applyAlignment="1">
      <alignment horizontal="center"/>
    </xf>
    <xf numFmtId="0" fontId="319" fillId="52" borderId="0" xfId="64" applyFont="1" applyFill="1" applyBorder="1" applyAlignment="1">
      <alignment horizontal="right" vertical="top"/>
    </xf>
    <xf numFmtId="0" fontId="89" fillId="31" borderId="0" xfId="73" applyFont="1" applyFill="1" applyBorder="1" applyAlignment="1" applyProtection="1">
      <alignment vertical="center"/>
      <protection locked="0"/>
    </xf>
    <xf numFmtId="0" fontId="7" fillId="0" borderId="0" xfId="73" applyFont="1" applyFill="1" applyBorder="1" applyAlignment="1">
      <alignment horizontal="center" vertical="center" readingOrder="2"/>
    </xf>
    <xf numFmtId="0" fontId="358" fillId="0" borderId="0" xfId="0" applyFont="1" applyBorder="1" applyAlignment="1" applyProtection="1">
      <alignment horizontal="left" vertical="center"/>
    </xf>
    <xf numFmtId="0" fontId="58" fillId="0" borderId="0" xfId="0" applyFont="1" applyBorder="1" applyAlignment="1" applyProtection="1">
      <alignment horizontal="left" vertical="center"/>
    </xf>
    <xf numFmtId="0" fontId="360" fillId="55" borderId="0" xfId="64" applyFont="1" applyFill="1" applyBorder="1" applyAlignment="1" applyProtection="1">
      <alignment vertical="center" readingOrder="2"/>
      <protection locked="0"/>
    </xf>
    <xf numFmtId="0" fontId="361" fillId="55" borderId="0" xfId="64" applyFont="1" applyFill="1" applyBorder="1" applyAlignment="1" applyProtection="1">
      <alignment vertical="center" readingOrder="2"/>
      <protection locked="0"/>
    </xf>
    <xf numFmtId="0" fontId="361" fillId="55" borderId="0" xfId="64" applyFont="1" applyFill="1" applyBorder="1" applyAlignment="1" applyProtection="1">
      <alignment vertical="center" readingOrder="1"/>
      <protection locked="0"/>
    </xf>
    <xf numFmtId="0" fontId="362" fillId="55" borderId="0" xfId="64" applyFont="1" applyFill="1" applyBorder="1" applyProtection="1">
      <protection locked="0"/>
    </xf>
    <xf numFmtId="0" fontId="363" fillId="55" borderId="0" xfId="0" applyFont="1" applyFill="1"/>
    <xf numFmtId="0" fontId="360" fillId="55" borderId="0" xfId="64" applyFont="1" applyFill="1" applyBorder="1" applyAlignment="1" applyProtection="1">
      <alignment vertical="center" readingOrder="1"/>
      <protection locked="0"/>
    </xf>
    <xf numFmtId="0" fontId="89" fillId="52" borderId="0" xfId="73" applyFont="1" applyFill="1" applyBorder="1" applyAlignment="1" applyProtection="1"/>
    <xf numFmtId="0" fontId="321" fillId="52" borderId="0" xfId="73" applyFont="1" applyFill="1" applyBorder="1" applyAlignment="1" applyProtection="1"/>
    <xf numFmtId="0" fontId="364" fillId="52" borderId="0" xfId="73" applyFont="1" applyFill="1" applyBorder="1" applyAlignment="1" applyProtection="1"/>
    <xf numFmtId="0" fontId="89" fillId="52" borderId="0" xfId="73" applyFont="1" applyFill="1" applyBorder="1" applyAlignment="1"/>
    <xf numFmtId="0" fontId="0" fillId="0" borderId="502" xfId="0" applyBorder="1"/>
    <xf numFmtId="0" fontId="0" fillId="0" borderId="503" xfId="0" applyBorder="1"/>
    <xf numFmtId="0" fontId="0" fillId="0" borderId="504" xfId="0" applyBorder="1"/>
    <xf numFmtId="0" fontId="0" fillId="0" borderId="505" xfId="0" applyBorder="1"/>
    <xf numFmtId="0" fontId="0" fillId="0" borderId="506" xfId="0" applyBorder="1"/>
    <xf numFmtId="0" fontId="1" fillId="0" borderId="505" xfId="73" applyFont="1" applyFill="1" applyBorder="1" applyAlignment="1"/>
    <xf numFmtId="0" fontId="1" fillId="0" borderId="506" xfId="73" applyBorder="1" applyAlignment="1"/>
    <xf numFmtId="0" fontId="1" fillId="0" borderId="494" xfId="73" applyBorder="1" applyAlignment="1"/>
    <xf numFmtId="0" fontId="1" fillId="0" borderId="495" xfId="73" applyBorder="1" applyAlignment="1"/>
    <xf numFmtId="0" fontId="1" fillId="0" borderId="496" xfId="73" applyBorder="1" applyAlignment="1"/>
    <xf numFmtId="0" fontId="0" fillId="48" borderId="0" xfId="0" applyFill="1" applyBorder="1"/>
    <xf numFmtId="0" fontId="0" fillId="0" borderId="498" xfId="0" applyBorder="1"/>
    <xf numFmtId="0" fontId="0" fillId="0" borderId="497" xfId="0" applyBorder="1"/>
    <xf numFmtId="0" fontId="62" fillId="51" borderId="497" xfId="73" applyFont="1" applyFill="1" applyBorder="1" applyAlignment="1">
      <alignment horizontal="right" vertical="center" readingOrder="2"/>
    </xf>
    <xf numFmtId="0" fontId="7" fillId="51" borderId="0" xfId="73" applyFont="1" applyFill="1" applyBorder="1" applyAlignment="1">
      <alignment horizontal="right" vertical="center" readingOrder="2"/>
    </xf>
    <xf numFmtId="0" fontId="7" fillId="51" borderId="0" xfId="73" applyFont="1" applyFill="1" applyBorder="1" applyAlignment="1">
      <alignment vertical="center" readingOrder="2"/>
    </xf>
    <xf numFmtId="0" fontId="7" fillId="51" borderId="0" xfId="73" applyFont="1" applyFill="1" applyBorder="1" applyAlignment="1">
      <alignment vertical="center"/>
    </xf>
    <xf numFmtId="0" fontId="58" fillId="51" borderId="0" xfId="73" applyFont="1" applyFill="1" applyBorder="1" applyAlignment="1" applyProtection="1">
      <alignment vertical="center"/>
      <protection locked="0"/>
    </xf>
    <xf numFmtId="0" fontId="57" fillId="51" borderId="0" xfId="73" applyFont="1" applyFill="1" applyBorder="1" applyAlignment="1">
      <alignment vertical="center"/>
    </xf>
    <xf numFmtId="0" fontId="2" fillId="0" borderId="498" xfId="73" applyFont="1" applyFill="1" applyBorder="1" applyAlignment="1">
      <alignment horizontal="center" vertical="center"/>
    </xf>
    <xf numFmtId="0" fontId="2" fillId="0" borderId="506" xfId="73" applyFont="1" applyFill="1" applyBorder="1" applyAlignment="1">
      <alignment horizontal="center" vertical="center"/>
    </xf>
    <xf numFmtId="0" fontId="1" fillId="0" borderId="497" xfId="73" applyFill="1" applyBorder="1" applyAlignment="1">
      <alignment vertical="center"/>
    </xf>
    <xf numFmtId="0" fontId="58" fillId="0" borderId="0" xfId="73" applyFont="1" applyFill="1" applyBorder="1" applyAlignment="1">
      <alignment vertical="center" readingOrder="1"/>
    </xf>
    <xf numFmtId="0" fontId="57" fillId="48" borderId="0" xfId="73" applyFont="1" applyFill="1" applyBorder="1" applyAlignment="1">
      <alignment horizontal="left" vertical="center"/>
    </xf>
    <xf numFmtId="0" fontId="58" fillId="48" borderId="119" xfId="73" applyFont="1" applyFill="1" applyBorder="1" applyAlignment="1" applyProtection="1">
      <alignment vertical="center"/>
      <protection locked="0"/>
    </xf>
    <xf numFmtId="0" fontId="2" fillId="48" borderId="0" xfId="76" applyFont="1" applyFill="1" applyBorder="1" applyProtection="1">
      <protection hidden="1"/>
    </xf>
    <xf numFmtId="0" fontId="58" fillId="0" borderId="0" xfId="73" applyFont="1" applyFill="1" applyBorder="1" applyAlignment="1" applyProtection="1">
      <alignment horizontal="right" vertical="center" readingOrder="1"/>
      <protection hidden="1"/>
    </xf>
    <xf numFmtId="0" fontId="58" fillId="48" borderId="0" xfId="73" applyFont="1" applyFill="1" applyBorder="1" applyAlignment="1" applyProtection="1">
      <alignment vertical="center"/>
      <protection hidden="1"/>
    </xf>
    <xf numFmtId="0" fontId="58" fillId="0" borderId="0" xfId="73" applyFont="1" applyFill="1" applyBorder="1" applyAlignment="1" applyProtection="1">
      <alignment horizontal="center" vertical="center" readingOrder="1"/>
      <protection hidden="1"/>
    </xf>
    <xf numFmtId="0" fontId="58" fillId="0" borderId="0" xfId="73" applyFont="1" applyFill="1" applyBorder="1" applyAlignment="1" applyProtection="1">
      <alignment vertical="center" readingOrder="1"/>
      <protection hidden="1"/>
    </xf>
    <xf numFmtId="0" fontId="58" fillId="48" borderId="119" xfId="73" applyFont="1" applyFill="1" applyBorder="1" applyAlignment="1" applyProtection="1">
      <alignment horizontal="center" vertical="center"/>
      <protection locked="0"/>
    </xf>
    <xf numFmtId="0" fontId="181" fillId="48" borderId="0" xfId="76" applyFont="1" applyFill="1" applyBorder="1" applyAlignment="1">
      <alignment horizontal="left"/>
    </xf>
    <xf numFmtId="0" fontId="368" fillId="48" borderId="0" xfId="73" applyFont="1" applyFill="1" applyBorder="1" applyAlignment="1" applyProtection="1">
      <alignment horizontal="right" vertical="center" readingOrder="2"/>
      <protection hidden="1"/>
    </xf>
    <xf numFmtId="0" fontId="1" fillId="50" borderId="497" xfId="73" applyFill="1" applyBorder="1" applyAlignment="1">
      <alignment vertical="center"/>
    </xf>
    <xf numFmtId="0" fontId="1" fillId="50" borderId="0" xfId="73" applyFill="1" applyBorder="1" applyAlignment="1">
      <alignment vertical="center"/>
    </xf>
    <xf numFmtId="0" fontId="57" fillId="50" borderId="0" xfId="73" applyFont="1" applyFill="1" applyBorder="1" applyAlignment="1">
      <alignment horizontal="left" vertical="center" readingOrder="1"/>
    </xf>
    <xf numFmtId="0" fontId="368" fillId="50" borderId="0" xfId="73" applyFont="1" applyFill="1" applyBorder="1" applyAlignment="1" applyProtection="1">
      <alignment horizontal="right" vertical="center" readingOrder="2"/>
      <protection hidden="1"/>
    </xf>
    <xf numFmtId="0" fontId="2" fillId="50" borderId="0" xfId="73" applyFont="1" applyFill="1" applyBorder="1" applyAlignment="1" applyProtection="1">
      <alignment vertical="center"/>
      <protection hidden="1"/>
    </xf>
    <xf numFmtId="0" fontId="2" fillId="50" borderId="0" xfId="73" applyFont="1" applyFill="1" applyBorder="1" applyAlignment="1" applyProtection="1">
      <alignment vertical="center" readingOrder="1"/>
      <protection hidden="1"/>
    </xf>
    <xf numFmtId="0" fontId="0" fillId="50" borderId="0" xfId="0" applyFill="1" applyProtection="1">
      <protection hidden="1"/>
    </xf>
    <xf numFmtId="0" fontId="0" fillId="50" borderId="0" xfId="0" applyFill="1"/>
    <xf numFmtId="0" fontId="369" fillId="50" borderId="0" xfId="0" applyFont="1" applyFill="1" applyProtection="1">
      <protection hidden="1"/>
    </xf>
    <xf numFmtId="0" fontId="0" fillId="50" borderId="0" xfId="0" applyFill="1" applyBorder="1" applyProtection="1">
      <protection hidden="1"/>
    </xf>
    <xf numFmtId="0" fontId="58" fillId="50" borderId="0" xfId="73" applyFont="1" applyFill="1" applyBorder="1" applyAlignment="1" applyProtection="1">
      <alignment vertical="center"/>
      <protection hidden="1"/>
    </xf>
    <xf numFmtId="0" fontId="1" fillId="50" borderId="0" xfId="73" applyFill="1" applyBorder="1" applyProtection="1">
      <protection hidden="1"/>
    </xf>
    <xf numFmtId="0" fontId="2" fillId="50" borderId="0" xfId="73" applyFont="1" applyFill="1" applyBorder="1" applyAlignment="1" applyProtection="1">
      <alignment horizontal="left" vertical="center" readingOrder="1"/>
      <protection hidden="1"/>
    </xf>
    <xf numFmtId="0" fontId="58" fillId="50" borderId="0" xfId="73" applyFont="1" applyFill="1" applyBorder="1" applyAlignment="1" applyProtection="1">
      <alignment horizontal="left" vertical="center" readingOrder="1"/>
      <protection hidden="1"/>
    </xf>
    <xf numFmtId="0" fontId="58" fillId="50" borderId="0" xfId="73" applyFont="1" applyFill="1" applyBorder="1" applyAlignment="1" applyProtection="1">
      <alignment horizontal="center" vertical="center" readingOrder="1"/>
      <protection hidden="1"/>
    </xf>
    <xf numFmtId="0" fontId="2" fillId="50" borderId="498" xfId="73" applyFont="1" applyFill="1" applyBorder="1" applyAlignment="1">
      <alignment horizontal="center" vertical="center"/>
    </xf>
    <xf numFmtId="0" fontId="3" fillId="48" borderId="0" xfId="76" applyFont="1" applyFill="1" applyBorder="1" applyAlignment="1" applyProtection="1">
      <alignment horizontal="left"/>
      <protection hidden="1"/>
    </xf>
    <xf numFmtId="0" fontId="58" fillId="48" borderId="0" xfId="73" applyFont="1" applyFill="1" applyBorder="1" applyAlignment="1" applyProtection="1">
      <alignment horizontal="center" vertical="center"/>
      <protection hidden="1"/>
    </xf>
    <xf numFmtId="0" fontId="62" fillId="48" borderId="497" xfId="68" applyFont="1" applyFill="1" applyBorder="1" applyAlignment="1" applyProtection="1">
      <alignment horizontal="center" vertical="center" readingOrder="2"/>
    </xf>
    <xf numFmtId="0" fontId="57" fillId="0" borderId="0" xfId="73" applyFont="1" applyFill="1" applyBorder="1" applyAlignment="1">
      <alignment horizontal="left" vertical="center" readingOrder="2"/>
    </xf>
    <xf numFmtId="0" fontId="3" fillId="48" borderId="119" xfId="73" applyFont="1" applyFill="1" applyBorder="1" applyAlignment="1" applyProtection="1">
      <alignment horizontal="center" vertical="center" readingOrder="2"/>
      <protection locked="0"/>
    </xf>
    <xf numFmtId="0" fontId="0" fillId="0" borderId="0" xfId="0" applyBorder="1" applyAlignment="1" applyProtection="1">
      <protection hidden="1"/>
    </xf>
    <xf numFmtId="0" fontId="2" fillId="0" borderId="0" xfId="73" applyFont="1" applyFill="1" applyBorder="1" applyAlignment="1" applyProtection="1">
      <alignment horizontal="left" vertical="center" readingOrder="1"/>
      <protection hidden="1"/>
    </xf>
    <xf numFmtId="0" fontId="87" fillId="0" borderId="0" xfId="73" applyFont="1" applyFill="1" applyBorder="1" applyAlignment="1" applyProtection="1">
      <alignment horizontal="center" vertical="center" readingOrder="2"/>
      <protection hidden="1"/>
    </xf>
    <xf numFmtId="0" fontId="2" fillId="0" borderId="498" xfId="73" applyFont="1" applyFill="1" applyBorder="1" applyAlignment="1" applyProtection="1">
      <alignment horizontal="center" vertical="center"/>
      <protection hidden="1"/>
    </xf>
    <xf numFmtId="0" fontId="57" fillId="0" borderId="0" xfId="78" applyFont="1" applyFill="1" applyBorder="1" applyAlignment="1">
      <alignment horizontal="left" vertical="center" readingOrder="2"/>
    </xf>
    <xf numFmtId="0" fontId="369" fillId="48" borderId="0" xfId="0" applyFont="1" applyFill="1" applyProtection="1">
      <protection hidden="1"/>
    </xf>
    <xf numFmtId="0" fontId="7" fillId="51" borderId="0" xfId="70" applyFont="1" applyFill="1" applyBorder="1" applyAlignment="1">
      <alignment horizontal="right" vertical="center" readingOrder="2"/>
    </xf>
    <xf numFmtId="0" fontId="0" fillId="51" borderId="0" xfId="0" applyFill="1" applyBorder="1"/>
    <xf numFmtId="0" fontId="61" fillId="51" borderId="0" xfId="70" applyFont="1" applyFill="1" applyBorder="1" applyAlignment="1" applyProtection="1">
      <alignment horizontal="right" vertical="center" readingOrder="2"/>
    </xf>
    <xf numFmtId="0" fontId="7" fillId="51" borderId="0" xfId="70" applyFont="1" applyFill="1" applyBorder="1" applyAlignment="1">
      <alignment vertical="center" readingOrder="2"/>
    </xf>
    <xf numFmtId="0" fontId="7" fillId="51" borderId="0" xfId="70" applyFont="1" applyFill="1" applyBorder="1" applyAlignment="1" applyProtection="1">
      <alignment horizontal="right" vertical="center" readingOrder="2"/>
    </xf>
    <xf numFmtId="0" fontId="1" fillId="51" borderId="0" xfId="70" applyFill="1" applyBorder="1" applyAlignment="1">
      <alignment vertical="center"/>
    </xf>
    <xf numFmtId="0" fontId="61" fillId="51" borderId="0" xfId="70" applyFont="1" applyFill="1" applyBorder="1" applyAlignment="1" applyProtection="1">
      <alignment horizontal="left" vertical="center" readingOrder="2"/>
    </xf>
    <xf numFmtId="0" fontId="7" fillId="51" borderId="0" xfId="70" applyFont="1" applyFill="1" applyBorder="1" applyAlignment="1" applyProtection="1">
      <alignment horizontal="left" vertical="center" readingOrder="2"/>
    </xf>
    <xf numFmtId="0" fontId="1" fillId="51" borderId="498" xfId="73" applyFill="1" applyBorder="1" applyAlignment="1">
      <alignment vertical="center"/>
    </xf>
    <xf numFmtId="0" fontId="62" fillId="48" borderId="0" xfId="68" applyFont="1" applyFill="1" applyBorder="1" applyAlignment="1" applyProtection="1">
      <alignment horizontal="center" vertical="center" readingOrder="2"/>
    </xf>
    <xf numFmtId="0" fontId="7" fillId="48" borderId="498" xfId="73" applyFont="1" applyFill="1" applyBorder="1" applyAlignment="1">
      <alignment vertical="center" readingOrder="2"/>
    </xf>
    <xf numFmtId="0" fontId="7" fillId="0" borderId="497" xfId="73" applyFont="1" applyFill="1" applyBorder="1" applyAlignment="1">
      <alignment horizontal="right" vertical="center" readingOrder="2"/>
    </xf>
    <xf numFmtId="0" fontId="57" fillId="0" borderId="497" xfId="73" applyFont="1" applyFill="1" applyBorder="1" applyAlignment="1">
      <alignment horizontal="left" vertical="center" readingOrder="2"/>
    </xf>
    <xf numFmtId="0" fontId="58" fillId="48" borderId="119" xfId="73" applyFont="1" applyFill="1" applyBorder="1" applyAlignment="1" applyProtection="1">
      <alignment horizontal="left" vertical="center" readingOrder="2"/>
      <protection locked="0"/>
    </xf>
    <xf numFmtId="0" fontId="0" fillId="0" borderId="6" xfId="0" applyBorder="1" applyProtection="1">
      <protection hidden="1"/>
    </xf>
    <xf numFmtId="0" fontId="62" fillId="48" borderId="0" xfId="68" applyFont="1" applyFill="1" applyBorder="1" applyAlignment="1" applyProtection="1">
      <alignment horizontal="center" vertical="center" readingOrder="2"/>
      <protection hidden="1"/>
    </xf>
    <xf numFmtId="0" fontId="61" fillId="48" borderId="0" xfId="73" applyFont="1" applyFill="1" applyBorder="1" applyAlignment="1">
      <alignment horizontal="left" vertical="center" readingOrder="2"/>
    </xf>
    <xf numFmtId="0" fontId="62" fillId="48" borderId="6" xfId="68" applyFont="1" applyFill="1" applyBorder="1" applyAlignment="1" applyProtection="1">
      <alignment horizontal="center" vertical="center" readingOrder="2"/>
      <protection hidden="1"/>
    </xf>
    <xf numFmtId="0" fontId="7" fillId="0" borderId="497" xfId="64" applyFont="1" applyFill="1" applyBorder="1" applyAlignment="1">
      <alignment horizontal="right" vertical="center" readingOrder="2"/>
    </xf>
    <xf numFmtId="0" fontId="57" fillId="0" borderId="497" xfId="64" applyFont="1" applyFill="1" applyBorder="1" applyAlignment="1">
      <alignment horizontal="left" vertical="center" readingOrder="2"/>
    </xf>
    <xf numFmtId="0" fontId="0" fillId="0" borderId="6" xfId="0" applyBorder="1"/>
    <xf numFmtId="0" fontId="0" fillId="0" borderId="0" xfId="0" applyBorder="1" applyAlignment="1"/>
    <xf numFmtId="0" fontId="57" fillId="0" borderId="0" xfId="64" applyFont="1" applyFill="1" applyBorder="1" applyAlignment="1">
      <alignment horizontal="left" vertical="center" readingOrder="2"/>
    </xf>
    <xf numFmtId="0" fontId="320" fillId="48" borderId="0" xfId="68" applyFont="1" applyFill="1" applyBorder="1" applyAlignment="1" applyProtection="1">
      <alignment horizontal="right" vertical="center" readingOrder="2"/>
      <protection hidden="1"/>
    </xf>
    <xf numFmtId="0" fontId="7" fillId="48" borderId="498" xfId="73" applyFont="1" applyFill="1" applyBorder="1" applyAlignment="1" applyProtection="1">
      <alignment vertical="center" readingOrder="2"/>
      <protection hidden="1"/>
    </xf>
    <xf numFmtId="0" fontId="2" fillId="0" borderId="497" xfId="73" applyFont="1" applyFill="1" applyBorder="1" applyAlignment="1">
      <alignment horizontal="right" vertical="center"/>
    </xf>
    <xf numFmtId="0" fontId="323" fillId="48" borderId="0" xfId="0" applyFont="1" applyFill="1" applyBorder="1" applyAlignment="1">
      <alignment horizontal="left"/>
    </xf>
    <xf numFmtId="0" fontId="2" fillId="48" borderId="0" xfId="73" applyFont="1" applyFill="1" applyBorder="1" applyAlignment="1">
      <alignment horizontal="right" vertical="center"/>
    </xf>
    <xf numFmtId="0" fontId="371" fillId="48" borderId="0" xfId="0" applyFont="1" applyFill="1" applyBorder="1" applyAlignment="1">
      <alignment horizontal="left"/>
    </xf>
    <xf numFmtId="0" fontId="2" fillId="0" borderId="0" xfId="76" applyFont="1" applyFill="1" applyBorder="1" applyAlignment="1">
      <alignment horizontal="left"/>
    </xf>
    <xf numFmtId="0" fontId="181" fillId="48" borderId="0" xfId="73" applyFont="1" applyFill="1" applyBorder="1" applyAlignment="1">
      <alignment horizontal="left" vertical="center"/>
    </xf>
    <xf numFmtId="0" fontId="7" fillId="48" borderId="0" xfId="73" applyFont="1" applyFill="1" applyBorder="1" applyAlignment="1">
      <alignment horizontal="right" vertical="center" readingOrder="2"/>
    </xf>
    <xf numFmtId="0" fontId="61" fillId="51" borderId="497" xfId="73" applyFont="1" applyFill="1" applyBorder="1" applyAlignment="1">
      <alignment horizontal="right" vertical="center" readingOrder="2"/>
    </xf>
    <xf numFmtId="0" fontId="2" fillId="51" borderId="0" xfId="73" applyFont="1" applyFill="1" applyBorder="1" applyAlignment="1">
      <alignment horizontal="center" vertical="center"/>
    </xf>
    <xf numFmtId="0" fontId="61" fillId="51" borderId="497" xfId="73" applyFont="1" applyFill="1" applyBorder="1" applyAlignment="1">
      <alignment horizontal="left" vertical="center" readingOrder="2"/>
    </xf>
    <xf numFmtId="0" fontId="7" fillId="51" borderId="0" xfId="73" applyFont="1" applyFill="1" applyBorder="1" applyAlignment="1" applyProtection="1">
      <alignment horizontal="center" vertical="center" readingOrder="2"/>
      <protection hidden="1"/>
    </xf>
    <xf numFmtId="0" fontId="7" fillId="51" borderId="0" xfId="73" applyFont="1" applyFill="1" applyBorder="1" applyAlignment="1" applyProtection="1">
      <alignment horizontal="right" vertical="center" readingOrder="2"/>
      <protection hidden="1"/>
    </xf>
    <xf numFmtId="0" fontId="116" fillId="51" borderId="0" xfId="73" applyFont="1" applyFill="1" applyBorder="1" applyAlignment="1" applyProtection="1">
      <alignment horizontal="right" vertical="center" readingOrder="2"/>
      <protection hidden="1"/>
    </xf>
    <xf numFmtId="0" fontId="1" fillId="51" borderId="0" xfId="76" applyFill="1" applyBorder="1" applyProtection="1">
      <protection hidden="1"/>
    </xf>
    <xf numFmtId="0" fontId="61" fillId="51" borderId="0" xfId="73" applyFont="1" applyFill="1" applyBorder="1" applyAlignment="1" applyProtection="1">
      <alignment horizontal="left" vertical="center" readingOrder="2"/>
      <protection hidden="1"/>
    </xf>
    <xf numFmtId="0" fontId="2" fillId="51" borderId="498" xfId="73" applyFont="1" applyFill="1" applyBorder="1" applyAlignment="1">
      <alignment horizontal="center" vertical="center"/>
    </xf>
    <xf numFmtId="3" fontId="317" fillId="26" borderId="0" xfId="64" applyNumberFormat="1" applyFont="1" applyFill="1" applyBorder="1" applyAlignment="1" applyProtection="1">
      <alignment horizontal="center" vertical="center" wrapText="1" readingOrder="1"/>
    </xf>
    <xf numFmtId="0" fontId="57" fillId="48" borderId="0" xfId="73" applyFont="1" applyFill="1" applyBorder="1" applyAlignment="1">
      <alignment horizontal="left" vertical="center" readingOrder="2"/>
    </xf>
    <xf numFmtId="0" fontId="368" fillId="48" borderId="0" xfId="68" applyFont="1" applyFill="1" applyBorder="1" applyAlignment="1" applyProtection="1">
      <alignment horizontal="right" vertical="center" readingOrder="2"/>
      <protection hidden="1"/>
    </xf>
    <xf numFmtId="0" fontId="369" fillId="48" borderId="0" xfId="0" applyFont="1" applyFill="1" applyAlignment="1" applyProtection="1">
      <alignment horizontal="right"/>
      <protection hidden="1"/>
    </xf>
    <xf numFmtId="0" fontId="0" fillId="48" borderId="0" xfId="0" applyFill="1" applyProtection="1">
      <protection hidden="1"/>
    </xf>
    <xf numFmtId="0" fontId="7" fillId="51" borderId="497" xfId="73" applyFont="1" applyFill="1" applyBorder="1" applyAlignment="1">
      <alignment horizontal="right" vertical="center" readingOrder="2"/>
    </xf>
    <xf numFmtId="0" fontId="62" fillId="51" borderId="0" xfId="68" applyFont="1" applyFill="1" applyBorder="1" applyAlignment="1" applyProtection="1">
      <alignment horizontal="center" vertical="center" readingOrder="2"/>
    </xf>
    <xf numFmtId="0" fontId="62" fillId="51" borderId="0" xfId="68" applyFont="1" applyFill="1" applyBorder="1" applyAlignment="1" applyProtection="1">
      <alignment horizontal="center" vertical="center" readingOrder="2"/>
      <protection hidden="1"/>
    </xf>
    <xf numFmtId="0" fontId="61" fillId="51" borderId="0" xfId="68" applyFont="1" applyFill="1" applyBorder="1" applyAlignment="1" applyProtection="1">
      <alignment horizontal="left" vertical="center" readingOrder="2"/>
      <protection hidden="1"/>
    </xf>
    <xf numFmtId="0" fontId="7" fillId="51" borderId="498" xfId="73" applyFont="1" applyFill="1" applyBorder="1" applyAlignment="1">
      <alignment vertical="center" readingOrder="2"/>
    </xf>
    <xf numFmtId="0" fontId="0" fillId="51" borderId="0" xfId="0" applyFill="1" applyProtection="1"/>
    <xf numFmtId="0" fontId="323" fillId="48" borderId="0" xfId="0" applyFont="1" applyFill="1" applyAlignment="1">
      <alignment horizontal="left" vertical="center"/>
    </xf>
    <xf numFmtId="0" fontId="62" fillId="49" borderId="0" xfId="68" applyFont="1" applyFill="1" applyBorder="1" applyAlignment="1" applyProtection="1">
      <alignment horizontal="center" vertical="center" readingOrder="2"/>
    </xf>
    <xf numFmtId="0" fontId="57" fillId="49" borderId="0" xfId="73" applyFont="1" applyFill="1" applyBorder="1" applyAlignment="1">
      <alignment horizontal="left" vertical="center" readingOrder="2"/>
    </xf>
    <xf numFmtId="0" fontId="0" fillId="49" borderId="0" xfId="0" applyFill="1"/>
    <xf numFmtId="0" fontId="374" fillId="49" borderId="0" xfId="76" applyFont="1" applyFill="1" applyBorder="1" applyAlignment="1">
      <alignment horizontal="left"/>
    </xf>
    <xf numFmtId="0" fontId="374" fillId="48" borderId="0" xfId="76" applyFont="1" applyFill="1" applyBorder="1" applyAlignment="1">
      <alignment horizontal="left"/>
    </xf>
    <xf numFmtId="0" fontId="376" fillId="48" borderId="0" xfId="0" applyFont="1" applyFill="1" applyAlignment="1" applyProtection="1">
      <protection hidden="1"/>
    </xf>
    <xf numFmtId="0" fontId="62" fillId="57" borderId="497" xfId="68" applyFont="1" applyFill="1" applyBorder="1" applyAlignment="1" applyProtection="1">
      <alignment horizontal="center" vertical="center" readingOrder="2"/>
    </xf>
    <xf numFmtId="0" fontId="62" fillId="57" borderId="0" xfId="68" applyFont="1" applyFill="1" applyBorder="1" applyAlignment="1" applyProtection="1">
      <alignment horizontal="center" vertical="center" readingOrder="2"/>
    </xf>
    <xf numFmtId="0" fontId="57" fillId="57" borderId="0" xfId="73" applyFont="1" applyFill="1" applyBorder="1" applyAlignment="1">
      <alignment horizontal="left" vertical="center" readingOrder="2"/>
    </xf>
    <xf numFmtId="0" fontId="373" fillId="57" borderId="0" xfId="0" applyFont="1" applyFill="1" applyProtection="1">
      <protection hidden="1"/>
    </xf>
    <xf numFmtId="0" fontId="58" fillId="48" borderId="119" xfId="73" applyFont="1" applyFill="1" applyBorder="1" applyAlignment="1" applyProtection="1">
      <alignment horizontal="center" vertical="center" readingOrder="2"/>
      <protection locked="0"/>
    </xf>
    <xf numFmtId="0" fontId="62" fillId="57" borderId="0" xfId="68" applyFont="1" applyFill="1" applyBorder="1" applyAlignment="1" applyProtection="1">
      <alignment horizontal="center" vertical="center" readingOrder="2"/>
      <protection hidden="1"/>
    </xf>
    <xf numFmtId="0" fontId="7" fillId="57" borderId="498" xfId="73" applyFont="1" applyFill="1" applyBorder="1" applyAlignment="1">
      <alignment vertical="center" readingOrder="2"/>
    </xf>
    <xf numFmtId="0" fontId="2" fillId="48" borderId="506" xfId="73" applyFont="1" applyFill="1" applyBorder="1" applyAlignment="1">
      <alignment horizontal="center" vertical="center"/>
    </xf>
    <xf numFmtId="0" fontId="2" fillId="0" borderId="505" xfId="73" applyFont="1" applyFill="1" applyBorder="1" applyAlignment="1">
      <alignment horizontal="center"/>
    </xf>
    <xf numFmtId="0" fontId="2" fillId="0" borderId="499" xfId="73" applyFont="1" applyFill="1" applyBorder="1" applyAlignment="1">
      <alignment horizontal="center"/>
    </xf>
    <xf numFmtId="0" fontId="2" fillId="0" borderId="500" xfId="73" applyFont="1" applyFill="1" applyBorder="1" applyAlignment="1">
      <alignment horizontal="center"/>
    </xf>
    <xf numFmtId="0" fontId="2" fillId="0" borderId="501" xfId="73" applyFont="1" applyFill="1" applyBorder="1" applyAlignment="1">
      <alignment horizontal="center"/>
    </xf>
    <xf numFmtId="0" fontId="2" fillId="0" borderId="517" xfId="73" applyFont="1" applyFill="1" applyBorder="1" applyAlignment="1">
      <alignment horizontal="center"/>
    </xf>
    <xf numFmtId="0" fontId="2" fillId="0" borderId="518" xfId="73" applyFont="1" applyFill="1" applyBorder="1" applyAlignment="1">
      <alignment horizontal="center"/>
    </xf>
    <xf numFmtId="0" fontId="378" fillId="52" borderId="0" xfId="73" applyFont="1" applyFill="1" applyBorder="1" applyAlignment="1"/>
    <xf numFmtId="0" fontId="2" fillId="52" borderId="0" xfId="73" applyFont="1" applyFill="1" applyBorder="1" applyAlignment="1"/>
    <xf numFmtId="0" fontId="7" fillId="48" borderId="70" xfId="73" applyFont="1" applyFill="1" applyBorder="1" applyAlignment="1">
      <alignment horizontal="right" vertical="center" readingOrder="2"/>
    </xf>
    <xf numFmtId="0" fontId="7" fillId="48" borderId="0" xfId="73" applyFont="1" applyFill="1" applyBorder="1" applyAlignment="1">
      <alignment vertical="center" readingOrder="2"/>
    </xf>
    <xf numFmtId="0" fontId="7" fillId="48" borderId="0" xfId="73" applyFont="1" applyFill="1" applyBorder="1" applyAlignment="1">
      <alignment vertical="center"/>
    </xf>
    <xf numFmtId="0" fontId="7" fillId="48" borderId="0" xfId="73" applyFont="1" applyFill="1" applyBorder="1" applyAlignment="1" applyProtection="1">
      <alignment vertical="center"/>
      <protection hidden="1"/>
    </xf>
    <xf numFmtId="0" fontId="2" fillId="48" borderId="0" xfId="76" applyFont="1" applyFill="1" applyBorder="1" applyAlignment="1" applyProtection="1">
      <alignment horizontal="left"/>
      <protection hidden="1"/>
    </xf>
    <xf numFmtId="0" fontId="1" fillId="48" borderId="70" xfId="70" applyFill="1" applyBorder="1" applyAlignment="1">
      <alignment vertical="center"/>
    </xf>
    <xf numFmtId="0" fontId="1" fillId="48" borderId="0" xfId="77" applyFill="1" applyBorder="1" applyAlignment="1">
      <alignment vertical="center"/>
    </xf>
    <xf numFmtId="0" fontId="2" fillId="48" borderId="0" xfId="77" applyFont="1" applyFill="1" applyBorder="1" applyAlignment="1">
      <alignment vertical="center"/>
    </xf>
    <xf numFmtId="0" fontId="2" fillId="48" borderId="0" xfId="77" applyFont="1" applyFill="1" applyBorder="1" applyAlignment="1">
      <alignment vertical="center" readingOrder="1"/>
    </xf>
    <xf numFmtId="0" fontId="58" fillId="48" borderId="0" xfId="77" applyFont="1" applyFill="1" applyBorder="1" applyAlignment="1">
      <alignment horizontal="center" vertical="center" readingOrder="1"/>
    </xf>
    <xf numFmtId="0" fontId="2" fillId="48" borderId="0" xfId="77" applyFont="1" applyFill="1" applyBorder="1" applyAlignment="1" applyProtection="1">
      <alignment vertical="center" readingOrder="1"/>
      <protection hidden="1"/>
    </xf>
    <xf numFmtId="0" fontId="7" fillId="48" borderId="0" xfId="73" applyFont="1" applyFill="1" applyBorder="1" applyAlignment="1">
      <alignment horizontal="left" vertical="center" readingOrder="2"/>
    </xf>
    <xf numFmtId="0" fontId="7" fillId="48" borderId="0" xfId="73" applyFont="1" applyFill="1" applyBorder="1" applyAlignment="1" applyProtection="1">
      <alignment horizontal="right" vertical="center" readingOrder="2"/>
      <protection hidden="1"/>
    </xf>
    <xf numFmtId="0" fontId="7" fillId="48" borderId="0" xfId="73" applyFont="1" applyFill="1" applyBorder="1" applyAlignment="1" applyProtection="1">
      <alignment horizontal="left" vertical="center" readingOrder="2"/>
      <protection hidden="1"/>
    </xf>
    <xf numFmtId="0" fontId="2" fillId="48" borderId="70" xfId="73" applyFont="1" applyFill="1" applyBorder="1" applyAlignment="1">
      <alignment vertical="center"/>
    </xf>
    <xf numFmtId="0" fontId="2" fillId="48" borderId="0" xfId="73" applyFont="1" applyFill="1" applyBorder="1" applyAlignment="1">
      <alignment vertical="center"/>
    </xf>
    <xf numFmtId="0" fontId="2" fillId="48" borderId="0" xfId="73" applyFont="1" applyFill="1" applyBorder="1" applyAlignment="1" applyProtection="1">
      <alignment vertical="center"/>
      <protection hidden="1"/>
    </xf>
    <xf numFmtId="0" fontId="2" fillId="48" borderId="0" xfId="73" applyFont="1" applyFill="1" applyBorder="1" applyAlignment="1">
      <alignment horizontal="center" vertical="center"/>
    </xf>
    <xf numFmtId="0" fontId="2" fillId="48" borderId="0" xfId="76" applyFont="1" applyFill="1" applyBorder="1" applyAlignment="1">
      <alignment horizontal="left"/>
    </xf>
    <xf numFmtId="0" fontId="1" fillId="48" borderId="0" xfId="76" applyFill="1" applyBorder="1"/>
    <xf numFmtId="0" fontId="1" fillId="48" borderId="0" xfId="76" applyFill="1" applyBorder="1" applyProtection="1">
      <protection hidden="1"/>
    </xf>
    <xf numFmtId="0" fontId="58" fillId="48" borderId="0" xfId="73" applyFont="1" applyFill="1" applyBorder="1" applyAlignment="1" applyProtection="1">
      <alignment horizontal="center" vertical="center"/>
      <protection locked="0"/>
    </xf>
    <xf numFmtId="0" fontId="58" fillId="48" borderId="0" xfId="73" applyFont="1" applyFill="1" applyBorder="1" applyAlignment="1" applyProtection="1">
      <alignment vertical="center"/>
      <protection locked="0"/>
    </xf>
    <xf numFmtId="0" fontId="235" fillId="48" borderId="0" xfId="73" applyFont="1" applyFill="1" applyBorder="1" applyAlignment="1" applyProtection="1">
      <alignment vertical="center"/>
      <protection hidden="1"/>
    </xf>
    <xf numFmtId="0" fontId="58" fillId="48" borderId="0" xfId="73" applyFont="1" applyFill="1" applyBorder="1" applyAlignment="1" applyProtection="1">
      <alignment horizontal="center" vertical="center"/>
      <protection locked="0"/>
    </xf>
    <xf numFmtId="0" fontId="58" fillId="26" borderId="0" xfId="73" applyFont="1" applyFill="1" applyBorder="1" applyAlignment="1" applyProtection="1">
      <alignment horizontal="left" vertical="center" readingOrder="2"/>
      <protection locked="0"/>
    </xf>
    <xf numFmtId="0" fontId="55" fillId="48" borderId="0" xfId="73" applyFont="1" applyFill="1" applyBorder="1" applyAlignment="1">
      <alignment horizontal="center" vertical="center" readingOrder="2"/>
    </xf>
    <xf numFmtId="0" fontId="116" fillId="48" borderId="0" xfId="73" applyFont="1" applyFill="1" applyBorder="1" applyAlignment="1" applyProtection="1">
      <alignment horizontal="right" vertical="center" readingOrder="2"/>
      <protection hidden="1"/>
    </xf>
    <xf numFmtId="0" fontId="116" fillId="48" borderId="0" xfId="73" applyFont="1" applyFill="1" applyBorder="1" applyAlignment="1">
      <alignment horizontal="right" vertical="center" readingOrder="2"/>
    </xf>
    <xf numFmtId="0" fontId="58" fillId="48" borderId="0" xfId="73" applyFont="1" applyFill="1" applyBorder="1" applyAlignment="1">
      <alignment vertical="center" readingOrder="2"/>
    </xf>
    <xf numFmtId="0" fontId="58" fillId="48" borderId="0" xfId="73" applyFont="1" applyFill="1" applyBorder="1" applyAlignment="1" applyProtection="1">
      <alignment vertical="center" readingOrder="2"/>
      <protection hidden="1"/>
    </xf>
    <xf numFmtId="0" fontId="2" fillId="48" borderId="70" xfId="73" applyFont="1" applyFill="1" applyBorder="1" applyAlignment="1">
      <alignment horizontal="center" vertical="center"/>
    </xf>
    <xf numFmtId="0" fontId="55" fillId="48" borderId="0" xfId="73" applyFont="1" applyFill="1" applyBorder="1" applyAlignment="1">
      <alignment horizontal="left" vertical="center" readingOrder="2"/>
    </xf>
    <xf numFmtId="0" fontId="58" fillId="48" borderId="0" xfId="73" applyFont="1" applyFill="1" applyBorder="1" applyAlignment="1">
      <alignment horizontal="right" vertical="center" readingOrder="2"/>
    </xf>
    <xf numFmtId="0" fontId="7" fillId="48" borderId="0" xfId="73" applyFont="1" applyFill="1" applyBorder="1" applyAlignment="1" applyProtection="1">
      <alignment horizontal="center" vertical="center" readingOrder="2"/>
      <protection hidden="1"/>
    </xf>
    <xf numFmtId="0" fontId="87" fillId="48" borderId="0" xfId="73" applyFont="1" applyFill="1" applyBorder="1" applyAlignment="1">
      <alignment horizontal="right" vertical="center" readingOrder="2"/>
    </xf>
    <xf numFmtId="0" fontId="58" fillId="48" borderId="0" xfId="73" applyFont="1" applyFill="1" applyBorder="1" applyAlignment="1">
      <alignment horizontal="center" vertical="center" readingOrder="2"/>
    </xf>
    <xf numFmtId="0" fontId="173" fillId="48" borderId="0" xfId="73" applyFont="1" applyFill="1" applyBorder="1" applyAlignment="1">
      <alignment horizontal="center" vertical="center" readingOrder="2"/>
    </xf>
    <xf numFmtId="0" fontId="229" fillId="48" borderId="0" xfId="73" applyFont="1" applyFill="1" applyBorder="1"/>
    <xf numFmtId="0" fontId="58" fillId="48" borderId="0" xfId="73" applyFont="1" applyFill="1" applyBorder="1" applyAlignment="1" applyProtection="1">
      <alignment horizontal="left" vertical="center" readingOrder="2"/>
      <protection locked="0"/>
    </xf>
    <xf numFmtId="0" fontId="233" fillId="48" borderId="0" xfId="0" applyFont="1" applyFill="1" applyBorder="1" applyAlignment="1" applyProtection="1">
      <alignment vertical="center"/>
      <protection hidden="1"/>
    </xf>
    <xf numFmtId="0" fontId="1" fillId="51" borderId="0" xfId="73" applyFill="1" applyBorder="1" applyAlignment="1"/>
    <xf numFmtId="0" fontId="326" fillId="51" borderId="70" xfId="64" applyFont="1" applyFill="1" applyBorder="1" applyAlignment="1">
      <alignment horizontal="right" vertical="center" readingOrder="2"/>
    </xf>
    <xf numFmtId="0" fontId="58" fillId="51" borderId="0" xfId="73" applyFont="1" applyFill="1" applyBorder="1" applyAlignment="1" applyProtection="1">
      <alignment horizontal="left" vertical="center" readingOrder="2"/>
      <protection locked="0"/>
    </xf>
    <xf numFmtId="0" fontId="7" fillId="51" borderId="0" xfId="73" applyFont="1" applyFill="1" applyBorder="1" applyAlignment="1">
      <alignment horizontal="center" vertical="center" readingOrder="2"/>
    </xf>
    <xf numFmtId="0" fontId="55" fillId="48" borderId="0" xfId="73" applyFont="1" applyFill="1" applyBorder="1" applyAlignment="1">
      <alignment horizontal="right" vertical="center" readingOrder="2"/>
    </xf>
    <xf numFmtId="0" fontId="2" fillId="48" borderId="0" xfId="73" applyFont="1" applyFill="1" applyBorder="1" applyAlignment="1">
      <alignment horizontal="right" vertical="center" readingOrder="2"/>
    </xf>
    <xf numFmtId="0" fontId="1" fillId="48" borderId="0" xfId="73" applyFill="1" applyBorder="1" applyAlignment="1">
      <alignment vertical="center"/>
    </xf>
    <xf numFmtId="0" fontId="58" fillId="48" borderId="0" xfId="73" applyFont="1" applyFill="1" applyBorder="1" applyAlignment="1">
      <alignment horizontal="center" vertical="center"/>
    </xf>
    <xf numFmtId="0" fontId="7" fillId="48" borderId="0" xfId="64" applyFont="1" applyFill="1" applyBorder="1" applyAlignment="1">
      <alignment horizontal="left" vertical="center" readingOrder="2"/>
    </xf>
    <xf numFmtId="0" fontId="2" fillId="0" borderId="497" xfId="73" applyFont="1" applyFill="1" applyBorder="1" applyAlignment="1">
      <alignment horizontal="right" vertical="center" readingOrder="2"/>
    </xf>
    <xf numFmtId="0" fontId="7" fillId="0" borderId="497" xfId="68" applyFont="1" applyFill="1" applyBorder="1" applyAlignment="1" applyProtection="1">
      <alignment horizontal="right" vertical="center" readingOrder="2"/>
    </xf>
    <xf numFmtId="0" fontId="2" fillId="0" borderId="497" xfId="68" applyFont="1" applyFill="1" applyBorder="1" applyAlignment="1" applyProtection="1">
      <alignment horizontal="left" vertical="center"/>
    </xf>
    <xf numFmtId="0" fontId="7" fillId="48" borderId="497" xfId="73" applyFont="1" applyFill="1" applyBorder="1" applyAlignment="1">
      <alignment horizontal="right" vertical="center" readingOrder="2"/>
    </xf>
    <xf numFmtId="0" fontId="7" fillId="0" borderId="497" xfId="71" applyFont="1" applyFill="1" applyBorder="1" applyAlignment="1">
      <alignment horizontal="right" vertical="center" readingOrder="2"/>
    </xf>
    <xf numFmtId="0" fontId="2" fillId="0" borderId="497" xfId="73" applyFont="1" applyFill="1" applyBorder="1" applyAlignment="1">
      <alignment horizontal="left" vertical="center"/>
    </xf>
    <xf numFmtId="0" fontId="1" fillId="0" borderId="497" xfId="73" applyFont="1" applyBorder="1" applyAlignment="1">
      <alignment vertical="center"/>
    </xf>
    <xf numFmtId="0" fontId="1" fillId="0" borderId="497" xfId="73" applyBorder="1" applyAlignment="1">
      <alignment vertical="center"/>
    </xf>
    <xf numFmtId="0" fontId="7" fillId="48" borderId="497" xfId="70" applyFont="1" applyFill="1" applyBorder="1" applyAlignment="1">
      <alignment horizontal="right" vertical="center" readingOrder="2"/>
    </xf>
    <xf numFmtId="0" fontId="7" fillId="48" borderId="497" xfId="68" applyFont="1" applyFill="1" applyBorder="1" applyAlignment="1" applyProtection="1">
      <alignment horizontal="right" vertical="center" readingOrder="2"/>
    </xf>
    <xf numFmtId="0" fontId="263" fillId="48" borderId="0" xfId="0" applyFont="1" applyFill="1" applyBorder="1" applyProtection="1">
      <protection hidden="1"/>
    </xf>
    <xf numFmtId="0" fontId="0" fillId="0" borderId="70" xfId="0" applyBorder="1"/>
    <xf numFmtId="0" fontId="1" fillId="48" borderId="0" xfId="73" applyFill="1" applyBorder="1" applyProtection="1">
      <protection hidden="1"/>
    </xf>
    <xf numFmtId="0" fontId="7" fillId="48" borderId="0" xfId="64" applyFont="1" applyFill="1" applyBorder="1" applyAlignment="1" applyProtection="1">
      <alignment horizontal="right" vertical="center" readingOrder="2"/>
      <protection hidden="1"/>
    </xf>
    <xf numFmtId="0" fontId="0" fillId="48" borderId="0" xfId="0" applyFill="1" applyBorder="1" applyProtection="1">
      <protection hidden="1"/>
    </xf>
    <xf numFmtId="0" fontId="229" fillId="48" borderId="0" xfId="70" applyFont="1" applyFill="1" applyBorder="1" applyAlignment="1" applyProtection="1">
      <alignment horizontal="right" vertical="center"/>
      <protection hidden="1"/>
    </xf>
    <xf numFmtId="0" fontId="7" fillId="48" borderId="0" xfId="64" applyFont="1" applyFill="1" applyBorder="1" applyAlignment="1" applyProtection="1">
      <alignment horizontal="left" vertical="center" readingOrder="2"/>
      <protection hidden="1"/>
    </xf>
    <xf numFmtId="0" fontId="7" fillId="48" borderId="0" xfId="68" applyFont="1" applyFill="1" applyBorder="1" applyAlignment="1" applyProtection="1">
      <alignment horizontal="left" vertical="center" readingOrder="2"/>
      <protection hidden="1"/>
    </xf>
    <xf numFmtId="0" fontId="87" fillId="48" borderId="0" xfId="73" applyFont="1" applyFill="1" applyBorder="1" applyAlignment="1" applyProtection="1">
      <alignment horizontal="right" vertical="center" readingOrder="2"/>
      <protection hidden="1"/>
    </xf>
    <xf numFmtId="0" fontId="2" fillId="48" borderId="164" xfId="73" applyFont="1" applyFill="1" applyBorder="1" applyAlignment="1" applyProtection="1">
      <alignment horizontal="center"/>
      <protection hidden="1"/>
    </xf>
    <xf numFmtId="0" fontId="2" fillId="48" borderId="41" xfId="73" applyFont="1" applyFill="1" applyBorder="1" applyAlignment="1" applyProtection="1">
      <alignment horizontal="center"/>
      <protection hidden="1"/>
    </xf>
    <xf numFmtId="0" fontId="2" fillId="48" borderId="216" xfId="73" applyFont="1" applyFill="1" applyBorder="1" applyAlignment="1" applyProtection="1">
      <alignment horizontal="center"/>
      <protection hidden="1"/>
    </xf>
    <xf numFmtId="0" fontId="198" fillId="48" borderId="0" xfId="73" applyFont="1" applyFill="1" applyBorder="1" applyAlignment="1" applyProtection="1">
      <alignment vertical="center"/>
    </xf>
    <xf numFmtId="0" fontId="0" fillId="0" borderId="43" xfId="0" applyBorder="1"/>
    <xf numFmtId="0" fontId="207" fillId="26" borderId="314" xfId="73" applyFont="1" applyFill="1" applyBorder="1" applyAlignment="1" applyProtection="1">
      <alignment vertical="center"/>
      <protection locked="0"/>
    </xf>
    <xf numFmtId="0" fontId="379" fillId="48" borderId="0" xfId="0" applyFont="1" applyFill="1" applyBorder="1"/>
    <xf numFmtId="0" fontId="0" fillId="54" borderId="70" xfId="0" applyFill="1" applyBorder="1"/>
    <xf numFmtId="0" fontId="2" fillId="54" borderId="0" xfId="73" applyFont="1" applyFill="1" applyBorder="1" applyAlignment="1">
      <alignment horizontal="center" vertical="center"/>
    </xf>
    <xf numFmtId="0" fontId="7" fillId="54" borderId="0" xfId="73" applyFont="1" applyFill="1" applyBorder="1" applyAlignment="1">
      <alignment horizontal="center" vertical="center" readingOrder="2"/>
    </xf>
    <xf numFmtId="0" fontId="0" fillId="54" borderId="0" xfId="0" applyFill="1" applyBorder="1"/>
    <xf numFmtId="0" fontId="7" fillId="54" borderId="0" xfId="73" applyFont="1" applyFill="1" applyBorder="1" applyAlignment="1">
      <alignment horizontal="right" vertical="center" readingOrder="2"/>
    </xf>
    <xf numFmtId="0" fontId="1" fillId="54" borderId="0" xfId="76" applyFill="1" applyBorder="1" applyProtection="1">
      <protection hidden="1"/>
    </xf>
    <xf numFmtId="0" fontId="1" fillId="54" borderId="0" xfId="76" applyFill="1" applyBorder="1"/>
    <xf numFmtId="0" fontId="7" fillId="54" borderId="43" xfId="70" applyFont="1" applyFill="1" applyBorder="1" applyAlignment="1">
      <alignment vertical="center" readingOrder="2"/>
    </xf>
    <xf numFmtId="0" fontId="181" fillId="0" borderId="0" xfId="73" applyFont="1" applyFill="1" applyBorder="1" applyAlignment="1">
      <alignment horizontal="left" vertical="center" readingOrder="2"/>
    </xf>
    <xf numFmtId="0" fontId="181" fillId="48" borderId="0" xfId="77" applyFont="1" applyFill="1" applyBorder="1" applyAlignment="1" applyProtection="1">
      <alignment vertical="center"/>
      <protection hidden="1"/>
    </xf>
    <xf numFmtId="0" fontId="181" fillId="0" borderId="0" xfId="73" applyFont="1" applyFill="1" applyBorder="1" applyAlignment="1">
      <alignment horizontal="left" vertical="center"/>
    </xf>
    <xf numFmtId="0" fontId="181" fillId="48" borderId="0" xfId="73" applyFont="1" applyFill="1" applyBorder="1" applyAlignment="1" applyProtection="1">
      <alignment vertical="center"/>
      <protection hidden="1"/>
    </xf>
    <xf numFmtId="0" fontId="58" fillId="26" borderId="244" xfId="73" applyFont="1" applyFill="1" applyBorder="1" applyAlignment="1" applyProtection="1">
      <alignment horizontal="center" vertical="center" readingOrder="2"/>
      <protection locked="0"/>
    </xf>
    <xf numFmtId="0" fontId="7" fillId="48" borderId="497" xfId="73" applyFont="1" applyFill="1" applyBorder="1" applyAlignment="1" applyProtection="1">
      <alignment horizontal="right" vertical="center" readingOrder="2"/>
      <protection hidden="1"/>
    </xf>
    <xf numFmtId="0" fontId="57" fillId="0" borderId="70" xfId="73" applyFont="1" applyFill="1" applyBorder="1" applyAlignment="1">
      <alignment horizontal="right" vertical="center" readingOrder="2"/>
    </xf>
    <xf numFmtId="0" fontId="57" fillId="0" borderId="120" xfId="70" applyFont="1" applyFill="1" applyBorder="1" applyAlignment="1">
      <alignment horizontal="left" vertical="center" readingOrder="2"/>
    </xf>
    <xf numFmtId="0" fontId="181" fillId="0" borderId="0" xfId="70" applyFont="1" applyFill="1" applyBorder="1" applyAlignment="1">
      <alignment vertical="center" readingOrder="1"/>
    </xf>
    <xf numFmtId="0" fontId="57" fillId="0" borderId="122" xfId="70" applyFont="1" applyFill="1" applyBorder="1" applyAlignment="1" applyProtection="1">
      <alignment horizontal="left" vertical="center" readingOrder="2"/>
      <protection hidden="1"/>
    </xf>
    <xf numFmtId="0" fontId="181" fillId="48" borderId="0" xfId="77" applyFont="1" applyFill="1" applyBorder="1" applyAlignment="1">
      <alignment vertical="center" readingOrder="1"/>
    </xf>
    <xf numFmtId="0" fontId="57" fillId="0" borderId="0" xfId="70" applyFont="1" applyFill="1" applyBorder="1" applyAlignment="1" applyProtection="1">
      <alignment horizontal="left" vertical="center" readingOrder="2"/>
      <protection hidden="1"/>
    </xf>
    <xf numFmtId="0" fontId="181" fillId="48" borderId="0" xfId="73" applyFont="1" applyFill="1" applyBorder="1" applyAlignment="1">
      <alignment vertical="center"/>
    </xf>
    <xf numFmtId="0" fontId="57" fillId="0" borderId="0" xfId="73" applyFont="1" applyFill="1" applyBorder="1" applyAlignment="1">
      <alignment horizontal="left" readingOrder="2"/>
    </xf>
    <xf numFmtId="0" fontId="313" fillId="0" borderId="0" xfId="0" applyFont="1" applyBorder="1"/>
    <xf numFmtId="0" fontId="57" fillId="0" borderId="0" xfId="73" applyFont="1" applyFill="1" applyBorder="1" applyAlignment="1" applyProtection="1">
      <alignment horizontal="left" readingOrder="2"/>
      <protection hidden="1"/>
    </xf>
    <xf numFmtId="0" fontId="7" fillId="48" borderId="0" xfId="73" applyFont="1" applyFill="1" applyBorder="1" applyAlignment="1">
      <alignment horizontal="center" vertical="center" readingOrder="2"/>
    </xf>
    <xf numFmtId="0" fontId="58" fillId="48" borderId="0" xfId="73" applyFont="1" applyFill="1" applyBorder="1" applyAlignment="1" applyProtection="1">
      <alignment horizontal="center" vertical="center" readingOrder="2"/>
      <protection hidden="1"/>
    </xf>
    <xf numFmtId="0" fontId="7" fillId="48" borderId="43" xfId="73" applyFont="1" applyFill="1" applyBorder="1" applyAlignment="1">
      <alignment vertical="center" readingOrder="2"/>
    </xf>
    <xf numFmtId="0" fontId="7" fillId="48" borderId="0" xfId="70" applyFont="1" applyFill="1" applyBorder="1" applyAlignment="1" applyProtection="1">
      <alignment horizontal="right" vertical="center" readingOrder="2"/>
      <protection hidden="1"/>
    </xf>
    <xf numFmtId="0" fontId="7" fillId="48" borderId="0" xfId="70" applyFont="1" applyFill="1" applyBorder="1" applyAlignment="1">
      <alignment vertical="center" readingOrder="2"/>
    </xf>
    <xf numFmtId="0" fontId="2" fillId="0" borderId="522" xfId="73" applyFont="1" applyFill="1" applyBorder="1" applyAlignment="1" applyProtection="1">
      <alignment vertical="center" readingOrder="2"/>
      <protection locked="0"/>
    </xf>
    <xf numFmtId="0" fontId="2" fillId="51" borderId="0" xfId="73" applyFont="1" applyFill="1" applyBorder="1" applyAlignment="1">
      <alignment vertical="center"/>
    </xf>
    <xf numFmtId="0" fontId="0" fillId="51" borderId="0" xfId="0" applyFill="1"/>
    <xf numFmtId="0" fontId="87" fillId="48" borderId="0" xfId="73" applyFont="1" applyFill="1" applyBorder="1" applyAlignment="1">
      <alignment horizontal="center" vertical="center" readingOrder="2"/>
    </xf>
    <xf numFmtId="49" fontId="7" fillId="48" borderId="0" xfId="73" applyNumberFormat="1" applyFont="1" applyFill="1" applyBorder="1" applyAlignment="1">
      <alignment horizontal="left" vertical="center"/>
    </xf>
    <xf numFmtId="0" fontId="7" fillId="0" borderId="497" xfId="73" applyFont="1" applyFill="1" applyBorder="1" applyAlignment="1">
      <alignment horizontal="left" vertical="center"/>
    </xf>
    <xf numFmtId="0" fontId="7" fillId="0" borderId="498" xfId="73" applyFont="1" applyFill="1" applyBorder="1" applyAlignment="1">
      <alignment vertical="center" readingOrder="2"/>
    </xf>
    <xf numFmtId="0" fontId="1" fillId="0" borderId="498" xfId="73" applyBorder="1" applyAlignment="1">
      <alignment vertical="center"/>
    </xf>
    <xf numFmtId="0" fontId="1" fillId="48" borderId="498" xfId="73" applyFill="1" applyBorder="1" applyAlignment="1">
      <alignment vertical="center"/>
    </xf>
    <xf numFmtId="0" fontId="0" fillId="0" borderId="525" xfId="0" applyBorder="1"/>
    <xf numFmtId="0" fontId="2" fillId="0" borderId="515" xfId="73" applyFont="1" applyFill="1" applyBorder="1" applyAlignment="1">
      <alignment vertical="center" readingOrder="2"/>
    </xf>
    <xf numFmtId="0" fontId="2" fillId="0" borderId="525" xfId="73" applyFont="1" applyFill="1" applyBorder="1" applyAlignment="1">
      <alignment horizontal="center" vertical="center" readingOrder="2"/>
    </xf>
    <xf numFmtId="0" fontId="0" fillId="0" borderId="515" xfId="0" applyBorder="1"/>
    <xf numFmtId="0" fontId="2" fillId="0" borderId="515" xfId="73" applyFont="1" applyFill="1" applyBorder="1" applyAlignment="1">
      <alignment horizontal="right" vertical="center" readingOrder="2"/>
    </xf>
    <xf numFmtId="0" fontId="2" fillId="0" borderId="515" xfId="73" applyFont="1" applyFill="1" applyBorder="1" applyAlignment="1">
      <alignment vertical="center"/>
    </xf>
    <xf numFmtId="0" fontId="1" fillId="0" borderId="515" xfId="73" applyBorder="1" applyAlignment="1">
      <alignment vertical="center"/>
    </xf>
    <xf numFmtId="0" fontId="1" fillId="0" borderId="526" xfId="73" applyBorder="1" applyAlignment="1">
      <alignment vertical="center"/>
    </xf>
    <xf numFmtId="0" fontId="1" fillId="0" borderId="527" xfId="73" applyBorder="1" applyAlignment="1">
      <alignment vertical="center"/>
    </xf>
    <xf numFmtId="0" fontId="58" fillId="0" borderId="527" xfId="73" applyFont="1" applyBorder="1" applyAlignment="1">
      <alignment horizontal="center" vertical="center"/>
    </xf>
    <xf numFmtId="0" fontId="58" fillId="0" borderId="528" xfId="73" applyFont="1" applyBorder="1" applyAlignment="1">
      <alignment horizontal="center" vertical="center"/>
    </xf>
    <xf numFmtId="0" fontId="7" fillId="0" borderId="525" xfId="73" applyFont="1" applyFill="1" applyBorder="1" applyAlignment="1">
      <alignment horizontal="center" vertical="center" readingOrder="2"/>
    </xf>
    <xf numFmtId="0" fontId="0" fillId="0" borderId="516" xfId="0" applyBorder="1"/>
    <xf numFmtId="49" fontId="7" fillId="0" borderId="515" xfId="73" applyNumberFormat="1" applyFont="1" applyFill="1" applyBorder="1" applyAlignment="1">
      <alignment horizontal="right" vertical="center" readingOrder="2"/>
    </xf>
    <xf numFmtId="0" fontId="7" fillId="0" borderId="515" xfId="70" applyFont="1" applyFill="1" applyBorder="1" applyAlignment="1">
      <alignment horizontal="right" vertical="center" readingOrder="2"/>
    </xf>
    <xf numFmtId="0" fontId="7" fillId="48" borderId="526" xfId="73" applyFont="1" applyFill="1" applyBorder="1" applyAlignment="1">
      <alignment horizontal="right" vertical="center" readingOrder="2"/>
    </xf>
    <xf numFmtId="0" fontId="7" fillId="51" borderId="497" xfId="71" applyFont="1" applyFill="1" applyBorder="1" applyAlignment="1">
      <alignment horizontal="right" vertical="center" readingOrder="2"/>
    </xf>
    <xf numFmtId="0" fontId="236" fillId="48" borderId="0" xfId="73" applyFont="1" applyFill="1" applyBorder="1" applyAlignment="1">
      <alignment vertical="center" readingOrder="2"/>
    </xf>
    <xf numFmtId="0" fontId="229" fillId="48" borderId="0" xfId="73" applyFont="1" applyFill="1" applyBorder="1" applyAlignment="1" applyProtection="1">
      <alignment vertical="center" readingOrder="2"/>
      <protection hidden="1"/>
    </xf>
    <xf numFmtId="0" fontId="2" fillId="48" borderId="515" xfId="73" applyFont="1" applyFill="1" applyBorder="1" applyAlignment="1">
      <alignment horizontal="right" vertical="center" readingOrder="2"/>
    </xf>
    <xf numFmtId="0" fontId="2" fillId="0" borderId="525" xfId="73" applyFont="1" applyFill="1" applyBorder="1" applyAlignment="1">
      <alignment horizontal="right" vertical="center" readingOrder="2"/>
    </xf>
    <xf numFmtId="0" fontId="7" fillId="48" borderId="515" xfId="73" applyFont="1" applyFill="1" applyBorder="1" applyAlignment="1">
      <alignment horizontal="right" vertical="center" readingOrder="2"/>
    </xf>
    <xf numFmtId="0" fontId="2" fillId="48" borderId="515" xfId="73" applyFont="1" applyFill="1" applyBorder="1" applyAlignment="1">
      <alignment vertical="center" readingOrder="2"/>
    </xf>
    <xf numFmtId="0" fontId="2" fillId="0" borderId="526" xfId="73" applyFont="1" applyFill="1" applyBorder="1" applyAlignment="1">
      <alignment horizontal="right" vertical="center" readingOrder="2"/>
    </xf>
    <xf numFmtId="0" fontId="2" fillId="0" borderId="527" xfId="73" applyFont="1" applyFill="1" applyBorder="1" applyAlignment="1">
      <alignment horizontal="right" vertical="center" readingOrder="2"/>
    </xf>
    <xf numFmtId="0" fontId="2" fillId="0" borderId="527" xfId="73" applyFont="1" applyFill="1" applyBorder="1" applyAlignment="1">
      <alignment horizontal="center" vertical="center" readingOrder="2"/>
    </xf>
    <xf numFmtId="0" fontId="2" fillId="0" borderId="528" xfId="73" applyFont="1" applyFill="1" applyBorder="1" applyAlignment="1">
      <alignment horizontal="center" vertical="center" readingOrder="2"/>
    </xf>
    <xf numFmtId="49" fontId="7" fillId="0" borderId="516" xfId="73" applyNumberFormat="1" applyFont="1" applyFill="1" applyBorder="1" applyAlignment="1">
      <alignment horizontal="left" vertical="center" readingOrder="2"/>
    </xf>
    <xf numFmtId="0" fontId="7" fillId="48" borderId="525" xfId="73" applyFont="1" applyFill="1" applyBorder="1" applyAlignment="1">
      <alignment horizontal="right" vertical="center" readingOrder="2"/>
    </xf>
    <xf numFmtId="0" fontId="2" fillId="0" borderId="515" xfId="73" applyFont="1" applyFill="1" applyBorder="1" applyAlignment="1">
      <alignment horizontal="left" vertical="center"/>
    </xf>
    <xf numFmtId="0" fontId="1" fillId="0" borderId="515" xfId="73" applyFont="1" applyBorder="1" applyAlignment="1">
      <alignment vertical="center"/>
    </xf>
    <xf numFmtId="0" fontId="0" fillId="0" borderId="526" xfId="0" applyBorder="1"/>
    <xf numFmtId="0" fontId="1" fillId="51" borderId="43" xfId="73" applyFill="1" applyBorder="1" applyAlignment="1"/>
    <xf numFmtId="0" fontId="2" fillId="48" borderId="0" xfId="73" applyFont="1" applyFill="1" applyBorder="1" applyAlignment="1" applyProtection="1"/>
    <xf numFmtId="0" fontId="1" fillId="48" borderId="0" xfId="73" applyFill="1" applyBorder="1" applyAlignment="1"/>
    <xf numFmtId="0" fontId="1" fillId="51" borderId="0" xfId="73" applyFill="1" applyBorder="1"/>
    <xf numFmtId="0" fontId="229" fillId="48" borderId="525" xfId="73" applyFont="1" applyFill="1" applyBorder="1" applyAlignment="1" applyProtection="1">
      <alignment vertical="center" readingOrder="2"/>
      <protection hidden="1"/>
    </xf>
    <xf numFmtId="0" fontId="236" fillId="48" borderId="525" xfId="73" applyFont="1" applyFill="1" applyBorder="1" applyAlignment="1">
      <alignment vertical="center" readingOrder="2"/>
    </xf>
    <xf numFmtId="0" fontId="61" fillId="48" borderId="0" xfId="73" applyFont="1" applyFill="1" applyBorder="1" applyAlignment="1">
      <alignment vertical="center" readingOrder="2"/>
    </xf>
    <xf numFmtId="0" fontId="55" fillId="48" borderId="0" xfId="64" applyFont="1" applyFill="1" applyBorder="1" applyAlignment="1">
      <alignment horizontal="center" vertical="center" readingOrder="2"/>
    </xf>
    <xf numFmtId="0" fontId="57" fillId="48" borderId="0" xfId="72" applyFont="1" applyFill="1" applyBorder="1" applyAlignment="1" applyProtection="1">
      <alignment horizontal="left" vertical="center" readingOrder="2"/>
      <protection hidden="1"/>
    </xf>
    <xf numFmtId="0" fontId="2" fillId="48" borderId="43" xfId="64" applyFont="1" applyFill="1" applyBorder="1" applyAlignment="1">
      <alignment horizontal="center" vertical="center"/>
    </xf>
    <xf numFmtId="0" fontId="7" fillId="48" borderId="70" xfId="64" applyFont="1" applyFill="1" applyBorder="1" applyAlignment="1">
      <alignment horizontal="right" vertical="center" readingOrder="2"/>
    </xf>
    <xf numFmtId="0" fontId="2" fillId="48" borderId="0" xfId="70" applyFont="1" applyFill="1" applyBorder="1" applyAlignment="1">
      <alignment horizontal="left"/>
    </xf>
    <xf numFmtId="0" fontId="7" fillId="48" borderId="43" xfId="73" applyFont="1" applyFill="1" applyBorder="1" applyAlignment="1">
      <alignment horizontal="center" vertical="center" readingOrder="2"/>
    </xf>
    <xf numFmtId="0" fontId="2" fillId="48" borderId="43" xfId="73" applyFont="1" applyFill="1" applyBorder="1" applyAlignment="1">
      <alignment horizontal="center" vertical="center"/>
    </xf>
    <xf numFmtId="0" fontId="0" fillId="57" borderId="0" xfId="0" applyFill="1"/>
    <xf numFmtId="0" fontId="7" fillId="48" borderId="70" xfId="68" applyFont="1" applyFill="1" applyBorder="1" applyAlignment="1" applyProtection="1">
      <alignment horizontal="right" vertical="center" readingOrder="2"/>
      <protection hidden="1"/>
    </xf>
    <xf numFmtId="0" fontId="0" fillId="48" borderId="70" xfId="0" applyFill="1" applyBorder="1"/>
    <xf numFmtId="2" fontId="7" fillId="0" borderId="116" xfId="73" applyNumberFormat="1" applyFont="1" applyFill="1" applyBorder="1" applyAlignment="1">
      <alignment horizontal="right" readingOrder="2"/>
    </xf>
    <xf numFmtId="0" fontId="61" fillId="26" borderId="116" xfId="73" applyFont="1" applyFill="1" applyBorder="1" applyAlignment="1">
      <alignment horizontal="right" readingOrder="2"/>
    </xf>
    <xf numFmtId="0" fontId="7" fillId="0" borderId="516" xfId="70" applyFont="1" applyFill="1" applyBorder="1" applyAlignment="1" applyProtection="1">
      <alignment vertical="center" readingOrder="2"/>
      <protection hidden="1"/>
    </xf>
    <xf numFmtId="0" fontId="2" fillId="0" borderId="515" xfId="70" applyFont="1" applyFill="1" applyBorder="1" applyAlignment="1" applyProtection="1">
      <alignment vertical="center"/>
      <protection hidden="1"/>
    </xf>
    <xf numFmtId="0" fontId="0" fillId="0" borderId="527" xfId="0" applyBorder="1"/>
    <xf numFmtId="0" fontId="326" fillId="48" borderId="527" xfId="68" applyFont="1" applyFill="1" applyBorder="1" applyAlignment="1" applyProtection="1">
      <alignment vertical="center" wrapText="1" readingOrder="2"/>
      <protection hidden="1"/>
    </xf>
    <xf numFmtId="0" fontId="57" fillId="0" borderId="0" xfId="70" applyFont="1" applyFill="1" applyBorder="1" applyAlignment="1">
      <alignment horizontal="left" vertical="center" readingOrder="2"/>
    </xf>
    <xf numFmtId="0" fontId="4" fillId="48" borderId="0" xfId="76" applyFont="1" applyFill="1" applyBorder="1" applyAlignment="1">
      <alignment horizontal="left"/>
    </xf>
    <xf numFmtId="0" fontId="57" fillId="0" borderId="70" xfId="70" applyFont="1" applyFill="1" applyBorder="1" applyAlignment="1">
      <alignment horizontal="right" vertical="center" readingOrder="2"/>
    </xf>
    <xf numFmtId="0" fontId="367" fillId="0" borderId="0" xfId="0" applyFont="1" applyBorder="1"/>
    <xf numFmtId="0" fontId="0" fillId="48" borderId="0" xfId="0" applyFont="1" applyFill="1" applyBorder="1"/>
    <xf numFmtId="0" fontId="57" fillId="48" borderId="0" xfId="73" applyFont="1" applyFill="1" applyBorder="1" applyAlignment="1" applyProtection="1">
      <alignment horizontal="left" vertical="center" readingOrder="2"/>
      <protection hidden="1"/>
    </xf>
    <xf numFmtId="0" fontId="61" fillId="0" borderId="0" xfId="73" applyFont="1" applyFill="1" applyBorder="1" applyAlignment="1">
      <alignment horizontal="left" vertical="center" readingOrder="2"/>
    </xf>
    <xf numFmtId="0" fontId="57" fillId="31" borderId="70" xfId="70" applyFont="1" applyFill="1" applyBorder="1" applyAlignment="1">
      <alignment horizontal="right" vertical="center" readingOrder="2"/>
    </xf>
    <xf numFmtId="0" fontId="57" fillId="51" borderId="0" xfId="70" applyFont="1" applyFill="1" applyBorder="1" applyAlignment="1">
      <alignment horizontal="right" vertical="center" readingOrder="2"/>
    </xf>
    <xf numFmtId="0" fontId="381" fillId="0" borderId="527" xfId="0" applyFont="1" applyBorder="1" applyAlignment="1">
      <alignment horizontal="left" vertical="center"/>
    </xf>
    <xf numFmtId="0" fontId="207" fillId="26" borderId="0" xfId="73" applyFont="1" applyFill="1" applyBorder="1" applyAlignment="1" applyProtection="1">
      <alignment vertical="center"/>
      <protection locked="0"/>
    </xf>
    <xf numFmtId="0" fontId="0" fillId="0" borderId="0" xfId="0" applyBorder="1" applyProtection="1">
      <protection locked="0"/>
    </xf>
    <xf numFmtId="0" fontId="57" fillId="0" borderId="70" xfId="71" applyFont="1" applyFill="1" applyBorder="1" applyAlignment="1">
      <alignment horizontal="right" vertical="center" readingOrder="2"/>
    </xf>
    <xf numFmtId="0" fontId="57" fillId="48" borderId="0" xfId="70" applyFont="1" applyFill="1" applyBorder="1" applyAlignment="1">
      <alignment horizontal="left" vertical="center" readingOrder="2"/>
    </xf>
    <xf numFmtId="0" fontId="57" fillId="51" borderId="0" xfId="73" applyFont="1" applyFill="1" applyBorder="1" applyAlignment="1">
      <alignment horizontal="left" vertical="center" readingOrder="2"/>
    </xf>
    <xf numFmtId="0" fontId="57" fillId="0" borderId="120" xfId="73" applyFont="1" applyFill="1" applyBorder="1" applyAlignment="1">
      <alignment horizontal="left" vertical="center" readingOrder="2"/>
    </xf>
    <xf numFmtId="0" fontId="181" fillId="0" borderId="0" xfId="76" applyFont="1" applyFill="1" applyBorder="1" applyAlignment="1">
      <alignment horizontal="left" vertical="center"/>
    </xf>
    <xf numFmtId="0" fontId="57" fillId="26" borderId="0" xfId="64" applyFont="1" applyFill="1" applyBorder="1" applyAlignment="1">
      <alignment horizontal="left" vertical="center" readingOrder="2"/>
    </xf>
    <xf numFmtId="0" fontId="61" fillId="48" borderId="70" xfId="73" applyFont="1" applyFill="1" applyBorder="1" applyAlignment="1">
      <alignment horizontal="right" vertical="center" readingOrder="2"/>
    </xf>
    <xf numFmtId="0" fontId="57" fillId="51" borderId="497" xfId="73" applyFont="1" applyFill="1" applyBorder="1" applyAlignment="1">
      <alignment horizontal="left" vertical="center" readingOrder="2"/>
    </xf>
    <xf numFmtId="0" fontId="61" fillId="51" borderId="0" xfId="73" applyFont="1" applyFill="1" applyBorder="1" applyAlignment="1">
      <alignment horizontal="left" vertical="center" readingOrder="2"/>
    </xf>
    <xf numFmtId="0" fontId="57" fillId="51" borderId="497" xfId="73" applyFont="1" applyFill="1" applyBorder="1" applyAlignment="1">
      <alignment horizontal="right" vertical="center" readingOrder="2"/>
    </xf>
    <xf numFmtId="0" fontId="57" fillId="48" borderId="313" xfId="73" applyFont="1" applyFill="1" applyBorder="1" applyAlignment="1">
      <alignment horizontal="left" vertical="center" readingOrder="2"/>
    </xf>
    <xf numFmtId="0" fontId="7" fillId="0" borderId="498" xfId="70" applyFont="1" applyFill="1" applyBorder="1" applyAlignment="1">
      <alignment vertical="center" readingOrder="2"/>
    </xf>
    <xf numFmtId="0" fontId="209" fillId="26" borderId="498" xfId="73" applyFont="1" applyFill="1" applyBorder="1" applyAlignment="1">
      <alignment vertical="center"/>
    </xf>
    <xf numFmtId="0" fontId="7" fillId="26" borderId="498" xfId="70" applyFont="1" applyFill="1" applyBorder="1" applyAlignment="1">
      <alignment vertical="center" readingOrder="2"/>
    </xf>
    <xf numFmtId="0" fontId="326" fillId="51" borderId="497" xfId="64" applyFont="1" applyFill="1" applyBorder="1" applyAlignment="1">
      <alignment horizontal="right" vertical="center" readingOrder="2"/>
    </xf>
    <xf numFmtId="0" fontId="1" fillId="31" borderId="498" xfId="73" applyFill="1" applyBorder="1" applyAlignment="1"/>
    <xf numFmtId="0" fontId="2" fillId="48" borderId="497" xfId="73" applyFont="1" applyFill="1" applyBorder="1" applyAlignment="1">
      <alignment horizontal="center" vertical="center"/>
    </xf>
    <xf numFmtId="0" fontId="0" fillId="48" borderId="497" xfId="0" applyFill="1" applyBorder="1" applyProtection="1">
      <protection hidden="1"/>
    </xf>
    <xf numFmtId="0" fontId="2" fillId="0" borderId="0" xfId="76" applyFont="1" applyFill="1" applyBorder="1" applyAlignment="1">
      <alignment vertical="center"/>
    </xf>
    <xf numFmtId="0" fontId="61" fillId="0" borderId="497" xfId="72" applyFont="1" applyFill="1" applyBorder="1" applyAlignment="1">
      <alignment horizontal="right" vertical="center" readingOrder="2"/>
    </xf>
    <xf numFmtId="0" fontId="61" fillId="51" borderId="0" xfId="70" applyFont="1" applyFill="1" applyBorder="1" applyAlignment="1">
      <alignment vertical="center" readingOrder="2"/>
    </xf>
    <xf numFmtId="0" fontId="2" fillId="0" borderId="506" xfId="73" applyFont="1" applyFill="1" applyBorder="1" applyAlignment="1">
      <alignment vertical="center"/>
    </xf>
    <xf numFmtId="0" fontId="0" fillId="48" borderId="497" xfId="0" applyFill="1" applyBorder="1"/>
    <xf numFmtId="0" fontId="2" fillId="48" borderId="498" xfId="73" applyFont="1" applyFill="1" applyBorder="1" applyAlignment="1">
      <alignment horizontal="center" vertical="center"/>
    </xf>
    <xf numFmtId="0" fontId="313" fillId="0" borderId="0" xfId="0" applyFont="1" applyBorder="1" applyAlignment="1">
      <alignment horizontal="left"/>
    </xf>
    <xf numFmtId="0" fontId="58" fillId="48" borderId="336" xfId="73" applyFont="1" applyFill="1" applyBorder="1" applyAlignment="1" applyProtection="1">
      <alignment horizontal="left" vertical="center" readingOrder="2"/>
      <protection locked="0"/>
    </xf>
    <xf numFmtId="0" fontId="0" fillId="51" borderId="498" xfId="0" applyFill="1" applyBorder="1"/>
    <xf numFmtId="0" fontId="367" fillId="0" borderId="0" xfId="0" applyFont="1"/>
    <xf numFmtId="0" fontId="57" fillId="48" borderId="0" xfId="73" applyFont="1" applyFill="1" applyBorder="1" applyAlignment="1">
      <alignment horizontal="right" vertical="center" readingOrder="2"/>
    </xf>
    <xf numFmtId="0" fontId="57" fillId="51" borderId="0" xfId="70" applyFont="1" applyFill="1" applyBorder="1" applyAlignment="1">
      <alignment vertical="center" readingOrder="2"/>
    </xf>
    <xf numFmtId="0" fontId="2" fillId="48" borderId="0" xfId="76" applyFont="1" applyFill="1" applyBorder="1"/>
    <xf numFmtId="0" fontId="2" fillId="50" borderId="0" xfId="73" applyFont="1" applyFill="1" applyBorder="1" applyAlignment="1">
      <alignment horizontal="center" vertical="center"/>
    </xf>
    <xf numFmtId="0" fontId="61" fillId="51" borderId="497" xfId="72" applyFont="1" applyFill="1" applyBorder="1" applyAlignment="1">
      <alignment horizontal="right" vertical="center" readingOrder="2"/>
    </xf>
    <xf numFmtId="0" fontId="7" fillId="51" borderId="0" xfId="72" applyFont="1" applyFill="1" applyBorder="1" applyAlignment="1">
      <alignment horizontal="right" vertical="center" readingOrder="2"/>
    </xf>
    <xf numFmtId="0" fontId="7" fillId="51" borderId="0" xfId="64" applyFont="1" applyFill="1" applyBorder="1" applyAlignment="1">
      <alignment horizontal="right" vertical="center" readingOrder="2"/>
    </xf>
    <xf numFmtId="0" fontId="7" fillId="51" borderId="0" xfId="73" applyFont="1" applyFill="1" applyBorder="1" applyAlignment="1" applyProtection="1">
      <alignment horizontal="left" vertical="center" readingOrder="2"/>
      <protection hidden="1"/>
    </xf>
    <xf numFmtId="0" fontId="7" fillId="51" borderId="0" xfId="72" applyFont="1" applyFill="1" applyBorder="1" applyAlignment="1">
      <alignment horizontal="left" vertical="center" readingOrder="2"/>
    </xf>
    <xf numFmtId="0" fontId="7" fillId="48" borderId="497" xfId="72" applyFont="1" applyFill="1" applyBorder="1" applyAlignment="1">
      <alignment horizontal="right" vertical="center" readingOrder="2"/>
    </xf>
    <xf numFmtId="0" fontId="7" fillId="48" borderId="0" xfId="72" applyFont="1" applyFill="1" applyBorder="1" applyAlignment="1">
      <alignment horizontal="right" vertical="center" readingOrder="2"/>
    </xf>
    <xf numFmtId="0" fontId="7" fillId="48" borderId="0" xfId="72" applyFont="1" applyFill="1" applyBorder="1" applyAlignment="1">
      <alignment horizontal="left" vertical="center" readingOrder="2"/>
    </xf>
    <xf numFmtId="0" fontId="7" fillId="48" borderId="0" xfId="64" applyFont="1" applyFill="1" applyBorder="1" applyAlignment="1">
      <alignment horizontal="right" vertical="center" readingOrder="2"/>
    </xf>
    <xf numFmtId="0" fontId="389" fillId="0" borderId="0" xfId="0" applyFont="1" applyBorder="1"/>
    <xf numFmtId="0" fontId="2" fillId="0" borderId="0" xfId="78" applyFont="1" applyFill="1" applyBorder="1" applyAlignment="1">
      <alignment horizontal="left" vertical="center" readingOrder="2"/>
    </xf>
    <xf numFmtId="0" fontId="2" fillId="0" borderId="0" xfId="76" applyFont="1" applyFill="1" applyBorder="1" applyAlignment="1" applyProtection="1">
      <alignment horizontal="left"/>
    </xf>
    <xf numFmtId="0" fontId="181" fillId="0" borderId="0" xfId="76" applyFont="1" applyFill="1" applyBorder="1" applyAlignment="1" applyProtection="1">
      <alignment horizontal="left"/>
    </xf>
    <xf numFmtId="0" fontId="367" fillId="0" borderId="0" xfId="0" applyFont="1" applyBorder="1" applyAlignment="1" applyProtection="1">
      <alignment horizontal="left"/>
    </xf>
    <xf numFmtId="0" fontId="313" fillId="0" borderId="0" xfId="0" applyFont="1" applyBorder="1" applyProtection="1"/>
    <xf numFmtId="0" fontId="316" fillId="48" borderId="0" xfId="68" applyFont="1" applyFill="1" applyBorder="1" applyAlignment="1" applyProtection="1">
      <alignment horizontal="right" vertical="center" readingOrder="2"/>
      <protection hidden="1"/>
    </xf>
    <xf numFmtId="0" fontId="7" fillId="0" borderId="0" xfId="72" applyFont="1" applyFill="1" applyBorder="1" applyAlignment="1" applyProtection="1">
      <alignment horizontal="right" vertical="center" readingOrder="2"/>
      <protection hidden="1"/>
    </xf>
    <xf numFmtId="0" fontId="4" fillId="0" borderId="0" xfId="76" applyFont="1" applyFill="1" applyBorder="1" applyAlignment="1">
      <alignment horizontal="left" vertical="center"/>
    </xf>
    <xf numFmtId="0" fontId="2" fillId="48" borderId="0" xfId="73" applyFont="1" applyFill="1" applyBorder="1" applyAlignment="1" applyProtection="1">
      <alignment horizontal="center" vertical="center" readingOrder="2"/>
      <protection hidden="1"/>
    </xf>
    <xf numFmtId="0" fontId="2" fillId="48" borderId="0" xfId="73" applyFont="1" applyFill="1" applyBorder="1" applyAlignment="1" applyProtection="1">
      <alignment horizontal="right" vertical="center" readingOrder="2"/>
      <protection hidden="1"/>
    </xf>
    <xf numFmtId="0" fontId="1" fillId="48" borderId="0" xfId="73" applyFill="1" applyBorder="1" applyAlignment="1" applyProtection="1">
      <alignment vertical="center"/>
      <protection hidden="1"/>
    </xf>
    <xf numFmtId="0" fontId="1" fillId="48" borderId="0" xfId="73" applyFill="1" applyBorder="1" applyAlignment="1" applyProtection="1">
      <alignment horizontal="right" vertical="center"/>
      <protection hidden="1"/>
    </xf>
    <xf numFmtId="0" fontId="58" fillId="48" borderId="0" xfId="73" applyFont="1" applyFill="1" applyBorder="1" applyAlignment="1" applyProtection="1">
      <alignment horizontal="left" vertical="center"/>
      <protection hidden="1"/>
    </xf>
    <xf numFmtId="0" fontId="2" fillId="0" borderId="0" xfId="73" applyFont="1" applyFill="1" applyBorder="1" applyAlignment="1" applyProtection="1">
      <alignment horizontal="right" vertical="center" readingOrder="2"/>
      <protection hidden="1"/>
    </xf>
    <xf numFmtId="0" fontId="2" fillId="0" borderId="0" xfId="73" applyFont="1" applyFill="1" applyBorder="1" applyAlignment="1" applyProtection="1">
      <alignment horizontal="left" vertical="center"/>
      <protection hidden="1"/>
    </xf>
    <xf numFmtId="0" fontId="58" fillId="26" borderId="0" xfId="73" applyFont="1" applyFill="1" applyBorder="1" applyAlignment="1" applyProtection="1">
      <alignment vertical="center" readingOrder="2"/>
      <protection hidden="1"/>
    </xf>
    <xf numFmtId="0" fontId="1" fillId="0" borderId="0" xfId="73" applyBorder="1" applyAlignment="1" applyProtection="1">
      <alignment vertical="center"/>
      <protection hidden="1"/>
    </xf>
    <xf numFmtId="0" fontId="1" fillId="0" borderId="0" xfId="73" applyBorder="1" applyAlignment="1" applyProtection="1">
      <alignment horizontal="right" vertical="center"/>
      <protection hidden="1"/>
    </xf>
    <xf numFmtId="0" fontId="0" fillId="57" borderId="0" xfId="0" applyFill="1" applyBorder="1"/>
    <xf numFmtId="0" fontId="324" fillId="48" borderId="0" xfId="73" applyFont="1" applyFill="1" applyBorder="1" applyAlignment="1" applyProtection="1">
      <alignment horizontal="right" vertical="center" readingOrder="2"/>
      <protection hidden="1"/>
    </xf>
    <xf numFmtId="0" fontId="390" fillId="48" borderId="0" xfId="0" applyFont="1" applyFill="1" applyProtection="1">
      <protection hidden="1"/>
    </xf>
    <xf numFmtId="0" fontId="0" fillId="51" borderId="497" xfId="0" applyFill="1" applyBorder="1"/>
    <xf numFmtId="49" fontId="7" fillId="51" borderId="0" xfId="73" applyNumberFormat="1" applyFont="1" applyFill="1" applyBorder="1" applyAlignment="1">
      <alignment horizontal="right" vertical="center" readingOrder="2"/>
    </xf>
    <xf numFmtId="49" fontId="7" fillId="51" borderId="0" xfId="73" applyNumberFormat="1" applyFont="1" applyFill="1" applyBorder="1" applyAlignment="1">
      <alignment horizontal="left" vertical="center"/>
    </xf>
    <xf numFmtId="49" fontId="58" fillId="51" borderId="0" xfId="73" applyNumberFormat="1" applyFont="1" applyFill="1" applyBorder="1" applyAlignment="1">
      <alignment horizontal="center" vertical="center" readingOrder="2"/>
    </xf>
    <xf numFmtId="0" fontId="7" fillId="51" borderId="0" xfId="70" applyFont="1" applyFill="1" applyBorder="1" applyAlignment="1">
      <alignment horizontal="left" vertical="center" readingOrder="2"/>
    </xf>
    <xf numFmtId="0" fontId="7" fillId="51" borderId="43" xfId="73" applyFont="1" applyFill="1" applyBorder="1" applyAlignment="1">
      <alignment vertical="center" readingOrder="2"/>
    </xf>
    <xf numFmtId="0" fontId="0" fillId="57" borderId="497" xfId="0" applyFill="1" applyBorder="1"/>
    <xf numFmtId="0" fontId="0" fillId="57" borderId="498" xfId="0" applyFill="1" applyBorder="1"/>
    <xf numFmtId="0" fontId="391" fillId="31" borderId="0" xfId="70" applyFont="1" applyFill="1" applyBorder="1" applyAlignment="1" applyProtection="1">
      <alignment horizontal="left" vertical="center" readingOrder="2"/>
    </xf>
    <xf numFmtId="0" fontId="61" fillId="51" borderId="0" xfId="64" applyFont="1" applyFill="1" applyBorder="1" applyAlignment="1" applyProtection="1">
      <alignment vertical="center" readingOrder="2"/>
    </xf>
    <xf numFmtId="0" fontId="61" fillId="51" borderId="498" xfId="64" applyFont="1" applyFill="1" applyBorder="1" applyAlignment="1" applyProtection="1">
      <alignment vertical="center" readingOrder="2"/>
    </xf>
    <xf numFmtId="0" fontId="61" fillId="48" borderId="497" xfId="72" applyFont="1" applyFill="1" applyBorder="1" applyAlignment="1" applyProtection="1">
      <alignment horizontal="right" vertical="center" readingOrder="2"/>
      <protection hidden="1"/>
    </xf>
    <xf numFmtId="0" fontId="7" fillId="48" borderId="0" xfId="72" applyFont="1" applyFill="1" applyBorder="1" applyAlignment="1" applyProtection="1">
      <alignment horizontal="right" vertical="center" readingOrder="2"/>
      <protection hidden="1"/>
    </xf>
    <xf numFmtId="0" fontId="7" fillId="48" borderId="0" xfId="72" applyFont="1" applyFill="1" applyBorder="1" applyAlignment="1" applyProtection="1">
      <alignment horizontal="left" vertical="center" readingOrder="2"/>
      <protection hidden="1"/>
    </xf>
    <xf numFmtId="0" fontId="2" fillId="48" borderId="0" xfId="78" applyFont="1" applyFill="1" applyBorder="1" applyAlignment="1" applyProtection="1">
      <alignment horizontal="left" vertical="center" readingOrder="2"/>
      <protection hidden="1"/>
    </xf>
    <xf numFmtId="0" fontId="388" fillId="48" borderId="0" xfId="0" applyFont="1" applyFill="1" applyBorder="1" applyProtection="1">
      <protection hidden="1"/>
    </xf>
    <xf numFmtId="0" fontId="367" fillId="48" borderId="0" xfId="0" applyFont="1" applyFill="1" applyBorder="1" applyProtection="1">
      <protection hidden="1"/>
    </xf>
    <xf numFmtId="0" fontId="181" fillId="48" borderId="0" xfId="78" applyFont="1" applyFill="1" applyBorder="1" applyAlignment="1" applyProtection="1">
      <alignment horizontal="left" vertical="center" readingOrder="2"/>
      <protection hidden="1"/>
    </xf>
    <xf numFmtId="0" fontId="181" fillId="48" borderId="0" xfId="73" applyFont="1" applyFill="1" applyBorder="1" applyAlignment="1" applyProtection="1">
      <alignment horizontal="right" vertical="center" readingOrder="2"/>
      <protection hidden="1"/>
    </xf>
    <xf numFmtId="0" fontId="2" fillId="48" borderId="497" xfId="73" applyFont="1" applyFill="1" applyBorder="1" applyAlignment="1" applyProtection="1">
      <alignment horizontal="right" vertical="center"/>
      <protection hidden="1"/>
    </xf>
    <xf numFmtId="0" fontId="391" fillId="51" borderId="497" xfId="64" applyFont="1" applyFill="1" applyBorder="1" applyAlignment="1" applyProtection="1">
      <alignment horizontal="right" vertical="center" readingOrder="2"/>
    </xf>
    <xf numFmtId="0" fontId="58" fillId="48" borderId="122" xfId="64" applyFont="1" applyFill="1" applyBorder="1" applyAlignment="1" applyProtection="1">
      <alignment horizontal="center" vertical="center" wrapText="1" readingOrder="2"/>
    </xf>
    <xf numFmtId="0" fontId="58" fillId="48" borderId="0" xfId="64" applyFont="1" applyFill="1" applyBorder="1" applyAlignment="1" applyProtection="1">
      <alignment horizontal="center" vertical="center" wrapText="1" readingOrder="2"/>
    </xf>
    <xf numFmtId="3" fontId="3" fillId="48" borderId="122" xfId="64" applyNumberFormat="1" applyFont="1" applyFill="1" applyBorder="1" applyAlignment="1" applyProtection="1">
      <alignment horizontal="center" vertical="center" wrapText="1" readingOrder="1"/>
    </xf>
    <xf numFmtId="3" fontId="3" fillId="48" borderId="0" xfId="64" applyNumberFormat="1" applyFont="1" applyFill="1" applyBorder="1" applyAlignment="1" applyProtection="1">
      <alignment horizontal="center" vertical="center" wrapText="1" readingOrder="1"/>
    </xf>
    <xf numFmtId="3" fontId="234" fillId="48" borderId="0" xfId="64" applyNumberFormat="1" applyFont="1" applyFill="1" applyBorder="1" applyAlignment="1" applyProtection="1">
      <alignment vertical="center" readingOrder="1"/>
    </xf>
    <xf numFmtId="3" fontId="235" fillId="0" borderId="0" xfId="64" applyNumberFormat="1" applyFont="1" applyBorder="1" applyAlignment="1" applyProtection="1">
      <alignment horizontal="center" vertical="center" readingOrder="1"/>
    </xf>
    <xf numFmtId="3" fontId="171" fillId="0" borderId="0" xfId="64" applyNumberFormat="1" applyFont="1" applyBorder="1" applyAlignment="1" applyProtection="1">
      <alignment vertical="center" readingOrder="1"/>
    </xf>
    <xf numFmtId="0" fontId="61" fillId="48" borderId="70" xfId="64" applyFont="1" applyFill="1" applyBorder="1" applyAlignment="1">
      <alignment horizontal="right" vertical="center" readingOrder="2"/>
    </xf>
    <xf numFmtId="0" fontId="1" fillId="48" borderId="43" xfId="64" applyFill="1" applyBorder="1" applyAlignment="1">
      <alignment vertical="center"/>
    </xf>
    <xf numFmtId="0" fontId="2" fillId="26" borderId="123" xfId="64" applyFont="1" applyFill="1" applyBorder="1" applyAlignment="1">
      <alignment horizontal="center" vertical="center" wrapText="1" readingOrder="2"/>
    </xf>
    <xf numFmtId="0" fontId="2" fillId="26" borderId="124" xfId="64" applyFont="1" applyFill="1" applyBorder="1" applyAlignment="1">
      <alignment horizontal="center" vertical="center" wrapText="1" readingOrder="2"/>
    </xf>
    <xf numFmtId="0" fontId="2" fillId="49" borderId="123" xfId="64" applyFont="1" applyFill="1" applyBorder="1" applyAlignment="1">
      <alignment horizontal="center" vertical="center" wrapText="1" readingOrder="2"/>
    </xf>
    <xf numFmtId="0" fontId="2" fillId="49" borderId="124" xfId="64" applyFont="1" applyFill="1" applyBorder="1" applyAlignment="1">
      <alignment horizontal="center" vertical="center" wrapText="1" readingOrder="2"/>
    </xf>
    <xf numFmtId="0" fontId="2" fillId="31" borderId="123" xfId="64" applyFont="1" applyFill="1" applyBorder="1" applyAlignment="1">
      <alignment horizontal="center" vertical="center" wrapText="1" readingOrder="2"/>
    </xf>
    <xf numFmtId="0" fontId="2" fillId="31" borderId="124" xfId="64" applyFont="1" applyFill="1" applyBorder="1" applyAlignment="1">
      <alignment horizontal="center" vertical="center" wrapText="1" readingOrder="2"/>
    </xf>
    <xf numFmtId="0" fontId="61" fillId="31" borderId="0" xfId="64" applyFont="1" applyFill="1" applyBorder="1" applyAlignment="1">
      <alignment horizontal="right" vertical="center" readingOrder="2"/>
    </xf>
    <xf numFmtId="0" fontId="7" fillId="31" borderId="0" xfId="72" applyFont="1" applyFill="1" applyBorder="1" applyAlignment="1" applyProtection="1">
      <alignment horizontal="center" vertical="center" readingOrder="2"/>
    </xf>
    <xf numFmtId="0" fontId="7" fillId="0" borderId="0" xfId="72" applyFont="1" applyFill="1" applyBorder="1" applyAlignment="1" applyProtection="1">
      <alignment horizontal="center" vertical="center" readingOrder="2"/>
    </xf>
    <xf numFmtId="0" fontId="60" fillId="0" borderId="0" xfId="64" applyFont="1" applyFill="1" applyBorder="1" applyAlignment="1" applyProtection="1">
      <alignment horizontal="right" vertical="center" readingOrder="2"/>
    </xf>
    <xf numFmtId="0" fontId="61" fillId="31" borderId="0" xfId="72" applyFont="1" applyFill="1" applyBorder="1" applyAlignment="1" applyProtection="1">
      <alignment horizontal="left" readingOrder="1"/>
    </xf>
    <xf numFmtId="0" fontId="394" fillId="48" borderId="216" xfId="71" applyFont="1" applyFill="1" applyBorder="1" applyAlignment="1" applyProtection="1">
      <alignment horizontal="center"/>
      <protection hidden="1"/>
    </xf>
    <xf numFmtId="0" fontId="57" fillId="31" borderId="0" xfId="72" applyFont="1" applyFill="1" applyBorder="1" applyAlignment="1" applyProtection="1">
      <alignment horizontal="right" vertical="center" readingOrder="2"/>
    </xf>
    <xf numFmtId="0" fontId="60" fillId="31" borderId="0" xfId="64" applyFont="1" applyFill="1" applyBorder="1" applyAlignment="1" applyProtection="1">
      <alignment horizontal="right" vertical="center" readingOrder="2"/>
    </xf>
    <xf numFmtId="0" fontId="1" fillId="52" borderId="0" xfId="64" applyFont="1" applyFill="1" applyBorder="1" applyProtection="1">
      <protection hidden="1"/>
    </xf>
    <xf numFmtId="0" fontId="0" fillId="52" borderId="0" xfId="0" applyFill="1" applyProtection="1">
      <protection hidden="1"/>
    </xf>
    <xf numFmtId="0" fontId="1" fillId="48" borderId="0" xfId="64" applyFill="1" applyAlignment="1" applyProtection="1">
      <protection hidden="1"/>
    </xf>
    <xf numFmtId="0" fontId="331" fillId="20" borderId="0" xfId="64" applyFont="1" applyFill="1" applyBorder="1" applyAlignment="1" applyProtection="1">
      <alignment vertical="center"/>
      <protection hidden="1"/>
    </xf>
    <xf numFmtId="0" fontId="326" fillId="0" borderId="0" xfId="64" applyFont="1" applyFill="1" applyBorder="1" applyAlignment="1" applyProtection="1">
      <alignment horizontal="right" vertical="center" readingOrder="2"/>
      <protection locked="0"/>
    </xf>
    <xf numFmtId="0" fontId="395" fillId="48" borderId="0" xfId="64" applyFont="1" applyFill="1" applyBorder="1" applyAlignment="1" applyProtection="1">
      <alignment vertical="center" readingOrder="1"/>
      <protection locked="0"/>
    </xf>
    <xf numFmtId="0" fontId="60" fillId="0" borderId="0" xfId="64" applyFont="1" applyFill="1" applyBorder="1" applyAlignment="1" applyProtection="1">
      <alignment horizontal="left" vertical="center" readingOrder="1"/>
      <protection locked="0"/>
    </xf>
    <xf numFmtId="3" fontId="333" fillId="48" borderId="0" xfId="64" applyNumberFormat="1" applyFont="1" applyFill="1" applyBorder="1" applyAlignment="1" applyProtection="1">
      <alignment horizontal="center" vertical="center" readingOrder="2"/>
      <protection locked="0"/>
    </xf>
    <xf numFmtId="0" fontId="1" fillId="0" borderId="0" xfId="64" applyProtection="1">
      <protection hidden="1"/>
    </xf>
    <xf numFmtId="0" fontId="64" fillId="53" borderId="0" xfId="64" applyFont="1" applyFill="1" applyBorder="1" applyAlignment="1" applyProtection="1">
      <alignment vertical="center" readingOrder="2"/>
      <protection locked="0"/>
    </xf>
    <xf numFmtId="0" fontId="328" fillId="53" borderId="0" xfId="64" applyFont="1" applyFill="1" applyBorder="1" applyAlignment="1" applyProtection="1">
      <alignment horizontal="left" vertical="center" readingOrder="2"/>
      <protection locked="0"/>
    </xf>
    <xf numFmtId="0" fontId="328" fillId="53" borderId="0" xfId="64" applyFont="1" applyFill="1" applyBorder="1" applyAlignment="1" applyProtection="1">
      <alignment vertical="center" readingOrder="2"/>
      <protection locked="0"/>
    </xf>
    <xf numFmtId="0" fontId="328" fillId="53" borderId="0" xfId="64" applyFont="1" applyFill="1" applyBorder="1" applyAlignment="1" applyProtection="1">
      <alignment vertical="center" readingOrder="1"/>
      <protection locked="0"/>
    </xf>
    <xf numFmtId="0" fontId="396" fillId="53" borderId="0" xfId="64" applyFont="1" applyFill="1" applyBorder="1" applyAlignment="1" applyProtection="1">
      <alignment vertical="center" readingOrder="1"/>
      <protection locked="0"/>
    </xf>
    <xf numFmtId="0" fontId="337" fillId="53" borderId="0" xfId="64" applyFont="1" applyFill="1" applyBorder="1" applyAlignment="1" applyProtection="1">
      <alignment vertical="center" readingOrder="1"/>
      <protection locked="0"/>
    </xf>
    <xf numFmtId="0" fontId="395" fillId="53" borderId="0" xfId="64" applyFont="1" applyFill="1" applyBorder="1" applyAlignment="1" applyProtection="1">
      <alignment vertical="center" readingOrder="1"/>
      <protection locked="0"/>
    </xf>
    <xf numFmtId="0" fontId="7" fillId="51" borderId="0" xfId="64" applyFont="1" applyFill="1" applyBorder="1" applyAlignment="1" applyProtection="1">
      <alignment horizontal="right" vertical="center" readingOrder="2"/>
      <protection locked="0"/>
    </xf>
    <xf numFmtId="0" fontId="55" fillId="48" borderId="0" xfId="64" applyFont="1" applyFill="1" applyBorder="1" applyAlignment="1" applyProtection="1">
      <alignment horizontal="right" vertical="center" readingOrder="2"/>
      <protection locked="0"/>
    </xf>
    <xf numFmtId="0" fontId="2" fillId="48" borderId="0" xfId="64" applyFont="1" applyFill="1" applyBorder="1" applyAlignment="1" applyProtection="1">
      <protection locked="0"/>
    </xf>
    <xf numFmtId="0" fontId="399" fillId="48" borderId="0" xfId="64" applyFont="1" applyFill="1" applyBorder="1" applyAlignment="1" applyProtection="1">
      <alignment vertical="center"/>
      <protection locked="0"/>
    </xf>
    <xf numFmtId="0" fontId="400" fillId="48" borderId="0" xfId="64" applyFont="1" applyFill="1" applyBorder="1" applyAlignment="1" applyProtection="1">
      <alignment horizontal="left" vertical="center"/>
      <protection locked="0"/>
    </xf>
    <xf numFmtId="0" fontId="69" fillId="48" borderId="117" xfId="64" applyFont="1" applyFill="1" applyBorder="1" applyAlignment="1" applyProtection="1">
      <alignment horizontal="center" vertical="center" wrapText="1" readingOrder="2"/>
      <protection locked="0"/>
    </xf>
    <xf numFmtId="0" fontId="69" fillId="50" borderId="13" xfId="64" applyFont="1" applyFill="1" applyBorder="1" applyAlignment="1" applyProtection="1">
      <alignment horizontal="center" vertical="center" wrapText="1" readingOrder="2"/>
      <protection locked="0"/>
    </xf>
    <xf numFmtId="0" fontId="183" fillId="50" borderId="13" xfId="64" applyFont="1" applyFill="1" applyBorder="1" applyAlignment="1" applyProtection="1">
      <alignment horizontal="center" vertical="center" wrapText="1" readingOrder="2"/>
      <protection locked="0"/>
    </xf>
    <xf numFmtId="0" fontId="58" fillId="48" borderId="0" xfId="64" applyFont="1" applyFill="1" applyBorder="1" applyAlignment="1" applyProtection="1">
      <alignment horizontal="center" vertical="center" wrapText="1" readingOrder="2"/>
      <protection hidden="1"/>
    </xf>
    <xf numFmtId="0" fontId="69" fillId="50" borderId="13" xfId="64" applyFont="1" applyFill="1" applyBorder="1" applyAlignment="1" applyProtection="1">
      <alignment horizontal="center" vertical="center" wrapText="1" readingOrder="1"/>
      <protection locked="0"/>
    </xf>
    <xf numFmtId="0" fontId="183" fillId="50" borderId="13" xfId="64" applyFont="1" applyFill="1" applyBorder="1" applyAlignment="1" applyProtection="1">
      <alignment horizontal="center" vertical="center" wrapText="1" readingOrder="1"/>
      <protection locked="0"/>
    </xf>
    <xf numFmtId="3" fontId="334" fillId="48" borderId="116" xfId="64" applyNumberFormat="1" applyFont="1" applyFill="1" applyBorder="1" applyAlignment="1" applyProtection="1">
      <alignment horizontal="center" vertical="center" readingOrder="1"/>
    </xf>
    <xf numFmtId="0" fontId="69" fillId="48" borderId="0" xfId="64" applyFont="1" applyFill="1" applyBorder="1" applyAlignment="1" applyProtection="1">
      <alignment horizontal="center" vertical="center" wrapText="1" readingOrder="2"/>
      <protection locked="0"/>
    </xf>
    <xf numFmtId="0" fontId="69" fillId="48" borderId="13" xfId="64" applyFont="1" applyFill="1" applyBorder="1" applyAlignment="1" applyProtection="1">
      <alignment horizontal="center" vertical="center" wrapText="1" readingOrder="2"/>
      <protection locked="0"/>
    </xf>
    <xf numFmtId="0" fontId="183" fillId="48" borderId="0" xfId="64" applyFont="1" applyFill="1" applyBorder="1" applyAlignment="1" applyProtection="1">
      <alignment horizontal="center" vertical="center" wrapText="1" readingOrder="2"/>
      <protection locked="0"/>
    </xf>
    <xf numFmtId="0" fontId="183" fillId="48" borderId="117" xfId="64" applyFont="1" applyFill="1" applyBorder="1" applyAlignment="1" applyProtection="1">
      <alignment horizontal="center" vertical="center" wrapText="1" readingOrder="2"/>
      <protection locked="0"/>
    </xf>
    <xf numFmtId="0" fontId="61" fillId="0" borderId="122" xfId="64" applyFont="1" applyFill="1" applyBorder="1" applyAlignment="1" applyProtection="1">
      <alignment vertical="center" readingOrder="1"/>
      <protection locked="0"/>
    </xf>
    <xf numFmtId="3" fontId="402" fillId="48" borderId="117" xfId="64" applyNumberFormat="1" applyFont="1" applyFill="1" applyBorder="1" applyAlignment="1" applyProtection="1">
      <alignment vertical="center" readingOrder="2"/>
      <protection hidden="1"/>
    </xf>
    <xf numFmtId="3" fontId="333" fillId="48" borderId="248" xfId="64" applyNumberFormat="1" applyFont="1" applyFill="1" applyBorder="1" applyAlignment="1" applyProtection="1">
      <alignment horizontal="center" vertical="center" readingOrder="1"/>
      <protection locked="0"/>
    </xf>
    <xf numFmtId="0" fontId="2" fillId="51" borderId="0" xfId="64" applyFont="1" applyFill="1" applyBorder="1" applyAlignment="1" applyProtection="1">
      <alignment vertical="center" readingOrder="1"/>
      <protection locked="0"/>
    </xf>
    <xf numFmtId="0" fontId="2" fillId="51" borderId="0" xfId="64" applyFont="1" applyFill="1" applyBorder="1" applyAlignment="1" applyProtection="1">
      <alignment readingOrder="1"/>
      <protection locked="0"/>
    </xf>
    <xf numFmtId="0" fontId="69" fillId="48" borderId="13" xfId="64" applyFont="1" applyFill="1" applyBorder="1" applyAlignment="1" applyProtection="1">
      <alignment horizontal="center" vertical="center" wrapText="1" readingOrder="1"/>
      <protection locked="0"/>
    </xf>
    <xf numFmtId="0" fontId="69" fillId="48" borderId="0" xfId="64" applyFont="1" applyFill="1" applyBorder="1" applyAlignment="1" applyProtection="1">
      <alignment horizontal="center" vertical="center" wrapText="1" readingOrder="1"/>
      <protection locked="0"/>
    </xf>
    <xf numFmtId="0" fontId="183" fillId="48" borderId="0" xfId="64" applyFont="1" applyFill="1" applyBorder="1" applyAlignment="1" applyProtection="1">
      <alignment horizontal="center" vertical="center" wrapText="1" readingOrder="1"/>
      <protection locked="0"/>
    </xf>
    <xf numFmtId="0" fontId="69" fillId="48" borderId="0" xfId="64" applyFont="1" applyFill="1" applyBorder="1" applyAlignment="1" applyProtection="1">
      <alignment horizontal="center" vertical="center" readingOrder="1"/>
      <protection locked="0"/>
    </xf>
    <xf numFmtId="0" fontId="1" fillId="48" borderId="0" xfId="64" applyFont="1" applyFill="1" applyBorder="1" applyAlignment="1" applyProtection="1">
      <alignment vertical="center"/>
      <protection hidden="1"/>
    </xf>
    <xf numFmtId="0" fontId="2" fillId="48" borderId="0" xfId="64" applyFont="1" applyFill="1" applyBorder="1" applyAlignment="1" applyProtection="1">
      <alignment horizontal="center"/>
      <protection hidden="1"/>
    </xf>
    <xf numFmtId="0" fontId="58" fillId="48" borderId="0" xfId="73" applyFont="1" applyFill="1" applyBorder="1" applyAlignment="1" applyProtection="1">
      <alignment horizontal="center" vertical="center" readingOrder="2"/>
      <protection locked="0"/>
    </xf>
    <xf numFmtId="0" fontId="7" fillId="48" borderId="0" xfId="73" applyFont="1" applyFill="1" applyBorder="1" applyAlignment="1">
      <alignment horizontal="center" vertical="center" readingOrder="2"/>
    </xf>
    <xf numFmtId="0" fontId="57" fillId="0" borderId="0" xfId="73" applyFont="1" applyFill="1" applyBorder="1" applyAlignment="1">
      <alignment horizontal="center" vertical="center" readingOrder="2"/>
    </xf>
    <xf numFmtId="0" fontId="58" fillId="48" borderId="0" xfId="73" applyFont="1" applyFill="1" applyBorder="1" applyAlignment="1" applyProtection="1">
      <alignment horizontal="center" vertical="center"/>
      <protection locked="0"/>
    </xf>
    <xf numFmtId="0" fontId="2" fillId="48" borderId="0" xfId="73" applyFont="1" applyFill="1" applyBorder="1" applyAlignment="1" applyProtection="1">
      <alignment horizontal="center" vertical="center"/>
      <protection hidden="1"/>
    </xf>
    <xf numFmtId="0" fontId="404" fillId="50" borderId="115" xfId="64" applyFont="1" applyFill="1" applyBorder="1" applyAlignment="1" applyProtection="1">
      <alignment vertical="center" wrapText="1" readingOrder="1"/>
      <protection locked="0"/>
    </xf>
    <xf numFmtId="0" fontId="403" fillId="50" borderId="115" xfId="64" applyFont="1" applyFill="1" applyBorder="1" applyAlignment="1" applyProtection="1">
      <alignment vertical="center" wrapText="1" readingOrder="2"/>
      <protection locked="0"/>
    </xf>
    <xf numFmtId="0" fontId="69" fillId="61" borderId="13" xfId="64" applyFont="1" applyFill="1" applyBorder="1" applyAlignment="1" applyProtection="1">
      <alignment horizontal="center" vertical="center" wrapText="1" readingOrder="1"/>
      <protection locked="0"/>
    </xf>
    <xf numFmtId="0" fontId="183" fillId="61" borderId="13" xfId="64" applyFont="1" applyFill="1" applyBorder="1" applyAlignment="1" applyProtection="1">
      <alignment horizontal="center" vertical="center" wrapText="1" readingOrder="1"/>
      <protection locked="0"/>
    </xf>
    <xf numFmtId="0" fontId="335" fillId="60" borderId="13" xfId="64" applyFont="1" applyFill="1" applyBorder="1" applyAlignment="1" applyProtection="1">
      <alignment horizontal="center" vertical="center" wrapText="1" readingOrder="1"/>
      <protection locked="0"/>
    </xf>
    <xf numFmtId="0" fontId="406" fillId="60" borderId="13" xfId="64" applyFont="1" applyFill="1" applyBorder="1" applyAlignment="1" applyProtection="1">
      <alignment horizontal="center" vertical="center" wrapText="1" readingOrder="1"/>
      <protection locked="0"/>
    </xf>
    <xf numFmtId="3" fontId="333" fillId="48" borderId="116" xfId="64" applyNumberFormat="1" applyFont="1" applyFill="1" applyBorder="1" applyAlignment="1" applyProtection="1">
      <alignment horizontal="center" vertical="center" readingOrder="1"/>
      <protection hidden="1"/>
    </xf>
    <xf numFmtId="3" fontId="334" fillId="48" borderId="116" xfId="64" applyNumberFormat="1" applyFont="1" applyFill="1" applyBorder="1" applyAlignment="1" applyProtection="1">
      <alignment horizontal="center" vertical="center" readingOrder="1"/>
      <protection hidden="1"/>
    </xf>
    <xf numFmtId="3" fontId="401" fillId="48" borderId="116" xfId="64" applyNumberFormat="1" applyFont="1" applyFill="1" applyBorder="1" applyAlignment="1" applyProtection="1">
      <alignment horizontal="center" vertical="center" readingOrder="1"/>
      <protection hidden="1"/>
    </xf>
    <xf numFmtId="0" fontId="183" fillId="48" borderId="13" xfId="64" applyFont="1" applyFill="1" applyBorder="1" applyAlignment="1" applyProtection="1">
      <alignment horizontal="center" vertical="center" wrapText="1" readingOrder="1"/>
      <protection locked="0"/>
    </xf>
    <xf numFmtId="0" fontId="402" fillId="62" borderId="13" xfId="64" applyFont="1" applyFill="1" applyBorder="1" applyAlignment="1" applyProtection="1">
      <alignment horizontal="center" wrapText="1" readingOrder="1"/>
      <protection locked="0"/>
    </xf>
    <xf numFmtId="0" fontId="7" fillId="51" borderId="0" xfId="64" applyFont="1" applyFill="1" applyBorder="1" applyAlignment="1" applyProtection="1">
      <alignment horizontal="left" vertical="center"/>
      <protection locked="0"/>
    </xf>
    <xf numFmtId="0" fontId="69" fillId="51" borderId="0" xfId="64" applyFont="1" applyFill="1" applyBorder="1" applyAlignment="1" applyProtection="1">
      <alignment horizontal="left" vertical="center"/>
      <protection locked="0"/>
    </xf>
    <xf numFmtId="0" fontId="69" fillId="51" borderId="0" xfId="64" applyFont="1" applyFill="1" applyBorder="1" applyAlignment="1" applyProtection="1">
      <alignment horizontal="left" vertical="center" readingOrder="1"/>
      <protection locked="0"/>
    </xf>
    <xf numFmtId="0" fontId="69" fillId="57" borderId="117" xfId="64" applyFont="1" applyFill="1" applyBorder="1" applyAlignment="1" applyProtection="1">
      <alignment horizontal="center" vertical="center" wrapText="1" readingOrder="2"/>
      <protection locked="0"/>
    </xf>
    <xf numFmtId="0" fontId="61" fillId="31" borderId="70" xfId="77" applyFont="1" applyFill="1" applyBorder="1" applyAlignment="1">
      <alignment horizontal="right" vertical="center" readingOrder="2"/>
    </xf>
    <xf numFmtId="0" fontId="408" fillId="48" borderId="0" xfId="0" applyFont="1" applyFill="1" applyBorder="1"/>
    <xf numFmtId="0" fontId="62" fillId="48" borderId="70" xfId="73" applyFont="1" applyFill="1" applyBorder="1" applyAlignment="1">
      <alignment horizontal="right" vertical="center" readingOrder="2"/>
    </xf>
    <xf numFmtId="0" fontId="7" fillId="0" borderId="43" xfId="73" applyFont="1" applyFill="1" applyBorder="1" applyAlignment="1">
      <alignment horizontal="left" vertical="center" readingOrder="2"/>
    </xf>
    <xf numFmtId="0" fontId="2" fillId="0" borderId="43" xfId="73" applyFont="1" applyFill="1" applyBorder="1" applyAlignment="1">
      <alignment horizontal="left" vertical="center"/>
    </xf>
    <xf numFmtId="0" fontId="1" fillId="0" borderId="43" xfId="73" applyBorder="1" applyAlignment="1">
      <alignment horizontal="left" vertical="center"/>
    </xf>
    <xf numFmtId="0" fontId="58" fillId="0" borderId="0" xfId="73" applyFont="1" applyFill="1" applyBorder="1" applyAlignment="1">
      <alignment horizontal="left" vertical="center"/>
    </xf>
    <xf numFmtId="0" fontId="323" fillId="0" borderId="0" xfId="0" applyFont="1" applyBorder="1" applyAlignment="1">
      <alignment horizontal="left" vertical="center"/>
    </xf>
    <xf numFmtId="0" fontId="0" fillId="0" borderId="0" xfId="0" applyBorder="1" applyAlignment="1">
      <alignment horizontal="left"/>
    </xf>
    <xf numFmtId="0" fontId="58" fillId="0" borderId="0" xfId="73" applyFont="1" applyFill="1" applyBorder="1" applyAlignment="1">
      <alignment horizontal="left" vertical="center" readingOrder="1"/>
    </xf>
    <xf numFmtId="0" fontId="209" fillId="26" borderId="0" xfId="70" applyFont="1" applyFill="1" applyBorder="1" applyAlignment="1">
      <alignment horizontal="left" vertical="center"/>
    </xf>
    <xf numFmtId="0" fontId="57" fillId="0" borderId="70" xfId="71" applyFont="1" applyBorder="1" applyAlignment="1" applyProtection="1">
      <alignment horizontal="right" vertical="center"/>
    </xf>
    <xf numFmtId="0" fontId="61" fillId="48" borderId="33" xfId="73" applyFont="1" applyFill="1" applyBorder="1" applyAlignment="1">
      <alignment horizontal="right" vertical="center" readingOrder="2"/>
    </xf>
    <xf numFmtId="0" fontId="7" fillId="48" borderId="42" xfId="73" applyFont="1" applyFill="1" applyBorder="1" applyAlignment="1">
      <alignment horizontal="right" vertical="center" readingOrder="2"/>
    </xf>
    <xf numFmtId="0" fontId="7" fillId="48" borderId="42" xfId="70" applyFont="1" applyFill="1" applyBorder="1" applyAlignment="1">
      <alignment horizontal="right" vertical="center" readingOrder="2"/>
    </xf>
    <xf numFmtId="0" fontId="7" fillId="48" borderId="42" xfId="70" applyFont="1" applyFill="1" applyBorder="1" applyAlignment="1">
      <alignment vertical="center" readingOrder="2"/>
    </xf>
    <xf numFmtId="0" fontId="7" fillId="48" borderId="42" xfId="70" applyFont="1" applyFill="1" applyBorder="1" applyAlignment="1" applyProtection="1">
      <alignment horizontal="right" vertical="center" readingOrder="2"/>
    </xf>
    <xf numFmtId="0" fontId="7" fillId="48" borderId="71" xfId="70" applyFont="1" applyFill="1" applyBorder="1" applyAlignment="1">
      <alignment vertical="center" readingOrder="2"/>
    </xf>
    <xf numFmtId="0" fontId="61" fillId="31" borderId="70" xfId="73" applyFont="1" applyFill="1" applyBorder="1" applyAlignment="1">
      <alignment horizontal="right" vertical="center" readingOrder="2"/>
    </xf>
    <xf numFmtId="0" fontId="7" fillId="31" borderId="0" xfId="70" applyFont="1" applyFill="1" applyBorder="1" applyAlignment="1">
      <alignment horizontal="right" vertical="center" readingOrder="2"/>
    </xf>
    <xf numFmtId="0" fontId="7" fillId="31" borderId="0" xfId="70" applyFont="1" applyFill="1" applyBorder="1" applyAlignment="1">
      <alignment vertical="center" readingOrder="2"/>
    </xf>
    <xf numFmtId="0" fontId="7" fillId="31" borderId="0" xfId="70" applyFont="1" applyFill="1" applyBorder="1" applyAlignment="1" applyProtection="1">
      <alignment horizontal="right" vertical="center" readingOrder="2"/>
    </xf>
    <xf numFmtId="0" fontId="7" fillId="31" borderId="43" xfId="70" applyFont="1" applyFill="1" applyBorder="1" applyAlignment="1">
      <alignment vertical="center" readingOrder="2"/>
    </xf>
    <xf numFmtId="0" fontId="409" fillId="53" borderId="0" xfId="64" applyFont="1" applyFill="1" applyBorder="1" applyAlignment="1" applyProtection="1">
      <alignment horizontal="right" vertical="center" readingOrder="2"/>
      <protection locked="0"/>
    </xf>
    <xf numFmtId="0" fontId="57" fillId="48" borderId="0" xfId="76" applyFont="1" applyFill="1" applyBorder="1" applyAlignment="1">
      <alignment horizontal="left" readingOrder="2"/>
    </xf>
    <xf numFmtId="0" fontId="408" fillId="0" borderId="0" xfId="0" applyFont="1" applyBorder="1"/>
    <xf numFmtId="0" fontId="408" fillId="0" borderId="0" xfId="0" applyFont="1"/>
    <xf numFmtId="0" fontId="408" fillId="0" borderId="0" xfId="0" applyFont="1" applyBorder="1" applyAlignment="1">
      <alignment readingOrder="2"/>
    </xf>
    <xf numFmtId="0" fontId="408" fillId="0" borderId="0" xfId="0" applyFont="1" applyAlignment="1">
      <alignment readingOrder="2"/>
    </xf>
    <xf numFmtId="0" fontId="57" fillId="50" borderId="0" xfId="76" applyFont="1" applyFill="1" applyBorder="1" applyAlignment="1">
      <alignment horizontal="left" readingOrder="2"/>
    </xf>
    <xf numFmtId="0" fontId="410" fillId="48" borderId="0" xfId="76" applyFont="1" applyFill="1" applyBorder="1" applyAlignment="1">
      <alignment horizontal="left" readingOrder="2"/>
    </xf>
    <xf numFmtId="0" fontId="173" fillId="0" borderId="0" xfId="64" applyFont="1" applyProtection="1">
      <protection hidden="1"/>
    </xf>
    <xf numFmtId="3" fontId="402" fillId="48" borderId="0" xfId="64" applyNumberFormat="1" applyFont="1" applyFill="1" applyBorder="1" applyAlignment="1" applyProtection="1">
      <alignment horizontal="center" vertical="center" readingOrder="2"/>
      <protection hidden="1"/>
    </xf>
    <xf numFmtId="0" fontId="411" fillId="0" borderId="0" xfId="0" applyFont="1" applyProtection="1">
      <protection hidden="1"/>
    </xf>
    <xf numFmtId="0" fontId="3" fillId="48" borderId="0" xfId="64" applyFont="1" applyFill="1" applyBorder="1" applyAlignment="1" applyProtection="1">
      <alignment horizontal="center" vertical="center" wrapText="1" readingOrder="2"/>
      <protection hidden="1"/>
    </xf>
    <xf numFmtId="0" fontId="69" fillId="48" borderId="0" xfId="64" applyFont="1" applyFill="1" applyBorder="1" applyAlignment="1" applyProtection="1">
      <alignment horizontal="right" vertical="center" readingOrder="2"/>
      <protection hidden="1"/>
    </xf>
    <xf numFmtId="0" fontId="0" fillId="53" borderId="0" xfId="0" applyFill="1"/>
    <xf numFmtId="3" fontId="3" fillId="0" borderId="135" xfId="64" applyNumberFormat="1" applyFont="1" applyFill="1" applyBorder="1" applyAlignment="1" applyProtection="1">
      <alignment horizontal="center" vertical="center" wrapText="1" readingOrder="1"/>
    </xf>
    <xf numFmtId="3" fontId="3" fillId="0" borderId="136" xfId="64" applyNumberFormat="1" applyFont="1" applyFill="1" applyBorder="1" applyAlignment="1" applyProtection="1">
      <alignment horizontal="center" vertical="center" wrapText="1" readingOrder="1"/>
    </xf>
    <xf numFmtId="3" fontId="3" fillId="0" borderId="137" xfId="64" applyNumberFormat="1" applyFont="1" applyFill="1" applyBorder="1" applyAlignment="1" applyProtection="1">
      <alignment horizontal="center" vertical="center" wrapText="1" readingOrder="1"/>
    </xf>
    <xf numFmtId="3" fontId="3" fillId="0" borderId="138" xfId="64" applyNumberFormat="1" applyFont="1" applyFill="1" applyBorder="1" applyAlignment="1" applyProtection="1">
      <alignment horizontal="center" vertical="center" wrapText="1" readingOrder="1"/>
    </xf>
    <xf numFmtId="3" fontId="3" fillId="0" borderId="139" xfId="64" applyNumberFormat="1" applyFont="1" applyFill="1" applyBorder="1" applyAlignment="1" applyProtection="1">
      <alignment horizontal="center" vertical="center" wrapText="1" readingOrder="1"/>
    </xf>
    <xf numFmtId="3" fontId="3" fillId="0" borderId="140" xfId="64" applyNumberFormat="1" applyFont="1" applyFill="1" applyBorder="1" applyAlignment="1" applyProtection="1">
      <alignment horizontal="center" vertical="center" wrapText="1" readingOrder="1"/>
    </xf>
    <xf numFmtId="0" fontId="60" fillId="31" borderId="70" xfId="64" applyFont="1" applyFill="1" applyBorder="1" applyAlignment="1" applyProtection="1">
      <alignment horizontal="right" vertical="center" readingOrder="2"/>
    </xf>
    <xf numFmtId="0" fontId="61" fillId="0" borderId="0" xfId="64" applyFont="1" applyFill="1" applyBorder="1" applyAlignment="1" applyProtection="1">
      <alignment horizontal="right" vertical="center" readingOrder="2"/>
      <protection locked="0"/>
    </xf>
    <xf numFmtId="0" fontId="57" fillId="0" borderId="0" xfId="64" applyFont="1" applyFill="1" applyBorder="1" applyAlignment="1" applyProtection="1">
      <alignment horizontal="left" vertical="center" readingOrder="1"/>
      <protection locked="0"/>
    </xf>
    <xf numFmtId="3" fontId="173" fillId="26" borderId="189" xfId="64" applyNumberFormat="1" applyFont="1" applyFill="1" applyBorder="1" applyAlignment="1" applyProtection="1">
      <alignment horizontal="center" vertical="center" wrapText="1" readingOrder="1"/>
    </xf>
    <xf numFmtId="3" fontId="173" fillId="26" borderId="190" xfId="64" applyNumberFormat="1" applyFont="1" applyFill="1" applyBorder="1" applyAlignment="1" applyProtection="1">
      <alignment horizontal="center" vertical="center" wrapText="1" readingOrder="1"/>
    </xf>
    <xf numFmtId="3" fontId="173" fillId="26" borderId="191" xfId="64" applyNumberFormat="1" applyFont="1" applyFill="1" applyBorder="1" applyAlignment="1" applyProtection="1">
      <alignment horizontal="center" vertical="center" wrapText="1" readingOrder="1"/>
    </xf>
    <xf numFmtId="3" fontId="173" fillId="31" borderId="117" xfId="64" applyNumberFormat="1" applyFont="1" applyFill="1" applyBorder="1" applyAlignment="1" applyProtection="1">
      <alignment horizontal="center" vertical="center" wrapText="1" readingOrder="1"/>
    </xf>
    <xf numFmtId="0" fontId="1" fillId="51" borderId="0" xfId="64" applyFill="1" applyBorder="1" applyAlignment="1" applyProtection="1">
      <alignment vertical="center"/>
    </xf>
    <xf numFmtId="0" fontId="316" fillId="48" borderId="0" xfId="62" applyFont="1" applyFill="1" applyBorder="1" applyAlignment="1" applyProtection="1">
      <alignment horizontal="center" vertical="center"/>
    </xf>
    <xf numFmtId="3" fontId="3" fillId="48" borderId="248" xfId="64" applyNumberFormat="1" applyFont="1" applyFill="1" applyBorder="1" applyAlignment="1" applyProtection="1">
      <alignment horizontal="center" vertical="center" wrapText="1" readingOrder="1"/>
    </xf>
    <xf numFmtId="3" fontId="3" fillId="26" borderId="133" xfId="64" applyNumberFormat="1" applyFont="1" applyFill="1" applyBorder="1" applyAlignment="1" applyProtection="1">
      <alignment horizontal="center" vertical="center" wrapText="1" readingOrder="1"/>
    </xf>
    <xf numFmtId="3" fontId="3" fillId="26" borderId="134" xfId="64" applyNumberFormat="1" applyFont="1" applyFill="1" applyBorder="1" applyAlignment="1" applyProtection="1">
      <alignment horizontal="center" vertical="center" wrapText="1" readingOrder="1"/>
    </xf>
    <xf numFmtId="3" fontId="3" fillId="26" borderId="208" xfId="64" applyNumberFormat="1" applyFont="1" applyFill="1" applyBorder="1" applyAlignment="1" applyProtection="1">
      <alignment horizontal="center" vertical="center" wrapText="1" readingOrder="1"/>
    </xf>
    <xf numFmtId="3" fontId="3" fillId="26" borderId="211" xfId="64" applyNumberFormat="1" applyFont="1" applyFill="1" applyBorder="1" applyAlignment="1" applyProtection="1">
      <alignment horizontal="center" vertical="center" wrapText="1" readingOrder="1"/>
    </xf>
    <xf numFmtId="3" fontId="3" fillId="26" borderId="209" xfId="64" applyNumberFormat="1" applyFont="1" applyFill="1" applyBorder="1" applyAlignment="1" applyProtection="1">
      <alignment horizontal="center" vertical="center" wrapText="1" readingOrder="1"/>
    </xf>
    <xf numFmtId="3" fontId="3" fillId="26" borderId="212" xfId="64" applyNumberFormat="1" applyFont="1" applyFill="1" applyBorder="1" applyAlignment="1" applyProtection="1">
      <alignment horizontal="center" vertical="center" wrapText="1" readingOrder="1"/>
    </xf>
    <xf numFmtId="0" fontId="394" fillId="0" borderId="216" xfId="64" applyFont="1" applyFill="1" applyBorder="1" applyAlignment="1" applyProtection="1">
      <alignment horizontal="center"/>
      <protection hidden="1"/>
    </xf>
    <xf numFmtId="3" fontId="3" fillId="48" borderId="248" xfId="64" applyNumberFormat="1" applyFont="1" applyFill="1" applyBorder="1" applyAlignment="1" applyProtection="1">
      <alignment horizontal="center" vertical="center" wrapText="1" readingOrder="1"/>
      <protection hidden="1"/>
    </xf>
    <xf numFmtId="0" fontId="7" fillId="48" borderId="0" xfId="64" applyFont="1" applyFill="1" applyBorder="1" applyAlignment="1" applyProtection="1">
      <alignment vertical="center" readingOrder="2"/>
      <protection hidden="1"/>
    </xf>
    <xf numFmtId="3" fontId="3" fillId="48" borderId="128" xfId="64" applyNumberFormat="1" applyFont="1" applyFill="1" applyBorder="1" applyAlignment="1" applyProtection="1">
      <alignment horizontal="center" vertical="center" wrapText="1" readingOrder="1"/>
    </xf>
    <xf numFmtId="3" fontId="3" fillId="48" borderId="125" xfId="64" applyNumberFormat="1" applyFont="1" applyFill="1" applyBorder="1" applyAlignment="1" applyProtection="1">
      <alignment horizontal="center" vertical="center" wrapText="1" readingOrder="1"/>
    </xf>
    <xf numFmtId="3" fontId="3" fillId="48" borderId="129" xfId="64" applyNumberFormat="1" applyFont="1" applyFill="1" applyBorder="1" applyAlignment="1" applyProtection="1">
      <alignment horizontal="center" vertical="center" wrapText="1" readingOrder="1"/>
    </xf>
    <xf numFmtId="3" fontId="3" fillId="48" borderId="126" xfId="64" applyNumberFormat="1" applyFont="1" applyFill="1" applyBorder="1" applyAlignment="1" applyProtection="1">
      <alignment horizontal="center" vertical="center" wrapText="1" readingOrder="1"/>
    </xf>
    <xf numFmtId="3" fontId="3" fillId="48" borderId="130" xfId="64" applyNumberFormat="1" applyFont="1" applyFill="1" applyBorder="1" applyAlignment="1" applyProtection="1">
      <alignment horizontal="center" vertical="center" wrapText="1" readingOrder="1"/>
    </xf>
    <xf numFmtId="3" fontId="3" fillId="48" borderId="127" xfId="64" applyNumberFormat="1" applyFont="1" applyFill="1" applyBorder="1" applyAlignment="1" applyProtection="1">
      <alignment horizontal="center" vertical="center" wrapText="1" readingOrder="1"/>
    </xf>
    <xf numFmtId="0" fontId="316" fillId="48" borderId="0" xfId="64" applyFont="1" applyFill="1" applyBorder="1" applyAlignment="1" applyProtection="1">
      <alignment horizontal="center" vertical="center" readingOrder="2"/>
    </xf>
    <xf numFmtId="3" fontId="3" fillId="48" borderId="117" xfId="64" applyNumberFormat="1" applyFont="1" applyFill="1" applyBorder="1" applyAlignment="1" applyProtection="1">
      <alignment horizontal="center" vertical="center" wrapText="1" readingOrder="1"/>
    </xf>
    <xf numFmtId="0" fontId="55" fillId="48" borderId="189" xfId="64" applyFont="1" applyFill="1" applyBorder="1" applyAlignment="1" applyProtection="1">
      <alignment horizontal="center" vertical="center" readingOrder="2"/>
    </xf>
    <xf numFmtId="0" fontId="55" fillId="48" borderId="192" xfId="64" applyFont="1" applyFill="1" applyBorder="1" applyAlignment="1" applyProtection="1">
      <alignment horizontal="center" vertical="center" readingOrder="2"/>
    </xf>
    <xf numFmtId="3" fontId="3" fillId="48" borderId="192" xfId="64" applyNumberFormat="1" applyFont="1" applyFill="1" applyBorder="1" applyAlignment="1" applyProtection="1">
      <alignment horizontal="center" vertical="center" wrapText="1" readingOrder="1"/>
    </xf>
    <xf numFmtId="3" fontId="3" fillId="48" borderId="202" xfId="64" applyNumberFormat="1" applyFont="1" applyFill="1" applyBorder="1" applyAlignment="1" applyProtection="1">
      <alignment horizontal="center" vertical="center" wrapText="1" readingOrder="1"/>
    </xf>
    <xf numFmtId="3" fontId="3" fillId="48" borderId="185" xfId="64" applyNumberFormat="1" applyFont="1" applyFill="1" applyBorder="1" applyAlignment="1" applyProtection="1">
      <alignment horizontal="center" vertical="center" wrapText="1" readingOrder="1"/>
    </xf>
    <xf numFmtId="3" fontId="3" fillId="48" borderId="234" xfId="64" applyNumberFormat="1" applyFont="1" applyFill="1" applyBorder="1" applyAlignment="1" applyProtection="1">
      <alignment horizontal="center" vertical="center" wrapText="1" readingOrder="1"/>
    </xf>
    <xf numFmtId="3" fontId="3" fillId="48" borderId="179" xfId="64" applyNumberFormat="1" applyFont="1" applyFill="1" applyBorder="1" applyAlignment="1" applyProtection="1">
      <alignment horizontal="center" vertical="center" wrapText="1" readingOrder="1"/>
    </xf>
    <xf numFmtId="3" fontId="3" fillId="48" borderId="133" xfId="64" applyNumberFormat="1" applyFont="1" applyFill="1" applyBorder="1" applyAlignment="1" applyProtection="1">
      <alignment horizontal="center" vertical="center" wrapText="1" readingOrder="1"/>
    </xf>
    <xf numFmtId="3" fontId="3" fillId="48" borderId="131" xfId="64" applyNumberFormat="1" applyFont="1" applyFill="1" applyBorder="1" applyAlignment="1" applyProtection="1">
      <alignment horizontal="center" vertical="center" wrapText="1" readingOrder="1"/>
    </xf>
    <xf numFmtId="3" fontId="3" fillId="48" borderId="191" xfId="64" applyNumberFormat="1" applyFont="1" applyFill="1" applyBorder="1" applyAlignment="1" applyProtection="1">
      <alignment horizontal="center" vertical="center" wrapText="1" readingOrder="1"/>
    </xf>
    <xf numFmtId="3" fontId="3" fillId="48" borderId="541" xfId="64" applyNumberFormat="1" applyFont="1" applyFill="1" applyBorder="1" applyAlignment="1" applyProtection="1">
      <alignment horizontal="center" vertical="center" wrapText="1" readingOrder="1"/>
    </xf>
    <xf numFmtId="3" fontId="3" fillId="48" borderId="545" xfId="64" applyNumberFormat="1" applyFont="1" applyFill="1" applyBorder="1" applyAlignment="1" applyProtection="1">
      <alignment horizontal="center" vertical="center" wrapText="1" readingOrder="1"/>
    </xf>
    <xf numFmtId="3" fontId="3" fillId="48" borderId="549" xfId="64" applyNumberFormat="1" applyFont="1" applyFill="1" applyBorder="1" applyAlignment="1" applyProtection="1">
      <alignment horizontal="center" vertical="center" wrapText="1" readingOrder="1"/>
    </xf>
    <xf numFmtId="3" fontId="3" fillId="0" borderId="166" xfId="64" applyNumberFormat="1" applyFont="1" applyFill="1" applyBorder="1" applyAlignment="1" applyProtection="1">
      <alignment horizontal="center" vertical="center" wrapText="1" readingOrder="1"/>
    </xf>
    <xf numFmtId="3" fontId="3" fillId="0" borderId="167" xfId="64" applyNumberFormat="1" applyFont="1" applyFill="1" applyBorder="1" applyAlignment="1" applyProtection="1">
      <alignment horizontal="center" vertical="center" wrapText="1" readingOrder="1"/>
    </xf>
    <xf numFmtId="3" fontId="3" fillId="0" borderId="168" xfId="64" applyNumberFormat="1" applyFont="1" applyFill="1" applyBorder="1" applyAlignment="1" applyProtection="1">
      <alignment horizontal="center" vertical="center" wrapText="1" readingOrder="1"/>
    </xf>
    <xf numFmtId="3" fontId="3" fillId="0" borderId="536" xfId="64" applyNumberFormat="1" applyFont="1" applyFill="1" applyBorder="1" applyAlignment="1" applyProtection="1">
      <alignment horizontal="center" vertical="center" wrapText="1" readingOrder="1"/>
    </xf>
    <xf numFmtId="3" fontId="3" fillId="0" borderId="273" xfId="64" applyNumberFormat="1" applyFont="1" applyFill="1" applyBorder="1" applyAlignment="1" applyProtection="1">
      <alignment horizontal="center" vertical="center" wrapText="1" readingOrder="1"/>
    </xf>
    <xf numFmtId="3" fontId="3" fillId="0" borderId="537" xfId="64" applyNumberFormat="1" applyFont="1" applyFill="1" applyBorder="1" applyAlignment="1" applyProtection="1">
      <alignment horizontal="center" vertical="center" wrapText="1" readingOrder="1"/>
    </xf>
    <xf numFmtId="3" fontId="3" fillId="0" borderId="538" xfId="64" applyNumberFormat="1" applyFont="1" applyFill="1" applyBorder="1" applyAlignment="1" applyProtection="1">
      <alignment horizontal="center" vertical="center" wrapText="1" readingOrder="1"/>
    </xf>
    <xf numFmtId="3" fontId="3" fillId="0" borderId="539" xfId="64" applyNumberFormat="1" applyFont="1" applyFill="1" applyBorder="1" applyAlignment="1" applyProtection="1">
      <alignment horizontal="center" vertical="center" wrapText="1" readingOrder="1"/>
    </xf>
    <xf numFmtId="3" fontId="3" fillId="0" borderId="540" xfId="64" applyNumberFormat="1" applyFont="1" applyFill="1" applyBorder="1" applyAlignment="1" applyProtection="1">
      <alignment horizontal="center" vertical="center" wrapText="1" readingOrder="1"/>
    </xf>
    <xf numFmtId="3" fontId="3" fillId="0" borderId="542" xfId="64" applyNumberFormat="1" applyFont="1" applyFill="1" applyBorder="1" applyAlignment="1" applyProtection="1">
      <alignment horizontal="center" vertical="center" wrapText="1" readingOrder="1"/>
    </xf>
    <xf numFmtId="3" fontId="3" fillId="0" borderId="543" xfId="64" applyNumberFormat="1" applyFont="1" applyFill="1" applyBorder="1" applyAlignment="1" applyProtection="1">
      <alignment horizontal="center" vertical="center" wrapText="1" readingOrder="1"/>
    </xf>
    <xf numFmtId="3" fontId="3" fillId="0" borderId="544" xfId="64" applyNumberFormat="1" applyFont="1" applyFill="1" applyBorder="1" applyAlignment="1" applyProtection="1">
      <alignment horizontal="center" vertical="center" wrapText="1" readingOrder="1"/>
    </xf>
    <xf numFmtId="3" fontId="3" fillId="0" borderId="546" xfId="64" applyNumberFormat="1" applyFont="1" applyFill="1" applyBorder="1" applyAlignment="1" applyProtection="1">
      <alignment horizontal="center" vertical="center" wrapText="1" readingOrder="1"/>
    </xf>
    <xf numFmtId="3" fontId="3" fillId="0" borderId="547" xfId="64" applyNumberFormat="1" applyFont="1" applyFill="1" applyBorder="1" applyAlignment="1" applyProtection="1">
      <alignment horizontal="center" vertical="center" wrapText="1" readingOrder="1"/>
    </xf>
    <xf numFmtId="3" fontId="3" fillId="0" borderId="548" xfId="64" applyNumberFormat="1" applyFont="1" applyFill="1" applyBorder="1" applyAlignment="1" applyProtection="1">
      <alignment horizontal="center" vertical="center" wrapText="1" readingOrder="1"/>
    </xf>
    <xf numFmtId="0" fontId="7" fillId="48" borderId="0" xfId="73" applyFont="1" applyFill="1" applyBorder="1" applyAlignment="1">
      <alignment horizontal="center" vertical="center" readingOrder="2"/>
    </xf>
    <xf numFmtId="0" fontId="60" fillId="0" borderId="0" xfId="71" applyFont="1" applyFill="1" applyBorder="1" applyAlignment="1" applyProtection="1">
      <alignment vertical="center" readingOrder="1"/>
    </xf>
    <xf numFmtId="0" fontId="58" fillId="0" borderId="195" xfId="71" applyFont="1" applyFill="1" applyBorder="1" applyProtection="1"/>
    <xf numFmtId="0" fontId="58" fillId="0" borderId="195" xfId="62" applyFont="1" applyFill="1" applyBorder="1" applyAlignment="1" applyProtection="1">
      <alignment horizontal="right"/>
    </xf>
    <xf numFmtId="0" fontId="58" fillId="49" borderId="195" xfId="62" applyFont="1" applyFill="1" applyBorder="1" applyAlignment="1" applyProtection="1">
      <alignment horizontal="right"/>
    </xf>
    <xf numFmtId="0" fontId="58" fillId="0" borderId="195" xfId="71" applyFont="1" applyFill="1" applyBorder="1" applyAlignment="1" applyProtection="1"/>
    <xf numFmtId="0" fontId="58" fillId="49" borderId="196" xfId="62" applyFont="1" applyFill="1" applyBorder="1" applyAlignment="1" applyProtection="1">
      <alignment horizontal="right"/>
    </xf>
    <xf numFmtId="0" fontId="58" fillId="0" borderId="198" xfId="71" applyFont="1" applyFill="1" applyBorder="1" applyProtection="1"/>
    <xf numFmtId="0" fontId="57" fillId="48" borderId="70" xfId="64" applyFont="1" applyFill="1" applyBorder="1" applyAlignment="1" applyProtection="1">
      <alignment horizontal="right" vertical="center" readingOrder="2"/>
    </xf>
    <xf numFmtId="0" fontId="57" fillId="48" borderId="0" xfId="64" applyFont="1" applyFill="1" applyBorder="1" applyAlignment="1" applyProtection="1">
      <alignment horizontal="right" vertical="center" readingOrder="2"/>
    </xf>
    <xf numFmtId="0" fontId="1" fillId="48" borderId="0" xfId="64" applyFill="1" applyBorder="1" applyAlignment="1" applyProtection="1">
      <alignment vertical="center"/>
    </xf>
    <xf numFmtId="0" fontId="1" fillId="48" borderId="0" xfId="64" applyFill="1" applyBorder="1" applyAlignment="1" applyProtection="1"/>
    <xf numFmtId="0" fontId="1" fillId="48" borderId="43" xfId="64" applyFill="1" applyBorder="1" applyAlignment="1" applyProtection="1">
      <alignment vertical="center"/>
    </xf>
    <xf numFmtId="0" fontId="57" fillId="48" borderId="70" xfId="71" applyFont="1" applyFill="1" applyBorder="1" applyAlignment="1" applyProtection="1">
      <alignment horizontal="right" vertical="center" readingOrder="2"/>
    </xf>
    <xf numFmtId="0" fontId="57" fillId="48" borderId="0" xfId="71" applyFont="1" applyFill="1" applyBorder="1" applyAlignment="1" applyProtection="1">
      <alignment horizontal="right" vertical="center" readingOrder="2"/>
    </xf>
    <xf numFmtId="0" fontId="1" fillId="48" borderId="0" xfId="71" applyFill="1" applyBorder="1" applyAlignment="1" applyProtection="1">
      <alignment vertical="center"/>
    </xf>
    <xf numFmtId="0" fontId="1" fillId="48" borderId="0" xfId="71" applyFill="1" applyBorder="1" applyAlignment="1" applyProtection="1"/>
    <xf numFmtId="0" fontId="1" fillId="48" borderId="43" xfId="71" applyFill="1" applyBorder="1" applyAlignment="1" applyProtection="1">
      <alignment vertical="center"/>
    </xf>
    <xf numFmtId="3" fontId="58" fillId="26" borderId="128" xfId="64" applyNumberFormat="1" applyFont="1" applyFill="1" applyBorder="1" applyAlignment="1" applyProtection="1">
      <alignment horizontal="center" vertical="center" wrapText="1" readingOrder="1"/>
      <protection locked="0"/>
    </xf>
    <xf numFmtId="3" fontId="58" fillId="26" borderId="129" xfId="64" applyNumberFormat="1" applyFont="1" applyFill="1" applyBorder="1" applyAlignment="1" applyProtection="1">
      <alignment horizontal="center" vertical="center" wrapText="1" readingOrder="1"/>
      <protection locked="0"/>
    </xf>
    <xf numFmtId="3" fontId="58" fillId="26" borderId="123" xfId="64" applyNumberFormat="1" applyFont="1" applyFill="1" applyBorder="1" applyAlignment="1" applyProtection="1">
      <alignment horizontal="center" vertical="center" wrapText="1" readingOrder="1"/>
      <protection locked="0"/>
    </xf>
    <xf numFmtId="49" fontId="322" fillId="31" borderId="0" xfId="54" applyNumberFormat="1" applyFont="1" applyFill="1" applyAlignment="1">
      <alignment vertical="center"/>
    </xf>
    <xf numFmtId="0" fontId="281" fillId="48" borderId="303" xfId="55" applyFont="1" applyFill="1" applyBorder="1" applyAlignment="1" applyProtection="1">
      <alignment horizontal="center"/>
    </xf>
    <xf numFmtId="0" fontId="285" fillId="48" borderId="304" xfId="55" applyFont="1" applyFill="1" applyBorder="1" applyAlignment="1" applyProtection="1">
      <alignment horizontal="center"/>
    </xf>
    <xf numFmtId="0" fontId="281" fillId="48" borderId="304" xfId="55" applyFont="1" applyFill="1" applyBorder="1" applyAlignment="1" applyProtection="1">
      <alignment horizontal="center"/>
    </xf>
    <xf numFmtId="0" fontId="284" fillId="48" borderId="304" xfId="55" applyFont="1" applyFill="1" applyBorder="1" applyProtection="1"/>
    <xf numFmtId="0" fontId="283" fillId="48" borderId="304" xfId="55" applyFont="1" applyFill="1" applyBorder="1" applyProtection="1"/>
    <xf numFmtId="0" fontId="282" fillId="48" borderId="304" xfId="55" applyFont="1" applyFill="1" applyBorder="1" applyAlignment="1" applyProtection="1">
      <alignment horizontal="center"/>
    </xf>
    <xf numFmtId="0" fontId="281" fillId="48" borderId="304" xfId="55" applyFont="1" applyFill="1" applyBorder="1" applyProtection="1"/>
    <xf numFmtId="2" fontId="281" fillId="48" borderId="304" xfId="55" applyNumberFormat="1" applyFont="1" applyFill="1" applyBorder="1" applyAlignment="1" applyProtection="1">
      <alignment horizontal="center"/>
    </xf>
    <xf numFmtId="0" fontId="281" fillId="48" borderId="305" xfId="55" applyFont="1" applyFill="1" applyBorder="1" applyAlignment="1" applyProtection="1">
      <alignment horizontal="center" vertical="center"/>
    </xf>
    <xf numFmtId="3" fontId="285" fillId="48" borderId="303" xfId="55" applyNumberFormat="1" applyFont="1" applyFill="1" applyBorder="1" applyAlignment="1" applyProtection="1">
      <alignment horizontal="center"/>
    </xf>
    <xf numFmtId="3" fontId="285" fillId="48" borderId="304" xfId="55" applyNumberFormat="1" applyFont="1" applyFill="1" applyBorder="1" applyAlignment="1" applyProtection="1">
      <alignment horizontal="center"/>
    </xf>
    <xf numFmtId="3" fontId="285" fillId="48" borderId="305" xfId="55" applyNumberFormat="1" applyFont="1" applyFill="1" applyBorder="1" applyAlignment="1" applyProtection="1">
      <alignment horizontal="center"/>
    </xf>
    <xf numFmtId="0" fontId="312" fillId="0" borderId="0" xfId="54" applyFont="1" applyFill="1" applyAlignment="1" applyProtection="1">
      <alignment vertical="center"/>
    </xf>
    <xf numFmtId="0" fontId="279" fillId="0" borderId="0" xfId="54" applyFont="1" applyFill="1" applyAlignment="1" applyProtection="1">
      <alignment vertical="center"/>
    </xf>
    <xf numFmtId="0" fontId="58" fillId="48" borderId="0" xfId="73" applyFont="1" applyFill="1" applyBorder="1" applyAlignment="1" applyProtection="1">
      <alignment horizontal="center" vertical="center"/>
      <protection locked="0"/>
    </xf>
    <xf numFmtId="0" fontId="316" fillId="48" borderId="0" xfId="73" applyFont="1" applyFill="1" applyBorder="1" applyAlignment="1">
      <alignment horizontal="right" vertical="center" readingOrder="2"/>
    </xf>
    <xf numFmtId="0" fontId="229" fillId="48" borderId="0" xfId="73" applyFont="1" applyFill="1" applyBorder="1" applyProtection="1">
      <protection hidden="1"/>
    </xf>
    <xf numFmtId="0" fontId="7" fillId="0" borderId="70" xfId="70" applyFont="1" applyFill="1" applyBorder="1" applyAlignment="1">
      <alignment horizontal="right" vertical="center" readingOrder="2"/>
    </xf>
    <xf numFmtId="0" fontId="415" fillId="0" borderId="497" xfId="0" applyFont="1" applyBorder="1"/>
    <xf numFmtId="0" fontId="416" fillId="48" borderId="0" xfId="73" applyFont="1" applyFill="1" applyBorder="1" applyAlignment="1">
      <alignment horizontal="left" vertical="center"/>
    </xf>
    <xf numFmtId="0" fontId="57" fillId="0" borderId="554" xfId="70" applyFont="1" applyFill="1" applyBorder="1" applyAlignment="1">
      <alignment horizontal="left" vertical="center" readingOrder="2"/>
    </xf>
    <xf numFmtId="0" fontId="58" fillId="26" borderId="117" xfId="73" applyFont="1" applyFill="1" applyBorder="1" applyAlignment="1" applyProtection="1">
      <alignment horizontal="center" vertical="center"/>
      <protection locked="0"/>
    </xf>
    <xf numFmtId="0" fontId="61" fillId="64" borderId="499" xfId="73" applyFont="1" applyFill="1" applyBorder="1" applyAlignment="1">
      <alignment horizontal="center" vertical="center" readingOrder="2"/>
    </xf>
    <xf numFmtId="0" fontId="2" fillId="64" borderId="500" xfId="73" applyFont="1" applyFill="1" applyBorder="1" applyAlignment="1" applyProtection="1">
      <alignment vertical="center"/>
      <protection hidden="1"/>
    </xf>
    <xf numFmtId="0" fontId="2" fillId="64" borderId="500" xfId="73" applyFont="1" applyFill="1" applyBorder="1" applyAlignment="1" applyProtection="1">
      <alignment horizontal="right" vertical="center"/>
      <protection hidden="1"/>
    </xf>
    <xf numFmtId="0" fontId="57" fillId="0" borderId="523" xfId="68" applyFont="1" applyFill="1" applyBorder="1" applyAlignment="1" applyProtection="1">
      <alignment horizontal="right" vertical="center" readingOrder="2"/>
    </xf>
    <xf numFmtId="3" fontId="3" fillId="48" borderId="134" xfId="64" applyNumberFormat="1" applyFont="1" applyFill="1" applyBorder="1" applyAlignment="1" applyProtection="1">
      <alignment horizontal="center" vertical="center" wrapText="1" readingOrder="1"/>
    </xf>
    <xf numFmtId="3" fontId="3" fillId="48" borderId="132" xfId="64" applyNumberFormat="1" applyFont="1" applyFill="1" applyBorder="1" applyAlignment="1" applyProtection="1">
      <alignment horizontal="center" vertical="center" wrapText="1" readingOrder="1"/>
    </xf>
    <xf numFmtId="3" fontId="3" fillId="48" borderId="129" xfId="64" applyNumberFormat="1" applyFont="1" applyFill="1" applyBorder="1" applyAlignment="1" applyProtection="1">
      <alignment horizontal="center" vertical="center" wrapText="1" readingOrder="1"/>
      <protection locked="0"/>
    </xf>
    <xf numFmtId="3" fontId="3" fillId="48" borderId="126" xfId="64" applyNumberFormat="1" applyFont="1" applyFill="1" applyBorder="1" applyAlignment="1" applyProtection="1">
      <alignment horizontal="center" vertical="center" wrapText="1" readingOrder="1"/>
      <protection locked="0"/>
    </xf>
    <xf numFmtId="3" fontId="3" fillId="48" borderId="128" xfId="64" applyNumberFormat="1" applyFont="1" applyFill="1" applyBorder="1" applyAlignment="1" applyProtection="1">
      <alignment horizontal="center" vertical="center" wrapText="1" readingOrder="1"/>
      <protection locked="0"/>
    </xf>
    <xf numFmtId="3" fontId="3" fillId="48" borderId="125" xfId="64" applyNumberFormat="1" applyFont="1" applyFill="1" applyBorder="1" applyAlignment="1" applyProtection="1">
      <alignment horizontal="center" vertical="center" wrapText="1" readingOrder="1"/>
      <protection locked="0"/>
    </xf>
    <xf numFmtId="3" fontId="3" fillId="48" borderId="130" xfId="64" applyNumberFormat="1" applyFont="1" applyFill="1" applyBorder="1" applyAlignment="1" applyProtection="1">
      <alignment horizontal="center" vertical="center" wrapText="1" readingOrder="1"/>
      <protection locked="0"/>
    </xf>
    <xf numFmtId="3" fontId="3" fillId="48" borderId="127" xfId="64" applyNumberFormat="1" applyFont="1" applyFill="1" applyBorder="1" applyAlignment="1" applyProtection="1">
      <alignment horizontal="center" vertical="center" wrapText="1" readingOrder="1"/>
      <protection locked="0"/>
    </xf>
    <xf numFmtId="3" fontId="3" fillId="48" borderId="133" xfId="64" applyNumberFormat="1" applyFont="1" applyFill="1" applyBorder="1" applyAlignment="1" applyProtection="1">
      <alignment horizontal="center" vertical="center" wrapText="1" readingOrder="1"/>
      <protection locked="0"/>
    </xf>
    <xf numFmtId="3" fontId="3" fillId="48" borderId="134" xfId="64" applyNumberFormat="1" applyFont="1" applyFill="1" applyBorder="1" applyAlignment="1" applyProtection="1">
      <alignment horizontal="center" vertical="center" wrapText="1" readingOrder="1"/>
      <protection locked="0"/>
    </xf>
    <xf numFmtId="3" fontId="3" fillId="48" borderId="131" xfId="64" applyNumberFormat="1" applyFont="1" applyFill="1" applyBorder="1" applyAlignment="1" applyProtection="1">
      <alignment horizontal="center" vertical="center" wrapText="1" readingOrder="1"/>
      <protection locked="0"/>
    </xf>
    <xf numFmtId="3" fontId="3" fillId="48" borderId="132" xfId="64" applyNumberFormat="1" applyFont="1" applyFill="1" applyBorder="1" applyAlignment="1" applyProtection="1">
      <alignment horizontal="center" vertical="center" wrapText="1" readingOrder="1"/>
      <protection locked="0"/>
    </xf>
    <xf numFmtId="3" fontId="3" fillId="48" borderId="151" xfId="64" applyNumberFormat="1" applyFont="1" applyFill="1" applyBorder="1" applyAlignment="1" applyProtection="1">
      <alignment horizontal="center" vertical="center" wrapText="1" readingOrder="1"/>
      <protection locked="0"/>
    </xf>
    <xf numFmtId="3" fontId="3" fillId="48" borderId="152" xfId="64" applyNumberFormat="1" applyFont="1" applyFill="1" applyBorder="1" applyAlignment="1" applyProtection="1">
      <alignment horizontal="center" vertical="center" wrapText="1" readingOrder="1"/>
      <protection locked="0"/>
    </xf>
    <xf numFmtId="3" fontId="3" fillId="48" borderId="153" xfId="64" applyNumberFormat="1" applyFont="1" applyFill="1" applyBorder="1" applyAlignment="1" applyProtection="1">
      <alignment horizontal="center" vertical="center" wrapText="1" readingOrder="1"/>
      <protection locked="0"/>
    </xf>
    <xf numFmtId="3" fontId="3" fillId="48" borderId="149" xfId="64" applyNumberFormat="1" applyFont="1" applyFill="1" applyBorder="1" applyAlignment="1" applyProtection="1">
      <alignment horizontal="center" vertical="center" wrapText="1" readingOrder="1"/>
      <protection locked="0"/>
    </xf>
    <xf numFmtId="3" fontId="3" fillId="48" borderId="150" xfId="64" applyNumberFormat="1" applyFont="1" applyFill="1" applyBorder="1" applyAlignment="1" applyProtection="1">
      <alignment horizontal="center" vertical="center" wrapText="1" readingOrder="1"/>
      <protection locked="0"/>
    </xf>
    <xf numFmtId="0" fontId="64" fillId="48" borderId="0" xfId="64" applyFont="1" applyFill="1" applyBorder="1" applyAlignment="1" applyProtection="1">
      <alignment vertical="center" readingOrder="2"/>
      <protection locked="0"/>
    </xf>
    <xf numFmtId="0" fontId="328" fillId="48" borderId="0" xfId="64" applyFont="1" applyFill="1" applyBorder="1" applyAlignment="1" applyProtection="1">
      <alignment horizontal="left" vertical="center" readingOrder="2"/>
      <protection locked="0"/>
    </xf>
    <xf numFmtId="0" fontId="396" fillId="48" borderId="0" xfId="64" applyFont="1" applyFill="1" applyBorder="1" applyAlignment="1" applyProtection="1">
      <alignment vertical="center" readingOrder="1"/>
      <protection locked="0"/>
    </xf>
    <xf numFmtId="0" fontId="407" fillId="48" borderId="0" xfId="64" applyFont="1" applyFill="1" applyBorder="1" applyAlignment="1" applyProtection="1">
      <alignment horizontal="center" vertical="center" readingOrder="2"/>
      <protection locked="0"/>
    </xf>
    <xf numFmtId="0" fontId="58" fillId="48" borderId="117" xfId="64" applyFont="1" applyFill="1" applyBorder="1" applyAlignment="1" applyProtection="1">
      <alignment horizontal="center" vertical="center" wrapText="1" readingOrder="2"/>
    </xf>
    <xf numFmtId="0" fontId="7" fillId="48" borderId="0" xfId="64" applyFont="1" applyFill="1" applyBorder="1" applyAlignment="1" applyProtection="1">
      <alignment horizontal="right" vertical="center" readingOrder="2"/>
      <protection locked="0"/>
    </xf>
    <xf numFmtId="0" fontId="405" fillId="48" borderId="248" xfId="64" applyFont="1" applyFill="1" applyBorder="1" applyAlignment="1" applyProtection="1">
      <alignment horizontal="right" vertical="center" readingOrder="2"/>
      <protection locked="0"/>
    </xf>
    <xf numFmtId="0" fontId="411" fillId="0" borderId="248" xfId="0" applyFont="1" applyBorder="1" applyProtection="1">
      <protection hidden="1"/>
    </xf>
    <xf numFmtId="0" fontId="335" fillId="48" borderId="0" xfId="64" applyFont="1" applyFill="1" applyBorder="1" applyAlignment="1" applyProtection="1">
      <alignment horizontal="right" vertical="center" readingOrder="2"/>
      <protection locked="0"/>
    </xf>
    <xf numFmtId="0" fontId="335" fillId="48" borderId="0" xfId="64" applyFont="1" applyFill="1" applyBorder="1" applyAlignment="1" applyProtection="1">
      <alignment horizontal="right" readingOrder="2"/>
      <protection locked="0"/>
    </xf>
    <xf numFmtId="0" fontId="318" fillId="51" borderId="0" xfId="64" applyFont="1" applyFill="1" applyBorder="1" applyAlignment="1" applyProtection="1">
      <protection locked="0"/>
    </xf>
    <xf numFmtId="0" fontId="55" fillId="48" borderId="0" xfId="64" applyFont="1" applyFill="1" applyBorder="1" applyAlignment="1" applyProtection="1">
      <alignment horizontal="right" vertical="center" readingOrder="2"/>
      <protection hidden="1"/>
    </xf>
    <xf numFmtId="0" fontId="7" fillId="49" borderId="0" xfId="64" applyFont="1" applyFill="1" applyBorder="1" applyAlignment="1">
      <alignment horizontal="left" vertical="center" readingOrder="2"/>
    </xf>
    <xf numFmtId="3" fontId="3" fillId="26" borderId="130" xfId="64" applyNumberFormat="1" applyFont="1" applyFill="1" applyBorder="1" applyAlignment="1" applyProtection="1">
      <alignment horizontal="center" vertical="center" wrapText="1" readingOrder="1"/>
    </xf>
    <xf numFmtId="0" fontId="395" fillId="65" borderId="13" xfId="64" applyFont="1" applyFill="1" applyBorder="1" applyAlignment="1" applyProtection="1">
      <alignment horizontal="right" vertical="center" readingOrder="2"/>
    </xf>
    <xf numFmtId="0" fontId="334" fillId="65" borderId="13" xfId="64" applyFont="1" applyFill="1" applyBorder="1" applyAlignment="1" applyProtection="1">
      <alignment horizontal="left" vertical="center" readingOrder="2"/>
    </xf>
    <xf numFmtId="0" fontId="69" fillId="65" borderId="115" xfId="64" applyFont="1" applyFill="1" applyBorder="1" applyAlignment="1" applyProtection="1">
      <alignment horizontal="center" vertical="center" wrapText="1" readingOrder="1"/>
    </xf>
    <xf numFmtId="0" fontId="183" fillId="65" borderId="115" xfId="64" applyFont="1" applyFill="1" applyBorder="1" applyAlignment="1" applyProtection="1">
      <alignment horizontal="center" vertical="center" wrapText="1" readingOrder="1"/>
    </xf>
    <xf numFmtId="0" fontId="334" fillId="65" borderId="115" xfId="64" applyFont="1" applyFill="1" applyBorder="1" applyAlignment="1" applyProtection="1">
      <alignment horizontal="left" vertical="center" readingOrder="2"/>
    </xf>
    <xf numFmtId="0" fontId="403" fillId="65" borderId="115" xfId="64" applyFont="1" applyFill="1" applyBorder="1" applyAlignment="1" applyProtection="1">
      <alignment vertical="center" wrapText="1" readingOrder="2"/>
    </xf>
    <xf numFmtId="0" fontId="404" fillId="65" borderId="115" xfId="64" applyFont="1" applyFill="1" applyBorder="1" applyAlignment="1" applyProtection="1">
      <alignment vertical="center" wrapText="1" readingOrder="1"/>
    </xf>
    <xf numFmtId="0" fontId="69" fillId="65" borderId="13" xfId="64" applyFont="1" applyFill="1" applyBorder="1" applyAlignment="1" applyProtection="1">
      <alignment horizontal="center" vertical="center" wrapText="1" readingOrder="2"/>
    </xf>
    <xf numFmtId="0" fontId="183" fillId="65" borderId="13" xfId="64" applyFont="1" applyFill="1" applyBorder="1" applyAlignment="1" applyProtection="1">
      <alignment horizontal="center" vertical="center" wrapText="1" readingOrder="2"/>
    </xf>
    <xf numFmtId="0" fontId="420" fillId="48" borderId="120" xfId="64" applyFont="1" applyFill="1" applyBorder="1" applyAlignment="1" applyProtection="1">
      <alignment horizontal="left" vertical="center" readingOrder="2"/>
      <protection locked="0"/>
    </xf>
    <xf numFmtId="0" fontId="421" fillId="65" borderId="117" xfId="64" applyFont="1" applyFill="1" applyBorder="1" applyAlignment="1" applyProtection="1">
      <alignment horizontal="center" vertical="center" wrapText="1" readingOrder="2"/>
      <protection locked="0"/>
    </xf>
    <xf numFmtId="0" fontId="420" fillId="65" borderId="117" xfId="64" applyFont="1" applyFill="1" applyBorder="1" applyAlignment="1" applyProtection="1">
      <alignment horizontal="center" vertical="center" readingOrder="2"/>
      <protection locked="0"/>
    </xf>
    <xf numFmtId="0" fontId="231" fillId="51" borderId="0" xfId="70" applyFont="1" applyFill="1" applyBorder="1" applyAlignment="1" applyProtection="1">
      <alignment horizontal="left" vertical="center" readingOrder="2"/>
    </xf>
    <xf numFmtId="0" fontId="1" fillId="51" borderId="0" xfId="64" applyFill="1" applyBorder="1" applyAlignment="1" applyProtection="1"/>
    <xf numFmtId="3" fontId="395" fillId="48" borderId="116" xfId="64" applyNumberFormat="1" applyFont="1" applyFill="1" applyBorder="1" applyAlignment="1" applyProtection="1">
      <alignment horizontal="center" vertical="center" readingOrder="1"/>
      <protection locked="0"/>
    </xf>
    <xf numFmtId="3" fontId="423" fillId="48" borderId="116" xfId="64" applyNumberFormat="1" applyFont="1" applyFill="1" applyBorder="1" applyAlignment="1" applyProtection="1">
      <alignment horizontal="center" vertical="center" readingOrder="1"/>
    </xf>
    <xf numFmtId="3" fontId="338" fillId="48" borderId="116" xfId="64" applyNumberFormat="1" applyFont="1" applyFill="1" applyBorder="1" applyAlignment="1" applyProtection="1">
      <alignment horizontal="center" vertical="center" readingOrder="1"/>
    </xf>
    <xf numFmtId="3" fontId="3" fillId="26" borderId="127" xfId="64" applyNumberFormat="1" applyFont="1" applyFill="1" applyBorder="1" applyAlignment="1" applyProtection="1">
      <alignment horizontal="center" vertical="center" wrapText="1" readingOrder="1"/>
    </xf>
    <xf numFmtId="3" fontId="3" fillId="0" borderId="166" xfId="64" applyNumberFormat="1" applyFont="1" applyFill="1" applyBorder="1" applyAlignment="1" applyProtection="1">
      <alignment horizontal="center" vertical="center" wrapText="1" readingOrder="1"/>
      <protection locked="0"/>
    </xf>
    <xf numFmtId="3" fontId="3" fillId="0" borderId="167" xfId="64" applyNumberFormat="1" applyFont="1" applyFill="1" applyBorder="1" applyAlignment="1" applyProtection="1">
      <alignment horizontal="center" vertical="center" wrapText="1" readingOrder="1"/>
      <protection locked="0"/>
    </xf>
    <xf numFmtId="3" fontId="3" fillId="0" borderId="168" xfId="64" applyNumberFormat="1" applyFont="1" applyFill="1" applyBorder="1" applyAlignment="1" applyProtection="1">
      <alignment horizontal="center" vertical="center" wrapText="1" readingOrder="1"/>
      <protection locked="0"/>
    </xf>
    <xf numFmtId="3" fontId="3" fillId="0" borderId="536" xfId="64" applyNumberFormat="1" applyFont="1" applyFill="1" applyBorder="1" applyAlignment="1" applyProtection="1">
      <alignment horizontal="center" vertical="center" wrapText="1" readingOrder="1"/>
      <protection locked="0"/>
    </xf>
    <xf numFmtId="3" fontId="3" fillId="0" borderId="273" xfId="64" applyNumberFormat="1" applyFont="1" applyFill="1" applyBorder="1" applyAlignment="1" applyProtection="1">
      <alignment horizontal="center" vertical="center" wrapText="1" readingOrder="1"/>
      <protection locked="0"/>
    </xf>
    <xf numFmtId="3" fontId="3" fillId="0" borderId="537" xfId="64" applyNumberFormat="1" applyFont="1" applyFill="1" applyBorder="1" applyAlignment="1" applyProtection="1">
      <alignment horizontal="center" vertical="center" wrapText="1" readingOrder="1"/>
      <protection locked="0"/>
    </xf>
    <xf numFmtId="3" fontId="3" fillId="0" borderId="538" xfId="64" applyNumberFormat="1" applyFont="1" applyFill="1" applyBorder="1" applyAlignment="1" applyProtection="1">
      <alignment horizontal="center" vertical="center" wrapText="1" readingOrder="1"/>
      <protection locked="0"/>
    </xf>
    <xf numFmtId="3" fontId="3" fillId="0" borderId="539" xfId="64" applyNumberFormat="1" applyFont="1" applyFill="1" applyBorder="1" applyAlignment="1" applyProtection="1">
      <alignment horizontal="center" vertical="center" wrapText="1" readingOrder="1"/>
      <protection locked="0"/>
    </xf>
    <xf numFmtId="3" fontId="3" fillId="0" borderId="540" xfId="64" applyNumberFormat="1" applyFont="1" applyFill="1" applyBorder="1" applyAlignment="1" applyProtection="1">
      <alignment horizontal="center" vertical="center" wrapText="1" readingOrder="1"/>
      <protection locked="0"/>
    </xf>
    <xf numFmtId="3" fontId="3" fillId="0" borderId="542" xfId="64" applyNumberFormat="1" applyFont="1" applyFill="1" applyBorder="1" applyAlignment="1" applyProtection="1">
      <alignment horizontal="center" vertical="center" wrapText="1" readingOrder="1"/>
      <protection locked="0"/>
    </xf>
    <xf numFmtId="3" fontId="3" fillId="0" borderId="543" xfId="64" applyNumberFormat="1" applyFont="1" applyFill="1" applyBorder="1" applyAlignment="1" applyProtection="1">
      <alignment horizontal="center" vertical="center" wrapText="1" readingOrder="1"/>
      <protection locked="0"/>
    </xf>
    <xf numFmtId="3" fontId="3" fillId="0" borderId="544" xfId="64" applyNumberFormat="1" applyFont="1" applyFill="1" applyBorder="1" applyAlignment="1" applyProtection="1">
      <alignment horizontal="center" vertical="center" wrapText="1" readingOrder="1"/>
      <protection locked="0"/>
    </xf>
    <xf numFmtId="3" fontId="3" fillId="0" borderId="546" xfId="64" applyNumberFormat="1" applyFont="1" applyFill="1" applyBorder="1" applyAlignment="1" applyProtection="1">
      <alignment horizontal="center" vertical="center" wrapText="1" readingOrder="1"/>
      <protection locked="0"/>
    </xf>
    <xf numFmtId="3" fontId="3" fillId="0" borderId="547" xfId="64" applyNumberFormat="1" applyFont="1" applyFill="1" applyBorder="1" applyAlignment="1" applyProtection="1">
      <alignment horizontal="center" vertical="center" wrapText="1" readingOrder="1"/>
      <protection locked="0"/>
    </xf>
    <xf numFmtId="3" fontId="3" fillId="0" borderId="548" xfId="64" applyNumberFormat="1" applyFont="1" applyFill="1" applyBorder="1" applyAlignment="1" applyProtection="1">
      <alignment horizontal="center" vertical="center" wrapText="1" readingOrder="1"/>
      <protection locked="0"/>
    </xf>
    <xf numFmtId="0" fontId="200" fillId="0" borderId="315" xfId="60" applyFont="1" applyFill="1" applyBorder="1" applyAlignment="1" applyProtection="1">
      <alignment vertical="center" wrapText="1"/>
    </xf>
    <xf numFmtId="0" fontId="326" fillId="0" borderId="498" xfId="64" applyFont="1" applyFill="1" applyBorder="1" applyAlignment="1" applyProtection="1">
      <alignment horizontal="left" vertical="center" readingOrder="1"/>
      <protection locked="0"/>
    </xf>
    <xf numFmtId="0" fontId="7" fillId="26" borderId="556" xfId="75" applyFont="1" applyFill="1" applyBorder="1" applyAlignment="1" applyProtection="1">
      <alignment vertical="center" wrapText="1" readingOrder="2"/>
    </xf>
    <xf numFmtId="0" fontId="69" fillId="26" borderId="556" xfId="75" applyFont="1" applyFill="1" applyBorder="1" applyAlignment="1" applyProtection="1">
      <alignment vertical="center" wrapText="1" readingOrder="2"/>
    </xf>
    <xf numFmtId="0" fontId="57" fillId="48" borderId="70" xfId="71" applyFont="1" applyFill="1" applyBorder="1" applyAlignment="1" applyProtection="1">
      <alignment vertical="center" readingOrder="2"/>
    </xf>
    <xf numFmtId="0" fontId="57" fillId="48" borderId="0" xfId="71" applyFont="1" applyFill="1" applyBorder="1" applyAlignment="1" applyProtection="1">
      <alignment vertical="center" readingOrder="2"/>
    </xf>
    <xf numFmtId="0" fontId="1" fillId="48" borderId="0" xfId="75" applyFill="1" applyBorder="1" applyAlignment="1" applyProtection="1"/>
    <xf numFmtId="0" fontId="1" fillId="48" borderId="43" xfId="71" applyFill="1" applyBorder="1" applyAlignment="1"/>
    <xf numFmtId="3" fontId="235" fillId="57" borderId="0" xfId="64" applyNumberFormat="1" applyFont="1" applyFill="1" applyBorder="1" applyAlignment="1" applyProtection="1">
      <alignment horizontal="center" vertical="center" readingOrder="1"/>
    </xf>
    <xf numFmtId="3" fontId="171" fillId="57" borderId="0" xfId="64" applyNumberFormat="1" applyFont="1" applyFill="1" applyBorder="1" applyAlignment="1" applyProtection="1">
      <alignment vertical="center" readingOrder="1"/>
    </xf>
    <xf numFmtId="0" fontId="1" fillId="57" borderId="43" xfId="64" applyFill="1" applyBorder="1" applyAlignment="1">
      <alignment vertical="center"/>
    </xf>
    <xf numFmtId="3" fontId="235" fillId="48" borderId="0" xfId="64" applyNumberFormat="1" applyFont="1" applyFill="1" applyBorder="1" applyAlignment="1" applyProtection="1">
      <alignment horizontal="center" vertical="center" readingOrder="1"/>
    </xf>
    <xf numFmtId="3" fontId="171" fillId="48" borderId="0" xfId="64" applyNumberFormat="1" applyFont="1" applyFill="1" applyBorder="1" applyAlignment="1" applyProtection="1">
      <alignment vertical="center" readingOrder="1"/>
    </xf>
    <xf numFmtId="0" fontId="232" fillId="48" borderId="0" xfId="64" applyFont="1" applyFill="1" applyBorder="1" applyAlignment="1" applyProtection="1">
      <alignment vertical="center"/>
      <protection hidden="1"/>
    </xf>
    <xf numFmtId="0" fontId="232" fillId="51" borderId="0" xfId="64" applyFont="1" applyFill="1" applyBorder="1" applyAlignment="1" applyProtection="1">
      <alignment vertical="center"/>
      <protection hidden="1"/>
    </xf>
    <xf numFmtId="0" fontId="62" fillId="51" borderId="0" xfId="64" applyFont="1" applyFill="1" applyBorder="1" applyAlignment="1" applyProtection="1">
      <alignment vertical="center" readingOrder="2"/>
      <protection hidden="1"/>
    </xf>
    <xf numFmtId="0" fontId="7" fillId="49" borderId="0" xfId="64" applyFont="1" applyFill="1" applyBorder="1" applyAlignment="1">
      <alignment vertical="center" readingOrder="2"/>
    </xf>
    <xf numFmtId="0" fontId="317" fillId="48" borderId="248" xfId="73" applyFont="1" applyFill="1" applyBorder="1" applyAlignment="1" applyProtection="1">
      <alignment horizontal="center" vertical="center" readingOrder="2"/>
    </xf>
    <xf numFmtId="0" fontId="57" fillId="48" borderId="248" xfId="71" applyFont="1" applyFill="1" applyBorder="1" applyAlignment="1" applyProtection="1">
      <alignment horizontal="center" vertical="center" readingOrder="2"/>
    </xf>
    <xf numFmtId="0" fontId="225" fillId="26" borderId="123" xfId="64" applyFont="1" applyFill="1" applyBorder="1" applyAlignment="1" applyProtection="1">
      <alignment horizontal="center" vertical="center" wrapText="1" readingOrder="2"/>
    </xf>
    <xf numFmtId="0" fontId="225" fillId="26" borderId="124" xfId="64" applyFont="1" applyFill="1" applyBorder="1" applyAlignment="1" applyProtection="1">
      <alignment horizontal="center" vertical="center" wrapText="1" readingOrder="2"/>
    </xf>
    <xf numFmtId="0" fontId="225" fillId="49" borderId="123" xfId="64" applyFont="1" applyFill="1" applyBorder="1" applyAlignment="1" applyProtection="1">
      <alignment horizontal="center" vertical="center" wrapText="1" readingOrder="2"/>
    </xf>
    <xf numFmtId="0" fontId="225" fillId="49" borderId="124" xfId="64" applyFont="1" applyFill="1" applyBorder="1" applyAlignment="1" applyProtection="1">
      <alignment horizontal="center" vertical="center" wrapText="1" readingOrder="2"/>
    </xf>
    <xf numFmtId="0" fontId="225" fillId="31" borderId="123" xfId="64" applyFont="1" applyFill="1" applyBorder="1" applyAlignment="1" applyProtection="1">
      <alignment horizontal="center" vertical="center" wrapText="1" readingOrder="2"/>
    </xf>
    <xf numFmtId="0" fontId="225" fillId="31" borderId="124" xfId="64" applyFont="1" applyFill="1" applyBorder="1" applyAlignment="1" applyProtection="1">
      <alignment horizontal="center" vertical="center" wrapText="1" readingOrder="2"/>
    </xf>
    <xf numFmtId="0" fontId="203" fillId="0" borderId="118" xfId="60" applyFont="1" applyFill="1" applyBorder="1" applyAlignment="1">
      <alignment horizontal="center" vertical="center" wrapText="1"/>
    </xf>
    <xf numFmtId="0" fontId="55" fillId="48" borderId="0" xfId="71" applyFont="1" applyFill="1" applyBorder="1" applyAlignment="1" applyProtection="1">
      <alignment horizontal="center" vertical="center" readingOrder="2"/>
    </xf>
    <xf numFmtId="0" fontId="200" fillId="0" borderId="122" xfId="60" applyFont="1" applyFill="1" applyBorder="1" applyAlignment="1" applyProtection="1">
      <alignment vertical="center" wrapText="1" readingOrder="2"/>
    </xf>
    <xf numFmtId="0" fontId="203" fillId="0" borderId="117" xfId="60" applyFont="1" applyFill="1" applyBorder="1" applyAlignment="1">
      <alignment horizontal="center" vertical="center" wrapText="1"/>
    </xf>
    <xf numFmtId="3" fontId="200" fillId="0" borderId="563" xfId="60" applyNumberFormat="1" applyFont="1" applyFill="1" applyBorder="1" applyAlignment="1" applyProtection="1">
      <alignment horizontal="right" vertical="center"/>
    </xf>
    <xf numFmtId="0" fontId="204" fillId="0" borderId="564" xfId="60" applyFont="1" applyBorder="1" applyAlignment="1" applyProtection="1">
      <alignment vertical="center" wrapText="1"/>
    </xf>
    <xf numFmtId="0" fontId="200" fillId="0" borderId="563" xfId="60" applyFont="1" applyFill="1" applyBorder="1" applyAlignment="1" applyProtection="1">
      <alignment vertical="center"/>
    </xf>
    <xf numFmtId="3" fontId="200" fillId="0" borderId="565" xfId="60" applyNumberFormat="1" applyFont="1" applyFill="1" applyBorder="1" applyAlignment="1" applyProtection="1">
      <alignment vertical="center"/>
      <protection locked="0"/>
    </xf>
    <xf numFmtId="3" fontId="200" fillId="0" borderId="564" xfId="60" applyNumberFormat="1" applyFont="1" applyFill="1" applyBorder="1" applyAlignment="1" applyProtection="1">
      <alignment vertical="center"/>
      <protection locked="0"/>
    </xf>
    <xf numFmtId="0" fontId="200" fillId="0" borderId="567" xfId="60" applyFont="1" applyFill="1" applyBorder="1" applyAlignment="1" applyProtection="1">
      <alignment horizontal="right" vertical="center"/>
    </xf>
    <xf numFmtId="0" fontId="203" fillId="0" borderId="568" xfId="60" applyFont="1" applyFill="1" applyBorder="1" applyAlignment="1">
      <alignment horizontal="center" vertical="center" wrapText="1"/>
    </xf>
    <xf numFmtId="0" fontId="203" fillId="0" borderId="121" xfId="60" applyFont="1" applyFill="1" applyBorder="1" applyAlignment="1">
      <alignment horizontal="center" vertical="center" wrapText="1"/>
    </xf>
    <xf numFmtId="0" fontId="202" fillId="31" borderId="115" xfId="54" applyFont="1" applyFill="1" applyBorder="1" applyAlignment="1">
      <alignment vertical="center" wrapText="1"/>
    </xf>
    <xf numFmtId="49" fontId="203" fillId="51" borderId="115" xfId="60" applyNumberFormat="1" applyFont="1" applyFill="1" applyBorder="1" applyAlignment="1">
      <alignment vertical="center" wrapText="1"/>
    </xf>
    <xf numFmtId="0" fontId="163" fillId="0" borderId="578" xfId="60" applyFont="1" applyFill="1" applyBorder="1" applyAlignment="1" applyProtection="1">
      <alignment vertical="center"/>
    </xf>
    <xf numFmtId="0" fontId="425" fillId="0" borderId="579" xfId="54" applyFont="1" applyFill="1" applyBorder="1" applyAlignment="1" applyProtection="1">
      <alignment horizontal="center" vertical="center" textRotation="90" wrapText="1"/>
    </xf>
    <xf numFmtId="0" fontId="426" fillId="0" borderId="222" xfId="54" applyFont="1" applyFill="1" applyBorder="1" applyAlignment="1" applyProtection="1">
      <alignment horizontal="center" vertical="center"/>
    </xf>
    <xf numFmtId="0" fontId="426" fillId="0" borderId="224" xfId="54" applyFont="1" applyFill="1" applyBorder="1" applyAlignment="1" applyProtection="1">
      <alignment horizontal="center" vertical="center"/>
    </xf>
    <xf numFmtId="3" fontId="12" fillId="31" borderId="217" xfId="60" applyNumberFormat="1" applyFont="1" applyFill="1" applyBorder="1" applyAlignment="1" applyProtection="1">
      <alignment horizontal="center" vertical="center"/>
      <protection locked="0"/>
    </xf>
    <xf numFmtId="0" fontId="427" fillId="31" borderId="116" xfId="54" applyFont="1" applyFill="1" applyBorder="1" applyAlignment="1">
      <alignment vertical="center"/>
    </xf>
    <xf numFmtId="3" fontId="12" fillId="31" borderId="115" xfId="60" applyNumberFormat="1" applyFont="1" applyFill="1" applyBorder="1" applyAlignment="1" applyProtection="1">
      <alignment horizontal="center" vertical="center"/>
      <protection locked="0"/>
    </xf>
    <xf numFmtId="0" fontId="12" fillId="31" borderId="217" xfId="60" applyFont="1" applyFill="1" applyBorder="1" applyAlignment="1" applyProtection="1">
      <alignment horizontal="center" vertical="center"/>
    </xf>
    <xf numFmtId="3" fontId="310" fillId="31" borderId="565" xfId="60" applyNumberFormat="1" applyFont="1" applyFill="1" applyBorder="1" applyAlignment="1" applyProtection="1">
      <alignment horizontal="center" vertical="center"/>
      <protection locked="0"/>
    </xf>
    <xf numFmtId="0" fontId="55" fillId="0" borderId="0" xfId="64" applyFont="1" applyFill="1" applyBorder="1" applyAlignment="1" applyProtection="1">
      <alignment horizontal="center" vertical="center" readingOrder="2"/>
    </xf>
    <xf numFmtId="0" fontId="55" fillId="0" borderId="0" xfId="64" applyFont="1" applyFill="1" applyBorder="1" applyAlignment="1" applyProtection="1">
      <alignment horizontal="center" vertical="center" readingOrder="2"/>
    </xf>
    <xf numFmtId="3" fontId="333" fillId="48" borderId="116" xfId="64" applyNumberFormat="1" applyFont="1" applyFill="1" applyBorder="1" applyAlignment="1" applyProtection="1">
      <alignment horizontal="center" vertical="center" readingOrder="1"/>
      <protection locked="0"/>
    </xf>
    <xf numFmtId="0" fontId="55" fillId="31" borderId="0" xfId="64" applyFont="1" applyFill="1" applyBorder="1" applyAlignment="1" applyProtection="1">
      <alignment horizontal="center" vertical="center" readingOrder="2"/>
    </xf>
    <xf numFmtId="0" fontId="7" fillId="0" borderId="0" xfId="64" applyFont="1" applyFill="1" applyBorder="1" applyAlignment="1" applyProtection="1">
      <alignment horizontal="right" vertical="center" readingOrder="2"/>
    </xf>
    <xf numFmtId="0" fontId="7" fillId="49" borderId="0" xfId="64" applyFont="1" applyFill="1" applyBorder="1" applyAlignment="1" applyProtection="1">
      <alignment horizontal="left" vertical="center" wrapText="1" readingOrder="2"/>
    </xf>
    <xf numFmtId="0" fontId="7" fillId="49" borderId="120" xfId="64" applyFont="1" applyFill="1" applyBorder="1" applyAlignment="1" applyProtection="1">
      <alignment horizontal="left" vertical="center" wrapText="1" readingOrder="2"/>
    </xf>
    <xf numFmtId="3" fontId="3" fillId="0" borderId="184" xfId="64" applyNumberFormat="1" applyFont="1" applyFill="1" applyBorder="1" applyAlignment="1" applyProtection="1">
      <alignment horizontal="center" vertical="center" wrapText="1" readingOrder="1"/>
      <protection locked="0"/>
    </xf>
    <xf numFmtId="3" fontId="3" fillId="0" borderId="185" xfId="64" applyNumberFormat="1" applyFont="1" applyFill="1" applyBorder="1" applyAlignment="1" applyProtection="1">
      <alignment horizontal="center" vertical="center" wrapText="1" readingOrder="1"/>
      <protection locked="0"/>
    </xf>
    <xf numFmtId="3" fontId="3" fillId="0" borderId="186" xfId="64" applyNumberFormat="1" applyFont="1" applyFill="1" applyBorder="1" applyAlignment="1" applyProtection="1">
      <alignment horizontal="center" vertical="center" wrapText="1" readingOrder="1"/>
      <protection locked="0"/>
    </xf>
    <xf numFmtId="0" fontId="330" fillId="53" borderId="0" xfId="64" applyFont="1" applyFill="1" applyBorder="1" applyAlignment="1" applyProtection="1">
      <alignment vertical="center"/>
    </xf>
    <xf numFmtId="0" fontId="330" fillId="48" borderId="0" xfId="64" applyFont="1" applyFill="1" applyBorder="1" applyAlignment="1" applyProtection="1">
      <alignment vertical="center"/>
    </xf>
    <xf numFmtId="0" fontId="341" fillId="53" borderId="0" xfId="64" applyFont="1" applyFill="1" applyBorder="1" applyAlignment="1" applyProtection="1">
      <alignment vertical="center"/>
    </xf>
    <xf numFmtId="0" fontId="341" fillId="48" borderId="0" xfId="64" applyFont="1" applyFill="1" applyBorder="1" applyAlignment="1" applyProtection="1">
      <alignment vertical="center"/>
    </xf>
    <xf numFmtId="0" fontId="57" fillId="51" borderId="0" xfId="64" applyFont="1" applyFill="1" applyBorder="1" applyAlignment="1" applyProtection="1">
      <alignment horizontal="right" vertical="center" readingOrder="2"/>
    </xf>
    <xf numFmtId="0" fontId="7" fillId="48" borderId="247" xfId="64" applyFont="1" applyFill="1" applyBorder="1" applyAlignment="1" applyProtection="1">
      <alignment horizontal="left" vertical="center" readingOrder="2"/>
    </xf>
    <xf numFmtId="0" fontId="57" fillId="48" borderId="0" xfId="64" applyFont="1" applyFill="1" applyBorder="1" applyAlignment="1" applyProtection="1">
      <alignment horizontal="right" readingOrder="2"/>
    </xf>
    <xf numFmtId="0" fontId="3" fillId="48" borderId="0" xfId="64" applyFont="1" applyFill="1" applyBorder="1" applyAlignment="1" applyProtection="1">
      <alignment horizontal="center" vertical="center" wrapText="1" readingOrder="2"/>
    </xf>
    <xf numFmtId="0" fontId="338" fillId="53" borderId="0" xfId="64" applyFont="1" applyFill="1" applyBorder="1" applyAlignment="1" applyProtection="1">
      <alignment horizontal="right" vertical="center" readingOrder="2"/>
    </xf>
    <xf numFmtId="0" fontId="338" fillId="48" borderId="0" xfId="64" applyFont="1" applyFill="1" applyBorder="1" applyAlignment="1" applyProtection="1">
      <alignment horizontal="right" vertical="center" readingOrder="2"/>
    </xf>
    <xf numFmtId="0" fontId="343" fillId="48" borderId="0" xfId="64" applyFont="1" applyFill="1" applyBorder="1" applyAlignment="1" applyProtection="1">
      <alignment horizontal="right" readingOrder="2"/>
    </xf>
    <xf numFmtId="0" fontId="354" fillId="48" borderId="0" xfId="64" applyFont="1" applyFill="1" applyBorder="1" applyAlignment="1" applyProtection="1">
      <alignment horizontal="right" readingOrder="2"/>
    </xf>
    <xf numFmtId="3" fontId="333" fillId="50" borderId="116" xfId="64" applyNumberFormat="1" applyFont="1" applyFill="1" applyBorder="1" applyAlignment="1" applyProtection="1">
      <alignment horizontal="center" vertical="center" readingOrder="1"/>
      <protection locked="0"/>
    </xf>
    <xf numFmtId="0" fontId="2" fillId="51" borderId="0" xfId="64" applyFont="1" applyFill="1" applyBorder="1" applyAlignment="1" applyProtection="1">
      <alignment vertical="center"/>
    </xf>
    <xf numFmtId="0" fontId="2" fillId="51" borderId="0" xfId="64" applyFont="1" applyFill="1" applyBorder="1" applyAlignment="1" applyProtection="1"/>
    <xf numFmtId="0" fontId="319" fillId="51" borderId="0" xfId="64" applyFont="1" applyFill="1" applyBorder="1" applyAlignment="1" applyProtection="1">
      <alignment horizontal="right" vertical="center"/>
    </xf>
    <xf numFmtId="0" fontId="61" fillId="0" borderId="0" xfId="64" applyFont="1" applyFill="1" applyBorder="1" applyAlignment="1" applyProtection="1">
      <alignment vertical="center" readingOrder="1"/>
    </xf>
    <xf numFmtId="0" fontId="62" fillId="0" borderId="498" xfId="64" applyFont="1" applyFill="1" applyBorder="1" applyAlignment="1" applyProtection="1">
      <alignment vertical="center" readingOrder="1"/>
    </xf>
    <xf numFmtId="0" fontId="328" fillId="48" borderId="0" xfId="64" applyFont="1" applyFill="1" applyBorder="1" applyAlignment="1" applyProtection="1">
      <alignment horizontal="center" vertical="center" readingOrder="1"/>
    </xf>
    <xf numFmtId="0" fontId="58" fillId="48" borderId="0" xfId="64" applyFont="1" applyFill="1" applyBorder="1" applyAlignment="1" applyProtection="1">
      <alignment vertical="center" wrapText="1"/>
    </xf>
    <xf numFmtId="0" fontId="1" fillId="0" borderId="498" xfId="64" applyBorder="1" applyAlignment="1" applyProtection="1"/>
    <xf numFmtId="0" fontId="409" fillId="53" borderId="0" xfId="64" applyFont="1" applyFill="1" applyBorder="1" applyAlignment="1" applyProtection="1">
      <alignment horizontal="right" vertical="center" readingOrder="2"/>
    </xf>
    <xf numFmtId="0" fontId="2" fillId="48" borderId="0" xfId="64" applyFont="1" applyFill="1" applyBorder="1" applyAlignment="1" applyProtection="1">
      <alignment vertical="center"/>
    </xf>
    <xf numFmtId="0" fontId="1" fillId="48" borderId="498" xfId="64" applyFill="1" applyBorder="1" applyAlignment="1" applyProtection="1">
      <alignment vertical="center"/>
    </xf>
    <xf numFmtId="0" fontId="69" fillId="48" borderId="0" xfId="64" applyFont="1" applyFill="1" applyBorder="1" applyAlignment="1" applyProtection="1">
      <alignment horizontal="center" vertical="center" readingOrder="2"/>
    </xf>
    <xf numFmtId="0" fontId="3" fillId="48" borderId="500" xfId="64" applyFont="1" applyFill="1" applyBorder="1" applyAlignment="1" applyProtection="1">
      <alignment horizontal="center" vertical="center" wrapText="1" readingOrder="2"/>
    </xf>
    <xf numFmtId="0" fontId="55" fillId="48" borderId="500" xfId="64" applyFont="1" applyFill="1" applyBorder="1" applyAlignment="1" applyProtection="1">
      <alignment horizontal="center" vertical="center" readingOrder="2"/>
    </xf>
    <xf numFmtId="0" fontId="1" fillId="0" borderId="501" xfId="64" applyBorder="1" applyAlignment="1" applyProtection="1"/>
    <xf numFmtId="0" fontId="327" fillId="0" borderId="0" xfId="64" applyFont="1" applyFill="1" applyBorder="1" applyAlignment="1" applyProtection="1">
      <alignment vertical="center" readingOrder="2"/>
    </xf>
    <xf numFmtId="0" fontId="328" fillId="48" borderId="0" xfId="64" applyFont="1" applyFill="1" applyBorder="1" applyAlignment="1" applyProtection="1">
      <alignment vertical="center" readingOrder="2"/>
    </xf>
    <xf numFmtId="0" fontId="328" fillId="48" borderId="0" xfId="64" applyFont="1" applyFill="1" applyBorder="1" applyAlignment="1" applyProtection="1">
      <alignment vertical="center" readingOrder="1"/>
    </xf>
    <xf numFmtId="0" fontId="326" fillId="0" borderId="0" xfId="64" applyFont="1" applyFill="1" applyBorder="1" applyAlignment="1" applyProtection="1">
      <alignment horizontal="left" vertical="center" readingOrder="1"/>
    </xf>
    <xf numFmtId="0" fontId="360" fillId="55" borderId="0" xfId="64" applyFont="1" applyFill="1" applyBorder="1" applyAlignment="1" applyProtection="1">
      <alignment vertical="center" readingOrder="2"/>
    </xf>
    <xf numFmtId="0" fontId="361" fillId="55" borderId="0" xfId="64" applyFont="1" applyFill="1" applyBorder="1" applyAlignment="1" applyProtection="1">
      <alignment vertical="center" readingOrder="2"/>
    </xf>
    <xf numFmtId="0" fontId="361" fillId="55" borderId="0" xfId="64" applyFont="1" applyFill="1" applyBorder="1" applyAlignment="1" applyProtection="1">
      <alignment vertical="center" readingOrder="1"/>
    </xf>
    <xf numFmtId="0" fontId="362" fillId="55" borderId="0" xfId="64" applyFont="1" applyFill="1" applyBorder="1" applyProtection="1"/>
    <xf numFmtId="0" fontId="363" fillId="55" borderId="0" xfId="0" applyFont="1" applyFill="1" applyProtection="1"/>
    <xf numFmtId="0" fontId="360" fillId="55" borderId="0" xfId="64" applyFont="1" applyFill="1" applyBorder="1" applyAlignment="1" applyProtection="1">
      <alignment vertical="center" readingOrder="1"/>
    </xf>
    <xf numFmtId="0" fontId="320" fillId="53" borderId="0" xfId="64" applyFont="1" applyFill="1" applyBorder="1" applyAlignment="1" applyProtection="1">
      <alignment horizontal="right" vertical="center" readingOrder="2"/>
    </xf>
    <xf numFmtId="0" fontId="319" fillId="53" borderId="0" xfId="64" applyFont="1" applyFill="1" applyBorder="1" applyAlignment="1" applyProtection="1">
      <alignment vertical="center"/>
    </xf>
    <xf numFmtId="0" fontId="319" fillId="53" borderId="0" xfId="64" applyFont="1" applyFill="1" applyBorder="1" applyAlignment="1" applyProtection="1"/>
    <xf numFmtId="0" fontId="319" fillId="53" borderId="0" xfId="64" applyFont="1" applyFill="1" applyBorder="1" applyAlignment="1" applyProtection="1">
      <alignment horizontal="right" vertical="center"/>
    </xf>
    <xf numFmtId="0" fontId="320" fillId="48" borderId="0" xfId="64" applyFont="1" applyFill="1" applyBorder="1" applyAlignment="1" applyProtection="1">
      <alignment horizontal="right" vertical="center" readingOrder="2"/>
    </xf>
    <xf numFmtId="0" fontId="329" fillId="48" borderId="0" xfId="64" applyFont="1" applyFill="1" applyBorder="1" applyAlignment="1" applyProtection="1">
      <alignment horizontal="right" vertical="center"/>
    </xf>
    <xf numFmtId="0" fontId="319" fillId="48" borderId="0" xfId="64" applyFont="1" applyFill="1" applyBorder="1" applyAlignment="1" applyProtection="1">
      <alignment vertical="center"/>
    </xf>
    <xf numFmtId="0" fontId="319" fillId="48" borderId="0" xfId="64" applyFont="1" applyFill="1" applyBorder="1" applyAlignment="1" applyProtection="1"/>
    <xf numFmtId="0" fontId="319" fillId="48" borderId="0" xfId="64" applyFont="1" applyFill="1" applyBorder="1" applyAlignment="1" applyProtection="1">
      <alignment horizontal="right" vertical="center"/>
    </xf>
    <xf numFmtId="0" fontId="1" fillId="0" borderId="42" xfId="64" applyFill="1" applyBorder="1" applyAlignment="1" applyProtection="1">
      <alignment vertical="center"/>
    </xf>
    <xf numFmtId="0" fontId="326" fillId="0" borderId="497" xfId="64" applyFont="1" applyFill="1" applyBorder="1" applyAlignment="1" applyProtection="1">
      <alignment horizontal="right" vertical="center" readingOrder="2"/>
    </xf>
    <xf numFmtId="0" fontId="61" fillId="31" borderId="0" xfId="64" applyFont="1" applyFill="1" applyBorder="1" applyAlignment="1" applyProtection="1">
      <alignment horizontal="right" readingOrder="2"/>
    </xf>
    <xf numFmtId="0" fontId="7" fillId="49" borderId="497" xfId="64" applyFont="1" applyFill="1" applyBorder="1" applyAlignment="1" applyProtection="1">
      <alignment vertical="center" readingOrder="2"/>
    </xf>
    <xf numFmtId="0" fontId="57" fillId="49" borderId="0" xfId="64" applyFont="1" applyFill="1" applyBorder="1" applyAlignment="1" applyProtection="1">
      <alignment vertical="center" readingOrder="2"/>
    </xf>
    <xf numFmtId="0" fontId="57" fillId="49" borderId="120" xfId="64" applyFont="1" applyFill="1" applyBorder="1" applyAlignment="1" applyProtection="1">
      <alignment vertical="center" readingOrder="2"/>
    </xf>
    <xf numFmtId="0" fontId="3" fillId="26" borderId="123" xfId="64" applyFont="1" applyFill="1" applyBorder="1" applyAlignment="1" applyProtection="1">
      <alignment horizontal="center" vertical="center" wrapText="1" readingOrder="2"/>
    </xf>
    <xf numFmtId="0" fontId="3" fillId="26" borderId="124" xfId="64" applyFont="1" applyFill="1" applyBorder="1" applyAlignment="1" applyProtection="1">
      <alignment horizontal="center" vertical="center" wrapText="1" readingOrder="2"/>
    </xf>
    <xf numFmtId="0" fontId="3" fillId="49" borderId="123" xfId="64" applyFont="1" applyFill="1" applyBorder="1" applyAlignment="1" applyProtection="1">
      <alignment horizontal="center" vertical="center" wrapText="1" readingOrder="2"/>
    </xf>
    <xf numFmtId="0" fontId="3" fillId="49" borderId="124" xfId="64" applyFont="1" applyFill="1" applyBorder="1" applyAlignment="1" applyProtection="1">
      <alignment horizontal="center" vertical="center" wrapText="1" readingOrder="2"/>
    </xf>
    <xf numFmtId="0" fontId="3" fillId="31" borderId="123" xfId="64" applyFont="1" applyFill="1" applyBorder="1" applyAlignment="1" applyProtection="1">
      <alignment horizontal="center" vertical="center" wrapText="1" readingOrder="2"/>
    </xf>
    <xf numFmtId="0" fontId="3" fillId="31" borderId="124" xfId="64" applyFont="1" applyFill="1" applyBorder="1" applyAlignment="1" applyProtection="1">
      <alignment horizontal="center" vertical="center" wrapText="1" readingOrder="2"/>
    </xf>
    <xf numFmtId="3" fontId="234" fillId="0" borderId="0" xfId="64" applyNumberFormat="1" applyFont="1" applyBorder="1" applyAlignment="1" applyProtection="1">
      <alignment vertical="center" readingOrder="1"/>
    </xf>
    <xf numFmtId="0" fontId="7" fillId="57" borderId="70" xfId="64" applyFont="1" applyFill="1" applyBorder="1" applyAlignment="1" applyProtection="1">
      <alignment horizontal="right" vertical="center" readingOrder="2"/>
    </xf>
    <xf numFmtId="0" fontId="7" fillId="57" borderId="0" xfId="64" applyFont="1" applyFill="1" applyBorder="1" applyAlignment="1" applyProtection="1">
      <alignment vertical="center" textRotation="90" readingOrder="2"/>
    </xf>
    <xf numFmtId="0" fontId="55" fillId="57" borderId="0" xfId="64" applyFont="1" applyFill="1" applyBorder="1" applyAlignment="1" applyProtection="1">
      <alignment horizontal="center" vertical="center" readingOrder="2"/>
    </xf>
    <xf numFmtId="0" fontId="7" fillId="48" borderId="0" xfId="64" applyFont="1" applyFill="1" applyBorder="1" applyAlignment="1" applyProtection="1">
      <alignment vertical="center" textRotation="90" readingOrder="2"/>
    </xf>
    <xf numFmtId="0" fontId="7" fillId="0" borderId="0" xfId="64" applyFont="1" applyFill="1" applyBorder="1" applyAlignment="1" applyProtection="1">
      <alignment vertical="center" textRotation="90" readingOrder="2"/>
    </xf>
    <xf numFmtId="0" fontId="61" fillId="48" borderId="0" xfId="68" applyFont="1" applyFill="1" applyBorder="1" applyAlignment="1" applyProtection="1">
      <alignment horizontal="left" vertical="center" readingOrder="2"/>
      <protection hidden="1"/>
    </xf>
    <xf numFmtId="0" fontId="87" fillId="48" borderId="0" xfId="68" applyFont="1" applyFill="1" applyBorder="1" applyAlignment="1" applyProtection="1">
      <alignment horizontal="left" vertical="center" readingOrder="2"/>
      <protection hidden="1"/>
    </xf>
    <xf numFmtId="0" fontId="316" fillId="48" borderId="0" xfId="68" applyFont="1" applyFill="1" applyBorder="1" applyAlignment="1" applyProtection="1">
      <alignment horizontal="center" vertical="center" readingOrder="2"/>
      <protection hidden="1"/>
    </xf>
    <xf numFmtId="0" fontId="58" fillId="26" borderId="119" xfId="73" applyFont="1" applyFill="1" applyBorder="1" applyAlignment="1" applyProtection="1">
      <alignment horizontal="center" vertical="center" readingOrder="2"/>
      <protection locked="0"/>
    </xf>
    <xf numFmtId="0" fontId="0" fillId="0" borderId="0" xfId="0" applyAlignment="1" applyProtection="1">
      <alignment horizontal="right"/>
      <protection hidden="1"/>
    </xf>
    <xf numFmtId="0" fontId="1" fillId="48" borderId="0" xfId="73" applyFill="1" applyBorder="1" applyAlignment="1" applyProtection="1">
      <alignment horizontal="right"/>
      <protection hidden="1"/>
    </xf>
    <xf numFmtId="0" fontId="2" fillId="48" borderId="0" xfId="73" applyFont="1" applyFill="1" applyBorder="1" applyAlignment="1" applyProtection="1">
      <alignment horizontal="right"/>
      <protection hidden="1"/>
    </xf>
    <xf numFmtId="0" fontId="229" fillId="0" borderId="0" xfId="73" applyFont="1" applyFill="1" applyBorder="1" applyAlignment="1" applyProtection="1">
      <alignment horizontal="right"/>
      <protection hidden="1"/>
    </xf>
    <xf numFmtId="0" fontId="66" fillId="0" borderId="0" xfId="73" applyFont="1" applyFill="1" applyBorder="1" applyAlignment="1" applyProtection="1">
      <protection hidden="1"/>
    </xf>
    <xf numFmtId="0" fontId="383" fillId="57" borderId="0" xfId="0" applyFont="1" applyFill="1" applyBorder="1"/>
    <xf numFmtId="0" fontId="64" fillId="0" borderId="497" xfId="64" applyFont="1" applyFill="1" applyBorder="1" applyAlignment="1" applyProtection="1">
      <alignment horizontal="right" vertical="center" readingOrder="2"/>
    </xf>
    <xf numFmtId="0" fontId="7" fillId="0" borderId="497" xfId="64" applyFont="1" applyFill="1" applyBorder="1" applyAlignment="1" applyProtection="1">
      <alignment horizontal="right" vertical="center" readingOrder="2"/>
    </xf>
    <xf numFmtId="0" fontId="57" fillId="50" borderId="497" xfId="64" applyFont="1" applyFill="1" applyBorder="1" applyAlignment="1" applyProtection="1">
      <alignment horizontal="right" vertical="center" readingOrder="2"/>
    </xf>
    <xf numFmtId="3" fontId="54" fillId="0" borderId="0" xfId="64" applyNumberFormat="1" applyFont="1" applyFill="1" applyBorder="1" applyAlignment="1" applyProtection="1">
      <alignment horizontal="center" wrapText="1" readingOrder="1"/>
    </xf>
    <xf numFmtId="3" fontId="54" fillId="0" borderId="0" xfId="64" applyNumberFormat="1" applyFont="1" applyFill="1" applyBorder="1" applyAlignment="1" applyProtection="1">
      <alignment horizontal="center" vertical="center" wrapText="1" readingOrder="1"/>
    </xf>
    <xf numFmtId="0" fontId="58" fillId="31" borderId="0" xfId="64" applyFont="1" applyFill="1" applyBorder="1" applyAlignment="1" applyProtection="1">
      <alignment vertical="center"/>
    </xf>
    <xf numFmtId="0" fontId="56" fillId="48" borderId="0" xfId="64" applyFont="1" applyFill="1" applyBorder="1" applyAlignment="1" applyProtection="1">
      <alignment vertical="center"/>
    </xf>
    <xf numFmtId="0" fontId="64" fillId="0" borderId="0" xfId="71" applyFont="1" applyFill="1" applyBorder="1" applyAlignment="1" applyProtection="1">
      <alignment vertical="center" readingOrder="2"/>
      <protection hidden="1"/>
    </xf>
    <xf numFmtId="0" fontId="7" fillId="0" borderId="0" xfId="71" applyFont="1" applyFill="1" applyBorder="1" applyAlignment="1" applyProtection="1">
      <alignment horizontal="justify" vertical="center" readingOrder="2"/>
      <protection hidden="1"/>
    </xf>
    <xf numFmtId="0" fontId="62" fillId="0" borderId="0" xfId="71" applyFont="1" applyFill="1" applyBorder="1" applyAlignment="1" applyProtection="1">
      <alignment vertical="center" readingOrder="1"/>
      <protection hidden="1"/>
    </xf>
    <xf numFmtId="0" fontId="1" fillId="0" borderId="0" xfId="71" applyFill="1" applyBorder="1" applyProtection="1">
      <protection hidden="1"/>
    </xf>
    <xf numFmtId="0" fontId="64" fillId="0" borderId="0" xfId="71" applyFont="1" applyFill="1" applyBorder="1" applyAlignment="1" applyProtection="1">
      <alignment horizontal="right" vertical="center" readingOrder="2"/>
      <protection hidden="1"/>
    </xf>
    <xf numFmtId="0" fontId="1" fillId="0" borderId="0" xfId="71" applyBorder="1" applyProtection="1">
      <protection hidden="1"/>
    </xf>
    <xf numFmtId="0" fontId="62" fillId="0" borderId="0" xfId="71" applyFont="1" applyFill="1" applyBorder="1" applyAlignment="1" applyProtection="1">
      <alignment horizontal="left" vertical="center" readingOrder="1"/>
      <protection hidden="1"/>
    </xf>
    <xf numFmtId="0" fontId="1" fillId="31" borderId="0" xfId="64" applyFill="1" applyBorder="1" applyAlignment="1" applyProtection="1">
      <alignment vertical="center"/>
      <protection hidden="1"/>
    </xf>
    <xf numFmtId="0" fontId="1" fillId="31" borderId="0" xfId="64" applyFill="1" applyBorder="1" applyAlignment="1" applyProtection="1">
      <protection hidden="1"/>
    </xf>
    <xf numFmtId="0" fontId="57" fillId="49" borderId="0" xfId="64" applyFont="1" applyFill="1" applyBorder="1" applyAlignment="1" applyProtection="1">
      <alignment vertical="center" readingOrder="2"/>
      <protection hidden="1"/>
    </xf>
    <xf numFmtId="0" fontId="57" fillId="0" borderId="0" xfId="64" applyFont="1" applyFill="1" applyBorder="1" applyAlignment="1" applyProtection="1">
      <alignment vertical="center" readingOrder="2"/>
      <protection hidden="1"/>
    </xf>
    <xf numFmtId="0" fontId="7" fillId="0" borderId="0" xfId="64" applyFont="1" applyFill="1" applyBorder="1" applyAlignment="1" applyProtection="1">
      <alignment horizontal="center" vertical="center" readingOrder="2"/>
      <protection hidden="1"/>
    </xf>
    <xf numFmtId="3" fontId="3" fillId="0" borderId="0" xfId="64" applyNumberFormat="1" applyFont="1" applyFill="1" applyBorder="1" applyAlignment="1" applyProtection="1">
      <alignment horizontal="center" vertical="center" wrapText="1" readingOrder="1"/>
      <protection hidden="1"/>
    </xf>
    <xf numFmtId="3" fontId="54" fillId="0" borderId="0" xfId="64" applyNumberFormat="1" applyFont="1" applyFill="1" applyBorder="1" applyAlignment="1" applyProtection="1">
      <alignment horizontal="center" vertical="center" wrapText="1" readingOrder="1"/>
      <protection hidden="1"/>
    </xf>
    <xf numFmtId="0" fontId="1" fillId="0" borderId="0" xfId="64" applyBorder="1" applyAlignment="1" applyProtection="1">
      <protection hidden="1"/>
    </xf>
    <xf numFmtId="0" fontId="1" fillId="0" borderId="0" xfId="64" applyBorder="1" applyAlignment="1" applyProtection="1">
      <alignment vertical="center"/>
      <protection hidden="1"/>
    </xf>
    <xf numFmtId="3" fontId="1" fillId="51" borderId="0" xfId="64" applyNumberFormat="1" applyFont="1" applyFill="1" applyBorder="1" applyAlignment="1" applyProtection="1">
      <alignment readingOrder="1"/>
      <protection hidden="1"/>
    </xf>
    <xf numFmtId="0" fontId="1" fillId="51" borderId="0" xfId="64" applyFill="1" applyBorder="1" applyProtection="1">
      <protection hidden="1"/>
    </xf>
    <xf numFmtId="0" fontId="60" fillId="51" borderId="0" xfId="64" applyFont="1" applyFill="1" applyBorder="1" applyAlignment="1" applyProtection="1">
      <alignment vertical="center" readingOrder="1"/>
      <protection hidden="1"/>
    </xf>
    <xf numFmtId="0" fontId="60" fillId="31" borderId="0" xfId="64" applyFont="1" applyFill="1" applyBorder="1" applyAlignment="1" applyProtection="1">
      <alignment horizontal="right" vertical="center" readingOrder="2"/>
      <protection hidden="1"/>
    </xf>
    <xf numFmtId="0" fontId="62" fillId="31" borderId="0" xfId="64" applyFont="1" applyFill="1" applyBorder="1" applyAlignment="1" applyProtection="1">
      <alignment vertical="center" readingOrder="2"/>
      <protection hidden="1"/>
    </xf>
    <xf numFmtId="0" fontId="7" fillId="49" borderId="311" xfId="64" applyFont="1" applyFill="1" applyBorder="1" applyAlignment="1" applyProtection="1">
      <alignment vertical="center" wrapText="1" readingOrder="2"/>
      <protection hidden="1"/>
    </xf>
    <xf numFmtId="0" fontId="181" fillId="0" borderId="0" xfId="62" applyFont="1" applyFill="1" applyBorder="1" applyAlignment="1" applyProtection="1">
      <alignment horizontal="center" vertical="center"/>
      <protection hidden="1"/>
    </xf>
    <xf numFmtId="0" fontId="58" fillId="26" borderId="193" xfId="64" applyFont="1" applyFill="1" applyBorder="1" applyAlignment="1" applyProtection="1">
      <alignment horizontal="center" vertical="center" wrapText="1" readingOrder="2"/>
      <protection hidden="1"/>
    </xf>
    <xf numFmtId="0" fontId="58" fillId="26" borderId="124" xfId="64" applyFont="1" applyFill="1" applyBorder="1" applyAlignment="1" applyProtection="1">
      <alignment horizontal="center" vertical="center" wrapText="1" readingOrder="2"/>
      <protection hidden="1"/>
    </xf>
    <xf numFmtId="0" fontId="58" fillId="49" borderId="123" xfId="64" applyFont="1" applyFill="1" applyBorder="1" applyAlignment="1" applyProtection="1">
      <alignment horizontal="center" vertical="center" wrapText="1" readingOrder="2"/>
      <protection hidden="1"/>
    </xf>
    <xf numFmtId="0" fontId="58" fillId="49" borderId="124" xfId="64" applyFont="1" applyFill="1" applyBorder="1" applyAlignment="1" applyProtection="1">
      <alignment horizontal="center" vertical="center" wrapText="1" readingOrder="2"/>
      <protection hidden="1"/>
    </xf>
    <xf numFmtId="0" fontId="58" fillId="26" borderId="123" xfId="64" applyFont="1" applyFill="1" applyBorder="1" applyAlignment="1" applyProtection="1">
      <alignment horizontal="center" vertical="center" wrapText="1" readingOrder="2"/>
      <protection hidden="1"/>
    </xf>
    <xf numFmtId="0" fontId="58" fillId="31" borderId="123" xfId="64" applyFont="1" applyFill="1" applyBorder="1" applyAlignment="1" applyProtection="1">
      <alignment horizontal="center" vertical="center" wrapText="1" readingOrder="2"/>
      <protection hidden="1"/>
    </xf>
    <xf numFmtId="0" fontId="58" fillId="31" borderId="147" xfId="64" applyFont="1" applyFill="1" applyBorder="1" applyAlignment="1" applyProtection="1">
      <alignment horizontal="center" vertical="center" wrapText="1" readingOrder="2"/>
      <protection hidden="1"/>
    </xf>
    <xf numFmtId="0" fontId="181" fillId="31" borderId="0" xfId="62" applyFont="1" applyFill="1" applyBorder="1" applyAlignment="1" applyProtection="1">
      <alignment horizontal="center" vertical="center"/>
      <protection hidden="1"/>
    </xf>
    <xf numFmtId="0" fontId="62" fillId="51" borderId="0" xfId="64" applyFont="1" applyFill="1" applyBorder="1" applyAlignment="1" applyProtection="1">
      <alignment vertical="center" readingOrder="1"/>
      <protection hidden="1"/>
    </xf>
    <xf numFmtId="0" fontId="2" fillId="26" borderId="193" xfId="64" applyFont="1" applyFill="1" applyBorder="1" applyAlignment="1" applyProtection="1">
      <alignment horizontal="center" wrapText="1" readingOrder="2"/>
      <protection hidden="1"/>
    </xf>
    <xf numFmtId="0" fontId="2" fillId="26" borderId="124" xfId="64" applyFont="1" applyFill="1" applyBorder="1" applyAlignment="1" applyProtection="1">
      <alignment horizontal="center" wrapText="1" readingOrder="2"/>
      <protection hidden="1"/>
    </xf>
    <xf numFmtId="0" fontId="2" fillId="49" borderId="123" xfId="64" applyFont="1" applyFill="1" applyBorder="1" applyAlignment="1" applyProtection="1">
      <alignment horizontal="center" wrapText="1" readingOrder="2"/>
      <protection hidden="1"/>
    </xf>
    <xf numFmtId="0" fontId="2" fillId="49" borderId="124" xfId="64" applyFont="1" applyFill="1" applyBorder="1" applyAlignment="1" applyProtection="1">
      <alignment horizontal="center" wrapText="1" readingOrder="2"/>
      <protection hidden="1"/>
    </xf>
    <xf numFmtId="0" fontId="2" fillId="26" borderId="123" xfId="64" applyFont="1" applyFill="1" applyBorder="1" applyAlignment="1" applyProtection="1">
      <alignment horizontal="center" wrapText="1" readingOrder="2"/>
      <protection hidden="1"/>
    </xf>
    <xf numFmtId="0" fontId="2" fillId="31" borderId="123" xfId="64" applyFont="1" applyFill="1" applyBorder="1" applyAlignment="1" applyProtection="1">
      <alignment horizontal="center" wrapText="1" readingOrder="2"/>
      <protection hidden="1"/>
    </xf>
    <xf numFmtId="0" fontId="2" fillId="31" borderId="147" xfId="64" applyFont="1" applyFill="1" applyBorder="1" applyAlignment="1" applyProtection="1">
      <alignment horizontal="center" wrapText="1" readingOrder="2"/>
      <protection hidden="1"/>
    </xf>
    <xf numFmtId="0" fontId="57" fillId="49" borderId="0" xfId="71" applyFont="1" applyFill="1" applyBorder="1" applyAlignment="1" applyProtection="1">
      <alignment horizontal="center" vertical="center" readingOrder="2"/>
      <protection hidden="1"/>
    </xf>
    <xf numFmtId="0" fontId="57" fillId="0" borderId="0" xfId="71" applyFont="1" applyFill="1" applyBorder="1" applyAlignment="1" applyProtection="1">
      <alignment horizontal="center" vertical="center" readingOrder="2"/>
      <protection hidden="1"/>
    </xf>
    <xf numFmtId="0" fontId="7" fillId="51" borderId="0" xfId="64" applyFont="1" applyFill="1" applyBorder="1" applyAlignment="1" applyProtection="1">
      <alignment horizontal="left" vertical="center"/>
      <protection hidden="1"/>
    </xf>
    <xf numFmtId="0" fontId="400" fillId="48" borderId="0" xfId="64" applyFont="1" applyFill="1" applyBorder="1" applyAlignment="1" applyProtection="1">
      <alignment horizontal="left" vertical="center"/>
      <protection hidden="1"/>
    </xf>
    <xf numFmtId="0" fontId="407" fillId="48" borderId="117" xfId="64" applyFont="1" applyFill="1" applyBorder="1" applyAlignment="1" applyProtection="1">
      <alignment horizontal="center" vertical="center" readingOrder="2"/>
      <protection hidden="1"/>
    </xf>
    <xf numFmtId="0" fontId="334" fillId="50" borderId="13" xfId="64" applyFont="1" applyFill="1" applyBorder="1" applyAlignment="1" applyProtection="1">
      <alignment horizontal="left" vertical="center" readingOrder="2"/>
      <protection hidden="1"/>
    </xf>
    <xf numFmtId="0" fontId="334" fillId="50" borderId="13" xfId="64" applyFont="1" applyFill="1" applyBorder="1" applyAlignment="1" applyProtection="1">
      <alignment horizontal="left" vertical="center" readingOrder="1"/>
      <protection hidden="1"/>
    </xf>
    <xf numFmtId="0" fontId="334" fillId="61" borderId="13" xfId="64" applyFont="1" applyFill="1" applyBorder="1" applyAlignment="1" applyProtection="1">
      <alignment horizontal="left" vertical="center" readingOrder="1"/>
      <protection hidden="1"/>
    </xf>
    <xf numFmtId="0" fontId="405" fillId="48" borderId="13" xfId="64" applyFont="1" applyFill="1" applyBorder="1" applyAlignment="1" applyProtection="1">
      <alignment horizontal="left" vertical="center" readingOrder="1"/>
      <protection hidden="1"/>
    </xf>
    <xf numFmtId="0" fontId="69" fillId="48" borderId="0" xfId="64" applyFont="1" applyFill="1" applyBorder="1" applyAlignment="1" applyProtection="1">
      <alignment horizontal="left" vertical="center"/>
      <protection hidden="1"/>
    </xf>
    <xf numFmtId="0" fontId="335" fillId="60" borderId="13" xfId="64" applyFont="1" applyFill="1" applyBorder="1" applyAlignment="1" applyProtection="1">
      <alignment horizontal="left" vertical="center" readingOrder="1"/>
      <protection hidden="1"/>
    </xf>
    <xf numFmtId="0" fontId="7" fillId="51" borderId="0" xfId="64" applyFont="1" applyFill="1" applyBorder="1" applyAlignment="1" applyProtection="1">
      <alignment horizontal="right" vertical="center" readingOrder="2"/>
    </xf>
    <xf numFmtId="0" fontId="55" fillId="48" borderId="0" xfId="64" applyFont="1" applyFill="1" applyBorder="1" applyAlignment="1" applyProtection="1">
      <alignment horizontal="right" vertical="center" readingOrder="2"/>
    </xf>
    <xf numFmtId="0" fontId="7" fillId="48" borderId="120" xfId="64" applyFont="1" applyFill="1" applyBorder="1" applyAlignment="1" applyProtection="1">
      <alignment horizontal="left" vertical="center" readingOrder="2"/>
    </xf>
    <xf numFmtId="0" fontId="395" fillId="50" borderId="13" xfId="64" applyFont="1" applyFill="1" applyBorder="1" applyAlignment="1" applyProtection="1">
      <alignment horizontal="right" vertical="center" readingOrder="2"/>
    </xf>
    <xf numFmtId="0" fontId="395" fillId="61" borderId="13" xfId="64" applyFont="1" applyFill="1" applyBorder="1" applyAlignment="1" applyProtection="1">
      <alignment horizontal="right" vertical="center" readingOrder="2"/>
    </xf>
    <xf numFmtId="0" fontId="324" fillId="48" borderId="13" xfId="64" applyFont="1" applyFill="1" applyBorder="1" applyAlignment="1" applyProtection="1">
      <alignment horizontal="right" vertical="center" readingOrder="2"/>
    </xf>
    <xf numFmtId="0" fontId="55" fillId="62" borderId="13" xfId="64" applyFont="1" applyFill="1" applyBorder="1" applyAlignment="1" applyProtection="1">
      <alignment horizontal="right" vertical="center" readingOrder="2"/>
    </xf>
    <xf numFmtId="0" fontId="316" fillId="60" borderId="13" xfId="64" applyFont="1" applyFill="1" applyBorder="1" applyAlignment="1" applyProtection="1">
      <alignment horizontal="right" vertical="center" readingOrder="2"/>
    </xf>
    <xf numFmtId="0" fontId="55" fillId="51" borderId="0" xfId="64" applyFont="1" applyFill="1" applyBorder="1" applyAlignment="1" applyProtection="1">
      <alignment horizontal="right" vertical="center" readingOrder="2"/>
    </xf>
    <xf numFmtId="0" fontId="69" fillId="48" borderId="0" xfId="64" applyFont="1" applyFill="1" applyBorder="1" applyAlignment="1" applyProtection="1">
      <alignment horizontal="center" vertical="center" wrapText="1" readingOrder="2"/>
    </xf>
    <xf numFmtId="0" fontId="58" fillId="48" borderId="248" xfId="64" applyFont="1" applyFill="1" applyBorder="1" applyAlignment="1" applyProtection="1">
      <alignment horizontal="center" vertical="center" wrapText="1" readingOrder="2"/>
    </xf>
    <xf numFmtId="0" fontId="55" fillId="48" borderId="247" xfId="64" applyFont="1" applyFill="1" applyBorder="1" applyAlignment="1" applyProtection="1">
      <alignment horizontal="left" vertical="center" readingOrder="2"/>
    </xf>
    <xf numFmtId="3" fontId="335" fillId="48" borderId="116" xfId="64" applyNumberFormat="1" applyFont="1" applyFill="1" applyBorder="1" applyAlignment="1" applyProtection="1">
      <alignment horizontal="center" vertical="center" readingOrder="1"/>
    </xf>
    <xf numFmtId="0" fontId="7" fillId="51" borderId="0" xfId="64" applyFont="1" applyFill="1" applyBorder="1" applyAlignment="1" applyProtection="1">
      <alignment horizontal="right" vertical="center" readingOrder="2"/>
      <protection hidden="1"/>
    </xf>
    <xf numFmtId="0" fontId="2" fillId="51" borderId="0" xfId="64" applyFont="1" applyFill="1" applyBorder="1" applyAlignment="1" applyProtection="1">
      <alignment vertical="center"/>
      <protection hidden="1"/>
    </xf>
    <xf numFmtId="0" fontId="2" fillId="51" borderId="0" xfId="64" applyFont="1" applyFill="1" applyBorder="1" applyAlignment="1" applyProtection="1">
      <protection hidden="1"/>
    </xf>
    <xf numFmtId="0" fontId="2" fillId="48" borderId="0" xfId="64" applyFont="1" applyFill="1" applyBorder="1" applyAlignment="1" applyProtection="1">
      <alignment vertical="center"/>
      <protection hidden="1"/>
    </xf>
    <xf numFmtId="0" fontId="2" fillId="48" borderId="0" xfId="64" applyFont="1" applyFill="1" applyBorder="1" applyAlignment="1" applyProtection="1">
      <protection hidden="1"/>
    </xf>
    <xf numFmtId="0" fontId="399" fillId="48" borderId="0" xfId="64" applyFont="1" applyFill="1" applyBorder="1" applyAlignment="1" applyProtection="1">
      <alignment vertical="center"/>
      <protection hidden="1"/>
    </xf>
    <xf numFmtId="0" fontId="7" fillId="48" borderId="120" xfId="64" applyFont="1" applyFill="1" applyBorder="1" applyAlignment="1" applyProtection="1">
      <alignment horizontal="left" vertical="center" readingOrder="2"/>
      <protection hidden="1"/>
    </xf>
    <xf numFmtId="0" fontId="69" fillId="48" borderId="117" xfId="64" applyFont="1" applyFill="1" applyBorder="1" applyAlignment="1" applyProtection="1">
      <alignment horizontal="center" vertical="center" wrapText="1" readingOrder="2"/>
      <protection hidden="1"/>
    </xf>
    <xf numFmtId="0" fontId="69" fillId="57" borderId="117" xfId="64" applyFont="1" applyFill="1" applyBorder="1" applyAlignment="1" applyProtection="1">
      <alignment horizontal="center" vertical="center" wrapText="1" readingOrder="2"/>
      <protection hidden="1"/>
    </xf>
    <xf numFmtId="0" fontId="395" fillId="50" borderId="13" xfId="64" applyFont="1" applyFill="1" applyBorder="1" applyAlignment="1" applyProtection="1">
      <alignment horizontal="right" vertical="center" readingOrder="2"/>
      <protection hidden="1"/>
    </xf>
    <xf numFmtId="0" fontId="69" fillId="50" borderId="13" xfId="64" applyFont="1" applyFill="1" applyBorder="1" applyAlignment="1" applyProtection="1">
      <alignment horizontal="center" vertical="center" wrapText="1" readingOrder="2"/>
      <protection hidden="1"/>
    </xf>
    <xf numFmtId="0" fontId="183" fillId="50" borderId="13" xfId="64" applyFont="1" applyFill="1" applyBorder="1" applyAlignment="1" applyProtection="1">
      <alignment horizontal="center" vertical="center" wrapText="1" readingOrder="2"/>
      <protection hidden="1"/>
    </xf>
    <xf numFmtId="0" fontId="58" fillId="48" borderId="117" xfId="64" applyFont="1" applyFill="1" applyBorder="1" applyAlignment="1" applyProtection="1">
      <alignment horizontal="center" vertical="center" wrapText="1" readingOrder="2"/>
      <protection hidden="1"/>
    </xf>
    <xf numFmtId="0" fontId="395" fillId="61" borderId="13" xfId="64" applyFont="1" applyFill="1" applyBorder="1" applyAlignment="1" applyProtection="1">
      <alignment horizontal="right" vertical="center" readingOrder="2"/>
      <protection hidden="1"/>
    </xf>
    <xf numFmtId="0" fontId="69" fillId="61" borderId="13" xfId="64" applyFont="1" applyFill="1" applyBorder="1" applyAlignment="1" applyProtection="1">
      <alignment horizontal="center" vertical="center" wrapText="1" readingOrder="1"/>
      <protection hidden="1"/>
    </xf>
    <xf numFmtId="0" fontId="183" fillId="61" borderId="13" xfId="64" applyFont="1" applyFill="1" applyBorder="1" applyAlignment="1" applyProtection="1">
      <alignment horizontal="center" vertical="center" wrapText="1" readingOrder="1"/>
      <protection hidden="1"/>
    </xf>
    <xf numFmtId="0" fontId="324" fillId="48" borderId="13" xfId="64" applyFont="1" applyFill="1" applyBorder="1" applyAlignment="1" applyProtection="1">
      <alignment horizontal="right" vertical="center" readingOrder="2"/>
      <protection hidden="1"/>
    </xf>
    <xf numFmtId="0" fontId="69" fillId="48" borderId="13" xfId="64" applyFont="1" applyFill="1" applyBorder="1" applyAlignment="1" applyProtection="1">
      <alignment horizontal="center" vertical="center" wrapText="1" readingOrder="1"/>
      <protection hidden="1"/>
    </xf>
    <xf numFmtId="0" fontId="183" fillId="48" borderId="13" xfId="64" applyFont="1" applyFill="1" applyBorder="1" applyAlignment="1" applyProtection="1">
      <alignment horizontal="center" vertical="center" wrapText="1" readingOrder="1"/>
      <protection hidden="1"/>
    </xf>
    <xf numFmtId="0" fontId="55" fillId="62" borderId="13" xfId="64" applyFont="1" applyFill="1" applyBorder="1" applyAlignment="1" applyProtection="1">
      <alignment horizontal="right" vertical="center" readingOrder="2"/>
      <protection hidden="1"/>
    </xf>
    <xf numFmtId="0" fontId="316" fillId="60" borderId="13" xfId="64" applyFont="1" applyFill="1" applyBorder="1" applyAlignment="1" applyProtection="1">
      <alignment horizontal="right" vertical="center" readingOrder="2"/>
      <protection hidden="1"/>
    </xf>
    <xf numFmtId="0" fontId="335" fillId="60" borderId="13" xfId="64" applyFont="1" applyFill="1" applyBorder="1" applyAlignment="1" applyProtection="1">
      <alignment horizontal="center" vertical="center" wrapText="1" readingOrder="1"/>
      <protection hidden="1"/>
    </xf>
    <xf numFmtId="0" fontId="406" fillId="60" borderId="13" xfId="64" applyFont="1" applyFill="1" applyBorder="1" applyAlignment="1" applyProtection="1">
      <alignment horizontal="center" vertical="center" wrapText="1" readingOrder="1"/>
      <protection hidden="1"/>
    </xf>
    <xf numFmtId="0" fontId="55" fillId="51" borderId="0" xfId="64" applyFont="1" applyFill="1" applyBorder="1" applyAlignment="1" applyProtection="1">
      <alignment horizontal="right" vertical="center" readingOrder="2"/>
      <protection hidden="1"/>
    </xf>
    <xf numFmtId="0" fontId="318" fillId="51" borderId="0" xfId="64" applyFont="1" applyFill="1" applyBorder="1" applyAlignment="1" applyProtection="1">
      <protection hidden="1"/>
    </xf>
    <xf numFmtId="0" fontId="69" fillId="51" borderId="0" xfId="64" applyFont="1" applyFill="1" applyBorder="1" applyAlignment="1" applyProtection="1">
      <alignment horizontal="left" vertical="center"/>
      <protection hidden="1"/>
    </xf>
    <xf numFmtId="0" fontId="69" fillId="48" borderId="0" xfId="64" applyFont="1" applyFill="1" applyBorder="1" applyAlignment="1" applyProtection="1">
      <alignment horizontal="center" vertical="center" wrapText="1" readingOrder="2"/>
      <protection hidden="1"/>
    </xf>
    <xf numFmtId="0" fontId="69" fillId="48" borderId="13" xfId="64" applyFont="1" applyFill="1" applyBorder="1" applyAlignment="1" applyProtection="1">
      <alignment horizontal="center" vertical="center" wrapText="1" readingOrder="2"/>
      <protection hidden="1"/>
    </xf>
    <xf numFmtId="0" fontId="183" fillId="48" borderId="0" xfId="64" applyFont="1" applyFill="1" applyBorder="1" applyAlignment="1" applyProtection="1">
      <alignment horizontal="center" vertical="center" wrapText="1" readingOrder="2"/>
      <protection hidden="1"/>
    </xf>
    <xf numFmtId="0" fontId="69" fillId="48" borderId="0" xfId="64" applyFont="1" applyFill="1" applyBorder="1" applyAlignment="1" applyProtection="1">
      <alignment horizontal="center" vertical="center" readingOrder="2"/>
      <protection hidden="1"/>
    </xf>
    <xf numFmtId="0" fontId="7" fillId="48" borderId="247" xfId="64" applyFont="1" applyFill="1" applyBorder="1" applyAlignment="1" applyProtection="1">
      <alignment horizontal="left" vertical="center" readingOrder="2"/>
      <protection hidden="1"/>
    </xf>
    <xf numFmtId="0" fontId="183" fillId="48" borderId="117" xfId="64" applyFont="1" applyFill="1" applyBorder="1" applyAlignment="1" applyProtection="1">
      <alignment horizontal="center" vertical="center" wrapText="1" readingOrder="2"/>
      <protection hidden="1"/>
    </xf>
    <xf numFmtId="0" fontId="69" fillId="48" borderId="117" xfId="64" applyFont="1" applyFill="1" applyBorder="1" applyAlignment="1" applyProtection="1">
      <alignment horizontal="center" vertical="center" readingOrder="2"/>
      <protection hidden="1"/>
    </xf>
    <xf numFmtId="0" fontId="61" fillId="0" borderId="122" xfId="64" applyFont="1" applyFill="1" applyBorder="1" applyAlignment="1" applyProtection="1">
      <alignment vertical="center" readingOrder="1"/>
      <protection hidden="1"/>
    </xf>
    <xf numFmtId="0" fontId="61" fillId="0" borderId="0" xfId="64" applyFont="1" applyFill="1" applyBorder="1" applyAlignment="1" applyProtection="1">
      <alignment vertical="center" readingOrder="1"/>
      <protection hidden="1"/>
    </xf>
    <xf numFmtId="3" fontId="335" fillId="48" borderId="116" xfId="64" applyNumberFormat="1" applyFont="1" applyFill="1" applyBorder="1" applyAlignment="1" applyProtection="1">
      <alignment horizontal="center" vertical="center" readingOrder="1"/>
      <protection hidden="1"/>
    </xf>
    <xf numFmtId="0" fontId="58" fillId="48" borderId="248" xfId="64" applyFont="1" applyFill="1" applyBorder="1" applyAlignment="1" applyProtection="1">
      <alignment horizontal="center" vertical="center" wrapText="1" readingOrder="2"/>
      <protection hidden="1"/>
    </xf>
    <xf numFmtId="3" fontId="333" fillId="48" borderId="248" xfId="64" applyNumberFormat="1" applyFont="1" applyFill="1" applyBorder="1" applyAlignment="1" applyProtection="1">
      <alignment horizontal="center" vertical="center" readingOrder="1"/>
      <protection hidden="1"/>
    </xf>
    <xf numFmtId="3" fontId="333" fillId="48" borderId="0" xfId="64" applyNumberFormat="1" applyFont="1" applyFill="1" applyBorder="1" applyAlignment="1" applyProtection="1">
      <alignment horizontal="center" vertical="center" readingOrder="1"/>
      <protection hidden="1"/>
    </xf>
    <xf numFmtId="0" fontId="2" fillId="51" borderId="0" xfId="64" applyFont="1" applyFill="1" applyBorder="1" applyAlignment="1" applyProtection="1">
      <alignment vertical="center" readingOrder="1"/>
      <protection hidden="1"/>
    </xf>
    <xf numFmtId="0" fontId="2" fillId="51" borderId="0" xfId="64" applyFont="1" applyFill="1" applyBorder="1" applyAlignment="1" applyProtection="1">
      <alignment readingOrder="1"/>
      <protection hidden="1"/>
    </xf>
    <xf numFmtId="0" fontId="69" fillId="51" borderId="0" xfId="64" applyFont="1" applyFill="1" applyBorder="1" applyAlignment="1" applyProtection="1">
      <alignment horizontal="left" vertical="center" readingOrder="1"/>
      <protection hidden="1"/>
    </xf>
    <xf numFmtId="0" fontId="69" fillId="48" borderId="0" xfId="64" applyFont="1" applyFill="1" applyBorder="1" applyAlignment="1" applyProtection="1">
      <alignment horizontal="center" vertical="center" wrapText="1" readingOrder="1"/>
      <protection hidden="1"/>
    </xf>
    <xf numFmtId="0" fontId="183" fillId="48" borderId="0" xfId="64" applyFont="1" applyFill="1" applyBorder="1" applyAlignment="1" applyProtection="1">
      <alignment horizontal="center" vertical="center" wrapText="1" readingOrder="1"/>
      <protection hidden="1"/>
    </xf>
    <xf numFmtId="0" fontId="69" fillId="48" borderId="0" xfId="64" applyFont="1" applyFill="1" applyBorder="1" applyAlignment="1" applyProtection="1">
      <alignment horizontal="center" vertical="center" readingOrder="1"/>
      <protection hidden="1"/>
    </xf>
    <xf numFmtId="0" fontId="55" fillId="48" borderId="247" xfId="64" applyFont="1" applyFill="1" applyBorder="1" applyAlignment="1" applyProtection="1">
      <alignment horizontal="left" vertical="center" readingOrder="2"/>
      <protection hidden="1"/>
    </xf>
    <xf numFmtId="0" fontId="326" fillId="0" borderId="0" xfId="64" applyFont="1" applyFill="1" applyBorder="1" applyAlignment="1" applyProtection="1">
      <alignment horizontal="right" vertical="center" readingOrder="2"/>
      <protection hidden="1"/>
    </xf>
    <xf numFmtId="0" fontId="64" fillId="0" borderId="0" xfId="64" applyFont="1" applyFill="1" applyBorder="1" applyAlignment="1" applyProtection="1">
      <alignment vertical="center" readingOrder="2"/>
      <protection hidden="1"/>
    </xf>
    <xf numFmtId="0" fontId="395" fillId="48" borderId="0" xfId="64" applyFont="1" applyFill="1" applyBorder="1" applyAlignment="1" applyProtection="1">
      <alignment vertical="center" readingOrder="1"/>
      <protection hidden="1"/>
    </xf>
    <xf numFmtId="0" fontId="62" fillId="0" borderId="0" xfId="64" applyFont="1" applyFill="1" applyBorder="1" applyAlignment="1" applyProtection="1">
      <alignment vertical="center" readingOrder="1"/>
      <protection hidden="1"/>
    </xf>
    <xf numFmtId="0" fontId="60" fillId="0" borderId="0" xfId="64" applyFont="1" applyFill="1" applyBorder="1" applyAlignment="1" applyProtection="1">
      <alignment horizontal="left" vertical="center" readingOrder="1"/>
      <protection hidden="1"/>
    </xf>
    <xf numFmtId="0" fontId="7" fillId="0" borderId="0" xfId="64" applyFont="1" applyFill="1" applyBorder="1" applyAlignment="1" applyProtection="1">
      <alignment horizontal="justify" vertical="center" readingOrder="2"/>
      <protection hidden="1"/>
    </xf>
    <xf numFmtId="0" fontId="328" fillId="48" borderId="0" xfId="64" applyFont="1" applyFill="1" applyBorder="1" applyAlignment="1" applyProtection="1">
      <alignment horizontal="center" vertical="center" readingOrder="1"/>
      <protection hidden="1"/>
    </xf>
    <xf numFmtId="0" fontId="7" fillId="0" borderId="0" xfId="64" applyFont="1" applyFill="1" applyBorder="1" applyAlignment="1" applyProtection="1">
      <alignment horizontal="left" vertical="center" readingOrder="1"/>
      <protection hidden="1"/>
    </xf>
    <xf numFmtId="0" fontId="64" fillId="53" borderId="0" xfId="64" applyFont="1" applyFill="1" applyBorder="1" applyAlignment="1" applyProtection="1">
      <alignment vertical="center" readingOrder="2"/>
      <protection hidden="1"/>
    </xf>
    <xf numFmtId="0" fontId="328" fillId="53" borderId="0" xfId="64" applyFont="1" applyFill="1" applyBorder="1" applyAlignment="1" applyProtection="1">
      <alignment horizontal="left" vertical="center" readingOrder="2"/>
      <protection hidden="1"/>
    </xf>
    <xf numFmtId="0" fontId="328" fillId="53" borderId="0" xfId="64" applyFont="1" applyFill="1" applyBorder="1" applyAlignment="1" applyProtection="1">
      <alignment vertical="center" readingOrder="2"/>
      <protection hidden="1"/>
    </xf>
    <xf numFmtId="0" fontId="328" fillId="53" borderId="0" xfId="64" applyFont="1" applyFill="1" applyBorder="1" applyAlignment="1" applyProtection="1">
      <alignment vertical="center" readingOrder="1"/>
      <protection hidden="1"/>
    </xf>
    <xf numFmtId="0" fontId="0" fillId="53" borderId="0" xfId="0" applyFill="1" applyProtection="1">
      <protection hidden="1"/>
    </xf>
    <xf numFmtId="0" fontId="396" fillId="53" borderId="0" xfId="64" applyFont="1" applyFill="1" applyBorder="1" applyAlignment="1" applyProtection="1">
      <alignment vertical="center" readingOrder="1"/>
      <protection hidden="1"/>
    </xf>
    <xf numFmtId="0" fontId="337" fillId="53" borderId="0" xfId="64" applyFont="1" applyFill="1" applyBorder="1" applyAlignment="1" applyProtection="1">
      <alignment vertical="center" readingOrder="1"/>
      <protection hidden="1"/>
    </xf>
    <xf numFmtId="0" fontId="395" fillId="53" borderId="0" xfId="64" applyFont="1" applyFill="1" applyBorder="1" applyAlignment="1" applyProtection="1">
      <alignment vertical="center" readingOrder="1"/>
      <protection hidden="1"/>
    </xf>
    <xf numFmtId="3" fontId="333" fillId="48" borderId="0" xfId="64" applyNumberFormat="1" applyFont="1" applyFill="1" applyBorder="1" applyAlignment="1" applyProtection="1">
      <alignment horizontal="center" vertical="center" readingOrder="2"/>
      <protection hidden="1"/>
    </xf>
    <xf numFmtId="0" fontId="62" fillId="0" borderId="498" xfId="64" applyFont="1" applyFill="1" applyBorder="1" applyAlignment="1" applyProtection="1">
      <alignment vertical="center" readingOrder="1"/>
      <protection hidden="1"/>
    </xf>
    <xf numFmtId="0" fontId="61" fillId="0" borderId="0" xfId="64" applyFont="1" applyFill="1" applyBorder="1" applyAlignment="1" applyProtection="1">
      <alignment horizontal="right" vertical="center" readingOrder="2"/>
      <protection hidden="1"/>
    </xf>
    <xf numFmtId="0" fontId="57" fillId="0" borderId="0" xfId="64" applyFont="1" applyFill="1" applyBorder="1" applyAlignment="1" applyProtection="1">
      <alignment horizontal="left" vertical="center" readingOrder="1"/>
      <protection hidden="1"/>
    </xf>
    <xf numFmtId="0" fontId="61" fillId="31" borderId="0" xfId="64" applyFont="1" applyFill="1" applyBorder="1" applyAlignment="1" applyProtection="1">
      <alignment horizontal="right" vertical="center" readingOrder="2"/>
      <protection hidden="1"/>
    </xf>
    <xf numFmtId="0" fontId="56" fillId="31" borderId="0" xfId="64" applyFont="1" applyFill="1" applyBorder="1" applyAlignment="1" applyProtection="1">
      <alignment vertical="center"/>
      <protection hidden="1"/>
    </xf>
    <xf numFmtId="0" fontId="55" fillId="0" borderId="202" xfId="64" applyFont="1" applyFill="1" applyBorder="1" applyAlignment="1" applyProtection="1">
      <alignment horizontal="center" vertical="center" readingOrder="2"/>
      <protection hidden="1"/>
    </xf>
    <xf numFmtId="3" fontId="3" fillId="0" borderId="135" xfId="64" applyNumberFormat="1" applyFont="1" applyFill="1" applyBorder="1" applyAlignment="1" applyProtection="1">
      <alignment horizontal="center" vertical="center" wrapText="1" readingOrder="1"/>
      <protection hidden="1"/>
    </xf>
    <xf numFmtId="3" fontId="3" fillId="0" borderId="136" xfId="64" applyNumberFormat="1" applyFont="1" applyFill="1" applyBorder="1" applyAlignment="1" applyProtection="1">
      <alignment horizontal="center" vertical="center" wrapText="1" readingOrder="1"/>
      <protection hidden="1"/>
    </xf>
    <xf numFmtId="0" fontId="55" fillId="0" borderId="192" xfId="64" applyFont="1" applyFill="1" applyBorder="1" applyAlignment="1" applyProtection="1">
      <alignment horizontal="center" vertical="center" readingOrder="2"/>
      <protection hidden="1"/>
    </xf>
    <xf numFmtId="3" fontId="3" fillId="0" borderId="138" xfId="64" applyNumberFormat="1" applyFont="1" applyFill="1" applyBorder="1" applyAlignment="1" applyProtection="1">
      <alignment horizontal="center" vertical="center" wrapText="1" readingOrder="1"/>
      <protection hidden="1"/>
    </xf>
    <xf numFmtId="3" fontId="3" fillId="0" borderId="139" xfId="64" applyNumberFormat="1" applyFont="1" applyFill="1" applyBorder="1" applyAlignment="1" applyProtection="1">
      <alignment horizontal="center" vertical="center" wrapText="1" readingOrder="1"/>
      <protection hidden="1"/>
    </xf>
    <xf numFmtId="0" fontId="55" fillId="0" borderId="189" xfId="64" applyFont="1" applyFill="1" applyBorder="1" applyAlignment="1" applyProtection="1">
      <alignment horizontal="center" vertical="center" readingOrder="2"/>
      <protection hidden="1"/>
    </xf>
    <xf numFmtId="0" fontId="55" fillId="31" borderId="189" xfId="64" applyFont="1" applyFill="1" applyBorder="1" applyAlignment="1" applyProtection="1">
      <alignment horizontal="center" vertical="center" readingOrder="2"/>
      <protection hidden="1"/>
    </xf>
    <xf numFmtId="0" fontId="55" fillId="31" borderId="192" xfId="64" applyFont="1" applyFill="1" applyBorder="1" applyAlignment="1" applyProtection="1">
      <alignment horizontal="center" vertical="center" readingOrder="2"/>
      <protection hidden="1"/>
    </xf>
    <xf numFmtId="0" fontId="2" fillId="0" borderId="0" xfId="64" applyFont="1" applyBorder="1" applyAlignment="1" applyProtection="1">
      <alignment vertical="center"/>
      <protection hidden="1"/>
    </xf>
    <xf numFmtId="0" fontId="7" fillId="0" borderId="42" xfId="64" applyFont="1" applyFill="1" applyBorder="1" applyAlignment="1" applyProtection="1">
      <alignment horizontal="right" vertical="center" readingOrder="2"/>
      <protection hidden="1"/>
    </xf>
    <xf numFmtId="0" fontId="1" fillId="0" borderId="42" xfId="64" applyBorder="1" applyAlignment="1" applyProtection="1">
      <alignment vertical="center"/>
      <protection hidden="1"/>
    </xf>
    <xf numFmtId="0" fontId="1" fillId="0" borderId="42" xfId="64" applyBorder="1" applyAlignment="1" applyProtection="1">
      <protection hidden="1"/>
    </xf>
    <xf numFmtId="0" fontId="64" fillId="0" borderId="0" xfId="64" applyFont="1" applyFill="1" applyBorder="1" applyAlignment="1" applyProtection="1">
      <alignment horizontal="right" vertical="center" readingOrder="2"/>
      <protection hidden="1"/>
    </xf>
    <xf numFmtId="0" fontId="62" fillId="0" borderId="0" xfId="64" applyFont="1" applyFill="1" applyBorder="1" applyAlignment="1" applyProtection="1">
      <alignment horizontal="left" vertical="center" readingOrder="1"/>
      <protection hidden="1"/>
    </xf>
    <xf numFmtId="0" fontId="57" fillId="31" borderId="0" xfId="64" applyFont="1" applyFill="1" applyBorder="1" applyAlignment="1" applyProtection="1">
      <alignment horizontal="right" vertical="center" readingOrder="2"/>
      <protection hidden="1"/>
    </xf>
    <xf numFmtId="3" fontId="65" fillId="0" borderId="0" xfId="64" applyNumberFormat="1" applyFont="1" applyBorder="1" applyAlignment="1" applyProtection="1">
      <alignment readingOrder="1"/>
      <protection hidden="1"/>
    </xf>
    <xf numFmtId="0" fontId="264" fillId="0" borderId="0" xfId="0" applyFont="1" applyProtection="1">
      <protection hidden="1"/>
    </xf>
    <xf numFmtId="3" fontId="3" fillId="0" borderId="0" xfId="64" applyNumberFormat="1" applyFont="1" applyFill="1" applyBorder="1" applyAlignment="1" applyProtection="1">
      <alignment wrapText="1" readingOrder="1"/>
      <protection hidden="1"/>
    </xf>
    <xf numFmtId="0" fontId="1" fillId="31" borderId="0" xfId="64" applyFill="1" applyBorder="1" applyProtection="1">
      <protection hidden="1"/>
    </xf>
    <xf numFmtId="0" fontId="57" fillId="0" borderId="0" xfId="64" applyFont="1" applyFill="1" applyBorder="1" applyAlignment="1" applyProtection="1">
      <alignment horizontal="right" vertical="center" readingOrder="2"/>
      <protection hidden="1"/>
    </xf>
    <xf numFmtId="0" fontId="56" fillId="0" borderId="0" xfId="64" applyFont="1" applyFill="1" applyBorder="1" applyAlignment="1" applyProtection="1">
      <alignment vertical="center"/>
      <protection hidden="1"/>
    </xf>
    <xf numFmtId="0" fontId="1" fillId="0" borderId="0" xfId="64" applyFill="1" applyBorder="1" applyAlignment="1" applyProtection="1">
      <alignment vertical="center"/>
      <protection hidden="1"/>
    </xf>
    <xf numFmtId="0" fontId="1" fillId="0" borderId="0" xfId="64" applyFill="1" applyBorder="1" applyAlignment="1" applyProtection="1">
      <protection hidden="1"/>
    </xf>
    <xf numFmtId="3" fontId="3" fillId="0" borderId="137" xfId="64" applyNumberFormat="1" applyFont="1" applyFill="1" applyBorder="1" applyAlignment="1" applyProtection="1">
      <alignment horizontal="center" vertical="center" wrapText="1" readingOrder="1"/>
      <protection hidden="1"/>
    </xf>
    <xf numFmtId="3" fontId="3" fillId="0" borderId="203" xfId="64" applyNumberFormat="1" applyFont="1" applyFill="1" applyBorder="1" applyAlignment="1" applyProtection="1">
      <alignment horizontal="center" vertical="center" wrapText="1" readingOrder="1"/>
      <protection hidden="1"/>
    </xf>
    <xf numFmtId="3" fontId="3" fillId="0" borderId="204" xfId="64" applyNumberFormat="1" applyFont="1" applyFill="1" applyBorder="1" applyAlignment="1" applyProtection="1">
      <alignment horizontal="center" vertical="center" wrapText="1" readingOrder="1"/>
      <protection hidden="1"/>
    </xf>
    <xf numFmtId="3" fontId="3" fillId="0" borderId="205" xfId="64" applyNumberFormat="1" applyFont="1" applyFill="1" applyBorder="1" applyAlignment="1" applyProtection="1">
      <alignment horizontal="center" vertical="center" wrapText="1" readingOrder="1"/>
      <protection hidden="1"/>
    </xf>
    <xf numFmtId="3" fontId="3" fillId="0" borderId="151" xfId="64" applyNumberFormat="1" applyFont="1" applyFill="1" applyBorder="1" applyAlignment="1" applyProtection="1">
      <alignment horizontal="center" vertical="center" wrapText="1" readingOrder="1"/>
      <protection hidden="1"/>
    </xf>
    <xf numFmtId="3" fontId="3" fillId="0" borderId="206" xfId="64" applyNumberFormat="1" applyFont="1" applyFill="1" applyBorder="1" applyAlignment="1" applyProtection="1">
      <alignment horizontal="center" vertical="center" wrapText="1" readingOrder="1"/>
      <protection hidden="1"/>
    </xf>
    <xf numFmtId="3" fontId="3" fillId="0" borderId="152" xfId="64" applyNumberFormat="1" applyFont="1" applyFill="1" applyBorder="1" applyAlignment="1" applyProtection="1">
      <alignment horizontal="center" vertical="center" wrapText="1" readingOrder="1"/>
      <protection hidden="1"/>
    </xf>
    <xf numFmtId="3" fontId="3" fillId="0" borderId="130" xfId="64" applyNumberFormat="1" applyFont="1" applyFill="1" applyBorder="1" applyAlignment="1" applyProtection="1">
      <alignment horizontal="center" vertical="center" wrapText="1" readingOrder="1"/>
      <protection hidden="1"/>
    </xf>
    <xf numFmtId="3" fontId="3" fillId="0" borderId="207" xfId="64" applyNumberFormat="1" applyFont="1" applyFill="1" applyBorder="1" applyAlignment="1" applyProtection="1">
      <alignment horizontal="center" vertical="center" wrapText="1" readingOrder="1"/>
      <protection hidden="1"/>
    </xf>
    <xf numFmtId="3" fontId="3" fillId="0" borderId="127" xfId="64" applyNumberFormat="1" applyFont="1" applyFill="1" applyBorder="1" applyAlignment="1" applyProtection="1">
      <alignment horizontal="center" vertical="center" wrapText="1" readingOrder="1"/>
      <protection hidden="1"/>
    </xf>
    <xf numFmtId="3" fontId="3" fillId="31" borderId="135" xfId="64" applyNumberFormat="1" applyFont="1" applyFill="1" applyBorder="1" applyAlignment="1" applyProtection="1">
      <alignment horizontal="center" vertical="center" wrapText="1" readingOrder="1"/>
      <protection hidden="1"/>
    </xf>
    <xf numFmtId="3" fontId="3" fillId="31" borderId="136" xfId="64" applyNumberFormat="1" applyFont="1" applyFill="1" applyBorder="1" applyAlignment="1" applyProtection="1">
      <alignment horizontal="center" vertical="center" wrapText="1" readingOrder="1"/>
      <protection hidden="1"/>
    </xf>
    <xf numFmtId="3" fontId="3" fillId="31" borderId="137" xfId="64" applyNumberFormat="1" applyFont="1" applyFill="1" applyBorder="1" applyAlignment="1" applyProtection="1">
      <alignment horizontal="center" vertical="center" wrapText="1" readingOrder="1"/>
      <protection hidden="1"/>
    </xf>
    <xf numFmtId="3" fontId="3" fillId="31" borderId="138" xfId="64" applyNumberFormat="1" applyFont="1" applyFill="1" applyBorder="1" applyAlignment="1" applyProtection="1">
      <alignment horizontal="center" vertical="center" wrapText="1" readingOrder="1"/>
      <protection hidden="1"/>
    </xf>
    <xf numFmtId="3" fontId="3" fillId="31" borderId="139" xfId="64" applyNumberFormat="1" applyFont="1" applyFill="1" applyBorder="1" applyAlignment="1" applyProtection="1">
      <alignment horizontal="center" vertical="center" wrapText="1" readingOrder="1"/>
      <protection hidden="1"/>
    </xf>
    <xf numFmtId="3" fontId="3" fillId="31" borderId="140" xfId="64" applyNumberFormat="1" applyFont="1" applyFill="1" applyBorder="1" applyAlignment="1" applyProtection="1">
      <alignment horizontal="center" vertical="center" wrapText="1" readingOrder="1"/>
      <protection hidden="1"/>
    </xf>
    <xf numFmtId="3" fontId="3" fillId="0" borderId="140" xfId="64" applyNumberFormat="1" applyFont="1" applyFill="1" applyBorder="1" applyAlignment="1" applyProtection="1">
      <alignment horizontal="center" vertical="center" wrapText="1" readingOrder="1"/>
      <protection hidden="1"/>
    </xf>
    <xf numFmtId="0" fontId="55" fillId="0" borderId="0" xfId="64" applyFont="1" applyFill="1" applyBorder="1" applyAlignment="1" applyProtection="1">
      <alignment horizontal="center" vertical="center" readingOrder="2"/>
      <protection hidden="1"/>
    </xf>
    <xf numFmtId="3" fontId="3" fillId="0" borderId="248" xfId="64" applyNumberFormat="1" applyFont="1" applyFill="1" applyBorder="1" applyAlignment="1" applyProtection="1">
      <alignment vertical="center" wrapText="1" readingOrder="1"/>
      <protection hidden="1"/>
    </xf>
    <xf numFmtId="3" fontId="3" fillId="0" borderId="0" xfId="64" applyNumberFormat="1" applyFont="1" applyFill="1" applyBorder="1" applyAlignment="1" applyProtection="1">
      <alignment vertical="center" wrapText="1" readingOrder="1"/>
      <protection hidden="1"/>
    </xf>
    <xf numFmtId="0" fontId="57" fillId="26" borderId="0" xfId="64" applyFont="1" applyFill="1" applyBorder="1" applyAlignment="1" applyProtection="1">
      <alignment horizontal="right" vertical="center" readingOrder="2"/>
      <protection hidden="1"/>
    </xf>
    <xf numFmtId="0" fontId="1" fillId="26" borderId="0" xfId="64" applyFill="1" applyBorder="1" applyAlignment="1" applyProtection="1">
      <alignment vertical="center"/>
      <protection hidden="1"/>
    </xf>
    <xf numFmtId="0" fontId="1" fillId="26" borderId="0" xfId="64" applyFill="1" applyBorder="1" applyAlignment="1" applyProtection="1">
      <protection hidden="1"/>
    </xf>
    <xf numFmtId="0" fontId="1" fillId="48" borderId="0" xfId="64" applyFill="1" applyBorder="1" applyProtection="1">
      <protection hidden="1"/>
    </xf>
    <xf numFmtId="0" fontId="61" fillId="0" borderId="0" xfId="64" applyFont="1" applyFill="1" applyBorder="1" applyAlignment="1" applyProtection="1">
      <alignment horizontal="right" vertical="center" readingOrder="2"/>
    </xf>
    <xf numFmtId="0" fontId="57" fillId="0" borderId="0" xfId="64" applyFont="1" applyFill="1" applyBorder="1" applyAlignment="1" applyProtection="1">
      <alignment horizontal="left" vertical="center" readingOrder="1"/>
    </xf>
    <xf numFmtId="3" fontId="236" fillId="0" borderId="0" xfId="64" applyNumberFormat="1" applyFont="1" applyBorder="1" applyAlignment="1" applyProtection="1">
      <alignment horizontal="center" vertical="center" readingOrder="1"/>
    </xf>
    <xf numFmtId="0" fontId="319" fillId="0" borderId="0" xfId="64" applyFont="1" applyBorder="1" applyAlignment="1" applyProtection="1">
      <alignment horizontal="center" vertical="center"/>
    </xf>
    <xf numFmtId="0" fontId="55" fillId="35" borderId="0" xfId="64" applyFont="1" applyFill="1" applyBorder="1" applyAlignment="1" applyProtection="1">
      <alignment horizontal="center" vertical="center" wrapText="1" readingOrder="2"/>
      <protection hidden="1"/>
    </xf>
    <xf numFmtId="0" fontId="241" fillId="0" borderId="63" xfId="0" applyFont="1" applyBorder="1" applyAlignment="1" applyProtection="1">
      <alignment horizontal="center" vertical="center"/>
      <protection hidden="1"/>
    </xf>
    <xf numFmtId="0" fontId="242" fillId="0" borderId="108" xfId="0" applyFont="1" applyBorder="1" applyAlignment="1" applyProtection="1">
      <alignment vertical="center"/>
      <protection hidden="1"/>
    </xf>
    <xf numFmtId="0" fontId="242" fillId="0" borderId="63" xfId="0" applyFont="1" applyBorder="1" applyAlignment="1" applyProtection="1">
      <alignment horizontal="center" vertical="center"/>
      <protection hidden="1"/>
    </xf>
    <xf numFmtId="0" fontId="2" fillId="0" borderId="194" xfId="62" applyFont="1" applyFill="1" applyBorder="1" applyAlignment="1" applyProtection="1">
      <alignment horizontal="right" vertical="center"/>
      <protection hidden="1"/>
    </xf>
    <xf numFmtId="0" fontId="243" fillId="0" borderId="63" xfId="0" applyFont="1" applyBorder="1" applyAlignment="1" applyProtection="1">
      <alignment horizontal="center" vertical="center"/>
      <protection hidden="1"/>
    </xf>
    <xf numFmtId="0" fontId="244" fillId="0" borderId="108" xfId="0" applyFont="1" applyBorder="1" applyAlignment="1" applyProtection="1">
      <alignment vertical="center"/>
      <protection hidden="1"/>
    </xf>
    <xf numFmtId="0" fontId="2" fillId="0" borderId="174" xfId="62" applyFont="1" applyFill="1" applyBorder="1" applyAlignment="1" applyProtection="1">
      <alignment horizontal="right" vertical="center"/>
      <protection hidden="1"/>
    </xf>
    <xf numFmtId="0" fontId="244" fillId="0" borderId="244" xfId="0" applyFont="1" applyBorder="1" applyAlignment="1" applyProtection="1">
      <alignment horizontal="center" vertical="center"/>
      <protection hidden="1"/>
    </xf>
    <xf numFmtId="0" fontId="2" fillId="35" borderId="195" xfId="62" applyFont="1" applyFill="1" applyBorder="1" applyAlignment="1" applyProtection="1">
      <alignment horizontal="right" vertical="center"/>
      <protection hidden="1"/>
    </xf>
    <xf numFmtId="0" fontId="2" fillId="0" borderId="195" xfId="62" applyFont="1" applyFill="1" applyBorder="1" applyAlignment="1" applyProtection="1">
      <alignment horizontal="right" vertical="center"/>
      <protection hidden="1"/>
    </xf>
    <xf numFmtId="0" fontId="2" fillId="26" borderId="196" xfId="62" applyFont="1" applyFill="1" applyBorder="1" applyAlignment="1" applyProtection="1">
      <alignment horizontal="right" vertical="center"/>
      <protection hidden="1"/>
    </xf>
    <xf numFmtId="0" fontId="2" fillId="0" borderId="186" xfId="62" applyFont="1" applyFill="1" applyBorder="1" applyAlignment="1" applyProtection="1">
      <alignment horizontal="right" vertical="center"/>
      <protection hidden="1"/>
    </xf>
    <xf numFmtId="0" fontId="2" fillId="35" borderId="186" xfId="62" applyFont="1" applyFill="1" applyBorder="1" applyAlignment="1" applyProtection="1">
      <alignment horizontal="right" vertical="center"/>
      <protection hidden="1"/>
    </xf>
    <xf numFmtId="0" fontId="2" fillId="0" borderId="196" xfId="62" applyFont="1" applyFill="1" applyBorder="1" applyAlignment="1" applyProtection="1">
      <alignment horizontal="right" vertical="center"/>
      <protection hidden="1"/>
    </xf>
    <xf numFmtId="0" fontId="2" fillId="35" borderId="184" xfId="62" applyFont="1" applyFill="1" applyBorder="1" applyAlignment="1" applyProtection="1">
      <alignment horizontal="right" vertical="center"/>
      <protection hidden="1"/>
    </xf>
    <xf numFmtId="0" fontId="58" fillId="0" borderId="195" xfId="62" applyFont="1" applyFill="1" applyBorder="1" applyAlignment="1" applyProtection="1">
      <alignment horizontal="right" vertical="center"/>
      <protection hidden="1"/>
    </xf>
    <xf numFmtId="0" fontId="58" fillId="35" borderId="196" xfId="62" applyFont="1" applyFill="1" applyBorder="1" applyAlignment="1" applyProtection="1">
      <alignment horizontal="right" vertical="center"/>
      <protection hidden="1"/>
    </xf>
    <xf numFmtId="0" fontId="58" fillId="0" borderId="184" xfId="62" applyFont="1" applyFill="1" applyBorder="1" applyAlignment="1" applyProtection="1">
      <alignment horizontal="right" vertical="center"/>
      <protection hidden="1"/>
    </xf>
    <xf numFmtId="0" fontId="58" fillId="35" borderId="195" xfId="62" applyFont="1" applyFill="1" applyBorder="1" applyAlignment="1" applyProtection="1">
      <alignment horizontal="right" vertical="center"/>
      <protection hidden="1"/>
    </xf>
    <xf numFmtId="0" fontId="58" fillId="35" borderId="186" xfId="62" applyFont="1" applyFill="1" applyBorder="1" applyAlignment="1" applyProtection="1">
      <alignment horizontal="right" vertical="center"/>
      <protection hidden="1"/>
    </xf>
    <xf numFmtId="0" fontId="58" fillId="0" borderId="195" xfId="71" applyFont="1" applyFill="1" applyBorder="1" applyProtection="1">
      <protection hidden="1"/>
    </xf>
    <xf numFmtId="0" fontId="55" fillId="31" borderId="121" xfId="71" applyFont="1" applyFill="1" applyBorder="1" applyAlignment="1" applyProtection="1">
      <alignment horizontal="center" vertical="center" readingOrder="2"/>
      <protection hidden="1"/>
    </xf>
    <xf numFmtId="3" fontId="66" fillId="0" borderId="172" xfId="71" applyNumberFormat="1" applyFont="1" applyFill="1" applyBorder="1" applyAlignment="1" applyProtection="1">
      <alignment horizontal="center" vertical="center" wrapText="1" readingOrder="1"/>
      <protection hidden="1"/>
    </xf>
    <xf numFmtId="3" fontId="66" fillId="0" borderId="173" xfId="71" applyNumberFormat="1" applyFont="1" applyFill="1" applyBorder="1" applyAlignment="1" applyProtection="1">
      <alignment horizontal="center" vertical="center" wrapText="1" readingOrder="1"/>
      <protection hidden="1"/>
    </xf>
    <xf numFmtId="0" fontId="2" fillId="26" borderId="174" xfId="62" applyFont="1" applyFill="1" applyBorder="1" applyAlignment="1" applyProtection="1">
      <alignment horizontal="right" vertical="center"/>
      <protection hidden="1"/>
    </xf>
    <xf numFmtId="3" fontId="66" fillId="26" borderId="160" xfId="71" applyNumberFormat="1" applyFont="1" applyFill="1" applyBorder="1" applyAlignment="1" applyProtection="1">
      <alignment horizontal="center" vertical="center" wrapText="1" readingOrder="1"/>
      <protection hidden="1"/>
    </xf>
    <xf numFmtId="3" fontId="66" fillId="26" borderId="161" xfId="71" applyNumberFormat="1" applyFont="1" applyFill="1" applyBorder="1" applyAlignment="1" applyProtection="1">
      <alignment horizontal="center" vertical="center" wrapText="1" readingOrder="1"/>
      <protection hidden="1"/>
    </xf>
    <xf numFmtId="3" fontId="66" fillId="35" borderId="162" xfId="71" applyNumberFormat="1" applyFont="1" applyFill="1" applyBorder="1" applyAlignment="1" applyProtection="1">
      <alignment horizontal="center" vertical="center" wrapText="1" readingOrder="1"/>
      <protection hidden="1"/>
    </xf>
    <xf numFmtId="3" fontId="66" fillId="35" borderId="163" xfId="71" applyNumberFormat="1" applyFont="1" applyFill="1" applyBorder="1" applyAlignment="1" applyProtection="1">
      <alignment horizontal="center" vertical="center" wrapText="1" readingOrder="1"/>
      <protection hidden="1"/>
    </xf>
    <xf numFmtId="0" fontId="2" fillId="26" borderId="195" xfId="62" applyFont="1" applyFill="1" applyBorder="1" applyAlignment="1" applyProtection="1">
      <alignment horizontal="right" vertical="center"/>
      <protection hidden="1"/>
    </xf>
    <xf numFmtId="3" fontId="66" fillId="26" borderId="162" xfId="71" applyNumberFormat="1" applyFont="1" applyFill="1" applyBorder="1" applyAlignment="1" applyProtection="1">
      <alignment horizontal="center" vertical="center" wrapText="1" readingOrder="1"/>
      <protection hidden="1"/>
    </xf>
    <xf numFmtId="3" fontId="66" fillId="26" borderId="163" xfId="71" applyNumberFormat="1" applyFont="1" applyFill="1" applyBorder="1" applyAlignment="1" applyProtection="1">
      <alignment horizontal="center" vertical="center" wrapText="1" readingOrder="1"/>
      <protection hidden="1"/>
    </xf>
    <xf numFmtId="3" fontId="66" fillId="35" borderId="214" xfId="71" applyNumberFormat="1" applyFont="1" applyFill="1" applyBorder="1" applyAlignment="1" applyProtection="1">
      <alignment horizontal="center" vertical="center" wrapText="1" readingOrder="1"/>
      <protection hidden="1"/>
    </xf>
    <xf numFmtId="3" fontId="66" fillId="35" borderId="215" xfId="71" applyNumberFormat="1" applyFont="1" applyFill="1" applyBorder="1" applyAlignment="1" applyProtection="1">
      <alignment horizontal="center" vertical="center" wrapText="1" readingOrder="1"/>
      <protection hidden="1"/>
    </xf>
    <xf numFmtId="0" fontId="2" fillId="35" borderId="192" xfId="62" applyFont="1" applyFill="1" applyBorder="1" applyAlignment="1" applyProtection="1">
      <alignment horizontal="right" vertical="center"/>
      <protection hidden="1"/>
    </xf>
    <xf numFmtId="0" fontId="2" fillId="26" borderId="186" xfId="62" applyFont="1" applyFill="1" applyBorder="1" applyAlignment="1" applyProtection="1">
      <alignment horizontal="right" vertical="center"/>
      <protection hidden="1"/>
    </xf>
    <xf numFmtId="3" fontId="66" fillId="26" borderId="214" xfId="71" applyNumberFormat="1" applyFont="1" applyFill="1" applyBorder="1" applyAlignment="1" applyProtection="1">
      <alignment horizontal="center" vertical="center" wrapText="1" readingOrder="1"/>
      <protection hidden="1"/>
    </xf>
    <xf numFmtId="3" fontId="66" fillId="26" borderId="215" xfId="71" applyNumberFormat="1" applyFont="1" applyFill="1" applyBorder="1" applyAlignment="1" applyProtection="1">
      <alignment horizontal="center" vertical="center" wrapText="1" readingOrder="1"/>
      <protection hidden="1"/>
    </xf>
    <xf numFmtId="3" fontId="66" fillId="35" borderId="160" xfId="71" applyNumberFormat="1" applyFont="1" applyFill="1" applyBorder="1" applyAlignment="1" applyProtection="1">
      <alignment horizontal="center" vertical="center" wrapText="1" readingOrder="1"/>
      <protection hidden="1"/>
    </xf>
    <xf numFmtId="3" fontId="66" fillId="35" borderId="161" xfId="71" applyNumberFormat="1" applyFont="1" applyFill="1" applyBorder="1" applyAlignment="1" applyProtection="1">
      <alignment horizontal="center" vertical="center" wrapText="1" readingOrder="1"/>
      <protection hidden="1"/>
    </xf>
    <xf numFmtId="3" fontId="66" fillId="26" borderId="172" xfId="71" applyNumberFormat="1" applyFont="1" applyFill="1" applyBorder="1" applyAlignment="1" applyProtection="1">
      <alignment horizontal="center" vertical="center" wrapText="1" readingOrder="1"/>
      <protection hidden="1"/>
    </xf>
    <xf numFmtId="3" fontId="66" fillId="26" borderId="173" xfId="71" applyNumberFormat="1" applyFont="1" applyFill="1" applyBorder="1" applyAlignment="1" applyProtection="1">
      <alignment horizontal="center" vertical="center" wrapText="1" readingOrder="1"/>
      <protection hidden="1"/>
    </xf>
    <xf numFmtId="0" fontId="58" fillId="26" borderId="195" xfId="62" applyFont="1" applyFill="1" applyBorder="1" applyAlignment="1" applyProtection="1">
      <alignment horizontal="right" vertical="center"/>
      <protection hidden="1"/>
    </xf>
    <xf numFmtId="0" fontId="58" fillId="26" borderId="184" xfId="62" applyFont="1" applyFill="1" applyBorder="1" applyAlignment="1" applyProtection="1">
      <alignment horizontal="right" vertical="center"/>
      <protection hidden="1"/>
    </xf>
    <xf numFmtId="0" fontId="2" fillId="26" borderId="195" xfId="71" applyFont="1" applyFill="1" applyBorder="1" applyProtection="1">
      <protection hidden="1"/>
    </xf>
    <xf numFmtId="0" fontId="2" fillId="35" borderId="196" xfId="62" applyFont="1" applyFill="1" applyBorder="1" applyAlignment="1" applyProtection="1">
      <alignment horizontal="right" vertical="center"/>
      <protection hidden="1"/>
    </xf>
    <xf numFmtId="3" fontId="66" fillId="35" borderId="249" xfId="71" applyNumberFormat="1" applyFont="1" applyFill="1" applyBorder="1" applyAlignment="1" applyProtection="1">
      <alignment horizontal="center" vertical="center" wrapText="1" readingOrder="1"/>
      <protection hidden="1"/>
    </xf>
    <xf numFmtId="3" fontId="66" fillId="35" borderId="250" xfId="71" applyNumberFormat="1" applyFont="1" applyFill="1" applyBorder="1" applyAlignment="1" applyProtection="1">
      <alignment horizontal="center" vertical="center" wrapText="1" readingOrder="1"/>
      <protection hidden="1"/>
    </xf>
    <xf numFmtId="0" fontId="236" fillId="48" borderId="122" xfId="73" applyFont="1" applyFill="1" applyBorder="1" applyAlignment="1" applyProtection="1">
      <alignment vertical="center" readingOrder="2"/>
      <protection hidden="1"/>
    </xf>
    <xf numFmtId="0" fontId="7" fillId="0" borderId="0" xfId="71" applyFont="1" applyFill="1" applyBorder="1" applyAlignment="1" applyProtection="1">
      <alignment horizontal="right" vertical="center" readingOrder="2"/>
      <protection hidden="1"/>
    </xf>
    <xf numFmtId="0" fontId="236" fillId="48" borderId="0" xfId="73" applyFont="1" applyFill="1" applyBorder="1" applyAlignment="1" applyProtection="1">
      <alignment vertical="center" readingOrder="2"/>
      <protection hidden="1"/>
    </xf>
    <xf numFmtId="0" fontId="61" fillId="0" borderId="70" xfId="71" applyFont="1" applyBorder="1" applyAlignment="1" applyProtection="1">
      <alignment horizontal="right"/>
      <protection locked="0"/>
    </xf>
    <xf numFmtId="0" fontId="1" fillId="31" borderId="266" xfId="73" applyFill="1" applyBorder="1" applyAlignment="1" applyProtection="1">
      <protection hidden="1"/>
    </xf>
    <xf numFmtId="0" fontId="1" fillId="31" borderId="0" xfId="73" applyFill="1" applyBorder="1" applyAlignment="1" applyProtection="1">
      <protection hidden="1"/>
    </xf>
    <xf numFmtId="0" fontId="1" fillId="31" borderId="226" xfId="73" applyFill="1" applyBorder="1" applyAlignment="1" applyProtection="1">
      <protection hidden="1"/>
    </xf>
    <xf numFmtId="0" fontId="0" fillId="31" borderId="0" xfId="0" applyFill="1" applyBorder="1" applyProtection="1">
      <protection hidden="1"/>
    </xf>
    <xf numFmtId="0" fontId="0" fillId="31" borderId="266" xfId="0" applyFill="1" applyBorder="1" applyProtection="1">
      <protection hidden="1"/>
    </xf>
    <xf numFmtId="0" fontId="0" fillId="31" borderId="226" xfId="0" applyFill="1" applyBorder="1" applyProtection="1">
      <protection hidden="1"/>
    </xf>
    <xf numFmtId="0" fontId="0" fillId="31" borderId="268" xfId="0" applyFill="1" applyBorder="1" applyProtection="1">
      <protection hidden="1"/>
    </xf>
    <xf numFmtId="0" fontId="1" fillId="26" borderId="0" xfId="73" applyFill="1" applyBorder="1" applyAlignment="1" applyProtection="1">
      <protection hidden="1"/>
    </xf>
    <xf numFmtId="0" fontId="1" fillId="28" borderId="0" xfId="73" applyFill="1" applyBorder="1" applyAlignment="1" applyProtection="1">
      <protection hidden="1"/>
    </xf>
    <xf numFmtId="0" fontId="58" fillId="26" borderId="119" xfId="73" applyFont="1" applyFill="1" applyBorder="1" applyAlignment="1" applyProtection="1">
      <alignment horizontal="left" vertical="center" readingOrder="2"/>
      <protection hidden="1"/>
    </xf>
    <xf numFmtId="0" fontId="7" fillId="26" borderId="0" xfId="73" applyFont="1" applyFill="1" applyBorder="1" applyAlignment="1" applyProtection="1">
      <alignment vertical="center" readingOrder="2"/>
      <protection hidden="1"/>
    </xf>
    <xf numFmtId="3" fontId="177" fillId="26" borderId="0" xfId="64" applyNumberFormat="1" applyFont="1" applyFill="1" applyBorder="1" applyAlignment="1" applyProtection="1">
      <alignment horizontal="center" vertical="center" readingOrder="1"/>
      <protection hidden="1"/>
    </xf>
    <xf numFmtId="3" fontId="91" fillId="26" borderId="244" xfId="64" applyNumberFormat="1" applyFont="1" applyFill="1" applyBorder="1" applyAlignment="1" applyProtection="1">
      <alignment horizontal="center" vertical="center" wrapText="1" readingOrder="1"/>
      <protection hidden="1"/>
    </xf>
    <xf numFmtId="3" fontId="89" fillId="26" borderId="244" xfId="64" applyNumberFormat="1" applyFont="1" applyFill="1" applyBorder="1" applyAlignment="1" applyProtection="1">
      <alignment horizontal="center" vertical="center" wrapText="1" readingOrder="1"/>
      <protection hidden="1"/>
    </xf>
    <xf numFmtId="0" fontId="2" fillId="26" borderId="0" xfId="73" applyFont="1" applyFill="1" applyBorder="1" applyAlignment="1" applyProtection="1">
      <alignment vertical="center"/>
      <protection hidden="1"/>
    </xf>
    <xf numFmtId="0" fontId="2" fillId="31" borderId="0" xfId="73" applyFont="1" applyFill="1" applyBorder="1" applyAlignment="1" applyProtection="1">
      <alignment vertical="center"/>
      <protection hidden="1"/>
    </xf>
    <xf numFmtId="0" fontId="2" fillId="51" borderId="0" xfId="73" applyFont="1" applyFill="1" applyBorder="1" applyAlignment="1" applyProtection="1">
      <alignment vertical="center"/>
      <protection hidden="1"/>
    </xf>
    <xf numFmtId="0" fontId="217" fillId="31" borderId="0" xfId="73" applyFont="1" applyFill="1" applyBorder="1" applyAlignment="1" applyProtection="1">
      <alignment vertical="center"/>
      <protection hidden="1"/>
    </xf>
    <xf numFmtId="0" fontId="0" fillId="51" borderId="0" xfId="0" applyFill="1" applyProtection="1">
      <protection hidden="1"/>
    </xf>
    <xf numFmtId="0" fontId="217" fillId="51" borderId="0" xfId="73" applyFont="1" applyFill="1" applyBorder="1" applyAlignment="1" applyProtection="1">
      <alignment vertical="center"/>
      <protection hidden="1"/>
    </xf>
    <xf numFmtId="3" fontId="198" fillId="26" borderId="244" xfId="64" applyNumberFormat="1" applyFont="1" applyFill="1" applyBorder="1" applyAlignment="1" applyProtection="1">
      <alignment horizontal="center" vertical="center" wrapText="1" readingOrder="1"/>
      <protection hidden="1"/>
    </xf>
    <xf numFmtId="3" fontId="89" fillId="26" borderId="244" xfId="64" applyNumberFormat="1" applyFont="1" applyFill="1" applyBorder="1" applyAlignment="1" applyProtection="1">
      <alignment vertical="center" wrapText="1" readingOrder="1"/>
      <protection hidden="1"/>
    </xf>
    <xf numFmtId="3" fontId="198" fillId="26" borderId="0" xfId="64" applyNumberFormat="1" applyFont="1" applyFill="1" applyBorder="1" applyAlignment="1" applyProtection="1">
      <alignment horizontal="center" vertical="center" wrapText="1" readingOrder="1"/>
      <protection hidden="1"/>
    </xf>
    <xf numFmtId="0" fontId="2" fillId="26" borderId="0" xfId="73" applyFont="1" applyFill="1" applyBorder="1" applyAlignment="1" applyProtection="1">
      <alignment horizontal="center" vertical="center"/>
      <protection hidden="1"/>
    </xf>
    <xf numFmtId="0" fontId="2" fillId="28" borderId="0" xfId="73" applyFont="1" applyFill="1" applyBorder="1" applyAlignment="1" applyProtection="1">
      <alignment vertical="center"/>
      <protection hidden="1"/>
    </xf>
    <xf numFmtId="0" fontId="210" fillId="26" borderId="0" xfId="73" applyFont="1" applyFill="1" applyBorder="1" applyAlignment="1" applyProtection="1">
      <alignment horizontal="center" vertical="center"/>
      <protection hidden="1"/>
    </xf>
    <xf numFmtId="3" fontId="86" fillId="26" borderId="0" xfId="64" applyNumberFormat="1" applyFont="1" applyFill="1" applyBorder="1" applyAlignment="1" applyProtection="1">
      <alignment horizontal="center" vertical="center" readingOrder="1"/>
      <protection hidden="1"/>
    </xf>
    <xf numFmtId="0" fontId="262" fillId="0" borderId="0" xfId="0" applyFont="1" applyBorder="1" applyAlignment="1" applyProtection="1">
      <alignment horizontal="center" vertical="center"/>
      <protection hidden="1"/>
    </xf>
    <xf numFmtId="0" fontId="262" fillId="26" borderId="0" xfId="0" applyFont="1" applyFill="1" applyBorder="1" applyProtection="1">
      <protection hidden="1"/>
    </xf>
    <xf numFmtId="0" fontId="1" fillId="26" borderId="0" xfId="73" applyFill="1" applyProtection="1">
      <protection hidden="1"/>
    </xf>
    <xf numFmtId="0" fontId="2" fillId="26" borderId="0" xfId="73" applyFont="1" applyFill="1" applyProtection="1">
      <protection hidden="1"/>
    </xf>
    <xf numFmtId="3" fontId="89" fillId="26" borderId="244" xfId="64" applyNumberFormat="1" applyFont="1" applyFill="1" applyBorder="1" applyAlignment="1" applyProtection="1">
      <alignment horizontal="center" wrapText="1" readingOrder="1"/>
      <protection hidden="1"/>
    </xf>
    <xf numFmtId="0" fontId="247" fillId="48" borderId="0" xfId="73" applyFont="1" applyFill="1" applyBorder="1" applyAlignment="1" applyProtection="1">
      <alignment vertical="center"/>
      <protection hidden="1"/>
    </xf>
    <xf numFmtId="0" fontId="58" fillId="48" borderId="119" xfId="73" applyFont="1" applyFill="1" applyBorder="1" applyAlignment="1" applyProtection="1">
      <alignment horizontal="center" readingOrder="2"/>
      <protection locked="0"/>
    </xf>
    <xf numFmtId="0" fontId="14" fillId="26" borderId="0" xfId="73" applyFont="1" applyFill="1" applyBorder="1" applyAlignment="1" applyProtection="1">
      <alignment vertical="center" readingOrder="2"/>
      <protection hidden="1"/>
    </xf>
    <xf numFmtId="0" fontId="7" fillId="26" borderId="514" xfId="68" applyFont="1" applyFill="1" applyBorder="1" applyAlignment="1" applyProtection="1">
      <alignment horizontal="center" vertical="center" readingOrder="2"/>
      <protection hidden="1"/>
    </xf>
    <xf numFmtId="3" fontId="177" fillId="48" borderId="0" xfId="64" applyNumberFormat="1" applyFont="1" applyFill="1" applyBorder="1" applyAlignment="1" applyProtection="1">
      <alignment horizontal="center" vertical="center" readingOrder="1"/>
      <protection hidden="1"/>
    </xf>
    <xf numFmtId="3" fontId="319" fillId="26" borderId="514" xfId="64" applyNumberFormat="1" applyFont="1" applyFill="1" applyBorder="1" applyAlignment="1" applyProtection="1">
      <alignment horizontal="center" vertical="center" wrapText="1" readingOrder="1"/>
      <protection hidden="1"/>
    </xf>
    <xf numFmtId="0" fontId="367" fillId="0" borderId="0" xfId="0" applyFont="1" applyProtection="1">
      <protection hidden="1"/>
    </xf>
    <xf numFmtId="0" fontId="58" fillId="48" borderId="0" xfId="73" applyFont="1" applyFill="1" applyBorder="1" applyAlignment="1" applyProtection="1">
      <alignment horizontal="left" vertical="center" readingOrder="1"/>
      <protection hidden="1"/>
    </xf>
    <xf numFmtId="0" fontId="69" fillId="26" borderId="515" xfId="68" applyFont="1" applyFill="1" applyBorder="1" applyAlignment="1" applyProtection="1">
      <alignment vertical="center" readingOrder="2"/>
      <protection hidden="1"/>
    </xf>
    <xf numFmtId="3" fontId="319" fillId="50" borderId="515" xfId="64" applyNumberFormat="1" applyFont="1" applyFill="1" applyBorder="1" applyAlignment="1" applyProtection="1">
      <alignment vertical="center" wrapText="1" readingOrder="1"/>
      <protection hidden="1"/>
    </xf>
    <xf numFmtId="3" fontId="366" fillId="48" borderId="0" xfId="64" applyNumberFormat="1" applyFont="1" applyFill="1" applyBorder="1" applyAlignment="1" applyProtection="1">
      <alignment horizontal="center" vertical="center" readingOrder="1"/>
      <protection hidden="1"/>
    </xf>
    <xf numFmtId="0" fontId="370" fillId="26" borderId="0" xfId="73" applyFont="1" applyFill="1" applyBorder="1" applyAlignment="1" applyProtection="1">
      <alignment horizontal="center" vertical="center"/>
      <protection hidden="1"/>
    </xf>
    <xf numFmtId="0" fontId="7" fillId="51" borderId="0" xfId="68" applyFont="1" applyFill="1" applyBorder="1" applyAlignment="1" applyProtection="1">
      <alignment horizontal="right" vertical="center" readingOrder="2"/>
      <protection hidden="1"/>
    </xf>
    <xf numFmtId="0" fontId="58" fillId="51" borderId="0" xfId="73" applyFont="1" applyFill="1" applyBorder="1" applyAlignment="1" applyProtection="1">
      <alignment horizontal="right" vertical="center"/>
      <protection hidden="1"/>
    </xf>
    <xf numFmtId="0" fontId="367" fillId="0" borderId="0" xfId="0" applyFont="1" applyAlignment="1" applyProtection="1">
      <alignment horizontal="center"/>
      <protection hidden="1"/>
    </xf>
    <xf numFmtId="3" fontId="317" fillId="26" borderId="515" xfId="64" applyNumberFormat="1" applyFont="1" applyFill="1" applyBorder="1" applyAlignment="1" applyProtection="1">
      <alignment vertical="center" wrapText="1" readingOrder="1"/>
      <protection hidden="1"/>
    </xf>
    <xf numFmtId="3" fontId="377" fillId="26" borderId="515" xfId="64" applyNumberFormat="1" applyFont="1" applyFill="1" applyBorder="1" applyAlignment="1" applyProtection="1">
      <alignment vertical="center" wrapText="1" readingOrder="1"/>
      <protection hidden="1"/>
    </xf>
    <xf numFmtId="0" fontId="89" fillId="31" borderId="0" xfId="73" applyFont="1" applyFill="1" applyBorder="1" applyAlignment="1" applyProtection="1">
      <alignment vertical="center"/>
      <protection hidden="1"/>
    </xf>
    <xf numFmtId="0" fontId="81" fillId="31" borderId="0" xfId="68" applyFont="1" applyFill="1" applyBorder="1" applyAlignment="1" applyProtection="1">
      <alignment horizontal="center"/>
      <protection hidden="1"/>
    </xf>
    <xf numFmtId="0" fontId="81" fillId="31" borderId="0" xfId="68" applyFont="1" applyFill="1" applyBorder="1" applyAlignment="1" applyProtection="1">
      <alignment horizontal="center" vertical="center"/>
      <protection hidden="1"/>
    </xf>
    <xf numFmtId="0" fontId="260" fillId="31" borderId="0" xfId="0" applyFont="1" applyFill="1" applyAlignment="1" applyProtection="1">
      <alignment vertical="center"/>
      <protection hidden="1"/>
    </xf>
    <xf numFmtId="0" fontId="1" fillId="31" borderId="0" xfId="73" applyFill="1" applyAlignment="1" applyProtection="1">
      <protection hidden="1"/>
    </xf>
    <xf numFmtId="0" fontId="3" fillId="31" borderId="0" xfId="73" applyFont="1" applyFill="1" applyBorder="1" applyAlignment="1" applyProtection="1">
      <alignment horizontal="center"/>
      <protection hidden="1"/>
    </xf>
    <xf numFmtId="0" fontId="1" fillId="31" borderId="0" xfId="73" applyFont="1" applyFill="1" applyBorder="1" applyProtection="1">
      <protection hidden="1"/>
    </xf>
    <xf numFmtId="0" fontId="384" fillId="56" borderId="0" xfId="70" applyFont="1" applyFill="1" applyBorder="1" applyAlignment="1" applyProtection="1">
      <alignment horizontal="left" vertical="center" readingOrder="2"/>
      <protection hidden="1"/>
    </xf>
    <xf numFmtId="0" fontId="1" fillId="31" borderId="0" xfId="73" applyFont="1" applyFill="1" applyBorder="1" applyAlignment="1" applyProtection="1">
      <alignment vertical="center"/>
      <protection hidden="1"/>
    </xf>
    <xf numFmtId="0" fontId="3" fillId="31" borderId="0" xfId="73" applyFont="1" applyFill="1" applyBorder="1" applyAlignment="1" applyProtection="1">
      <alignment horizontal="center" vertical="center"/>
      <protection hidden="1"/>
    </xf>
    <xf numFmtId="0" fontId="411" fillId="48" borderId="0" xfId="0" applyFont="1" applyFill="1" applyBorder="1" applyAlignment="1" applyProtection="1">
      <alignment horizontal="right"/>
      <protection hidden="1"/>
    </xf>
    <xf numFmtId="3" fontId="71" fillId="48" borderId="0" xfId="64" applyNumberFormat="1" applyFont="1" applyFill="1" applyBorder="1" applyAlignment="1" applyProtection="1">
      <alignment horizontal="right" vertical="center" wrapText="1" readingOrder="1"/>
      <protection hidden="1"/>
    </xf>
    <xf numFmtId="3" fontId="198" fillId="48" borderId="0" xfId="64" applyNumberFormat="1" applyFont="1" applyFill="1" applyBorder="1" applyAlignment="1" applyProtection="1">
      <alignment horizontal="center" vertical="center" wrapText="1" readingOrder="1"/>
      <protection hidden="1"/>
    </xf>
    <xf numFmtId="0" fontId="173" fillId="48" borderId="0" xfId="73" applyFont="1" applyFill="1" applyBorder="1" applyAlignment="1" applyProtection="1">
      <alignment horizontal="right"/>
      <protection hidden="1"/>
    </xf>
    <xf numFmtId="0" fontId="58" fillId="48" borderId="0" xfId="73" applyFont="1" applyFill="1" applyBorder="1" applyAlignment="1" applyProtection="1">
      <alignment horizontal="right"/>
      <protection hidden="1"/>
    </xf>
    <xf numFmtId="0" fontId="2" fillId="31" borderId="0" xfId="73" applyFont="1" applyFill="1" applyBorder="1" applyAlignment="1" applyProtection="1">
      <alignment horizontal="center" vertical="center"/>
      <protection hidden="1"/>
    </xf>
    <xf numFmtId="0" fontId="0" fillId="48" borderId="0" xfId="0" applyFill="1" applyBorder="1" applyAlignment="1" applyProtection="1">
      <alignment horizontal="right"/>
      <protection hidden="1"/>
    </xf>
    <xf numFmtId="0" fontId="342" fillId="52" borderId="0" xfId="64" applyFont="1" applyFill="1" applyBorder="1" applyAlignment="1" applyProtection="1">
      <alignment horizontal="right"/>
      <protection hidden="1"/>
    </xf>
    <xf numFmtId="0" fontId="89" fillId="52" borderId="0" xfId="73" applyFont="1" applyFill="1" applyBorder="1" applyAlignment="1" applyProtection="1">
      <protection hidden="1"/>
    </xf>
    <xf numFmtId="0" fontId="89" fillId="66" borderId="0" xfId="73" applyFont="1" applyFill="1" applyBorder="1" applyAlignment="1" applyProtection="1">
      <protection hidden="1"/>
    </xf>
    <xf numFmtId="0" fontId="364" fillId="52" borderId="0" xfId="73" applyFont="1" applyFill="1" applyBorder="1" applyAlignment="1" applyProtection="1">
      <protection hidden="1"/>
    </xf>
    <xf numFmtId="0" fontId="7" fillId="56" borderId="0" xfId="73" applyFont="1" applyFill="1" applyBorder="1" applyAlignment="1" applyProtection="1">
      <alignment vertical="center" readingOrder="2"/>
      <protection hidden="1"/>
    </xf>
    <xf numFmtId="0" fontId="58" fillId="48" borderId="119" xfId="73" applyFont="1" applyFill="1" applyBorder="1" applyAlignment="1" applyProtection="1">
      <alignment horizontal="left" vertical="center" readingOrder="2"/>
      <protection hidden="1"/>
    </xf>
    <xf numFmtId="0" fontId="61" fillId="51" borderId="0" xfId="73" applyFont="1" applyFill="1" applyBorder="1" applyAlignment="1" applyProtection="1">
      <alignment horizontal="right" vertical="center" readingOrder="2"/>
      <protection hidden="1"/>
    </xf>
    <xf numFmtId="0" fontId="55" fillId="26" borderId="514" xfId="68" applyFont="1" applyFill="1" applyBorder="1" applyAlignment="1" applyProtection="1">
      <alignment horizontal="center" vertical="center" readingOrder="2"/>
      <protection hidden="1"/>
    </xf>
    <xf numFmtId="0" fontId="385" fillId="26" borderId="0" xfId="73" applyFont="1" applyFill="1" applyBorder="1" applyAlignment="1" applyProtection="1">
      <alignment horizontal="center" vertical="center"/>
      <protection hidden="1"/>
    </xf>
    <xf numFmtId="0" fontId="57" fillId="56" borderId="0" xfId="70" applyFont="1" applyFill="1" applyBorder="1" applyAlignment="1" applyProtection="1">
      <alignment horizontal="left" vertical="center" readingOrder="2"/>
      <protection hidden="1"/>
    </xf>
    <xf numFmtId="0" fontId="61" fillId="56" borderId="0" xfId="70" applyFont="1" applyFill="1" applyBorder="1" applyAlignment="1" applyProtection="1">
      <alignment horizontal="left" vertical="center" readingOrder="2"/>
      <protection hidden="1"/>
    </xf>
    <xf numFmtId="0" fontId="58" fillId="48" borderId="117" xfId="73" applyFont="1" applyFill="1" applyBorder="1" applyAlignment="1" applyProtection="1">
      <alignment horizontal="left" vertical="center" readingOrder="2"/>
      <protection hidden="1"/>
    </xf>
    <xf numFmtId="0" fontId="7" fillId="51" borderId="0" xfId="72" applyFont="1" applyFill="1" applyBorder="1" applyAlignment="1" applyProtection="1">
      <alignment horizontal="right" vertical="center" readingOrder="2"/>
      <protection hidden="1"/>
    </xf>
    <xf numFmtId="0" fontId="2" fillId="51" borderId="0" xfId="73" applyFont="1" applyFill="1" applyBorder="1" applyAlignment="1" applyProtection="1">
      <alignment horizontal="center" vertical="center"/>
      <protection hidden="1"/>
    </xf>
    <xf numFmtId="0" fontId="370" fillId="51" borderId="0" xfId="73" applyFont="1" applyFill="1" applyBorder="1" applyAlignment="1" applyProtection="1">
      <alignment horizontal="center" vertical="center"/>
      <protection hidden="1"/>
    </xf>
    <xf numFmtId="0" fontId="69" fillId="26" borderId="0" xfId="68" applyFont="1" applyFill="1" applyBorder="1" applyAlignment="1" applyProtection="1">
      <alignment horizontal="center" vertical="center" readingOrder="2"/>
      <protection hidden="1"/>
    </xf>
    <xf numFmtId="3" fontId="319" fillId="26" borderId="0" xfId="64" applyNumberFormat="1" applyFont="1" applyFill="1" applyBorder="1" applyAlignment="1" applyProtection="1">
      <alignment horizontal="center" vertical="center" wrapText="1" readingOrder="1"/>
      <protection hidden="1"/>
    </xf>
    <xf numFmtId="0" fontId="1" fillId="31" borderId="0" xfId="64" applyFill="1" applyProtection="1">
      <protection hidden="1"/>
    </xf>
    <xf numFmtId="0" fontId="1" fillId="51" borderId="0" xfId="64" applyFill="1" applyProtection="1">
      <protection hidden="1"/>
    </xf>
    <xf numFmtId="0" fontId="175" fillId="48" borderId="0" xfId="64" applyFont="1" applyFill="1" applyBorder="1" applyAlignment="1" applyProtection="1">
      <alignment horizontal="center" vertical="center"/>
      <protection hidden="1"/>
    </xf>
    <xf numFmtId="0" fontId="174" fillId="48" borderId="0" xfId="64" applyFont="1" applyFill="1" applyBorder="1" applyAlignment="1" applyProtection="1">
      <alignment vertical="center"/>
      <protection hidden="1"/>
    </xf>
    <xf numFmtId="0" fontId="14" fillId="48" borderId="0" xfId="64" applyFont="1" applyFill="1" applyBorder="1" applyAlignment="1" applyProtection="1">
      <alignment vertical="center"/>
      <protection hidden="1"/>
    </xf>
    <xf numFmtId="0" fontId="70" fillId="48" borderId="0" xfId="64" applyFont="1" applyFill="1" applyBorder="1" applyAlignment="1" applyProtection="1">
      <alignment vertical="center"/>
      <protection hidden="1"/>
    </xf>
    <xf numFmtId="0" fontId="424" fillId="48" borderId="0" xfId="64" applyFont="1" applyFill="1" applyBorder="1" applyAlignment="1" applyProtection="1">
      <alignment vertical="center"/>
      <protection hidden="1"/>
    </xf>
    <xf numFmtId="0" fontId="1" fillId="26" borderId="256" xfId="64" applyFill="1" applyBorder="1" applyProtection="1">
      <protection hidden="1"/>
    </xf>
    <xf numFmtId="0" fontId="3" fillId="26" borderId="257" xfId="64" applyFont="1" applyFill="1" applyBorder="1" applyAlignment="1" applyProtection="1">
      <alignment horizontal="center" vertical="center"/>
      <protection hidden="1"/>
    </xf>
    <xf numFmtId="0" fontId="3" fillId="26" borderId="258" xfId="64" applyFont="1" applyFill="1" applyBorder="1" applyAlignment="1" applyProtection="1">
      <alignment horizontal="center" vertical="center"/>
      <protection hidden="1"/>
    </xf>
    <xf numFmtId="0" fontId="3" fillId="26" borderId="228" xfId="64" applyFont="1" applyFill="1" applyBorder="1" applyAlignment="1" applyProtection="1">
      <alignment horizontal="center" vertical="center"/>
      <protection hidden="1"/>
    </xf>
    <xf numFmtId="0" fontId="3" fillId="26" borderId="259" xfId="64" applyFont="1" applyFill="1" applyBorder="1" applyAlignment="1" applyProtection="1">
      <alignment horizontal="center" vertical="center"/>
      <protection hidden="1"/>
    </xf>
    <xf numFmtId="0" fontId="7" fillId="35" borderId="260" xfId="64" applyFont="1" applyFill="1" applyBorder="1" applyAlignment="1" applyProtection="1">
      <alignment horizontal="center" vertical="center" readingOrder="2"/>
      <protection hidden="1"/>
    </xf>
    <xf numFmtId="0" fontId="1" fillId="26" borderId="261" xfId="64" applyFill="1" applyBorder="1" applyProtection="1">
      <protection hidden="1"/>
    </xf>
    <xf numFmtId="0" fontId="1" fillId="26" borderId="261" xfId="64" applyFill="1" applyBorder="1" applyAlignment="1" applyProtection="1">
      <alignment vertical="center"/>
      <protection hidden="1"/>
    </xf>
    <xf numFmtId="0" fontId="1" fillId="26" borderId="262" xfId="64" applyFill="1" applyBorder="1" applyAlignment="1" applyProtection="1">
      <alignment vertical="center"/>
      <protection hidden="1"/>
    </xf>
    <xf numFmtId="0" fontId="1" fillId="26" borderId="262" xfId="64" applyFill="1" applyBorder="1" applyProtection="1">
      <protection hidden="1"/>
    </xf>
    <xf numFmtId="0" fontId="1" fillId="26" borderId="0" xfId="64" applyFill="1" applyBorder="1" applyProtection="1">
      <protection hidden="1"/>
    </xf>
    <xf numFmtId="0" fontId="58" fillId="27" borderId="123" xfId="64" applyFont="1" applyFill="1" applyBorder="1" applyAlignment="1" applyProtection="1">
      <alignment horizontal="center" vertical="center" wrapText="1" readingOrder="2"/>
      <protection hidden="1"/>
    </xf>
    <xf numFmtId="0" fontId="58" fillId="27" borderId="124" xfId="64" applyFont="1" applyFill="1" applyBorder="1" applyAlignment="1" applyProtection="1">
      <alignment horizontal="center" vertical="center" wrapText="1" readingOrder="2"/>
      <protection hidden="1"/>
    </xf>
    <xf numFmtId="0" fontId="173" fillId="26" borderId="261" xfId="64" applyFont="1" applyFill="1" applyBorder="1" applyAlignment="1" applyProtection="1">
      <alignment vertical="center"/>
      <protection hidden="1"/>
    </xf>
    <xf numFmtId="0" fontId="173" fillId="26" borderId="0" xfId="64" applyFont="1" applyFill="1" applyBorder="1" applyAlignment="1" applyProtection="1">
      <alignment vertical="center"/>
      <protection hidden="1"/>
    </xf>
    <xf numFmtId="0" fontId="55" fillId="26" borderId="260" xfId="64" applyFont="1" applyFill="1" applyBorder="1" applyAlignment="1" applyProtection="1">
      <alignment horizontal="center" vertical="center" readingOrder="2"/>
      <protection hidden="1"/>
    </xf>
    <xf numFmtId="3" fontId="129" fillId="26" borderId="0" xfId="64" applyNumberFormat="1" applyFont="1" applyFill="1" applyBorder="1" applyAlignment="1" applyProtection="1">
      <alignment horizontal="center" vertical="center" readingOrder="1"/>
      <protection hidden="1"/>
    </xf>
    <xf numFmtId="3" fontId="129" fillId="26" borderId="262" xfId="64" applyNumberFormat="1" applyFont="1" applyFill="1" applyBorder="1" applyAlignment="1" applyProtection="1">
      <alignment horizontal="center" vertical="center" readingOrder="1"/>
      <protection hidden="1"/>
    </xf>
    <xf numFmtId="0" fontId="55" fillId="35" borderId="260" xfId="64" applyFont="1" applyFill="1" applyBorder="1" applyAlignment="1" applyProtection="1">
      <alignment horizontal="center" vertical="center" readingOrder="2"/>
      <protection hidden="1"/>
    </xf>
    <xf numFmtId="0" fontId="1" fillId="26" borderId="263" xfId="64" applyFill="1" applyBorder="1" applyProtection="1">
      <protection hidden="1"/>
    </xf>
    <xf numFmtId="3" fontId="171" fillId="26" borderId="256" xfId="64" applyNumberFormat="1" applyFont="1" applyFill="1" applyBorder="1" applyAlignment="1" applyProtection="1">
      <alignment horizontal="center" readingOrder="1"/>
      <protection hidden="1"/>
    </xf>
    <xf numFmtId="3" fontId="172" fillId="26" borderId="256" xfId="64" applyNumberFormat="1" applyFont="1" applyFill="1" applyBorder="1" applyAlignment="1" applyProtection="1">
      <alignment readingOrder="1"/>
      <protection hidden="1"/>
    </xf>
    <xf numFmtId="3" fontId="171" fillId="26" borderId="264" xfId="64" applyNumberFormat="1" applyFont="1" applyFill="1" applyBorder="1" applyAlignment="1" applyProtection="1">
      <alignment horizontal="center" readingOrder="1"/>
      <protection hidden="1"/>
    </xf>
    <xf numFmtId="3" fontId="171" fillId="26" borderId="265" xfId="64" applyNumberFormat="1" applyFont="1" applyFill="1" applyBorder="1" applyAlignment="1" applyProtection="1">
      <alignment horizontal="center" readingOrder="1"/>
      <protection hidden="1"/>
    </xf>
    <xf numFmtId="0" fontId="2" fillId="26" borderId="228" xfId="64" applyFont="1" applyFill="1" applyBorder="1" applyAlignment="1" applyProtection="1">
      <alignment horizontal="center"/>
      <protection hidden="1"/>
    </xf>
    <xf numFmtId="3" fontId="2" fillId="26" borderId="228" xfId="64" applyNumberFormat="1" applyFont="1" applyFill="1" applyBorder="1" applyAlignment="1" applyProtection="1">
      <alignment horizontal="center" readingOrder="1"/>
      <protection hidden="1"/>
    </xf>
    <xf numFmtId="3" fontId="58" fillId="26" borderId="228" xfId="64" applyNumberFormat="1" applyFont="1" applyFill="1" applyBorder="1" applyAlignment="1" applyProtection="1">
      <alignment horizontal="center" readingOrder="1"/>
      <protection hidden="1"/>
    </xf>
    <xf numFmtId="3" fontId="118" fillId="26" borderId="228" xfId="64" applyNumberFormat="1" applyFont="1" applyFill="1" applyBorder="1" applyAlignment="1" applyProtection="1">
      <alignment horizontal="center" readingOrder="1"/>
      <protection hidden="1"/>
    </xf>
    <xf numFmtId="0" fontId="70" fillId="48" borderId="0" xfId="75" applyFont="1" applyFill="1" applyBorder="1" applyAlignment="1" applyProtection="1">
      <alignment vertical="center"/>
      <protection hidden="1"/>
    </xf>
    <xf numFmtId="0" fontId="1" fillId="26" borderId="0" xfId="75" applyFill="1" applyBorder="1" applyAlignment="1" applyProtection="1">
      <alignment vertical="center"/>
      <protection hidden="1"/>
    </xf>
    <xf numFmtId="0" fontId="58" fillId="26" borderId="0" xfId="75" applyFont="1" applyFill="1" applyBorder="1" applyAlignment="1" applyProtection="1">
      <alignment horizontal="center" vertical="center" wrapText="1" readingOrder="2"/>
      <protection hidden="1"/>
    </xf>
    <xf numFmtId="0" fontId="225" fillId="26" borderId="0" xfId="75" applyFont="1" applyFill="1" applyBorder="1" applyAlignment="1" applyProtection="1">
      <alignment horizontal="center" vertical="center" wrapText="1" readingOrder="2"/>
      <protection hidden="1"/>
    </xf>
    <xf numFmtId="0" fontId="225" fillId="0" borderId="251" xfId="75" applyFont="1" applyFill="1" applyBorder="1" applyAlignment="1" applyProtection="1">
      <alignment horizontal="center" vertical="center" wrapText="1" readingOrder="2"/>
      <protection hidden="1"/>
    </xf>
    <xf numFmtId="0" fontId="225" fillId="0" borderId="252" xfId="75" applyFont="1" applyFill="1" applyBorder="1" applyAlignment="1" applyProtection="1">
      <alignment horizontal="center" vertical="center" wrapText="1" readingOrder="2"/>
      <protection hidden="1"/>
    </xf>
    <xf numFmtId="0" fontId="225" fillId="26" borderId="251" xfId="75" applyFont="1" applyFill="1" applyBorder="1" applyAlignment="1" applyProtection="1">
      <alignment horizontal="center" vertical="center" wrapText="1" readingOrder="2"/>
      <protection hidden="1"/>
    </xf>
    <xf numFmtId="0" fontId="225" fillId="26" borderId="252" xfId="75" applyFont="1" applyFill="1" applyBorder="1" applyAlignment="1" applyProtection="1">
      <alignment horizontal="center" vertical="center" wrapText="1" readingOrder="2"/>
      <protection hidden="1"/>
    </xf>
    <xf numFmtId="0" fontId="58" fillId="48" borderId="0" xfId="75" applyFont="1" applyFill="1" applyBorder="1" applyAlignment="1" applyProtection="1">
      <alignment horizontal="center" vertical="center" wrapText="1" readingOrder="2"/>
      <protection hidden="1"/>
    </xf>
    <xf numFmtId="0" fontId="3" fillId="48" borderId="0" xfId="75" applyFont="1" applyFill="1" applyBorder="1" applyAlignment="1" applyProtection="1">
      <alignment horizontal="center" vertical="center" wrapText="1" readingOrder="2"/>
      <protection hidden="1"/>
    </xf>
    <xf numFmtId="0" fontId="1" fillId="0" borderId="0" xfId="71" applyProtection="1">
      <protection hidden="1"/>
    </xf>
    <xf numFmtId="0" fontId="3" fillId="26" borderId="0" xfId="75" applyFont="1" applyFill="1" applyBorder="1" applyAlignment="1" applyProtection="1">
      <alignment horizontal="center" vertical="center" wrapText="1" readingOrder="2"/>
      <protection hidden="1"/>
    </xf>
    <xf numFmtId="0" fontId="7" fillId="26" borderId="260" xfId="64" applyFont="1" applyFill="1" applyBorder="1" applyAlignment="1" applyProtection="1">
      <alignment horizontal="center" vertical="center" readingOrder="2"/>
      <protection hidden="1"/>
    </xf>
    <xf numFmtId="0" fontId="65" fillId="27" borderId="123" xfId="64" applyFont="1" applyFill="1" applyBorder="1" applyAlignment="1" applyProtection="1">
      <alignment horizontal="center" vertical="center" wrapText="1" readingOrder="2"/>
      <protection hidden="1"/>
    </xf>
    <xf numFmtId="0" fontId="65" fillId="27" borderId="124" xfId="64" applyFont="1" applyFill="1" applyBorder="1" applyAlignment="1" applyProtection="1">
      <alignment horizontal="center" vertical="center" wrapText="1" readingOrder="2"/>
      <protection hidden="1"/>
    </xf>
    <xf numFmtId="0" fontId="65" fillId="26" borderId="0" xfId="64" applyFont="1" applyFill="1" applyBorder="1" applyAlignment="1" applyProtection="1">
      <alignment vertical="center"/>
      <protection hidden="1"/>
    </xf>
    <xf numFmtId="0" fontId="65" fillId="26" borderId="261" xfId="64" applyFont="1" applyFill="1" applyBorder="1" applyAlignment="1" applyProtection="1">
      <alignment vertical="center"/>
      <protection hidden="1"/>
    </xf>
    <xf numFmtId="0" fontId="65" fillId="26" borderId="262" xfId="64" applyFont="1" applyFill="1" applyBorder="1" applyAlignment="1" applyProtection="1">
      <alignment vertical="center"/>
      <protection hidden="1"/>
    </xf>
    <xf numFmtId="0" fontId="7" fillId="26" borderId="237" xfId="75" applyFont="1" applyFill="1" applyBorder="1" applyAlignment="1" applyProtection="1">
      <alignment horizontal="left" vertical="center" readingOrder="2"/>
      <protection hidden="1"/>
    </xf>
    <xf numFmtId="0" fontId="2" fillId="26" borderId="263" xfId="64" applyFont="1" applyFill="1" applyBorder="1" applyAlignment="1" applyProtection="1">
      <alignment horizontal="center"/>
      <protection hidden="1"/>
    </xf>
    <xf numFmtId="3" fontId="2" fillId="26" borderId="264" xfId="64" applyNumberFormat="1" applyFont="1" applyFill="1" applyBorder="1" applyAlignment="1" applyProtection="1">
      <alignment horizontal="center" readingOrder="1"/>
      <protection hidden="1"/>
    </xf>
    <xf numFmtId="3" fontId="2" fillId="26" borderId="256" xfId="64" applyNumberFormat="1" applyFont="1" applyFill="1" applyBorder="1" applyAlignment="1" applyProtection="1">
      <alignment horizontal="center" readingOrder="1"/>
      <protection hidden="1"/>
    </xf>
    <xf numFmtId="3" fontId="58" fillId="26" borderId="256" xfId="64" applyNumberFormat="1" applyFont="1" applyFill="1" applyBorder="1" applyAlignment="1" applyProtection="1">
      <alignment horizontal="center" readingOrder="1"/>
      <protection hidden="1"/>
    </xf>
    <xf numFmtId="3" fontId="2" fillId="26" borderId="265" xfId="64" applyNumberFormat="1" applyFont="1" applyFill="1" applyBorder="1" applyAlignment="1" applyProtection="1">
      <alignment horizontal="center" readingOrder="1"/>
      <protection hidden="1"/>
    </xf>
    <xf numFmtId="3" fontId="118" fillId="26" borderId="256" xfId="64" applyNumberFormat="1" applyFont="1" applyFill="1" applyBorder="1" applyAlignment="1" applyProtection="1">
      <alignment horizontal="center" readingOrder="1"/>
      <protection hidden="1"/>
    </xf>
    <xf numFmtId="3" fontId="118" fillId="26" borderId="264" xfId="64" applyNumberFormat="1" applyFont="1" applyFill="1" applyBorder="1" applyAlignment="1" applyProtection="1">
      <alignment horizontal="center" readingOrder="1"/>
      <protection hidden="1"/>
    </xf>
    <xf numFmtId="0" fontId="3" fillId="48" borderId="0" xfId="64" applyFont="1" applyFill="1" applyBorder="1" applyAlignment="1" applyProtection="1">
      <alignment horizontal="center"/>
      <protection hidden="1"/>
    </xf>
    <xf numFmtId="0" fontId="7" fillId="26" borderId="244" xfId="68" applyFont="1" applyFill="1" applyBorder="1" applyAlignment="1" applyProtection="1">
      <alignment horizontal="center" vertical="center" readingOrder="2"/>
      <protection hidden="1"/>
    </xf>
    <xf numFmtId="0" fontId="0" fillId="26" borderId="0" xfId="0" applyFill="1" applyProtection="1">
      <protection hidden="1"/>
    </xf>
    <xf numFmtId="0" fontId="237" fillId="0" borderId="244" xfId="0" applyFont="1" applyBorder="1" applyAlignment="1" applyProtection="1">
      <alignment horizontal="center" vertical="center"/>
      <protection hidden="1"/>
    </xf>
    <xf numFmtId="0" fontId="239" fillId="0" borderId="0" xfId="0" applyFont="1" applyProtection="1">
      <protection hidden="1"/>
    </xf>
    <xf numFmtId="3" fontId="229" fillId="0" borderId="244" xfId="64" applyNumberFormat="1" applyFont="1" applyBorder="1" applyAlignment="1" applyProtection="1">
      <alignment horizontal="center" vertical="center" readingOrder="1"/>
      <protection hidden="1"/>
    </xf>
    <xf numFmtId="0" fontId="238" fillId="0" borderId="0" xfId="0" applyFont="1" applyProtection="1">
      <protection hidden="1"/>
    </xf>
    <xf numFmtId="0" fontId="216" fillId="0" borderId="244" xfId="0" applyFont="1" applyBorder="1" applyAlignment="1" applyProtection="1">
      <alignment horizontal="center" vertical="center"/>
      <protection hidden="1"/>
    </xf>
    <xf numFmtId="0" fontId="0" fillId="0" borderId="0" xfId="0" applyAlignment="1" applyProtection="1">
      <alignment horizontal="center"/>
      <protection hidden="1"/>
    </xf>
    <xf numFmtId="0" fontId="245" fillId="0" borderId="0" xfId="64" applyFont="1" applyProtection="1">
      <protection hidden="1"/>
    </xf>
    <xf numFmtId="0" fontId="246" fillId="0" borderId="0" xfId="0" applyFont="1" applyProtection="1">
      <protection hidden="1"/>
    </xf>
    <xf numFmtId="0" fontId="245" fillId="0" borderId="71" xfId="64" applyFont="1" applyBorder="1" applyProtection="1">
      <protection hidden="1"/>
    </xf>
    <xf numFmtId="0" fontId="245" fillId="0" borderId="33" xfId="64" applyFont="1" applyBorder="1" applyProtection="1">
      <protection hidden="1"/>
    </xf>
    <xf numFmtId="0" fontId="62" fillId="48" borderId="0" xfId="64" applyFont="1" applyFill="1" applyBorder="1" applyAlignment="1" applyProtection="1">
      <alignment horizontal="center" vertical="center" readingOrder="2"/>
      <protection hidden="1"/>
    </xf>
    <xf numFmtId="0" fontId="245" fillId="0" borderId="0" xfId="64" applyFont="1" applyBorder="1" applyProtection="1">
      <protection hidden="1"/>
    </xf>
    <xf numFmtId="2" fontId="257" fillId="0" borderId="0" xfId="64" applyNumberFormat="1" applyFont="1" applyBorder="1" applyAlignment="1" applyProtection="1">
      <alignment horizontal="center" vertical="center"/>
      <protection hidden="1"/>
    </xf>
    <xf numFmtId="0" fontId="395" fillId="65" borderId="245" xfId="64" applyFont="1" applyFill="1" applyBorder="1" applyAlignment="1" applyProtection="1">
      <alignment horizontal="right" vertical="center" readingOrder="2"/>
    </xf>
    <xf numFmtId="0" fontId="1" fillId="35" borderId="0" xfId="64" applyFill="1" applyProtection="1">
      <protection hidden="1"/>
    </xf>
    <xf numFmtId="0" fontId="55" fillId="0" borderId="0" xfId="64" applyFont="1" applyFill="1" applyBorder="1" applyAlignment="1" applyProtection="1">
      <alignment vertical="center" readingOrder="2"/>
      <protection hidden="1"/>
    </xf>
    <xf numFmtId="0" fontId="7" fillId="35" borderId="0" xfId="64" applyFont="1" applyFill="1" applyBorder="1" applyAlignment="1" applyProtection="1">
      <alignment vertical="center" readingOrder="2"/>
      <protection hidden="1"/>
    </xf>
    <xf numFmtId="0" fontId="55" fillId="35" borderId="0" xfId="64" applyFont="1" applyFill="1" applyBorder="1" applyAlignment="1" applyProtection="1">
      <alignment vertical="center" readingOrder="2"/>
      <protection hidden="1"/>
    </xf>
    <xf numFmtId="3" fontId="229" fillId="47" borderId="214" xfId="64" applyNumberFormat="1" applyFont="1" applyFill="1" applyBorder="1" applyAlignment="1" applyProtection="1">
      <alignment horizontal="center" vertical="center" wrapText="1" readingOrder="1"/>
      <protection hidden="1"/>
    </xf>
    <xf numFmtId="3" fontId="229" fillId="47" borderId="215" xfId="64" applyNumberFormat="1" applyFont="1" applyFill="1" applyBorder="1" applyAlignment="1" applyProtection="1">
      <alignment horizontal="center" vertical="center" wrapText="1" readingOrder="1"/>
      <protection hidden="1"/>
    </xf>
    <xf numFmtId="0" fontId="0" fillId="35" borderId="0" xfId="0" applyFill="1" applyProtection="1">
      <protection hidden="1"/>
    </xf>
    <xf numFmtId="0" fontId="233" fillId="0" borderId="0" xfId="0" applyFont="1" applyBorder="1" applyAlignment="1" applyProtection="1">
      <alignment vertical="center"/>
      <protection hidden="1"/>
    </xf>
    <xf numFmtId="0" fontId="1" fillId="26" borderId="0" xfId="64" applyFill="1" applyProtection="1">
      <protection hidden="1"/>
    </xf>
    <xf numFmtId="0" fontId="3" fillId="26" borderId="0" xfId="64" applyFont="1" applyFill="1" applyBorder="1" applyAlignment="1" applyProtection="1">
      <alignment horizontal="center"/>
      <protection hidden="1"/>
    </xf>
    <xf numFmtId="0" fontId="55" fillId="0" borderId="160" xfId="64" applyFont="1" applyFill="1" applyBorder="1" applyAlignment="1" applyProtection="1">
      <alignment horizontal="center" vertical="center" readingOrder="2"/>
      <protection hidden="1"/>
    </xf>
    <xf numFmtId="3" fontId="66" fillId="0" borderId="161" xfId="64" applyNumberFormat="1" applyFont="1" applyFill="1" applyBorder="1" applyAlignment="1" applyProtection="1">
      <alignment horizontal="center" vertical="center" wrapText="1" readingOrder="1"/>
      <protection hidden="1"/>
    </xf>
    <xf numFmtId="0" fontId="55" fillId="0" borderId="162" xfId="64" applyFont="1" applyFill="1" applyBorder="1" applyAlignment="1" applyProtection="1">
      <alignment horizontal="center" vertical="center" readingOrder="2"/>
      <protection hidden="1"/>
    </xf>
    <xf numFmtId="3" fontId="66" fillId="0" borderId="163" xfId="64" applyNumberFormat="1" applyFont="1" applyFill="1" applyBorder="1" applyAlignment="1" applyProtection="1">
      <alignment horizontal="center" vertical="center" wrapText="1" readingOrder="1"/>
      <protection hidden="1"/>
    </xf>
    <xf numFmtId="0" fontId="55" fillId="35" borderId="162" xfId="64" applyFont="1" applyFill="1" applyBorder="1" applyAlignment="1" applyProtection="1">
      <alignment horizontal="center" vertical="center" readingOrder="2"/>
      <protection hidden="1"/>
    </xf>
    <xf numFmtId="3" fontId="66" fillId="35" borderId="163" xfId="64" applyNumberFormat="1" applyFont="1" applyFill="1" applyBorder="1" applyAlignment="1" applyProtection="1">
      <alignment horizontal="center" vertical="center" wrapText="1" readingOrder="1"/>
      <protection hidden="1"/>
    </xf>
    <xf numFmtId="0" fontId="55" fillId="35" borderId="214" xfId="64" applyFont="1" applyFill="1" applyBorder="1" applyAlignment="1" applyProtection="1">
      <alignment horizontal="center" vertical="center" readingOrder="2"/>
      <protection hidden="1"/>
    </xf>
    <xf numFmtId="3" fontId="66" fillId="35" borderId="215" xfId="64" applyNumberFormat="1" applyFont="1" applyFill="1" applyBorder="1" applyAlignment="1" applyProtection="1">
      <alignment horizontal="center" vertical="center" wrapText="1" readingOrder="1"/>
      <protection hidden="1"/>
    </xf>
    <xf numFmtId="0" fontId="55" fillId="0" borderId="214" xfId="64" applyFont="1" applyFill="1" applyBorder="1" applyAlignment="1" applyProtection="1">
      <alignment horizontal="center" vertical="center" readingOrder="2"/>
      <protection hidden="1"/>
    </xf>
    <xf numFmtId="3" fontId="66" fillId="0" borderId="215" xfId="64" applyNumberFormat="1" applyFont="1" applyFill="1" applyBorder="1" applyAlignment="1" applyProtection="1">
      <alignment horizontal="center" vertical="center" wrapText="1" readingOrder="1"/>
      <protection hidden="1"/>
    </xf>
    <xf numFmtId="0" fontId="3" fillId="26" borderId="0" xfId="64" applyFont="1" applyFill="1" applyBorder="1" applyAlignment="1" applyProtection="1">
      <alignment horizontal="center" vertical="center"/>
      <protection hidden="1"/>
    </xf>
    <xf numFmtId="0" fontId="61" fillId="48" borderId="0" xfId="64" applyFont="1" applyFill="1" applyBorder="1" applyAlignment="1" applyProtection="1">
      <alignment horizontal="center" vertical="center" wrapText="1" readingOrder="2"/>
      <protection hidden="1"/>
    </xf>
    <xf numFmtId="0" fontId="55" fillId="48" borderId="0" xfId="64" applyFont="1" applyFill="1" applyBorder="1" applyAlignment="1" applyProtection="1">
      <alignment horizontal="center" vertical="center" readingOrder="2"/>
      <protection hidden="1"/>
    </xf>
    <xf numFmtId="3" fontId="66" fillId="48" borderId="0" xfId="64" applyNumberFormat="1" applyFont="1" applyFill="1" applyBorder="1" applyAlignment="1" applyProtection="1">
      <alignment horizontal="center" vertical="center" wrapText="1" readingOrder="1"/>
      <protection hidden="1"/>
    </xf>
    <xf numFmtId="0" fontId="55" fillId="35" borderId="121" xfId="64" applyFont="1" applyFill="1" applyBorder="1" applyAlignment="1" applyProtection="1">
      <alignment vertical="center" readingOrder="2"/>
      <protection hidden="1"/>
    </xf>
    <xf numFmtId="0" fontId="55" fillId="35" borderId="116" xfId="64" applyFont="1" applyFill="1" applyBorder="1" applyAlignment="1" applyProtection="1">
      <alignment vertical="center" readingOrder="2"/>
      <protection hidden="1"/>
    </xf>
    <xf numFmtId="3" fontId="71" fillId="0" borderId="160" xfId="64" applyNumberFormat="1" applyFont="1" applyFill="1" applyBorder="1" applyAlignment="1" applyProtection="1">
      <alignment horizontal="center" vertical="center" wrapText="1" readingOrder="1"/>
      <protection hidden="1"/>
    </xf>
    <xf numFmtId="3" fontId="71" fillId="0" borderId="161" xfId="64" applyNumberFormat="1" applyFont="1" applyFill="1" applyBorder="1" applyAlignment="1" applyProtection="1">
      <alignment horizontal="center" vertical="center" wrapText="1" readingOrder="1"/>
      <protection hidden="1"/>
    </xf>
    <xf numFmtId="3" fontId="71" fillId="35" borderId="162" xfId="64" applyNumberFormat="1" applyFont="1" applyFill="1" applyBorder="1" applyAlignment="1" applyProtection="1">
      <alignment horizontal="center" vertical="center" wrapText="1" readingOrder="1"/>
      <protection hidden="1"/>
    </xf>
    <xf numFmtId="3" fontId="71" fillId="35" borderId="163" xfId="64" applyNumberFormat="1" applyFont="1" applyFill="1" applyBorder="1" applyAlignment="1" applyProtection="1">
      <alignment horizontal="center" vertical="center" wrapText="1" readingOrder="1"/>
      <protection hidden="1"/>
    </xf>
    <xf numFmtId="3" fontId="71" fillId="0" borderId="162" xfId="64" applyNumberFormat="1" applyFont="1" applyFill="1" applyBorder="1" applyAlignment="1" applyProtection="1">
      <alignment horizontal="center" vertical="center" wrapText="1" readingOrder="1"/>
      <protection hidden="1"/>
    </xf>
    <xf numFmtId="3" fontId="71" fillId="0" borderId="163" xfId="64" applyNumberFormat="1" applyFont="1" applyFill="1" applyBorder="1" applyAlignment="1" applyProtection="1">
      <alignment horizontal="center" vertical="center" wrapText="1" readingOrder="1"/>
      <protection hidden="1"/>
    </xf>
    <xf numFmtId="3" fontId="71" fillId="35" borderId="214" xfId="64" applyNumberFormat="1" applyFont="1" applyFill="1" applyBorder="1" applyAlignment="1" applyProtection="1">
      <alignment horizontal="center" vertical="center" wrapText="1" readingOrder="1"/>
      <protection hidden="1"/>
    </xf>
    <xf numFmtId="3" fontId="71" fillId="35" borderId="215" xfId="64" applyNumberFormat="1" applyFont="1" applyFill="1" applyBorder="1" applyAlignment="1" applyProtection="1">
      <alignment horizontal="center" vertical="center" wrapText="1" readingOrder="1"/>
      <protection hidden="1"/>
    </xf>
    <xf numFmtId="0" fontId="55" fillId="0" borderId="239" xfId="64" applyFont="1" applyFill="1" applyBorder="1" applyAlignment="1" applyProtection="1">
      <alignment horizontal="center" vertical="center" readingOrder="2"/>
      <protection hidden="1"/>
    </xf>
    <xf numFmtId="0" fontId="55" fillId="0" borderId="240" xfId="64" applyFont="1" applyFill="1" applyBorder="1" applyAlignment="1" applyProtection="1">
      <alignment horizontal="center" vertical="center" readingOrder="2"/>
      <protection hidden="1"/>
    </xf>
    <xf numFmtId="0" fontId="70" fillId="35" borderId="0" xfId="64" applyFont="1" applyFill="1" applyBorder="1" applyAlignment="1" applyProtection="1">
      <alignment vertical="center"/>
      <protection hidden="1"/>
    </xf>
    <xf numFmtId="0" fontId="7" fillId="26" borderId="13" xfId="71" applyFont="1" applyFill="1" applyBorder="1" applyAlignment="1" applyProtection="1">
      <alignment horizontal="center" vertical="center" wrapText="1" readingOrder="2"/>
      <protection hidden="1"/>
    </xf>
    <xf numFmtId="1" fontId="3" fillId="35" borderId="235" xfId="71" applyNumberFormat="1" applyFont="1" applyFill="1" applyBorder="1" applyAlignment="1" applyProtection="1">
      <alignment horizontal="center" vertical="center" wrapText="1" readingOrder="1"/>
      <protection hidden="1"/>
    </xf>
    <xf numFmtId="1" fontId="3" fillId="35" borderId="236" xfId="71" applyNumberFormat="1" applyFont="1" applyFill="1" applyBorder="1" applyAlignment="1" applyProtection="1">
      <alignment horizontal="center" vertical="center" wrapText="1" readingOrder="1"/>
      <protection hidden="1"/>
    </xf>
    <xf numFmtId="1" fontId="3" fillId="35" borderId="117" xfId="71" applyNumberFormat="1" applyFont="1" applyFill="1" applyBorder="1" applyAlignment="1" applyProtection="1">
      <alignment horizontal="center" vertical="center" wrapText="1" readingOrder="1"/>
      <protection hidden="1"/>
    </xf>
    <xf numFmtId="3" fontId="66" fillId="35" borderId="117" xfId="71" applyNumberFormat="1" applyFont="1" applyFill="1" applyBorder="1" applyAlignment="1" applyProtection="1">
      <alignment horizontal="center" vertical="center" wrapText="1" readingOrder="1"/>
      <protection hidden="1"/>
    </xf>
    <xf numFmtId="3" fontId="66" fillId="48" borderId="0" xfId="71" applyNumberFormat="1" applyFont="1" applyFill="1" applyBorder="1" applyAlignment="1" applyProtection="1">
      <alignment horizontal="center" vertical="center" wrapText="1" readingOrder="1"/>
      <protection hidden="1"/>
    </xf>
    <xf numFmtId="0" fontId="1" fillId="26" borderId="0" xfId="71" applyFill="1" applyProtection="1">
      <protection hidden="1"/>
    </xf>
    <xf numFmtId="0" fontId="3" fillId="26" borderId="0" xfId="71" applyFont="1" applyFill="1" applyBorder="1" applyAlignment="1" applyProtection="1">
      <alignment horizontal="center" vertical="center"/>
      <protection hidden="1"/>
    </xf>
    <xf numFmtId="0" fontId="7" fillId="49" borderId="242" xfId="64" applyFont="1" applyFill="1" applyBorder="1" applyAlignment="1" applyProtection="1">
      <alignment horizontal="center" vertical="center" wrapText="1" readingOrder="2"/>
      <protection hidden="1"/>
    </xf>
    <xf numFmtId="3" fontId="66" fillId="49" borderId="241" xfId="71" applyNumberFormat="1" applyFont="1" applyFill="1" applyBorder="1" applyAlignment="1" applyProtection="1">
      <alignment horizontal="center" vertical="center" wrapText="1" readingOrder="1"/>
      <protection hidden="1"/>
    </xf>
    <xf numFmtId="3" fontId="66" fillId="49" borderId="215" xfId="71" applyNumberFormat="1" applyFont="1" applyFill="1" applyBorder="1" applyAlignment="1" applyProtection="1">
      <alignment horizontal="center" vertical="center" wrapText="1" readingOrder="1"/>
      <protection hidden="1"/>
    </xf>
    <xf numFmtId="3" fontId="66" fillId="49" borderId="161" xfId="71" applyNumberFormat="1" applyFont="1" applyFill="1" applyBorder="1" applyAlignment="1" applyProtection="1">
      <alignment horizontal="center" vertical="center" wrapText="1" readingOrder="1"/>
      <protection hidden="1"/>
    </xf>
    <xf numFmtId="0" fontId="2" fillId="48" borderId="195" xfId="62" applyFont="1" applyFill="1" applyBorder="1" applyAlignment="1" applyProtection="1">
      <alignment horizontal="right" vertical="center"/>
    </xf>
    <xf numFmtId="0" fontId="2" fillId="48" borderId="186" xfId="62" applyFont="1" applyFill="1" applyBorder="1" applyAlignment="1" applyProtection="1">
      <alignment horizontal="right" vertical="center"/>
    </xf>
    <xf numFmtId="0" fontId="2" fillId="48" borderId="195" xfId="62" applyFont="1" applyFill="1" applyBorder="1" applyAlignment="1" applyProtection="1">
      <alignment horizontal="right" vertical="center"/>
      <protection hidden="1"/>
    </xf>
    <xf numFmtId="3" fontId="66" fillId="48" borderId="162" xfId="71" applyNumberFormat="1" applyFont="1" applyFill="1" applyBorder="1" applyAlignment="1" applyProtection="1">
      <alignment horizontal="center" vertical="center" wrapText="1" readingOrder="1"/>
      <protection hidden="1"/>
    </xf>
    <xf numFmtId="3" fontId="66" fillId="48" borderId="163" xfId="71" applyNumberFormat="1" applyFont="1" applyFill="1" applyBorder="1" applyAlignment="1" applyProtection="1">
      <alignment horizontal="center" vertical="center" wrapText="1" readingOrder="1"/>
      <protection hidden="1"/>
    </xf>
    <xf numFmtId="0" fontId="2" fillId="35" borderId="122" xfId="62" applyFont="1" applyFill="1" applyBorder="1" applyAlignment="1" applyProtection="1">
      <alignment horizontal="right" vertical="center"/>
      <protection hidden="1"/>
    </xf>
    <xf numFmtId="0" fontId="2" fillId="48" borderId="243" xfId="62" applyFont="1" applyFill="1" applyBorder="1" applyAlignment="1" applyProtection="1">
      <alignment horizontal="right" vertical="center"/>
      <protection hidden="1"/>
    </xf>
    <xf numFmtId="0" fontId="2" fillId="49" borderId="191" xfId="62" applyFont="1" applyFill="1" applyBorder="1" applyAlignment="1" applyProtection="1">
      <alignment horizontal="right" vertical="center"/>
    </xf>
    <xf numFmtId="3" fontId="3" fillId="26" borderId="581" xfId="64" applyNumberFormat="1" applyFont="1" applyFill="1" applyBorder="1" applyAlignment="1" applyProtection="1">
      <alignment horizontal="center" vertical="center" wrapText="1" readingOrder="1"/>
      <protection locked="0"/>
    </xf>
    <xf numFmtId="3" fontId="3" fillId="26" borderId="582" xfId="64" applyNumberFormat="1" applyFont="1" applyFill="1" applyBorder="1" applyAlignment="1" applyProtection="1">
      <alignment horizontal="center" vertical="center" wrapText="1" readingOrder="1"/>
      <protection locked="0"/>
    </xf>
    <xf numFmtId="3" fontId="3" fillId="49" borderId="581" xfId="64" applyNumberFormat="1" applyFont="1" applyFill="1" applyBorder="1" applyAlignment="1" applyProtection="1">
      <alignment horizontal="center" vertical="center" wrapText="1" readingOrder="1"/>
      <protection locked="0"/>
    </xf>
    <xf numFmtId="3" fontId="3" fillId="49" borderId="582" xfId="64" applyNumberFormat="1" applyFont="1" applyFill="1" applyBorder="1" applyAlignment="1" applyProtection="1">
      <alignment horizontal="center" vertical="center" wrapText="1" readingOrder="1"/>
      <protection locked="0"/>
    </xf>
    <xf numFmtId="3" fontId="3" fillId="31" borderId="581" xfId="64" applyNumberFormat="1" applyFont="1" applyFill="1" applyBorder="1" applyAlignment="1" applyProtection="1">
      <alignment horizontal="center" vertical="center" wrapText="1" readingOrder="1"/>
    </xf>
    <xf numFmtId="3" fontId="3" fillId="31" borderId="582" xfId="64" applyNumberFormat="1" applyFont="1" applyFill="1" applyBorder="1" applyAlignment="1" applyProtection="1">
      <alignment horizontal="center" vertical="center" wrapText="1" readingOrder="1"/>
    </xf>
    <xf numFmtId="3" fontId="3" fillId="26" borderId="580" xfId="64" applyNumberFormat="1" applyFont="1" applyFill="1" applyBorder="1" applyAlignment="1" applyProtection="1">
      <alignment horizontal="center" vertical="center" wrapText="1" readingOrder="1"/>
    </xf>
    <xf numFmtId="0" fontId="2" fillId="35" borderId="583" xfId="62" applyFont="1" applyFill="1" applyBorder="1" applyAlignment="1" applyProtection="1">
      <alignment horizontal="right" vertical="center"/>
      <protection hidden="1"/>
    </xf>
    <xf numFmtId="0" fontId="58" fillId="48" borderId="580" xfId="62" applyFont="1" applyFill="1" applyBorder="1" applyAlignment="1" applyProtection="1">
      <alignment horizontal="right" vertical="center"/>
    </xf>
    <xf numFmtId="0" fontId="58" fillId="49" borderId="580" xfId="62" applyFont="1" applyFill="1" applyBorder="1" applyAlignment="1" applyProtection="1">
      <alignment horizontal="right" vertical="center"/>
    </xf>
    <xf numFmtId="0" fontId="2" fillId="48" borderId="192" xfId="62" applyFont="1" applyFill="1" applyBorder="1" applyAlignment="1" applyProtection="1">
      <alignment horizontal="right" vertical="center"/>
      <protection hidden="1"/>
    </xf>
    <xf numFmtId="3" fontId="66" fillId="48" borderId="214" xfId="71" applyNumberFormat="1" applyFont="1" applyFill="1" applyBorder="1" applyAlignment="1" applyProtection="1">
      <alignment horizontal="center" vertical="center" wrapText="1" readingOrder="1"/>
      <protection hidden="1"/>
    </xf>
    <xf numFmtId="3" fontId="66" fillId="48" borderId="215" xfId="71" applyNumberFormat="1" applyFont="1" applyFill="1" applyBorder="1" applyAlignment="1" applyProtection="1">
      <alignment horizontal="center" vertical="center" wrapText="1" readingOrder="1"/>
      <protection hidden="1"/>
    </xf>
    <xf numFmtId="3" fontId="3" fillId="26" borderId="584" xfId="64" applyNumberFormat="1" applyFont="1" applyFill="1" applyBorder="1" applyAlignment="1" applyProtection="1">
      <alignment horizontal="center" vertical="center" wrapText="1" readingOrder="1"/>
      <protection locked="0"/>
    </xf>
    <xf numFmtId="3" fontId="3" fillId="26" borderId="586" xfId="64" applyNumberFormat="1" applyFont="1" applyFill="1" applyBorder="1" applyAlignment="1" applyProtection="1">
      <alignment horizontal="center" vertical="center" wrapText="1" readingOrder="1"/>
      <protection locked="0"/>
    </xf>
    <xf numFmtId="3" fontId="3" fillId="26" borderId="587" xfId="64" applyNumberFormat="1" applyFont="1" applyFill="1" applyBorder="1" applyAlignment="1" applyProtection="1">
      <alignment horizontal="center" vertical="center" wrapText="1" readingOrder="1"/>
      <protection locked="0"/>
    </xf>
    <xf numFmtId="3" fontId="3" fillId="31" borderId="586" xfId="64" applyNumberFormat="1" applyFont="1" applyFill="1" applyBorder="1" applyAlignment="1" applyProtection="1">
      <alignment horizontal="center" vertical="center" wrapText="1" readingOrder="1"/>
    </xf>
    <xf numFmtId="3" fontId="3" fillId="31" borderId="587" xfId="64" applyNumberFormat="1" applyFont="1" applyFill="1" applyBorder="1" applyAlignment="1" applyProtection="1">
      <alignment horizontal="center" vertical="center" wrapText="1" readingOrder="1"/>
    </xf>
    <xf numFmtId="0" fontId="2" fillId="35" borderId="588" xfId="62" applyFont="1" applyFill="1" applyBorder="1" applyAlignment="1" applyProtection="1">
      <alignment horizontal="right" vertical="center"/>
      <protection hidden="1"/>
    </xf>
    <xf numFmtId="0" fontId="2" fillId="49" borderId="122" xfId="62" applyFont="1" applyFill="1" applyBorder="1" applyAlignment="1" applyProtection="1">
      <alignment horizontal="center" vertical="center" readingOrder="2"/>
    </xf>
    <xf numFmtId="0" fontId="2" fillId="49" borderId="589" xfId="62" applyFont="1" applyFill="1" applyBorder="1" applyAlignment="1" applyProtection="1">
      <alignment horizontal="center" vertical="center" readingOrder="2"/>
    </xf>
    <xf numFmtId="0" fontId="2" fillId="0" borderId="590" xfId="62" applyFont="1" applyFill="1" applyBorder="1" applyAlignment="1" applyProtection="1">
      <alignment horizontal="right" vertical="center"/>
    </xf>
    <xf numFmtId="3" fontId="3" fillId="26" borderId="591" xfId="64" applyNumberFormat="1" applyFont="1" applyFill="1" applyBorder="1" applyAlignment="1" applyProtection="1">
      <alignment horizontal="center" vertical="center" wrapText="1" readingOrder="1"/>
      <protection locked="0"/>
    </xf>
    <xf numFmtId="3" fontId="3" fillId="26" borderId="592" xfId="64" applyNumberFormat="1" applyFont="1" applyFill="1" applyBorder="1" applyAlignment="1" applyProtection="1">
      <alignment horizontal="center" vertical="center" wrapText="1" readingOrder="1"/>
      <protection locked="0"/>
    </xf>
    <xf numFmtId="3" fontId="3" fillId="49" borderId="591" xfId="64" applyNumberFormat="1" applyFont="1" applyFill="1" applyBorder="1" applyAlignment="1" applyProtection="1">
      <alignment horizontal="center" vertical="center" wrapText="1" readingOrder="1"/>
      <protection locked="0"/>
    </xf>
    <xf numFmtId="3" fontId="3" fillId="49" borderId="592" xfId="64" applyNumberFormat="1" applyFont="1" applyFill="1" applyBorder="1" applyAlignment="1" applyProtection="1">
      <alignment horizontal="center" vertical="center" wrapText="1" readingOrder="1"/>
      <protection locked="0"/>
    </xf>
    <xf numFmtId="3" fontId="3" fillId="31" borderId="591" xfId="64" applyNumberFormat="1" applyFont="1" applyFill="1" applyBorder="1" applyAlignment="1" applyProtection="1">
      <alignment horizontal="center" vertical="center" wrapText="1" readingOrder="1"/>
    </xf>
    <xf numFmtId="3" fontId="3" fillId="31" borderId="592" xfId="64" applyNumberFormat="1" applyFont="1" applyFill="1" applyBorder="1" applyAlignment="1" applyProtection="1">
      <alignment horizontal="center" vertical="center" wrapText="1" readingOrder="1"/>
    </xf>
    <xf numFmtId="3" fontId="3" fillId="26" borderId="593" xfId="64" applyNumberFormat="1" applyFont="1" applyFill="1" applyBorder="1" applyAlignment="1" applyProtection="1">
      <alignment horizontal="center" vertical="center" wrapText="1" readingOrder="1"/>
    </xf>
    <xf numFmtId="0" fontId="2" fillId="49" borderId="590" xfId="62" applyFont="1" applyFill="1" applyBorder="1" applyAlignment="1" applyProtection="1">
      <alignment horizontal="right" vertical="center"/>
    </xf>
    <xf numFmtId="0" fontId="2" fillId="49" borderId="594" xfId="62" applyFont="1" applyFill="1" applyBorder="1" applyAlignment="1" applyProtection="1">
      <alignment horizontal="right" vertical="center"/>
    </xf>
    <xf numFmtId="0" fontId="2" fillId="0" borderId="595" xfId="62" applyFont="1" applyFill="1" applyBorder="1" applyAlignment="1" applyProtection="1">
      <alignment horizontal="right" vertical="center"/>
    </xf>
    <xf numFmtId="3" fontId="3" fillId="26" borderId="596" xfId="64" applyNumberFormat="1" applyFont="1" applyFill="1" applyBorder="1" applyAlignment="1" applyProtection="1">
      <alignment horizontal="center" vertical="center" wrapText="1" readingOrder="1"/>
      <protection locked="0"/>
    </xf>
    <xf numFmtId="0" fontId="2" fillId="49" borderId="597" xfId="62" applyFont="1" applyFill="1" applyBorder="1" applyAlignment="1" applyProtection="1">
      <alignment horizontal="right" vertical="center"/>
    </xf>
    <xf numFmtId="3" fontId="3" fillId="26" borderId="598" xfId="64" applyNumberFormat="1" applyFont="1" applyFill="1" applyBorder="1" applyAlignment="1" applyProtection="1">
      <alignment horizontal="center" vertical="center" wrapText="1" readingOrder="1"/>
      <protection locked="0"/>
    </xf>
    <xf numFmtId="0" fontId="2" fillId="0" borderId="597" xfId="62" applyFont="1" applyFill="1" applyBorder="1" applyAlignment="1" applyProtection="1">
      <alignment horizontal="right" vertical="center"/>
    </xf>
    <xf numFmtId="0" fontId="2" fillId="49" borderId="599" xfId="62" applyFont="1" applyFill="1" applyBorder="1" applyAlignment="1" applyProtection="1">
      <alignment horizontal="right" vertical="center"/>
    </xf>
    <xf numFmtId="0" fontId="2" fillId="0" borderId="585" xfId="62" applyFont="1" applyFill="1" applyBorder="1" applyAlignment="1" applyProtection="1">
      <alignment horizontal="right" vertical="center"/>
    </xf>
    <xf numFmtId="3" fontId="66" fillId="35" borderId="341" xfId="71" applyNumberFormat="1" applyFont="1" applyFill="1" applyBorder="1" applyAlignment="1" applyProtection="1">
      <alignment horizontal="center" vertical="center" wrapText="1" readingOrder="1"/>
      <protection hidden="1"/>
    </xf>
    <xf numFmtId="3" fontId="66" fillId="35" borderId="338" xfId="71" applyNumberFormat="1" applyFont="1" applyFill="1" applyBorder="1" applyAlignment="1" applyProtection="1">
      <alignment horizontal="center" vertical="center" wrapText="1" readingOrder="1"/>
      <protection hidden="1"/>
    </xf>
    <xf numFmtId="0" fontId="2" fillId="26" borderId="122" xfId="62" applyFont="1" applyFill="1" applyBorder="1" applyAlignment="1" applyProtection="1">
      <alignment horizontal="right" vertical="center"/>
      <protection hidden="1"/>
    </xf>
    <xf numFmtId="3" fontId="66" fillId="26" borderId="342" xfId="71" applyNumberFormat="1" applyFont="1" applyFill="1" applyBorder="1" applyAlignment="1" applyProtection="1">
      <alignment horizontal="center" vertical="center" wrapText="1" readingOrder="1"/>
      <protection hidden="1"/>
    </xf>
    <xf numFmtId="3" fontId="66" fillId="26" borderId="339" xfId="71" applyNumberFormat="1" applyFont="1" applyFill="1" applyBorder="1" applyAlignment="1" applyProtection="1">
      <alignment horizontal="center" vertical="center" wrapText="1" readingOrder="1"/>
      <protection hidden="1"/>
    </xf>
    <xf numFmtId="3" fontId="66" fillId="35" borderId="342" xfId="71" applyNumberFormat="1" applyFont="1" applyFill="1" applyBorder="1" applyAlignment="1" applyProtection="1">
      <alignment horizontal="center" vertical="center" wrapText="1" readingOrder="1"/>
      <protection hidden="1"/>
    </xf>
    <xf numFmtId="3" fontId="66" fillId="35" borderId="339" xfId="71" applyNumberFormat="1" applyFont="1" applyFill="1" applyBorder="1" applyAlignment="1" applyProtection="1">
      <alignment horizontal="center" vertical="center" wrapText="1" readingOrder="1"/>
      <protection hidden="1"/>
    </xf>
    <xf numFmtId="0" fontId="2" fillId="26" borderId="246" xfId="62" applyFont="1" applyFill="1" applyBorder="1" applyAlignment="1" applyProtection="1">
      <alignment horizontal="right" vertical="center"/>
      <protection hidden="1"/>
    </xf>
    <xf numFmtId="3" fontId="66" fillId="26" borderId="343" xfId="71" applyNumberFormat="1" applyFont="1" applyFill="1" applyBorder="1" applyAlignment="1" applyProtection="1">
      <alignment horizontal="center" vertical="center" wrapText="1" readingOrder="1"/>
      <protection hidden="1"/>
    </xf>
    <xf numFmtId="3" fontId="66" fillId="26" borderId="340" xfId="71" applyNumberFormat="1" applyFont="1" applyFill="1" applyBorder="1" applyAlignment="1" applyProtection="1">
      <alignment horizontal="center" vertical="center" wrapText="1" readingOrder="1"/>
      <protection hidden="1"/>
    </xf>
    <xf numFmtId="0" fontId="2" fillId="35" borderId="118" xfId="62" applyFont="1" applyFill="1" applyBorder="1" applyAlignment="1" applyProtection="1">
      <alignment horizontal="right" vertical="center"/>
      <protection hidden="1"/>
    </xf>
    <xf numFmtId="0" fontId="2" fillId="35" borderId="194" xfId="62" applyFont="1" applyFill="1" applyBorder="1" applyAlignment="1" applyProtection="1">
      <alignment vertical="center" readingOrder="2"/>
      <protection hidden="1"/>
    </xf>
    <xf numFmtId="0" fontId="2" fillId="26" borderId="117" xfId="62" applyFont="1" applyFill="1" applyBorder="1" applyAlignment="1" applyProtection="1">
      <alignment horizontal="right" vertical="center"/>
      <protection hidden="1"/>
    </xf>
    <xf numFmtId="0" fontId="2" fillId="26" borderId="189" xfId="62" applyFont="1" applyFill="1" applyBorder="1" applyAlignment="1" applyProtection="1">
      <alignment horizontal="right" vertical="center"/>
      <protection hidden="1"/>
    </xf>
    <xf numFmtId="0" fontId="2" fillId="48" borderId="590" xfId="62" applyFont="1" applyFill="1" applyBorder="1" applyAlignment="1" applyProtection="1">
      <alignment horizontal="right" vertical="center"/>
    </xf>
    <xf numFmtId="0" fontId="2" fillId="48" borderId="588" xfId="62" applyFont="1" applyFill="1" applyBorder="1" applyAlignment="1" applyProtection="1">
      <alignment horizontal="right" vertical="center"/>
      <protection hidden="1"/>
    </xf>
    <xf numFmtId="0" fontId="2" fillId="49" borderId="196" xfId="62" applyFont="1" applyFill="1" applyBorder="1" applyAlignment="1" applyProtection="1">
      <alignment horizontal="right" vertical="center"/>
    </xf>
    <xf numFmtId="0" fontId="58" fillId="48" borderId="195" xfId="62" applyFont="1" applyFill="1" applyBorder="1" applyAlignment="1" applyProtection="1">
      <alignment horizontal="right"/>
    </xf>
    <xf numFmtId="0" fontId="58" fillId="48" borderId="195" xfId="62" applyFont="1" applyFill="1" applyBorder="1" applyAlignment="1" applyProtection="1">
      <alignment horizontal="right" vertical="center"/>
      <protection hidden="1"/>
    </xf>
    <xf numFmtId="0" fontId="58" fillId="48" borderId="198" xfId="62" applyFont="1" applyFill="1" applyBorder="1" applyAlignment="1" applyProtection="1">
      <alignment horizontal="right" vertical="center"/>
    </xf>
    <xf numFmtId="0" fontId="58" fillId="48" borderId="195" xfId="62" applyFont="1" applyFill="1" applyBorder="1" applyAlignment="1" applyProtection="1">
      <alignment horizontal="right" vertical="center"/>
    </xf>
    <xf numFmtId="3" fontId="3" fillId="57" borderId="128" xfId="64" applyNumberFormat="1" applyFont="1" applyFill="1" applyBorder="1" applyAlignment="1" applyProtection="1">
      <alignment horizontal="center" vertical="center" wrapText="1" readingOrder="1"/>
      <protection hidden="1"/>
    </xf>
    <xf numFmtId="3" fontId="3" fillId="57" borderId="125" xfId="64" applyNumberFormat="1" applyFont="1" applyFill="1" applyBorder="1" applyAlignment="1" applyProtection="1">
      <alignment horizontal="center" vertical="center" wrapText="1" readingOrder="1"/>
      <protection hidden="1"/>
    </xf>
    <xf numFmtId="3" fontId="3" fillId="57" borderId="144" xfId="64" applyNumberFormat="1" applyFont="1" applyFill="1" applyBorder="1" applyAlignment="1" applyProtection="1">
      <alignment horizontal="center" vertical="center" wrapText="1" readingOrder="1"/>
      <protection hidden="1"/>
    </xf>
    <xf numFmtId="3" fontId="3" fillId="57" borderId="145" xfId="64" applyNumberFormat="1" applyFont="1" applyFill="1" applyBorder="1" applyAlignment="1" applyProtection="1">
      <alignment horizontal="center" vertical="center" wrapText="1" readingOrder="1"/>
      <protection hidden="1"/>
    </xf>
    <xf numFmtId="3" fontId="3" fillId="57" borderId="129" xfId="64" applyNumberFormat="1" applyFont="1" applyFill="1" applyBorder="1" applyAlignment="1" applyProtection="1">
      <alignment horizontal="center" vertical="center" wrapText="1" readingOrder="1"/>
      <protection hidden="1"/>
    </xf>
    <xf numFmtId="3" fontId="3" fillId="57" borderId="126" xfId="64" applyNumberFormat="1" applyFont="1" applyFill="1" applyBorder="1" applyAlignment="1" applyProtection="1">
      <alignment horizontal="center" vertical="center" wrapText="1" readingOrder="1"/>
      <protection hidden="1"/>
    </xf>
    <xf numFmtId="3" fontId="3" fillId="57" borderId="130" xfId="64" applyNumberFormat="1" applyFont="1" applyFill="1" applyBorder="1" applyAlignment="1" applyProtection="1">
      <alignment horizontal="center" vertical="center" wrapText="1" readingOrder="1"/>
      <protection hidden="1"/>
    </xf>
    <xf numFmtId="3" fontId="3" fillId="57" borderId="127" xfId="64" applyNumberFormat="1" applyFont="1" applyFill="1" applyBorder="1" applyAlignment="1" applyProtection="1">
      <alignment horizontal="center" vertical="center" wrapText="1" readingOrder="1"/>
      <protection hidden="1"/>
    </xf>
    <xf numFmtId="3" fontId="3" fillId="57" borderId="581" xfId="64" applyNumberFormat="1" applyFont="1" applyFill="1" applyBorder="1" applyAlignment="1" applyProtection="1">
      <alignment horizontal="center" vertical="center" wrapText="1" readingOrder="1"/>
      <protection hidden="1"/>
    </xf>
    <xf numFmtId="3" fontId="3" fillId="57" borderId="582" xfId="64" applyNumberFormat="1" applyFont="1" applyFill="1" applyBorder="1" applyAlignment="1" applyProtection="1">
      <alignment horizontal="center" vertical="center" wrapText="1" readingOrder="1"/>
      <protection hidden="1"/>
    </xf>
    <xf numFmtId="3" fontId="3" fillId="57" borderId="123" xfId="64" applyNumberFormat="1" applyFont="1" applyFill="1" applyBorder="1" applyAlignment="1" applyProtection="1">
      <alignment horizontal="center" vertical="center" wrapText="1" readingOrder="1"/>
      <protection hidden="1"/>
    </xf>
    <xf numFmtId="3" fontId="3" fillId="57" borderId="124" xfId="64" applyNumberFormat="1" applyFont="1" applyFill="1" applyBorder="1" applyAlignment="1" applyProtection="1">
      <alignment horizontal="center" vertical="center" wrapText="1" readingOrder="1"/>
      <protection hidden="1"/>
    </xf>
    <xf numFmtId="3" fontId="3" fillId="57" borderId="591" xfId="64" applyNumberFormat="1" applyFont="1" applyFill="1" applyBorder="1" applyAlignment="1" applyProtection="1">
      <alignment horizontal="center" vertical="center" wrapText="1" readingOrder="1"/>
      <protection hidden="1"/>
    </xf>
    <xf numFmtId="3" fontId="3" fillId="57" borderId="592" xfId="64" applyNumberFormat="1" applyFont="1" applyFill="1" applyBorder="1" applyAlignment="1" applyProtection="1">
      <alignment horizontal="center" vertical="center" wrapText="1" readingOrder="1"/>
      <protection hidden="1"/>
    </xf>
    <xf numFmtId="0" fontId="61" fillId="0" borderId="0" xfId="71" applyFont="1" applyFill="1" applyBorder="1" applyAlignment="1" applyProtection="1">
      <alignment horizontal="right" vertical="center" readingOrder="2"/>
    </xf>
    <xf numFmtId="0" fontId="61" fillId="0" borderId="0" xfId="71" applyFont="1" applyFill="1" applyBorder="1" applyAlignment="1" applyProtection="1">
      <alignment vertical="center" readingOrder="1"/>
    </xf>
    <xf numFmtId="0" fontId="58" fillId="0" borderId="196" xfId="62" applyFont="1" applyFill="1" applyBorder="1" applyAlignment="1" applyProtection="1">
      <alignment horizontal="right" vertical="center"/>
    </xf>
    <xf numFmtId="0" fontId="58" fillId="49" borderId="184" xfId="62" applyFont="1" applyFill="1" applyBorder="1" applyAlignment="1" applyProtection="1">
      <alignment horizontal="right" vertical="center"/>
    </xf>
    <xf numFmtId="0" fontId="58" fillId="0" borderId="186" xfId="62" applyFont="1" applyFill="1" applyBorder="1" applyAlignment="1" applyProtection="1">
      <alignment horizontal="right" vertical="center"/>
    </xf>
    <xf numFmtId="0" fontId="58" fillId="0" borderId="196" xfId="62" applyFont="1" applyFill="1" applyBorder="1" applyAlignment="1" applyProtection="1">
      <alignment horizontal="right" vertical="center"/>
      <protection hidden="1"/>
    </xf>
    <xf numFmtId="0" fontId="58" fillId="35" borderId="184" xfId="62" applyFont="1" applyFill="1" applyBorder="1" applyAlignment="1" applyProtection="1">
      <alignment horizontal="right" vertical="center"/>
      <protection hidden="1"/>
    </xf>
    <xf numFmtId="0" fontId="58" fillId="0" borderId="186" xfId="62" applyFont="1" applyFill="1" applyBorder="1" applyAlignment="1" applyProtection="1">
      <alignment horizontal="right" vertical="center"/>
      <protection hidden="1"/>
    </xf>
    <xf numFmtId="0" fontId="7" fillId="31" borderId="0" xfId="71" applyFont="1" applyFill="1" applyBorder="1" applyAlignment="1" applyProtection="1">
      <alignment horizontal="right" vertical="center" readingOrder="2"/>
    </xf>
    <xf numFmtId="0" fontId="58" fillId="35" borderId="246" xfId="62" applyFont="1" applyFill="1" applyBorder="1" applyAlignment="1" applyProtection="1">
      <alignment vertical="center"/>
      <protection hidden="1"/>
    </xf>
    <xf numFmtId="0" fontId="58" fillId="35" borderId="13" xfId="62" applyFont="1" applyFill="1" applyBorder="1" applyAlignment="1" applyProtection="1">
      <alignment vertical="center"/>
      <protection hidden="1"/>
    </xf>
    <xf numFmtId="0" fontId="58" fillId="35" borderId="247" xfId="62" applyFont="1" applyFill="1" applyBorder="1" applyAlignment="1" applyProtection="1">
      <alignment vertical="center"/>
      <protection hidden="1"/>
    </xf>
    <xf numFmtId="3" fontId="3" fillId="57" borderId="123" xfId="64" applyNumberFormat="1" applyFont="1" applyFill="1" applyBorder="1" applyAlignment="1" applyProtection="1">
      <alignment horizontal="center" vertical="center" wrapText="1" readingOrder="1"/>
      <protection locked="0"/>
    </xf>
    <xf numFmtId="3" fontId="3" fillId="57" borderId="124" xfId="64" applyNumberFormat="1" applyFont="1" applyFill="1" applyBorder="1" applyAlignment="1" applyProtection="1">
      <alignment horizontal="center" vertical="center" wrapText="1" readingOrder="1"/>
      <protection locked="0"/>
    </xf>
    <xf numFmtId="0" fontId="429" fillId="0" borderId="0" xfId="0" applyFont="1"/>
    <xf numFmtId="1" fontId="83" fillId="67" borderId="32" xfId="0" applyNumberFormat="1" applyFont="1" applyFill="1" applyBorder="1" applyAlignment="1" applyProtection="1">
      <alignment vertical="center"/>
    </xf>
    <xf numFmtId="1" fontId="83" fillId="67" borderId="307" xfId="0" applyNumberFormat="1" applyFont="1" applyFill="1" applyBorder="1" applyAlignment="1" applyProtection="1">
      <alignment vertical="center"/>
    </xf>
    <xf numFmtId="1" fontId="83" fillId="67" borderId="46" xfId="0" applyNumberFormat="1" applyFont="1" applyFill="1" applyBorder="1" applyAlignment="1" applyProtection="1">
      <alignment vertical="center"/>
    </xf>
    <xf numFmtId="0" fontId="55" fillId="48" borderId="248" xfId="64" applyFont="1" applyFill="1" applyBorder="1" applyAlignment="1" applyProtection="1">
      <alignment horizontal="center" vertical="center" readingOrder="2"/>
      <protection hidden="1"/>
    </xf>
    <xf numFmtId="3" fontId="66" fillId="48" borderId="248" xfId="64" applyNumberFormat="1" applyFont="1" applyFill="1" applyBorder="1" applyAlignment="1" applyProtection="1">
      <alignment horizontal="center" vertical="center" wrapText="1" readingOrder="1"/>
      <protection hidden="1"/>
    </xf>
    <xf numFmtId="0" fontId="7" fillId="48" borderId="0" xfId="64" applyFont="1" applyFill="1" applyBorder="1" applyAlignment="1" applyProtection="1">
      <alignment horizontal="center" vertical="center" wrapText="1" readingOrder="2"/>
      <protection hidden="1"/>
    </xf>
    <xf numFmtId="0" fontId="7" fillId="48" borderId="0" xfId="71" applyFont="1" applyFill="1" applyBorder="1" applyAlignment="1" applyProtection="1">
      <alignment horizontal="center" vertical="center" wrapText="1" readingOrder="2"/>
      <protection hidden="1"/>
    </xf>
    <xf numFmtId="1" fontId="3" fillId="48" borderId="0" xfId="71" applyNumberFormat="1" applyFont="1" applyFill="1" applyBorder="1" applyAlignment="1" applyProtection="1">
      <alignment horizontal="center" vertical="center" wrapText="1" readingOrder="1"/>
      <protection hidden="1"/>
    </xf>
    <xf numFmtId="0" fontId="55" fillId="0" borderId="0" xfId="64" applyFont="1" applyFill="1" applyBorder="1" applyAlignment="1" applyProtection="1">
      <alignment horizontal="center" vertical="center" readingOrder="2"/>
    </xf>
    <xf numFmtId="3" fontId="3" fillId="0" borderId="0" xfId="64" applyNumberFormat="1" applyFont="1" applyFill="1" applyBorder="1" applyAlignment="1" applyProtection="1">
      <alignment horizontal="center" vertical="center" wrapText="1" readingOrder="1"/>
      <protection locked="0"/>
    </xf>
    <xf numFmtId="3" fontId="3" fillId="48" borderId="202" xfId="64" applyNumberFormat="1" applyFont="1" applyFill="1" applyBorder="1" applyAlignment="1" applyProtection="1">
      <alignment horizontal="center" vertical="center" wrapText="1" readingOrder="1"/>
      <protection locked="0"/>
    </xf>
    <xf numFmtId="3" fontId="3" fillId="48" borderId="191" xfId="64" applyNumberFormat="1" applyFont="1" applyFill="1" applyBorder="1" applyAlignment="1" applyProtection="1">
      <alignment horizontal="center" vertical="center" wrapText="1" readingOrder="1"/>
      <protection locked="0"/>
    </xf>
    <xf numFmtId="3" fontId="3" fillId="48" borderId="541" xfId="64" applyNumberFormat="1" applyFont="1" applyFill="1" applyBorder="1" applyAlignment="1" applyProtection="1">
      <alignment horizontal="center" vertical="center" wrapText="1" readingOrder="1"/>
      <protection locked="0"/>
    </xf>
    <xf numFmtId="3" fontId="3" fillId="48" borderId="545" xfId="64" applyNumberFormat="1" applyFont="1" applyFill="1" applyBorder="1" applyAlignment="1" applyProtection="1">
      <alignment horizontal="center" vertical="center" wrapText="1" readingOrder="1"/>
      <protection locked="0"/>
    </xf>
    <xf numFmtId="3" fontId="3" fillId="48" borderId="192" xfId="64" applyNumberFormat="1" applyFont="1" applyFill="1" applyBorder="1" applyAlignment="1" applyProtection="1">
      <alignment horizontal="center" vertical="center" wrapText="1" readingOrder="1"/>
      <protection locked="0"/>
    </xf>
    <xf numFmtId="3" fontId="3" fillId="48" borderId="189" xfId="64" applyNumberFormat="1" applyFont="1" applyFill="1" applyBorder="1" applyAlignment="1" applyProtection="1">
      <alignment horizontal="center" vertical="center" wrapText="1" readingOrder="1"/>
      <protection locked="0"/>
    </xf>
    <xf numFmtId="0" fontId="55" fillId="48" borderId="248" xfId="64" applyFont="1" applyFill="1" applyBorder="1" applyAlignment="1" applyProtection="1">
      <alignment horizontal="center" vertical="center" readingOrder="2"/>
    </xf>
    <xf numFmtId="0" fontId="111" fillId="31" borderId="226" xfId="73" applyFont="1" applyFill="1" applyBorder="1" applyAlignment="1" applyProtection="1">
      <alignment vertical="center"/>
      <protection hidden="1"/>
    </xf>
    <xf numFmtId="0" fontId="169" fillId="31" borderId="227" xfId="73" applyFont="1" applyFill="1" applyBorder="1" applyAlignment="1" applyProtection="1">
      <alignment vertical="center"/>
      <protection hidden="1"/>
    </xf>
    <xf numFmtId="0" fontId="57" fillId="31" borderId="266" xfId="72" applyFont="1" applyFill="1" applyBorder="1" applyAlignment="1" applyProtection="1">
      <alignment horizontal="right" vertical="center" readingOrder="2"/>
      <protection hidden="1"/>
    </xf>
    <xf numFmtId="0" fontId="57" fillId="31" borderId="267" xfId="72" applyFont="1" applyFill="1" applyBorder="1" applyAlignment="1" applyProtection="1">
      <alignment horizontal="right" vertical="center" readingOrder="2"/>
      <protection hidden="1"/>
    </xf>
    <xf numFmtId="0" fontId="222" fillId="28" borderId="0" xfId="70" applyFont="1" applyFill="1" applyBorder="1" applyAlignment="1" applyProtection="1">
      <alignment horizontal="left" vertical="center" readingOrder="2"/>
      <protection hidden="1"/>
    </xf>
    <xf numFmtId="0" fontId="57" fillId="26" borderId="0" xfId="73" applyFont="1" applyFill="1" applyBorder="1" applyAlignment="1" applyProtection="1">
      <alignment vertical="center" readingOrder="2"/>
      <protection hidden="1"/>
    </xf>
    <xf numFmtId="0" fontId="181" fillId="26" borderId="0" xfId="73" applyFont="1" applyFill="1" applyBorder="1" applyAlignment="1" applyProtection="1">
      <alignment vertical="center" readingOrder="2"/>
      <protection hidden="1"/>
    </xf>
    <xf numFmtId="3" fontId="18" fillId="26" borderId="0" xfId="64" applyNumberFormat="1" applyFont="1" applyFill="1" applyBorder="1" applyAlignment="1" applyProtection="1">
      <alignment horizontal="center" vertical="center" readingOrder="1"/>
      <protection hidden="1"/>
    </xf>
    <xf numFmtId="3" fontId="81" fillId="26" borderId="244" xfId="64" applyNumberFormat="1" applyFont="1" applyFill="1" applyBorder="1" applyAlignment="1" applyProtection="1">
      <alignment horizontal="center" vertical="center" wrapText="1" readingOrder="1"/>
      <protection hidden="1"/>
    </xf>
    <xf numFmtId="0" fontId="313" fillId="0" borderId="0" xfId="0" applyFont="1" applyProtection="1">
      <protection hidden="1"/>
    </xf>
    <xf numFmtId="0" fontId="95" fillId="26" borderId="244" xfId="68" applyFont="1" applyFill="1" applyBorder="1" applyAlignment="1" applyProtection="1">
      <alignment horizontal="center" vertical="center" readingOrder="2"/>
      <protection hidden="1"/>
    </xf>
    <xf numFmtId="0" fontId="57" fillId="26" borderId="0" xfId="73" applyFont="1" applyFill="1" applyBorder="1" applyAlignment="1" applyProtection="1">
      <alignment horizontal="right" vertical="center" readingOrder="2"/>
      <protection hidden="1"/>
    </xf>
    <xf numFmtId="0" fontId="431" fillId="26" borderId="0" xfId="73" applyFont="1" applyFill="1" applyBorder="1" applyAlignment="1" applyProtection="1">
      <alignment horizontal="right" vertical="center" readingOrder="2"/>
      <protection hidden="1"/>
    </xf>
    <xf numFmtId="3" fontId="81" fillId="26" borderId="0" xfId="64" applyNumberFormat="1" applyFont="1" applyFill="1" applyBorder="1" applyAlignment="1" applyProtection="1">
      <alignment vertical="center" wrapText="1" readingOrder="1"/>
      <protection hidden="1"/>
    </xf>
    <xf numFmtId="0" fontId="181" fillId="26" borderId="0" xfId="73" applyFont="1" applyFill="1" applyBorder="1" applyAlignment="1" applyProtection="1">
      <alignment vertical="center"/>
      <protection hidden="1"/>
    </xf>
    <xf numFmtId="3" fontId="366" fillId="26" borderId="0" xfId="64" applyNumberFormat="1" applyFont="1" applyFill="1" applyBorder="1" applyAlignment="1" applyProtection="1">
      <alignment horizontal="center" vertical="center" readingOrder="1"/>
      <protection hidden="1"/>
    </xf>
    <xf numFmtId="0" fontId="367" fillId="0" borderId="0" xfId="0" applyFont="1" applyBorder="1" applyProtection="1">
      <protection hidden="1"/>
    </xf>
    <xf numFmtId="0" fontId="216" fillId="26" borderId="0" xfId="0" applyFont="1" applyFill="1" applyBorder="1" applyProtection="1">
      <protection hidden="1"/>
    </xf>
    <xf numFmtId="0" fontId="7" fillId="28" borderId="0" xfId="70" applyFont="1" applyFill="1" applyBorder="1" applyAlignment="1" applyProtection="1">
      <alignment horizontal="left" vertical="center" readingOrder="2"/>
      <protection hidden="1"/>
    </xf>
    <xf numFmtId="0" fontId="248" fillId="48" borderId="0" xfId="73" applyFont="1" applyFill="1" applyBorder="1" applyAlignment="1" applyProtection="1">
      <alignment vertical="center"/>
      <protection hidden="1"/>
    </xf>
    <xf numFmtId="0" fontId="0" fillId="48" borderId="0" xfId="0" applyFill="1" applyBorder="1" applyProtection="1"/>
    <xf numFmtId="0" fontId="258" fillId="48" borderId="0" xfId="73" applyFont="1" applyFill="1" applyBorder="1" applyAlignment="1" applyProtection="1">
      <alignment vertical="center"/>
      <protection hidden="1"/>
    </xf>
    <xf numFmtId="0" fontId="0" fillId="69" borderId="603" xfId="0" applyFill="1" applyBorder="1" applyProtection="1">
      <protection hidden="1"/>
    </xf>
    <xf numFmtId="0" fontId="0" fillId="69" borderId="0" xfId="0" applyFill="1" applyBorder="1" applyProtection="1">
      <protection hidden="1"/>
    </xf>
    <xf numFmtId="0" fontId="0" fillId="69" borderId="604" xfId="0" applyFill="1" applyBorder="1" applyProtection="1">
      <protection hidden="1"/>
    </xf>
    <xf numFmtId="49" fontId="55" fillId="70" borderId="523" xfId="73" applyNumberFormat="1" applyFont="1" applyFill="1" applyBorder="1" applyAlignment="1">
      <alignment horizontal="right" vertical="center" readingOrder="2"/>
    </xf>
    <xf numFmtId="0" fontId="0" fillId="70" borderId="516" xfId="0" applyFill="1" applyBorder="1"/>
    <xf numFmtId="0" fontId="87" fillId="70" borderId="516" xfId="73" applyFont="1" applyFill="1" applyBorder="1" applyAlignment="1">
      <alignment horizontal="center" vertical="center" readingOrder="2"/>
    </xf>
    <xf numFmtId="0" fontId="7" fillId="70" borderId="516" xfId="70" applyFont="1" applyFill="1" applyBorder="1" applyAlignment="1">
      <alignment horizontal="right" vertical="center" readingOrder="2"/>
    </xf>
    <xf numFmtId="49" fontId="7" fillId="70" borderId="524" xfId="73" applyNumberFormat="1" applyFont="1" applyFill="1" applyBorder="1" applyAlignment="1">
      <alignment horizontal="right" vertical="center" readingOrder="2"/>
    </xf>
    <xf numFmtId="0" fontId="57" fillId="70" borderId="70" xfId="73" applyFont="1" applyFill="1" applyBorder="1" applyAlignment="1">
      <alignment horizontal="right" vertical="center" readingOrder="2"/>
    </xf>
    <xf numFmtId="0" fontId="7" fillId="70" borderId="0" xfId="73" applyFont="1" applyFill="1" applyBorder="1" applyAlignment="1">
      <alignment horizontal="right" vertical="center" readingOrder="2"/>
    </xf>
    <xf numFmtId="0" fontId="7" fillId="70" borderId="0" xfId="73" applyFont="1" applyFill="1" applyBorder="1" applyAlignment="1">
      <alignment horizontal="center" vertical="center" readingOrder="2"/>
    </xf>
    <xf numFmtId="0" fontId="0" fillId="70" borderId="0" xfId="0" applyFill="1"/>
    <xf numFmtId="0" fontId="7" fillId="70" borderId="0" xfId="73" applyFont="1" applyFill="1" applyBorder="1" applyAlignment="1">
      <alignment horizontal="left" vertical="center" readingOrder="2"/>
    </xf>
    <xf numFmtId="0" fontId="7" fillId="70" borderId="43" xfId="73" applyFont="1" applyFill="1" applyBorder="1" applyAlignment="1">
      <alignment vertical="center" readingOrder="2"/>
    </xf>
    <xf numFmtId="0" fontId="7" fillId="70" borderId="0" xfId="64" applyFont="1" applyFill="1" applyBorder="1" applyAlignment="1">
      <alignment horizontal="left" vertical="center" readingOrder="2"/>
    </xf>
    <xf numFmtId="0" fontId="7" fillId="70" borderId="0" xfId="73" applyFont="1" applyFill="1" applyBorder="1" applyAlignment="1" applyProtection="1">
      <alignment horizontal="right" vertical="center" readingOrder="2"/>
      <protection hidden="1"/>
    </xf>
    <xf numFmtId="0" fontId="7" fillId="70" borderId="0" xfId="73" applyFont="1" applyFill="1" applyBorder="1" applyAlignment="1" applyProtection="1">
      <alignment horizontal="left" vertical="center" readingOrder="2"/>
      <protection hidden="1"/>
    </xf>
    <xf numFmtId="0" fontId="7" fillId="70" borderId="0" xfId="64" applyFont="1" applyFill="1" applyBorder="1" applyAlignment="1" applyProtection="1">
      <alignment horizontal="right" vertical="center" readingOrder="2"/>
      <protection hidden="1"/>
    </xf>
    <xf numFmtId="0" fontId="57" fillId="70" borderId="70" xfId="71" applyFont="1" applyFill="1" applyBorder="1" applyAlignment="1">
      <alignment horizontal="right" vertical="center" readingOrder="2"/>
    </xf>
    <xf numFmtId="0" fontId="7" fillId="70" borderId="0" xfId="73" applyFont="1" applyFill="1" applyBorder="1" applyAlignment="1" applyProtection="1">
      <alignment horizontal="center" vertical="center" readingOrder="2"/>
      <protection hidden="1"/>
    </xf>
    <xf numFmtId="0" fontId="0" fillId="70" borderId="0" xfId="0" applyFill="1" applyBorder="1"/>
    <xf numFmtId="0" fontId="55" fillId="70" borderId="0" xfId="71" applyFont="1" applyFill="1" applyBorder="1" applyAlignment="1">
      <alignment horizontal="right" vertical="center" readingOrder="2"/>
    </xf>
    <xf numFmtId="0" fontId="55" fillId="70" borderId="0" xfId="71" applyFont="1" applyFill="1" applyBorder="1" applyAlignment="1" applyProtection="1">
      <alignment horizontal="right" vertical="center" readingOrder="2"/>
      <protection hidden="1"/>
    </xf>
    <xf numFmtId="0" fontId="2" fillId="70" borderId="43" xfId="73" applyFont="1" applyFill="1" applyBorder="1" applyAlignment="1">
      <alignment horizontal="center" vertical="center"/>
    </xf>
    <xf numFmtId="0" fontId="316" fillId="70" borderId="0" xfId="73" applyFont="1" applyFill="1" applyBorder="1" applyAlignment="1">
      <alignment horizontal="right" vertical="center" readingOrder="2"/>
    </xf>
    <xf numFmtId="0" fontId="58" fillId="70" borderId="0" xfId="73" applyFont="1" applyFill="1" applyBorder="1" applyAlignment="1" applyProtection="1">
      <alignment horizontal="left" vertical="center" readingOrder="2"/>
      <protection hidden="1"/>
    </xf>
    <xf numFmtId="0" fontId="323" fillId="0" borderId="117" xfId="0" applyFont="1" applyBorder="1" applyAlignment="1" applyProtection="1">
      <alignment horizontal="center" vertical="center"/>
      <protection locked="0"/>
    </xf>
    <xf numFmtId="0" fontId="0" fillId="47" borderId="603" xfId="0" applyFill="1" applyBorder="1" applyProtection="1">
      <protection hidden="1"/>
    </xf>
    <xf numFmtId="0" fontId="0" fillId="47" borderId="0" xfId="0" applyFill="1" applyBorder="1" applyProtection="1">
      <protection hidden="1"/>
    </xf>
    <xf numFmtId="0" fontId="0" fillId="47" borderId="604" xfId="0" applyFill="1" applyBorder="1" applyProtection="1">
      <protection hidden="1"/>
    </xf>
    <xf numFmtId="0" fontId="2" fillId="47" borderId="603" xfId="73" applyFont="1" applyFill="1" applyBorder="1" applyProtection="1">
      <protection hidden="1"/>
    </xf>
    <xf numFmtId="0" fontId="2" fillId="47" borderId="0" xfId="73" applyFont="1" applyFill="1" applyBorder="1" applyProtection="1">
      <protection hidden="1"/>
    </xf>
    <xf numFmtId="0" fontId="2" fillId="47" borderId="604" xfId="73" applyFont="1" applyFill="1" applyBorder="1" applyProtection="1">
      <protection hidden="1"/>
    </xf>
    <xf numFmtId="0" fontId="321" fillId="48" borderId="155" xfId="73" applyFont="1" applyFill="1" applyBorder="1" applyAlignment="1" applyProtection="1">
      <alignment vertical="center"/>
      <protection hidden="1"/>
    </xf>
    <xf numFmtId="0" fontId="321" fillId="51" borderId="155" xfId="73" applyFont="1" applyFill="1" applyBorder="1" applyAlignment="1" applyProtection="1">
      <alignment vertical="center"/>
      <protection hidden="1"/>
    </xf>
    <xf numFmtId="0" fontId="116" fillId="26" borderId="244" xfId="68" applyFont="1" applyFill="1" applyBorder="1" applyAlignment="1" applyProtection="1">
      <alignment horizontal="center" vertical="center" readingOrder="2"/>
      <protection hidden="1"/>
    </xf>
    <xf numFmtId="49" fontId="57" fillId="0" borderId="0" xfId="73" applyNumberFormat="1" applyFont="1" applyFill="1" applyBorder="1" applyAlignment="1">
      <alignment horizontal="right" vertical="center" readingOrder="2"/>
    </xf>
    <xf numFmtId="0" fontId="181" fillId="48" borderId="0" xfId="73" applyFont="1" applyFill="1" applyBorder="1" applyAlignment="1">
      <alignment horizontal="left"/>
    </xf>
    <xf numFmtId="0" fontId="181" fillId="48" borderId="0" xfId="73" applyFont="1" applyFill="1" applyBorder="1" applyAlignment="1">
      <alignment horizontal="right" vertical="center" readingOrder="2"/>
    </xf>
    <xf numFmtId="0" fontId="57" fillId="48" borderId="527" xfId="73" applyFont="1" applyFill="1" applyBorder="1" applyAlignment="1">
      <alignment horizontal="left" vertical="center" readingOrder="2"/>
    </xf>
    <xf numFmtId="0" fontId="56" fillId="48" borderId="0" xfId="73" applyFont="1" applyFill="1" applyBorder="1" applyAlignment="1">
      <alignment vertical="center"/>
    </xf>
    <xf numFmtId="3" fontId="91" fillId="26" borderId="36" xfId="64" applyNumberFormat="1" applyFont="1" applyFill="1" applyBorder="1" applyAlignment="1" applyProtection="1">
      <alignment horizontal="center" vertical="center" wrapText="1" readingOrder="1"/>
      <protection hidden="1"/>
    </xf>
    <xf numFmtId="0" fontId="233" fillId="0" borderId="271" xfId="0" applyFont="1" applyBorder="1" applyAlignment="1" applyProtection="1">
      <alignment horizontal="center" vertical="center"/>
      <protection hidden="1"/>
    </xf>
    <xf numFmtId="0" fontId="407" fillId="70" borderId="0" xfId="73" applyFont="1" applyFill="1" applyBorder="1" applyAlignment="1" applyProtection="1">
      <alignment horizontal="right" vertical="center" readingOrder="2"/>
      <protection hidden="1"/>
    </xf>
    <xf numFmtId="0" fontId="57" fillId="0" borderId="0" xfId="73" applyFont="1" applyFill="1" applyBorder="1" applyAlignment="1" applyProtection="1">
      <alignment horizontal="left" vertical="center" readingOrder="2"/>
      <protection hidden="1"/>
    </xf>
    <xf numFmtId="0" fontId="57" fillId="0" borderId="0" xfId="73" applyFont="1" applyFill="1" applyBorder="1" applyAlignment="1">
      <alignment horizontal="right" vertical="center" readingOrder="2"/>
    </xf>
    <xf numFmtId="0" fontId="1" fillId="26" borderId="0" xfId="73" applyFont="1" applyFill="1" applyProtection="1">
      <protection hidden="1"/>
    </xf>
    <xf numFmtId="0" fontId="315" fillId="48" borderId="155" xfId="73" applyFont="1" applyFill="1" applyBorder="1" applyAlignment="1" applyProtection="1">
      <alignment vertical="center"/>
      <protection hidden="1"/>
    </xf>
    <xf numFmtId="0" fontId="319" fillId="48" borderId="0" xfId="73" applyFont="1" applyFill="1" applyBorder="1" applyAlignment="1" applyProtection="1">
      <alignment vertical="top"/>
      <protection hidden="1"/>
    </xf>
    <xf numFmtId="0" fontId="58" fillId="48" borderId="6" xfId="73" applyFont="1" applyFill="1" applyBorder="1" applyAlignment="1" applyProtection="1">
      <alignment vertical="center"/>
      <protection locked="0"/>
    </xf>
    <xf numFmtId="0" fontId="61" fillId="48" borderId="497" xfId="73" applyFont="1" applyFill="1" applyBorder="1" applyAlignment="1">
      <alignment horizontal="left" vertical="center" readingOrder="2"/>
    </xf>
    <xf numFmtId="0" fontId="407" fillId="48" borderId="0" xfId="68" applyFont="1" applyFill="1" applyBorder="1" applyAlignment="1" applyProtection="1">
      <alignment horizontal="left" vertical="center" readingOrder="2"/>
      <protection hidden="1"/>
    </xf>
    <xf numFmtId="0" fontId="7" fillId="48" borderId="0" xfId="64" applyFont="1" applyFill="1" applyBorder="1" applyAlignment="1" applyProtection="1">
      <alignment horizontal="center" vertical="center" readingOrder="2"/>
      <protection hidden="1"/>
    </xf>
    <xf numFmtId="0" fontId="91" fillId="47" borderId="0" xfId="73" applyFont="1" applyFill="1" applyBorder="1" applyAlignment="1" applyProtection="1">
      <alignment horizontal="right" vertical="center"/>
      <protection hidden="1"/>
    </xf>
    <xf numFmtId="0" fontId="91" fillId="47" borderId="0" xfId="68" applyFont="1" applyFill="1" applyBorder="1" applyAlignment="1" applyProtection="1">
      <alignment horizontal="center" vertical="center"/>
      <protection hidden="1"/>
    </xf>
    <xf numFmtId="0" fontId="391" fillId="51" borderId="0" xfId="64" applyFont="1" applyFill="1" applyBorder="1" applyAlignment="1" applyProtection="1">
      <alignment horizontal="right" vertical="center" readingOrder="2"/>
      <protection hidden="1"/>
    </xf>
    <xf numFmtId="0" fontId="1" fillId="0" borderId="0" xfId="73" applyBorder="1" applyAlignment="1">
      <alignment horizontal="center" vertical="center"/>
    </xf>
    <xf numFmtId="0" fontId="89" fillId="0" borderId="122" xfId="73" applyFont="1" applyFill="1" applyBorder="1" applyAlignment="1" applyProtection="1">
      <alignment horizontal="right"/>
      <protection hidden="1"/>
    </xf>
    <xf numFmtId="0" fontId="57" fillId="26" borderId="244" xfId="68" applyFont="1" applyFill="1" applyBorder="1" applyAlignment="1" applyProtection="1">
      <alignment horizontal="center" vertical="center" readingOrder="2"/>
      <protection hidden="1"/>
    </xf>
    <xf numFmtId="0" fontId="3" fillId="50" borderId="251" xfId="75" applyFont="1" applyFill="1" applyBorder="1" applyAlignment="1" applyProtection="1">
      <alignment horizontal="center" vertical="center" wrapText="1" readingOrder="2"/>
      <protection hidden="1"/>
    </xf>
    <xf numFmtId="0" fontId="3" fillId="50" borderId="252" xfId="75" applyFont="1" applyFill="1" applyBorder="1" applyAlignment="1" applyProtection="1">
      <alignment horizontal="center" vertical="center" wrapText="1" readingOrder="2"/>
      <protection hidden="1"/>
    </xf>
    <xf numFmtId="0" fontId="0" fillId="50" borderId="120" xfId="0" applyFill="1" applyBorder="1" applyProtection="1"/>
    <xf numFmtId="0" fontId="225" fillId="50" borderId="251" xfId="75" applyFont="1" applyFill="1" applyBorder="1" applyAlignment="1" applyProtection="1">
      <alignment horizontal="center" vertical="center" wrapText="1" readingOrder="2"/>
      <protection hidden="1"/>
    </xf>
    <xf numFmtId="0" fontId="225" fillId="50" borderId="252" xfId="75" applyFont="1" applyFill="1" applyBorder="1" applyAlignment="1" applyProtection="1">
      <alignment horizontal="center" vertical="center" wrapText="1" readingOrder="2"/>
      <protection hidden="1"/>
    </xf>
    <xf numFmtId="0" fontId="326" fillId="51" borderId="0" xfId="64" applyFont="1" applyFill="1" applyBorder="1" applyAlignment="1" applyProtection="1">
      <alignment vertical="center" readingOrder="1"/>
      <protection hidden="1"/>
    </xf>
    <xf numFmtId="0" fontId="57" fillId="73" borderId="70" xfId="71" applyFont="1" applyFill="1" applyBorder="1" applyAlignment="1" applyProtection="1">
      <alignment vertical="center" readingOrder="2"/>
    </xf>
    <xf numFmtId="0" fontId="57" fillId="73" borderId="0" xfId="71" applyFont="1" applyFill="1" applyBorder="1" applyAlignment="1" applyProtection="1">
      <alignment vertical="center" readingOrder="2"/>
      <protection hidden="1"/>
    </xf>
    <xf numFmtId="0" fontId="1" fillId="73" borderId="498" xfId="71" applyFill="1" applyBorder="1" applyAlignment="1" applyProtection="1">
      <protection hidden="1"/>
    </xf>
    <xf numFmtId="0" fontId="7" fillId="73" borderId="70" xfId="64" applyFont="1" applyFill="1" applyBorder="1" applyAlignment="1" applyProtection="1">
      <alignment horizontal="right" vertical="center" readingOrder="2"/>
    </xf>
    <xf numFmtId="0" fontId="62" fillId="73" borderId="0" xfId="64" applyFont="1" applyFill="1" applyBorder="1" applyAlignment="1" applyProtection="1">
      <alignment vertical="center" readingOrder="2"/>
      <protection hidden="1"/>
    </xf>
    <xf numFmtId="0" fontId="1" fillId="73" borderId="0" xfId="64" applyFill="1" applyBorder="1" applyAlignment="1" applyProtection="1">
      <alignment vertical="center"/>
      <protection hidden="1"/>
    </xf>
    <xf numFmtId="0" fontId="0" fillId="73" borderId="498" xfId="0" applyFill="1" applyBorder="1" applyProtection="1">
      <protection hidden="1"/>
    </xf>
    <xf numFmtId="0" fontId="60" fillId="73" borderId="70" xfId="64" applyFont="1" applyFill="1" applyBorder="1" applyAlignment="1" applyProtection="1">
      <alignment horizontal="right" vertical="center" readingOrder="2"/>
    </xf>
    <xf numFmtId="0" fontId="57" fillId="73" borderId="70" xfId="64" applyFont="1" applyFill="1" applyBorder="1" applyAlignment="1" applyProtection="1">
      <alignment horizontal="right" vertical="center" readingOrder="2"/>
    </xf>
    <xf numFmtId="3" fontId="3" fillId="48" borderId="0" xfId="64" applyNumberFormat="1" applyFont="1" applyFill="1" applyBorder="1" applyAlignment="1" applyProtection="1">
      <alignment horizontal="center" vertical="center" wrapText="1" readingOrder="1"/>
      <protection hidden="1"/>
    </xf>
    <xf numFmtId="3" fontId="54" fillId="48" borderId="0" xfId="64" applyNumberFormat="1" applyFont="1" applyFill="1" applyBorder="1" applyAlignment="1" applyProtection="1">
      <alignment horizontal="center" vertical="center" wrapText="1" readingOrder="1"/>
      <protection hidden="1"/>
    </xf>
    <xf numFmtId="0" fontId="12" fillId="48" borderId="43" xfId="64" applyFont="1" applyFill="1" applyBorder="1" applyAlignment="1" applyProtection="1">
      <alignment horizontal="center" vertical="center" wrapText="1"/>
      <protection hidden="1"/>
    </xf>
    <xf numFmtId="0" fontId="0" fillId="74" borderId="43" xfId="0" applyFill="1" applyBorder="1" applyProtection="1">
      <protection hidden="1"/>
    </xf>
    <xf numFmtId="0" fontId="0" fillId="74" borderId="498" xfId="0" applyFill="1" applyBorder="1" applyProtection="1">
      <protection hidden="1"/>
    </xf>
    <xf numFmtId="0" fontId="7" fillId="74" borderId="70" xfId="64" applyFont="1" applyFill="1" applyBorder="1" applyAlignment="1" applyProtection="1">
      <alignment horizontal="right" vertical="center" readingOrder="2"/>
    </xf>
    <xf numFmtId="0" fontId="60" fillId="74" borderId="70" xfId="64" applyFont="1" applyFill="1" applyBorder="1" applyAlignment="1" applyProtection="1">
      <alignment horizontal="right" vertical="center" readingOrder="2"/>
    </xf>
    <xf numFmtId="0" fontId="57" fillId="74" borderId="70" xfId="64" applyFont="1" applyFill="1" applyBorder="1" applyAlignment="1" applyProtection="1">
      <alignment horizontal="right" vertical="center" readingOrder="2"/>
    </xf>
    <xf numFmtId="0" fontId="1" fillId="74" borderId="0" xfId="64" applyFill="1" applyBorder="1" applyAlignment="1" applyProtection="1">
      <protection hidden="1"/>
    </xf>
    <xf numFmtId="0" fontId="0" fillId="74" borderId="0" xfId="0" applyFill="1" applyProtection="1">
      <protection hidden="1"/>
    </xf>
    <xf numFmtId="0" fontId="1" fillId="74" borderId="0" xfId="64" applyFill="1" applyBorder="1" applyAlignment="1" applyProtection="1">
      <alignment vertical="center"/>
      <protection hidden="1"/>
    </xf>
    <xf numFmtId="0" fontId="62" fillId="74" borderId="0" xfId="64" applyFont="1" applyFill="1" applyBorder="1" applyAlignment="1" applyProtection="1">
      <alignment vertical="center" readingOrder="2"/>
      <protection hidden="1"/>
    </xf>
    <xf numFmtId="3" fontId="81" fillId="74" borderId="0" xfId="64" applyNumberFormat="1" applyFont="1" applyFill="1" applyBorder="1" applyAlignment="1" applyProtection="1">
      <alignment horizontal="center" vertical="center" wrapText="1" readingOrder="1"/>
      <protection hidden="1"/>
    </xf>
    <xf numFmtId="0" fontId="62" fillId="75" borderId="43" xfId="71" applyFont="1" applyFill="1" applyBorder="1" applyAlignment="1" applyProtection="1">
      <alignment vertical="center" readingOrder="1"/>
      <protection hidden="1"/>
    </xf>
    <xf numFmtId="0" fontId="1" fillId="75" borderId="43" xfId="64" applyFill="1" applyBorder="1" applyAlignment="1" applyProtection="1">
      <protection hidden="1"/>
    </xf>
    <xf numFmtId="0" fontId="12" fillId="75" borderId="43" xfId="64" applyFont="1" applyFill="1" applyBorder="1" applyAlignment="1" applyProtection="1">
      <alignment horizontal="center" vertical="center" wrapText="1"/>
      <protection hidden="1"/>
    </xf>
    <xf numFmtId="0" fontId="64" fillId="75" borderId="70" xfId="71" applyFont="1" applyFill="1" applyBorder="1" applyAlignment="1" applyProtection="1">
      <alignment horizontal="right" vertical="center" readingOrder="2"/>
    </xf>
    <xf numFmtId="0" fontId="57" fillId="75" borderId="70" xfId="64" applyFont="1" applyFill="1" applyBorder="1" applyAlignment="1">
      <alignment horizontal="right" vertical="center" readingOrder="2"/>
    </xf>
    <xf numFmtId="0" fontId="7" fillId="75" borderId="70" xfId="64" applyFont="1" applyFill="1" applyBorder="1" applyAlignment="1">
      <alignment horizontal="right" vertical="center" readingOrder="2"/>
    </xf>
    <xf numFmtId="0" fontId="7" fillId="75" borderId="0" xfId="64" applyFont="1" applyFill="1" applyBorder="1" applyAlignment="1" applyProtection="1">
      <alignment horizontal="center" vertical="center" readingOrder="2"/>
      <protection hidden="1"/>
    </xf>
    <xf numFmtId="3" fontId="3" fillId="75" borderId="0" xfId="64" applyNumberFormat="1" applyFont="1" applyFill="1" applyBorder="1" applyAlignment="1" applyProtection="1">
      <alignment horizontal="center" vertical="center" wrapText="1" readingOrder="1"/>
      <protection hidden="1"/>
    </xf>
    <xf numFmtId="3" fontId="54" fillId="75" borderId="0" xfId="64" applyNumberFormat="1" applyFont="1" applyFill="1" applyBorder="1" applyAlignment="1" applyProtection="1">
      <alignment horizontal="center" vertical="center" wrapText="1" readingOrder="1"/>
      <protection hidden="1"/>
    </xf>
    <xf numFmtId="0" fontId="7" fillId="75" borderId="33" xfId="71" applyFont="1" applyFill="1" applyBorder="1" applyAlignment="1" applyProtection="1">
      <alignment horizontal="right" vertical="center" readingOrder="2"/>
    </xf>
    <xf numFmtId="0" fontId="7" fillId="75" borderId="42" xfId="71" applyFont="1" applyFill="1" applyBorder="1" applyAlignment="1" applyProtection="1">
      <alignment horizontal="right" vertical="center" readingOrder="2"/>
      <protection hidden="1"/>
    </xf>
    <xf numFmtId="0" fontId="1" fillId="75" borderId="42" xfId="71" applyFill="1" applyBorder="1" applyAlignment="1" applyProtection="1">
      <alignment vertical="center"/>
      <protection hidden="1"/>
    </xf>
    <xf numFmtId="0" fontId="1" fillId="75" borderId="71" xfId="71" applyFill="1" applyBorder="1" applyAlignment="1" applyProtection="1">
      <alignment vertical="center"/>
      <protection hidden="1"/>
    </xf>
    <xf numFmtId="0" fontId="437" fillId="0" borderId="0" xfId="71" applyFont="1" applyFill="1" applyBorder="1" applyAlignment="1" applyProtection="1">
      <alignment vertical="center" readingOrder="2"/>
      <protection hidden="1"/>
    </xf>
    <xf numFmtId="0" fontId="326" fillId="75" borderId="43" xfId="64" applyFont="1" applyFill="1" applyBorder="1" applyAlignment="1" applyProtection="1">
      <alignment vertical="center" readingOrder="1"/>
      <protection hidden="1"/>
    </xf>
    <xf numFmtId="0" fontId="437" fillId="75" borderId="70" xfId="64" applyFont="1" applyFill="1" applyBorder="1" applyAlignment="1">
      <alignment horizontal="right" vertical="center" readingOrder="2"/>
    </xf>
    <xf numFmtId="0" fontId="60" fillId="31" borderId="0" xfId="64" applyFont="1" applyFill="1" applyBorder="1" applyAlignment="1" applyProtection="1">
      <alignment horizontal="right" readingOrder="2"/>
      <protection hidden="1"/>
    </xf>
    <xf numFmtId="0" fontId="64" fillId="51" borderId="0" xfId="64" applyFont="1" applyFill="1" applyBorder="1" applyAlignment="1" applyProtection="1">
      <alignment horizontal="right" vertical="center" readingOrder="2"/>
      <protection hidden="1"/>
    </xf>
    <xf numFmtId="3" fontId="2" fillId="26" borderId="188" xfId="64" applyNumberFormat="1" applyFont="1" applyFill="1" applyBorder="1" applyAlignment="1" applyProtection="1">
      <alignment horizontal="center" vertical="center" wrapText="1" readingOrder="1"/>
      <protection locked="0"/>
    </xf>
    <xf numFmtId="3" fontId="2" fillId="26" borderId="154" xfId="64" applyNumberFormat="1" applyFont="1" applyFill="1" applyBorder="1" applyAlignment="1" applyProtection="1">
      <alignment horizontal="center" vertical="center" wrapText="1" readingOrder="1"/>
      <protection locked="0"/>
    </xf>
    <xf numFmtId="3" fontId="2" fillId="0" borderId="238" xfId="64" applyNumberFormat="1" applyFont="1" applyFill="1" applyBorder="1" applyAlignment="1" applyProtection="1">
      <alignment horizontal="center" vertical="center" wrapText="1" readingOrder="1"/>
      <protection locked="0"/>
    </xf>
    <xf numFmtId="3" fontId="2" fillId="0" borderId="121" xfId="64" applyNumberFormat="1" applyFont="1" applyFill="1" applyBorder="1" applyAlignment="1" applyProtection="1">
      <alignment horizontal="center" vertical="center" wrapText="1" readingOrder="1"/>
      <protection locked="0"/>
    </xf>
    <xf numFmtId="3" fontId="2" fillId="48" borderId="312" xfId="64" applyNumberFormat="1" applyFont="1" applyFill="1" applyBorder="1" applyAlignment="1" applyProtection="1">
      <alignment horizontal="center" vertical="center" wrapText="1" readingOrder="1"/>
      <protection locked="0"/>
    </xf>
    <xf numFmtId="3" fontId="2" fillId="48" borderId="126" xfId="64" applyNumberFormat="1" applyFont="1" applyFill="1" applyBorder="1" applyAlignment="1" applyProtection="1">
      <alignment horizontal="center" vertical="center" wrapText="1" readingOrder="1"/>
      <protection locked="0"/>
    </xf>
    <xf numFmtId="3" fontId="2" fillId="48" borderId="129" xfId="64" applyNumberFormat="1" applyFont="1" applyFill="1" applyBorder="1" applyAlignment="1" applyProtection="1">
      <alignment horizontal="center" vertical="center" wrapText="1" readingOrder="1"/>
      <protection locked="0"/>
    </xf>
    <xf numFmtId="3" fontId="2" fillId="48" borderId="188" xfId="64" applyNumberFormat="1" applyFont="1" applyFill="1" applyBorder="1" applyAlignment="1" applyProtection="1">
      <alignment horizontal="center" vertical="center" wrapText="1" readingOrder="1"/>
      <protection locked="0"/>
    </xf>
    <xf numFmtId="3" fontId="2" fillId="48" borderId="150" xfId="64" applyNumberFormat="1" applyFont="1" applyFill="1" applyBorder="1" applyAlignment="1" applyProtection="1">
      <alignment horizontal="center" vertical="center" wrapText="1" readingOrder="1"/>
      <protection locked="0"/>
    </xf>
    <xf numFmtId="3" fontId="2" fillId="48" borderId="149" xfId="64" applyNumberFormat="1" applyFont="1" applyFill="1" applyBorder="1" applyAlignment="1" applyProtection="1">
      <alignment horizontal="center" vertical="center" wrapText="1" readingOrder="1"/>
      <protection locked="0"/>
    </xf>
    <xf numFmtId="0" fontId="61" fillId="26" borderId="244" xfId="68" applyFont="1" applyFill="1" applyBorder="1" applyAlignment="1" applyProtection="1">
      <alignment horizontal="center" vertical="center" readingOrder="2"/>
      <protection hidden="1"/>
    </xf>
    <xf numFmtId="3" fontId="402" fillId="48" borderId="0" xfId="64" applyNumberFormat="1" applyFont="1" applyFill="1" applyBorder="1" applyAlignment="1" applyProtection="1">
      <alignment horizontal="center" vertical="center" readingOrder="2"/>
      <protection hidden="1"/>
    </xf>
    <xf numFmtId="0" fontId="233" fillId="0" borderId="244" xfId="0" applyFont="1" applyBorder="1" applyAlignment="1" applyProtection="1">
      <alignment horizontal="center" vertical="center"/>
      <protection hidden="1"/>
    </xf>
    <xf numFmtId="3" fontId="2" fillId="0" borderId="622" xfId="64" applyNumberFormat="1" applyFont="1" applyFill="1" applyBorder="1" applyAlignment="1" applyProtection="1">
      <alignment horizontal="center" vertical="center" wrapText="1" readingOrder="1"/>
      <protection locked="0"/>
    </xf>
    <xf numFmtId="0" fontId="0" fillId="0" borderId="0" xfId="0" applyFont="1" applyProtection="1">
      <protection hidden="1"/>
    </xf>
    <xf numFmtId="0" fontId="389" fillId="0" borderId="0" xfId="0" applyFont="1" applyProtection="1">
      <protection hidden="1"/>
    </xf>
    <xf numFmtId="0" fontId="0" fillId="73" borderId="0" xfId="0" applyFill="1" applyProtection="1">
      <protection hidden="1"/>
    </xf>
    <xf numFmtId="0" fontId="438" fillId="62" borderId="0" xfId="64" applyFont="1" applyFill="1" applyBorder="1" applyAlignment="1" applyProtection="1">
      <alignment horizontal="right" vertical="center" readingOrder="2"/>
      <protection hidden="1"/>
    </xf>
    <xf numFmtId="0" fontId="439" fillId="62" borderId="0" xfId="0" applyFont="1" applyFill="1" applyProtection="1">
      <protection hidden="1"/>
    </xf>
    <xf numFmtId="0" fontId="440" fillId="62" borderId="0" xfId="0" applyFont="1" applyFill="1" applyProtection="1">
      <protection hidden="1"/>
    </xf>
    <xf numFmtId="3" fontId="229" fillId="74" borderId="0" xfId="64" applyNumberFormat="1" applyFont="1" applyFill="1" applyBorder="1" applyAlignment="1" applyProtection="1">
      <alignment horizontal="center" vertical="center" readingOrder="1"/>
      <protection hidden="1"/>
    </xf>
    <xf numFmtId="0" fontId="1" fillId="74" borderId="0" xfId="71" applyFill="1" applyProtection="1">
      <protection hidden="1"/>
    </xf>
    <xf numFmtId="0" fontId="1" fillId="73" borderId="0" xfId="71" applyFill="1" applyProtection="1">
      <protection hidden="1"/>
    </xf>
    <xf numFmtId="0" fontId="441" fillId="65" borderId="0" xfId="64" applyFont="1" applyFill="1" applyBorder="1" applyAlignment="1" applyProtection="1">
      <alignment horizontal="right" vertical="center" readingOrder="2"/>
      <protection hidden="1"/>
    </xf>
    <xf numFmtId="0" fontId="442" fillId="65" borderId="0" xfId="0" applyFont="1" applyFill="1" applyProtection="1">
      <protection hidden="1"/>
    </xf>
    <xf numFmtId="0" fontId="12" fillId="75" borderId="0" xfId="64" applyFont="1" applyFill="1" applyBorder="1" applyAlignment="1" applyProtection="1">
      <alignment horizontal="center" vertical="center" wrapText="1"/>
      <protection hidden="1"/>
    </xf>
    <xf numFmtId="0" fontId="1" fillId="75" borderId="0" xfId="64" applyFont="1" applyFill="1" applyBorder="1" applyAlignment="1" applyProtection="1">
      <alignment vertical="center"/>
      <protection hidden="1"/>
    </xf>
    <xf numFmtId="0" fontId="0" fillId="75" borderId="0" xfId="0" applyFill="1" applyProtection="1">
      <protection hidden="1"/>
    </xf>
    <xf numFmtId="0" fontId="1" fillId="75" borderId="0" xfId="71" applyFill="1" applyProtection="1">
      <protection hidden="1"/>
    </xf>
    <xf numFmtId="0" fontId="7" fillId="26" borderId="63" xfId="68" applyFont="1" applyFill="1" applyBorder="1" applyAlignment="1" applyProtection="1">
      <alignment vertical="center" readingOrder="2"/>
      <protection hidden="1"/>
    </xf>
    <xf numFmtId="0" fontId="7" fillId="26" borderId="64" xfId="68" applyFont="1" applyFill="1" applyBorder="1" applyAlignment="1" applyProtection="1">
      <alignment vertical="center" readingOrder="2"/>
      <protection hidden="1"/>
    </xf>
    <xf numFmtId="0" fontId="56" fillId="26" borderId="0" xfId="64" applyFont="1" applyFill="1" applyBorder="1" applyAlignment="1" applyProtection="1">
      <alignment vertical="center"/>
      <protection hidden="1"/>
    </xf>
    <xf numFmtId="0" fontId="181" fillId="27" borderId="123" xfId="64" applyFont="1" applyFill="1" applyBorder="1" applyAlignment="1" applyProtection="1">
      <alignment horizontal="center" vertical="center" wrapText="1" readingOrder="2"/>
      <protection hidden="1"/>
    </xf>
    <xf numFmtId="0" fontId="181" fillId="27" borderId="124" xfId="64" applyFont="1" applyFill="1" applyBorder="1" applyAlignment="1" applyProtection="1">
      <alignment horizontal="center" vertical="center" wrapText="1" readingOrder="2"/>
      <protection hidden="1"/>
    </xf>
    <xf numFmtId="0" fontId="443" fillId="0" borderId="0" xfId="0" applyFont="1" applyAlignment="1" applyProtection="1">
      <alignment vertical="center"/>
      <protection hidden="1"/>
    </xf>
    <xf numFmtId="0" fontId="316" fillId="0" borderId="0" xfId="71" applyFont="1" applyFill="1" applyBorder="1" applyAlignment="1" applyProtection="1">
      <alignment horizontal="center" vertical="center" wrapText="1" readingOrder="2"/>
      <protection hidden="1"/>
    </xf>
    <xf numFmtId="0" fontId="444" fillId="48" borderId="0" xfId="64" applyFont="1" applyFill="1" applyBorder="1" applyAlignment="1">
      <alignment vertical="center" readingOrder="2"/>
    </xf>
    <xf numFmtId="0" fontId="410" fillId="49" borderId="0" xfId="64" applyFont="1" applyFill="1" applyBorder="1" applyAlignment="1">
      <alignment vertical="center" readingOrder="2"/>
    </xf>
    <xf numFmtId="0" fontId="444" fillId="0" borderId="0" xfId="64" applyFont="1" applyFill="1" applyBorder="1" applyAlignment="1">
      <alignment vertical="center" readingOrder="2"/>
    </xf>
    <xf numFmtId="0" fontId="444" fillId="26" borderId="244" xfId="68" applyFont="1" applyFill="1" applyBorder="1" applyAlignment="1" applyProtection="1">
      <alignment horizontal="center" vertical="center" readingOrder="2"/>
      <protection hidden="1"/>
    </xf>
    <xf numFmtId="0" fontId="415" fillId="0" borderId="0" xfId="0" applyFont="1" applyProtection="1">
      <protection hidden="1"/>
    </xf>
    <xf numFmtId="0" fontId="7" fillId="75" borderId="70" xfId="64" applyFont="1" applyFill="1" applyBorder="1" applyAlignment="1" applyProtection="1">
      <alignment horizontal="right" vertical="center" readingOrder="2"/>
    </xf>
    <xf numFmtId="0" fontId="62" fillId="75" borderId="0" xfId="64" applyFont="1" applyFill="1" applyBorder="1" applyAlignment="1" applyProtection="1">
      <alignment vertical="center" readingOrder="2"/>
    </xf>
    <xf numFmtId="0" fontId="62" fillId="75" borderId="0" xfId="64" applyFont="1" applyFill="1" applyBorder="1" applyAlignment="1" applyProtection="1">
      <alignment vertical="center" readingOrder="2"/>
      <protection hidden="1"/>
    </xf>
    <xf numFmtId="3" fontId="81" fillId="75" borderId="0" xfId="64" applyNumberFormat="1" applyFont="1" applyFill="1" applyBorder="1" applyAlignment="1" applyProtection="1">
      <alignment horizontal="center" vertical="center" wrapText="1" readingOrder="1"/>
      <protection hidden="1"/>
    </xf>
    <xf numFmtId="0" fontId="1" fillId="75" borderId="43" xfId="64" applyFill="1" applyBorder="1" applyAlignment="1" applyProtection="1">
      <alignment vertical="center"/>
    </xf>
    <xf numFmtId="0" fontId="55" fillId="75" borderId="0" xfId="64" applyFont="1" applyFill="1" applyBorder="1" applyAlignment="1">
      <alignment horizontal="center" vertical="center" readingOrder="2"/>
    </xf>
    <xf numFmtId="0" fontId="0" fillId="75" borderId="0" xfId="0" applyFill="1"/>
    <xf numFmtId="0" fontId="69" fillId="75" borderId="497" xfId="64" applyFont="1" applyFill="1" applyBorder="1" applyAlignment="1">
      <alignment horizontal="right" vertical="center" readingOrder="2"/>
    </xf>
    <xf numFmtId="0" fontId="62" fillId="48" borderId="0" xfId="64" applyFont="1" applyFill="1" applyBorder="1" applyAlignment="1" applyProtection="1">
      <alignment vertical="center" readingOrder="2"/>
    </xf>
    <xf numFmtId="0" fontId="62" fillId="48" borderId="0" xfId="64" applyFont="1" applyFill="1" applyBorder="1" applyAlignment="1" applyProtection="1">
      <alignment vertical="center" readingOrder="2"/>
      <protection hidden="1"/>
    </xf>
    <xf numFmtId="3" fontId="81" fillId="48" borderId="0" xfId="64" applyNumberFormat="1" applyFont="1" applyFill="1" applyBorder="1" applyAlignment="1" applyProtection="1">
      <alignment horizontal="center" vertical="center" wrapText="1" readingOrder="1"/>
      <protection hidden="1"/>
    </xf>
    <xf numFmtId="0" fontId="397" fillId="0" borderId="122" xfId="64" applyFont="1" applyBorder="1" applyAlignment="1" applyProtection="1">
      <protection hidden="1"/>
    </xf>
    <xf numFmtId="0" fontId="1" fillId="0" borderId="122" xfId="64" applyBorder="1" applyProtection="1">
      <protection hidden="1"/>
    </xf>
    <xf numFmtId="0" fontId="419" fillId="0" borderId="122" xfId="64" applyFont="1" applyBorder="1" applyAlignment="1" applyProtection="1">
      <alignment horizontal="center" vertical="center"/>
      <protection hidden="1"/>
    </xf>
    <xf numFmtId="3" fontId="402" fillId="48" borderId="0" xfId="64" applyNumberFormat="1" applyFont="1" applyFill="1" applyBorder="1" applyAlignment="1" applyProtection="1">
      <alignment vertical="center" readingOrder="2"/>
      <protection hidden="1"/>
    </xf>
    <xf numFmtId="3" fontId="402" fillId="48" borderId="122" xfId="64" applyNumberFormat="1" applyFont="1" applyFill="1" applyBorder="1" applyAlignment="1" applyProtection="1">
      <alignment horizontal="center" vertical="center" readingOrder="2"/>
      <protection hidden="1"/>
    </xf>
    <xf numFmtId="0" fontId="0" fillId="0" borderId="194" xfId="0" applyBorder="1" applyProtection="1">
      <protection hidden="1"/>
    </xf>
    <xf numFmtId="0" fontId="1" fillId="0" borderId="245" xfId="64" applyBorder="1" applyProtection="1">
      <protection hidden="1"/>
    </xf>
    <xf numFmtId="0" fontId="395" fillId="50" borderId="13" xfId="64" applyFont="1" applyFill="1" applyBorder="1" applyAlignment="1" applyProtection="1">
      <alignment horizontal="right" vertical="center" readingOrder="2"/>
      <protection locked="0"/>
    </xf>
    <xf numFmtId="0" fontId="61" fillId="77" borderId="0" xfId="64" applyFont="1" applyFill="1" applyBorder="1" applyAlignment="1" applyProtection="1">
      <alignment vertical="center" readingOrder="1"/>
      <protection locked="0"/>
    </xf>
    <xf numFmtId="0" fontId="55" fillId="77" borderId="500" xfId="64" applyFont="1" applyFill="1" applyBorder="1" applyAlignment="1" applyProtection="1">
      <alignment horizontal="center" vertical="center" readingOrder="2"/>
      <protection locked="0"/>
    </xf>
    <xf numFmtId="0" fontId="69" fillId="77" borderId="115" xfId="64" applyFont="1" applyFill="1" applyBorder="1" applyAlignment="1" applyProtection="1">
      <alignment horizontal="center" vertical="center" wrapText="1" readingOrder="1"/>
    </xf>
    <xf numFmtId="0" fontId="183" fillId="77" borderId="115" xfId="64" applyFont="1" applyFill="1" applyBorder="1" applyAlignment="1" applyProtection="1">
      <alignment horizontal="center" vertical="center" wrapText="1" readingOrder="1"/>
    </xf>
    <xf numFmtId="0" fontId="334" fillId="77" borderId="115" xfId="64" applyFont="1" applyFill="1" applyBorder="1" applyAlignment="1" applyProtection="1">
      <alignment horizontal="left" vertical="center" readingOrder="2"/>
    </xf>
    <xf numFmtId="0" fontId="58" fillId="77" borderId="0" xfId="64" applyFont="1" applyFill="1" applyBorder="1" applyAlignment="1" applyProtection="1">
      <alignment horizontal="center" vertical="center" wrapText="1" readingOrder="2"/>
      <protection locked="0"/>
    </xf>
    <xf numFmtId="0" fontId="3" fillId="77" borderId="500" xfId="64" applyFont="1" applyFill="1" applyBorder="1" applyAlignment="1" applyProtection="1">
      <alignment horizontal="center" vertical="center" wrapText="1" readingOrder="2"/>
      <protection locked="0"/>
    </xf>
    <xf numFmtId="0" fontId="395" fillId="77" borderId="120" xfId="64" applyFont="1" applyFill="1" applyBorder="1" applyAlignment="1" applyProtection="1">
      <alignment horizontal="right" vertical="center" readingOrder="2"/>
    </xf>
    <xf numFmtId="0" fontId="337" fillId="48" borderId="13" xfId="64" applyFont="1" applyFill="1" applyBorder="1" applyAlignment="1" applyProtection="1">
      <alignment horizontal="right" readingOrder="2"/>
      <protection locked="0"/>
    </xf>
    <xf numFmtId="0" fontId="7" fillId="0" borderId="0" xfId="64" applyFont="1" applyFill="1" applyBorder="1" applyAlignment="1" applyProtection="1">
      <alignment vertical="center" readingOrder="2"/>
      <protection hidden="1"/>
    </xf>
    <xf numFmtId="0" fontId="62" fillId="77" borderId="498" xfId="64" applyFont="1" applyFill="1" applyBorder="1" applyAlignment="1" applyProtection="1">
      <alignment vertical="center" readingOrder="1"/>
      <protection locked="0"/>
    </xf>
    <xf numFmtId="0" fontId="1" fillId="77" borderId="501" xfId="64" applyFill="1" applyBorder="1" applyAlignment="1" applyProtection="1">
      <protection locked="0"/>
    </xf>
    <xf numFmtId="0" fontId="64" fillId="77" borderId="497" xfId="64" applyFont="1" applyFill="1" applyBorder="1" applyAlignment="1" applyProtection="1">
      <alignment horizontal="right" vertical="center" readingOrder="2"/>
      <protection locked="0"/>
    </xf>
    <xf numFmtId="0" fontId="7" fillId="77" borderId="499" xfId="64" applyFont="1" applyFill="1" applyBorder="1" applyAlignment="1" applyProtection="1">
      <alignment horizontal="right" vertical="center" readingOrder="2"/>
      <protection locked="0"/>
    </xf>
    <xf numFmtId="0" fontId="337" fillId="77" borderId="0" xfId="64" applyFont="1" applyFill="1" applyBorder="1" applyAlignment="1" applyProtection="1">
      <alignment horizontal="right" vertical="center" readingOrder="2"/>
    </xf>
    <xf numFmtId="3" fontId="448" fillId="31" borderId="189" xfId="64" applyNumberFormat="1" applyFont="1" applyFill="1" applyBorder="1" applyAlignment="1" applyProtection="1">
      <alignment horizontal="center" vertical="center" wrapText="1" readingOrder="1"/>
      <protection hidden="1"/>
    </xf>
    <xf numFmtId="3" fontId="448" fillId="31" borderId="192" xfId="64" applyNumberFormat="1" applyFont="1" applyFill="1" applyBorder="1" applyAlignment="1" applyProtection="1">
      <alignment horizontal="center" vertical="center" wrapText="1" readingOrder="1"/>
      <protection hidden="1"/>
    </xf>
    <xf numFmtId="0" fontId="448" fillId="0" borderId="0" xfId="64" applyFont="1" applyBorder="1" applyAlignment="1" applyProtection="1">
      <alignment horizontal="center" vertical="center"/>
      <protection hidden="1"/>
    </xf>
    <xf numFmtId="3" fontId="448" fillId="31" borderId="530" xfId="64" applyNumberFormat="1" applyFont="1" applyFill="1" applyBorder="1" applyAlignment="1" applyProtection="1">
      <alignment horizontal="center" vertical="center" wrapText="1" readingOrder="1"/>
      <protection hidden="1"/>
    </xf>
    <xf numFmtId="3" fontId="448" fillId="31" borderId="531" xfId="64" applyNumberFormat="1" applyFont="1" applyFill="1" applyBorder="1" applyAlignment="1" applyProtection="1">
      <alignment horizontal="center" vertical="center" wrapText="1" readingOrder="1"/>
      <protection hidden="1"/>
    </xf>
    <xf numFmtId="3" fontId="448" fillId="31" borderId="532" xfId="64" applyNumberFormat="1" applyFont="1" applyFill="1" applyBorder="1" applyAlignment="1" applyProtection="1">
      <alignment horizontal="center" vertical="center" wrapText="1" readingOrder="1"/>
      <protection hidden="1"/>
    </xf>
    <xf numFmtId="3" fontId="448" fillId="31" borderId="533" xfId="64" applyNumberFormat="1" applyFont="1" applyFill="1" applyBorder="1" applyAlignment="1" applyProtection="1">
      <alignment horizontal="center" vertical="center" wrapText="1" readingOrder="1"/>
      <protection hidden="1"/>
    </xf>
    <xf numFmtId="3" fontId="448" fillId="31" borderId="534" xfId="64" applyNumberFormat="1" applyFont="1" applyFill="1" applyBorder="1" applyAlignment="1" applyProtection="1">
      <alignment horizontal="center" vertical="center" wrapText="1" readingOrder="1"/>
      <protection hidden="1"/>
    </xf>
    <xf numFmtId="3" fontId="448" fillId="31" borderId="535" xfId="64" applyNumberFormat="1" applyFont="1" applyFill="1" applyBorder="1" applyAlignment="1" applyProtection="1">
      <alignment horizontal="center" vertical="center" wrapText="1" readingOrder="1"/>
      <protection hidden="1"/>
    </xf>
    <xf numFmtId="0" fontId="449" fillId="0" borderId="0" xfId="64" applyFont="1" applyBorder="1" applyProtection="1">
      <protection hidden="1"/>
    </xf>
    <xf numFmtId="0" fontId="81" fillId="51" borderId="0" xfId="68" applyFont="1" applyFill="1" applyBorder="1" applyAlignment="1" applyProtection="1">
      <alignment horizontal="center"/>
    </xf>
    <xf numFmtId="0" fontId="81" fillId="51" borderId="0" xfId="68" applyFont="1" applyFill="1" applyBorder="1" applyAlignment="1" applyProtection="1">
      <alignment horizontal="center" vertical="center"/>
    </xf>
    <xf numFmtId="0" fontId="229" fillId="52" borderId="0" xfId="64" applyFont="1" applyFill="1" applyBorder="1" applyAlignment="1"/>
    <xf numFmtId="0" fontId="81" fillId="48" borderId="0" xfId="73" applyFont="1" applyFill="1" applyBorder="1" applyAlignment="1" applyProtection="1">
      <alignment horizontal="right"/>
      <protection hidden="1"/>
    </xf>
    <xf numFmtId="0" fontId="57" fillId="48" borderId="0" xfId="64" applyFont="1" applyFill="1" applyBorder="1" applyAlignment="1" applyProtection="1">
      <alignment horizontal="right" vertical="center" readingOrder="2"/>
      <protection hidden="1"/>
    </xf>
    <xf numFmtId="0" fontId="451" fillId="0" borderId="0" xfId="64" applyFont="1" applyFill="1" applyBorder="1" applyAlignment="1" applyProtection="1">
      <alignment vertical="center" readingOrder="2"/>
      <protection hidden="1"/>
    </xf>
    <xf numFmtId="0" fontId="375" fillId="0" borderId="0" xfId="0" applyFont="1" applyAlignment="1" applyProtection="1">
      <alignment horizontal="center" vertical="center"/>
      <protection hidden="1"/>
    </xf>
    <xf numFmtId="2" fontId="373" fillId="0" borderId="623" xfId="0" applyNumberFormat="1" applyFont="1" applyBorder="1" applyAlignment="1" applyProtection="1">
      <alignment horizontal="center" vertical="center"/>
      <protection hidden="1"/>
    </xf>
    <xf numFmtId="0" fontId="62" fillId="78" borderId="0" xfId="64" applyFont="1" applyFill="1" applyBorder="1" applyAlignment="1" applyProtection="1">
      <alignment vertical="center" readingOrder="2"/>
      <protection hidden="1"/>
    </xf>
    <xf numFmtId="0" fontId="311" fillId="26" borderId="0" xfId="64" applyFont="1" applyFill="1" applyBorder="1" applyAlignment="1" applyProtection="1">
      <alignment horizontal="center" vertical="center" readingOrder="2"/>
      <protection hidden="1"/>
    </xf>
    <xf numFmtId="0" fontId="237" fillId="0" borderId="156" xfId="0" applyFont="1" applyBorder="1" applyAlignment="1" applyProtection="1">
      <alignment horizontal="center" vertical="center"/>
      <protection hidden="1"/>
    </xf>
    <xf numFmtId="0" fontId="237" fillId="0" borderId="156" xfId="0" applyFont="1" applyBorder="1" applyAlignment="1" applyProtection="1">
      <alignment vertical="center"/>
      <protection hidden="1"/>
    </xf>
    <xf numFmtId="0" fontId="392" fillId="0" borderId="0" xfId="0" applyFont="1" applyAlignment="1" applyProtection="1">
      <alignment horizontal="center"/>
      <protection hidden="1"/>
    </xf>
    <xf numFmtId="0" fontId="379" fillId="0" borderId="0" xfId="0" applyFont="1" applyProtection="1">
      <protection hidden="1"/>
    </xf>
    <xf numFmtId="0" fontId="379" fillId="0" borderId="0" xfId="0" applyFont="1" applyAlignment="1" applyProtection="1">
      <alignment horizontal="center"/>
      <protection hidden="1"/>
    </xf>
    <xf numFmtId="0" fontId="262" fillId="0" borderId="63" xfId="0" applyFont="1" applyBorder="1" applyAlignment="1" applyProtection="1">
      <alignment horizontal="center" vertical="center"/>
      <protection hidden="1"/>
    </xf>
    <xf numFmtId="0" fontId="447" fillId="48" borderId="0" xfId="64" applyFont="1" applyFill="1" applyBorder="1" applyAlignment="1">
      <alignment vertical="center"/>
    </xf>
    <xf numFmtId="0" fontId="340" fillId="31" borderId="0" xfId="64" applyFont="1" applyFill="1" applyBorder="1" applyAlignment="1"/>
    <xf numFmtId="0" fontId="340" fillId="31" borderId="0" xfId="71" applyFont="1" applyFill="1" applyBorder="1" applyAlignment="1" applyProtection="1">
      <alignment vertical="center"/>
    </xf>
    <xf numFmtId="0" fontId="324" fillId="0" borderId="0" xfId="64" applyFont="1" applyFill="1" applyBorder="1" applyAlignment="1" applyProtection="1">
      <alignment vertical="center" readingOrder="2"/>
    </xf>
    <xf numFmtId="0" fontId="340" fillId="31" borderId="0" xfId="64" applyFont="1" applyFill="1" applyBorder="1" applyAlignment="1">
      <alignment horizontal="center"/>
    </xf>
    <xf numFmtId="0" fontId="70" fillId="79" borderId="0" xfId="64" applyFont="1" applyFill="1" applyBorder="1" applyAlignment="1" applyProtection="1">
      <alignment vertical="center"/>
      <protection hidden="1"/>
    </xf>
    <xf numFmtId="0" fontId="338" fillId="49" borderId="0" xfId="62" applyFont="1" applyFill="1" applyBorder="1" applyAlignment="1" applyProtection="1">
      <alignment horizontal="center" vertical="center"/>
    </xf>
    <xf numFmtId="0" fontId="340" fillId="31" borderId="0" xfId="64" applyFont="1" applyFill="1" applyBorder="1" applyAlignment="1" applyProtection="1">
      <alignment vertical="center"/>
      <protection hidden="1"/>
    </xf>
    <xf numFmtId="0" fontId="1" fillId="79" borderId="0" xfId="64" applyFill="1" applyProtection="1">
      <protection hidden="1"/>
    </xf>
    <xf numFmtId="0" fontId="340" fillId="52" borderId="0" xfId="64" applyFont="1" applyFill="1" applyBorder="1" applyAlignment="1">
      <alignment horizontal="right" vertical="top"/>
    </xf>
    <xf numFmtId="0" fontId="461" fillId="52" borderId="0" xfId="64" applyFont="1" applyFill="1" applyBorder="1"/>
    <xf numFmtId="3" fontId="462" fillId="48" borderId="129" xfId="64" applyNumberFormat="1" applyFont="1" applyFill="1" applyBorder="1" applyAlignment="1" applyProtection="1">
      <alignment horizontal="center" vertical="center" wrapText="1" readingOrder="1"/>
      <protection hidden="1"/>
    </xf>
    <xf numFmtId="3" fontId="462" fillId="48" borderId="126" xfId="64" applyNumberFormat="1" applyFont="1" applyFill="1" applyBorder="1" applyAlignment="1" applyProtection="1">
      <alignment horizontal="center" vertical="center" wrapText="1" readingOrder="1"/>
      <protection hidden="1"/>
    </xf>
    <xf numFmtId="3" fontId="462" fillId="48" borderId="123" xfId="64" applyNumberFormat="1" applyFont="1" applyFill="1" applyBorder="1" applyAlignment="1" applyProtection="1">
      <alignment horizontal="center" vertical="center" wrapText="1" readingOrder="1"/>
      <protection hidden="1"/>
    </xf>
    <xf numFmtId="3" fontId="462" fillId="48" borderId="124" xfId="64" applyNumberFormat="1" applyFont="1" applyFill="1" applyBorder="1" applyAlignment="1" applyProtection="1">
      <alignment horizontal="center" vertical="center" wrapText="1" readingOrder="1"/>
      <protection hidden="1"/>
    </xf>
    <xf numFmtId="3" fontId="462" fillId="48" borderId="133" xfId="64" applyNumberFormat="1" applyFont="1" applyFill="1" applyBorder="1" applyAlignment="1" applyProtection="1">
      <alignment horizontal="center" vertical="center" wrapText="1" readingOrder="1"/>
      <protection hidden="1"/>
    </xf>
    <xf numFmtId="3" fontId="462" fillId="48" borderId="134" xfId="64" applyNumberFormat="1" applyFont="1" applyFill="1" applyBorder="1" applyAlignment="1" applyProtection="1">
      <alignment horizontal="center" vertical="center" wrapText="1" readingOrder="1"/>
      <protection hidden="1"/>
    </xf>
    <xf numFmtId="0" fontId="464" fillId="31" borderId="0" xfId="64" applyFont="1" applyFill="1" applyProtection="1">
      <protection hidden="1"/>
    </xf>
    <xf numFmtId="0" fontId="459" fillId="31" borderId="0" xfId="64" applyFont="1" applyFill="1" applyAlignment="1" applyProtection="1">
      <alignment vertical="center"/>
      <protection hidden="1"/>
    </xf>
    <xf numFmtId="0" fontId="465" fillId="0" borderId="0" xfId="0" applyFont="1" applyProtection="1">
      <protection hidden="1"/>
    </xf>
    <xf numFmtId="0" fontId="364" fillId="31" borderId="0" xfId="74" applyFont="1" applyFill="1" applyBorder="1" applyAlignment="1" applyProtection="1">
      <alignment vertical="center"/>
      <protection hidden="1"/>
    </xf>
    <xf numFmtId="0" fontId="340" fillId="31" borderId="0" xfId="73" applyFont="1" applyFill="1" applyBorder="1" applyAlignment="1" applyProtection="1">
      <protection locked="0"/>
    </xf>
    <xf numFmtId="0" fontId="7" fillId="0" borderId="0" xfId="64" applyFont="1" applyFill="1" applyBorder="1" applyAlignment="1" applyProtection="1">
      <alignment horizontal="right" vertical="center" readingOrder="2"/>
    </xf>
    <xf numFmtId="0" fontId="2" fillId="0" borderId="632" xfId="73" applyFont="1" applyFill="1" applyBorder="1" applyAlignment="1" applyProtection="1">
      <alignment vertical="center"/>
    </xf>
    <xf numFmtId="0" fontId="2" fillId="0" borderId="0" xfId="73" applyFont="1" applyFill="1" applyBorder="1" applyAlignment="1" applyProtection="1">
      <alignment vertical="center"/>
    </xf>
    <xf numFmtId="3" fontId="173" fillId="31" borderId="117" xfId="64" applyNumberFormat="1" applyFont="1" applyFill="1" applyBorder="1" applyAlignment="1" applyProtection="1">
      <alignment horizontal="center" vertical="center" wrapText="1" readingOrder="1"/>
      <protection hidden="1"/>
    </xf>
    <xf numFmtId="0" fontId="7" fillId="49" borderId="0" xfId="64" applyFont="1" applyFill="1" applyBorder="1" applyAlignment="1" applyProtection="1">
      <alignment vertical="center" wrapText="1" readingOrder="2"/>
      <protection hidden="1"/>
    </xf>
    <xf numFmtId="0" fontId="7" fillId="49" borderId="120" xfId="64" applyFont="1" applyFill="1" applyBorder="1" applyAlignment="1" applyProtection="1">
      <alignment vertical="center" wrapText="1" readingOrder="2"/>
      <protection hidden="1"/>
    </xf>
    <xf numFmtId="0" fontId="58" fillId="31" borderId="124" xfId="64" applyFont="1" applyFill="1" applyBorder="1" applyAlignment="1" applyProtection="1">
      <alignment horizontal="center" vertical="center" wrapText="1" readingOrder="2"/>
      <protection hidden="1"/>
    </xf>
    <xf numFmtId="3" fontId="3" fillId="26" borderId="128" xfId="64" applyNumberFormat="1" applyFont="1" applyFill="1" applyBorder="1" applyAlignment="1" applyProtection="1">
      <alignment horizontal="center" vertical="center" wrapText="1" readingOrder="1"/>
      <protection hidden="1"/>
    </xf>
    <xf numFmtId="3" fontId="3" fillId="26" borderId="125" xfId="64" applyNumberFormat="1" applyFont="1" applyFill="1" applyBorder="1" applyAlignment="1" applyProtection="1">
      <alignment horizontal="center" vertical="center" wrapText="1" readingOrder="1"/>
      <protection hidden="1"/>
    </xf>
    <xf numFmtId="3" fontId="3" fillId="31" borderId="128" xfId="64" applyNumberFormat="1" applyFont="1" applyFill="1" applyBorder="1" applyAlignment="1" applyProtection="1">
      <alignment horizontal="center" vertical="center" wrapText="1" readingOrder="1"/>
      <protection hidden="1"/>
    </xf>
    <xf numFmtId="3" fontId="3" fillId="31" borderId="125" xfId="64" applyNumberFormat="1" applyFont="1" applyFill="1" applyBorder="1" applyAlignment="1" applyProtection="1">
      <alignment horizontal="center" vertical="center" wrapText="1" readingOrder="1"/>
      <protection hidden="1"/>
    </xf>
    <xf numFmtId="3" fontId="173" fillId="26" borderId="189" xfId="64" applyNumberFormat="1" applyFont="1" applyFill="1" applyBorder="1" applyAlignment="1" applyProtection="1">
      <alignment horizontal="center" vertical="center" wrapText="1" readingOrder="1"/>
      <protection hidden="1"/>
    </xf>
    <xf numFmtId="3" fontId="3" fillId="26" borderId="129" xfId="64" applyNumberFormat="1" applyFont="1" applyFill="1" applyBorder="1" applyAlignment="1" applyProtection="1">
      <alignment horizontal="center" vertical="center" wrapText="1" readingOrder="1"/>
      <protection hidden="1"/>
    </xf>
    <xf numFmtId="3" fontId="3" fillId="26" borderId="126" xfId="64" applyNumberFormat="1" applyFont="1" applyFill="1" applyBorder="1" applyAlignment="1" applyProtection="1">
      <alignment horizontal="center" vertical="center" wrapText="1" readingOrder="1"/>
      <protection hidden="1"/>
    </xf>
    <xf numFmtId="3" fontId="3" fillId="31" borderId="129" xfId="64" applyNumberFormat="1" applyFont="1" applyFill="1" applyBorder="1" applyAlignment="1" applyProtection="1">
      <alignment horizontal="center" vertical="center" wrapText="1" readingOrder="1"/>
      <protection hidden="1"/>
    </xf>
    <xf numFmtId="3" fontId="3" fillId="31" borderId="126" xfId="64" applyNumberFormat="1" applyFont="1" applyFill="1" applyBorder="1" applyAlignment="1" applyProtection="1">
      <alignment horizontal="center" vertical="center" wrapText="1" readingOrder="1"/>
      <protection hidden="1"/>
    </xf>
    <xf numFmtId="3" fontId="173" fillId="26" borderId="190" xfId="64" applyNumberFormat="1" applyFont="1" applyFill="1" applyBorder="1" applyAlignment="1" applyProtection="1">
      <alignment horizontal="center" vertical="center" wrapText="1" readingOrder="1"/>
      <protection hidden="1"/>
    </xf>
    <xf numFmtId="3" fontId="3" fillId="26" borderId="130" xfId="64" applyNumberFormat="1" applyFont="1" applyFill="1" applyBorder="1" applyAlignment="1" applyProtection="1">
      <alignment horizontal="center" vertical="center" wrapText="1" readingOrder="1"/>
      <protection hidden="1"/>
    </xf>
    <xf numFmtId="3" fontId="3" fillId="26" borderId="127" xfId="64" applyNumberFormat="1" applyFont="1" applyFill="1" applyBorder="1" applyAlignment="1" applyProtection="1">
      <alignment horizontal="center" vertical="center" wrapText="1" readingOrder="1"/>
      <protection hidden="1"/>
    </xf>
    <xf numFmtId="3" fontId="3" fillId="31" borderId="130" xfId="64" applyNumberFormat="1" applyFont="1" applyFill="1" applyBorder="1" applyAlignment="1" applyProtection="1">
      <alignment horizontal="center" vertical="center" wrapText="1" readingOrder="1"/>
      <protection hidden="1"/>
    </xf>
    <xf numFmtId="3" fontId="3" fillId="31" borderId="127" xfId="64" applyNumberFormat="1" applyFont="1" applyFill="1" applyBorder="1" applyAlignment="1" applyProtection="1">
      <alignment horizontal="center" vertical="center" wrapText="1" readingOrder="1"/>
      <protection hidden="1"/>
    </xf>
    <xf numFmtId="3" fontId="173" fillId="26" borderId="191" xfId="64" applyNumberFormat="1" applyFont="1" applyFill="1" applyBorder="1" applyAlignment="1" applyProtection="1">
      <alignment horizontal="center" vertical="center" wrapText="1" readingOrder="1"/>
      <protection hidden="1"/>
    </xf>
    <xf numFmtId="3" fontId="3" fillId="31" borderId="133" xfId="64" applyNumberFormat="1" applyFont="1" applyFill="1" applyBorder="1" applyAlignment="1" applyProtection="1">
      <alignment horizontal="center" vertical="center" wrapText="1" readingOrder="1"/>
      <protection hidden="1"/>
    </xf>
    <xf numFmtId="3" fontId="3" fillId="31" borderId="134" xfId="64" applyNumberFormat="1" applyFont="1" applyFill="1" applyBorder="1" applyAlignment="1" applyProtection="1">
      <alignment horizontal="center" vertical="center" wrapText="1" readingOrder="1"/>
      <protection hidden="1"/>
    </xf>
    <xf numFmtId="3" fontId="3" fillId="48" borderId="128" xfId="64" applyNumberFormat="1" applyFont="1" applyFill="1" applyBorder="1" applyAlignment="1" applyProtection="1">
      <alignment horizontal="center" vertical="center" wrapText="1" readingOrder="1"/>
      <protection hidden="1"/>
    </xf>
    <xf numFmtId="3" fontId="3" fillId="48" borderId="125" xfId="64" applyNumberFormat="1" applyFont="1" applyFill="1" applyBorder="1" applyAlignment="1" applyProtection="1">
      <alignment horizontal="center" vertical="center" wrapText="1" readingOrder="1"/>
      <protection hidden="1"/>
    </xf>
    <xf numFmtId="3" fontId="3" fillId="48" borderId="129" xfId="64" applyNumberFormat="1" applyFont="1" applyFill="1" applyBorder="1" applyAlignment="1" applyProtection="1">
      <alignment horizontal="center" vertical="center" wrapText="1" readingOrder="1"/>
      <protection hidden="1"/>
    </xf>
    <xf numFmtId="3" fontId="3" fillId="48" borderId="126" xfId="64" applyNumberFormat="1" applyFont="1" applyFill="1" applyBorder="1" applyAlignment="1" applyProtection="1">
      <alignment horizontal="center" vertical="center" wrapText="1" readingOrder="1"/>
      <protection hidden="1"/>
    </xf>
    <xf numFmtId="3" fontId="3" fillId="48" borderId="130" xfId="64" applyNumberFormat="1" applyFont="1" applyFill="1" applyBorder="1" applyAlignment="1" applyProtection="1">
      <alignment horizontal="center" vertical="center" wrapText="1" readingOrder="1"/>
      <protection hidden="1"/>
    </xf>
    <xf numFmtId="3" fontId="3" fillId="48" borderId="127" xfId="64" applyNumberFormat="1" applyFont="1" applyFill="1" applyBorder="1" applyAlignment="1" applyProtection="1">
      <alignment horizontal="center" vertical="center" wrapText="1" readingOrder="1"/>
      <protection hidden="1"/>
    </xf>
    <xf numFmtId="0" fontId="61" fillId="47" borderId="0" xfId="64" applyFont="1" applyFill="1" applyBorder="1" applyAlignment="1" applyProtection="1">
      <alignment horizontal="center" vertical="center" wrapText="1" readingOrder="2"/>
      <protection hidden="1"/>
    </xf>
    <xf numFmtId="0" fontId="7" fillId="47" borderId="0" xfId="64" applyFont="1" applyFill="1" applyBorder="1" applyAlignment="1" applyProtection="1">
      <alignment vertical="center" readingOrder="2"/>
      <protection hidden="1"/>
    </xf>
    <xf numFmtId="0" fontId="420" fillId="47" borderId="0" xfId="64" applyFont="1" applyFill="1" applyBorder="1" applyAlignment="1" applyProtection="1">
      <alignment horizontal="center" vertical="center" wrapText="1" readingOrder="2"/>
      <protection hidden="1"/>
    </xf>
    <xf numFmtId="0" fontId="420" fillId="0" borderId="0" xfId="64" applyFont="1" applyFill="1" applyBorder="1" applyAlignment="1" applyProtection="1">
      <alignment vertical="center" readingOrder="2"/>
      <protection hidden="1"/>
    </xf>
    <xf numFmtId="0" fontId="420" fillId="47" borderId="0" xfId="64" applyFont="1" applyFill="1" applyBorder="1" applyAlignment="1" applyProtection="1">
      <alignment vertical="center" readingOrder="2"/>
      <protection hidden="1"/>
    </xf>
    <xf numFmtId="0" fontId="55" fillId="48" borderId="121" xfId="64" applyFont="1" applyFill="1" applyBorder="1" applyAlignment="1" applyProtection="1">
      <alignment horizontal="center" vertical="center" readingOrder="2"/>
      <protection hidden="1"/>
    </xf>
    <xf numFmtId="0" fontId="55" fillId="48" borderId="117" xfId="64" applyFont="1" applyFill="1" applyBorder="1" applyAlignment="1" applyProtection="1">
      <alignment horizontal="center" vertical="center" readingOrder="2"/>
      <protection hidden="1"/>
    </xf>
    <xf numFmtId="3" fontId="89" fillId="48" borderId="160" xfId="64" applyNumberFormat="1" applyFont="1" applyFill="1" applyBorder="1" applyAlignment="1" applyProtection="1">
      <alignment horizontal="center" vertical="center" wrapText="1" readingOrder="1"/>
      <protection hidden="1"/>
    </xf>
    <xf numFmtId="3" fontId="89" fillId="48" borderId="161" xfId="64" applyNumberFormat="1" applyFont="1" applyFill="1" applyBorder="1" applyAlignment="1" applyProtection="1">
      <alignment horizontal="center" vertical="center" wrapText="1" readingOrder="1"/>
      <protection hidden="1"/>
    </xf>
    <xf numFmtId="3" fontId="89" fillId="48" borderId="162" xfId="64" applyNumberFormat="1" applyFont="1" applyFill="1" applyBorder="1" applyAlignment="1" applyProtection="1">
      <alignment horizontal="center" vertical="center" wrapText="1" readingOrder="1"/>
      <protection hidden="1"/>
    </xf>
    <xf numFmtId="3" fontId="89" fillId="48" borderId="163" xfId="64" applyNumberFormat="1" applyFont="1" applyFill="1" applyBorder="1" applyAlignment="1" applyProtection="1">
      <alignment horizontal="center" vertical="center" wrapText="1" readingOrder="1"/>
      <protection hidden="1"/>
    </xf>
    <xf numFmtId="3" fontId="89" fillId="48" borderId="249" xfId="64" applyNumberFormat="1" applyFont="1" applyFill="1" applyBorder="1" applyAlignment="1" applyProtection="1">
      <alignment horizontal="center" vertical="center" wrapText="1" readingOrder="1"/>
      <protection hidden="1"/>
    </xf>
    <xf numFmtId="3" fontId="89" fillId="48" borderId="250" xfId="64" applyNumberFormat="1" applyFont="1" applyFill="1" applyBorder="1" applyAlignment="1" applyProtection="1">
      <alignment horizontal="center" vertical="center" wrapText="1" readingOrder="1"/>
      <protection hidden="1"/>
    </xf>
    <xf numFmtId="3" fontId="89" fillId="48" borderId="214" xfId="64" applyNumberFormat="1" applyFont="1" applyFill="1" applyBorder="1" applyAlignment="1" applyProtection="1">
      <alignment horizontal="center" vertical="center" wrapText="1" readingOrder="1"/>
      <protection hidden="1"/>
    </xf>
    <xf numFmtId="3" fontId="89" fillId="48" borderId="215" xfId="64" applyNumberFormat="1" applyFont="1" applyFill="1" applyBorder="1" applyAlignment="1" applyProtection="1">
      <alignment horizontal="center" vertical="center" wrapText="1" readingOrder="1"/>
      <protection hidden="1"/>
    </xf>
    <xf numFmtId="3" fontId="333" fillId="50" borderId="633" xfId="64" applyNumberFormat="1" applyFont="1" applyFill="1" applyBorder="1" applyAlignment="1" applyProtection="1">
      <alignment horizontal="center" vertical="center" readingOrder="2"/>
      <protection locked="0"/>
    </xf>
    <xf numFmtId="3" fontId="333" fillId="48" borderId="633" xfId="64" applyNumberFormat="1" applyFont="1" applyFill="1" applyBorder="1" applyAlignment="1" applyProtection="1">
      <alignment horizontal="center" vertical="center" readingOrder="2"/>
      <protection locked="0"/>
    </xf>
    <xf numFmtId="3" fontId="333" fillId="48" borderId="633" xfId="64" applyNumberFormat="1" applyFont="1" applyFill="1" applyBorder="1" applyAlignment="1" applyProtection="1">
      <alignment horizontal="center" vertical="center" readingOrder="2"/>
    </xf>
    <xf numFmtId="0" fontId="379" fillId="61" borderId="497" xfId="0" applyFont="1" applyFill="1" applyBorder="1"/>
    <xf numFmtId="0" fontId="61" fillId="61" borderId="0" xfId="73" applyFont="1" applyFill="1" applyBorder="1" applyAlignment="1">
      <alignment horizontal="left" vertical="center" readingOrder="2"/>
    </xf>
    <xf numFmtId="0" fontId="471" fillId="48" borderId="0" xfId="0" applyFont="1" applyFill="1" applyProtection="1">
      <protection hidden="1"/>
    </xf>
    <xf numFmtId="0" fontId="472" fillId="0" borderId="0" xfId="73" applyFont="1" applyBorder="1" applyAlignment="1" applyProtection="1">
      <alignment vertical="center"/>
      <protection hidden="1"/>
    </xf>
    <xf numFmtId="0" fontId="472" fillId="48" borderId="0" xfId="73" applyFont="1" applyFill="1" applyBorder="1" applyAlignment="1" applyProtection="1">
      <alignment vertical="top"/>
      <protection hidden="1"/>
    </xf>
    <xf numFmtId="0" fontId="81" fillId="0" borderId="0" xfId="70" applyFont="1" applyFill="1" applyBorder="1" applyAlignment="1" applyProtection="1">
      <alignment horizontal="right" vertical="center"/>
      <protection hidden="1"/>
    </xf>
    <xf numFmtId="0" fontId="57" fillId="26" borderId="514" xfId="68" applyFont="1" applyFill="1" applyBorder="1" applyAlignment="1" applyProtection="1">
      <alignment horizontal="center" vertical="center" readingOrder="2"/>
      <protection hidden="1"/>
    </xf>
    <xf numFmtId="0" fontId="57" fillId="26" borderId="511" xfId="68" applyFont="1" applyFill="1" applyBorder="1" applyAlignment="1" applyProtection="1">
      <alignment horizontal="center" vertical="center" readingOrder="2"/>
      <protection hidden="1"/>
    </xf>
    <xf numFmtId="3" fontId="472" fillId="26" borderId="514" xfId="64" applyNumberFormat="1" applyFont="1" applyFill="1" applyBorder="1" applyAlignment="1" applyProtection="1">
      <alignment horizontal="center" vertical="center" wrapText="1" readingOrder="1"/>
      <protection hidden="1"/>
    </xf>
    <xf numFmtId="0" fontId="58" fillId="0" borderId="0" xfId="73" applyFont="1" applyFill="1" applyBorder="1" applyAlignment="1">
      <alignment vertical="center"/>
    </xf>
    <xf numFmtId="0" fontId="58" fillId="0" borderId="119" xfId="73" applyFont="1" applyFill="1" applyBorder="1" applyAlignment="1" applyProtection="1">
      <alignment horizontal="center" vertical="center" readingOrder="2"/>
      <protection locked="0"/>
    </xf>
    <xf numFmtId="0" fontId="344" fillId="48" borderId="0" xfId="68" applyFont="1" applyFill="1" applyBorder="1" applyAlignment="1" applyProtection="1">
      <alignment horizontal="right" vertical="center" readingOrder="2"/>
      <protection hidden="1"/>
    </xf>
    <xf numFmtId="0" fontId="181" fillId="0" borderId="0" xfId="73" applyFont="1" applyFill="1" applyBorder="1" applyAlignment="1" applyProtection="1">
      <alignment horizontal="left" vertical="center" readingOrder="1"/>
      <protection hidden="1"/>
    </xf>
    <xf numFmtId="0" fontId="473" fillId="48" borderId="0" xfId="68" applyFont="1" applyFill="1" applyBorder="1" applyAlignment="1" applyProtection="1">
      <alignment horizontal="center" vertical="center" readingOrder="2"/>
      <protection hidden="1"/>
    </xf>
    <xf numFmtId="0" fontId="474" fillId="26" borderId="0" xfId="73" applyFont="1" applyFill="1" applyBorder="1" applyAlignment="1" applyProtection="1">
      <alignment horizontal="center" vertical="center"/>
      <protection hidden="1"/>
    </xf>
    <xf numFmtId="3" fontId="472" fillId="26" borderId="0" xfId="64" applyNumberFormat="1" applyFont="1" applyFill="1" applyBorder="1" applyAlignment="1" applyProtection="1">
      <alignment horizontal="center" vertical="center" wrapText="1" readingOrder="1"/>
      <protection hidden="1"/>
    </xf>
    <xf numFmtId="3" fontId="472" fillId="26" borderId="514" xfId="64" applyNumberFormat="1" applyFont="1" applyFill="1" applyBorder="1" applyAlignment="1" applyProtection="1">
      <alignment horizontal="right" vertical="center" wrapText="1" readingOrder="1"/>
      <protection hidden="1"/>
    </xf>
    <xf numFmtId="0" fontId="7" fillId="26" borderId="0" xfId="68" applyFont="1" applyFill="1" applyBorder="1" applyAlignment="1" applyProtection="1">
      <alignment horizontal="center" vertical="center" readingOrder="2"/>
      <protection hidden="1"/>
    </xf>
    <xf numFmtId="3" fontId="317" fillId="26" borderId="0" xfId="64" applyNumberFormat="1" applyFont="1" applyFill="1" applyBorder="1" applyAlignment="1" applyProtection="1">
      <alignment vertical="center" wrapText="1" readingOrder="1"/>
      <protection hidden="1"/>
    </xf>
    <xf numFmtId="0" fontId="383" fillId="48" borderId="497" xfId="0" applyFont="1" applyFill="1" applyBorder="1" applyProtection="1">
      <protection hidden="1"/>
    </xf>
    <xf numFmtId="0" fontId="434" fillId="48" borderId="0" xfId="76" applyFont="1" applyFill="1" applyBorder="1" applyAlignment="1">
      <alignment horizontal="left"/>
    </xf>
    <xf numFmtId="0" fontId="475" fillId="48" borderId="0" xfId="0" applyFont="1" applyFill="1" applyBorder="1"/>
    <xf numFmtId="0" fontId="476" fillId="48" borderId="0" xfId="68" applyFont="1" applyFill="1" applyBorder="1" applyAlignment="1" applyProtection="1">
      <alignment horizontal="center" vertical="center" readingOrder="2"/>
    </xf>
    <xf numFmtId="0" fontId="57" fillId="26" borderId="514" xfId="68" applyFont="1" applyFill="1" applyBorder="1" applyAlignment="1" applyProtection="1">
      <alignment horizontal="right" vertical="center" readingOrder="2"/>
      <protection hidden="1"/>
    </xf>
    <xf numFmtId="0" fontId="181" fillId="26" borderId="0" xfId="73" applyFont="1" applyFill="1" applyBorder="1" applyAlignment="1" applyProtection="1">
      <alignment horizontal="center" vertical="center"/>
      <protection hidden="1"/>
    </xf>
    <xf numFmtId="0" fontId="57" fillId="50" borderId="514" xfId="68" applyFont="1" applyFill="1" applyBorder="1" applyAlignment="1" applyProtection="1">
      <alignment horizontal="right" vertical="center" readingOrder="2"/>
      <protection hidden="1"/>
    </xf>
    <xf numFmtId="0" fontId="57" fillId="50" borderId="0" xfId="68" applyFont="1" applyFill="1" applyBorder="1" applyAlignment="1" applyProtection="1">
      <alignment horizontal="right" vertical="center" readingOrder="2"/>
      <protection hidden="1"/>
    </xf>
    <xf numFmtId="0" fontId="57" fillId="48" borderId="514" xfId="68" applyFont="1" applyFill="1" applyBorder="1" applyAlignment="1" applyProtection="1">
      <alignment horizontal="center" vertical="center" readingOrder="2"/>
      <protection hidden="1"/>
    </xf>
    <xf numFmtId="0" fontId="313" fillId="0" borderId="0" xfId="0" applyFont="1" applyAlignment="1" applyProtection="1">
      <alignment horizontal="center"/>
      <protection hidden="1"/>
    </xf>
    <xf numFmtId="0" fontId="181" fillId="26" borderId="516" xfId="73" applyFont="1" applyFill="1" applyBorder="1" applyAlignment="1" applyProtection="1">
      <alignment horizontal="center" vertical="center"/>
      <protection hidden="1"/>
    </xf>
    <xf numFmtId="0" fontId="181" fillId="48" borderId="0" xfId="73" applyFont="1" applyFill="1" applyBorder="1" applyAlignment="1" applyProtection="1">
      <alignment horizontal="right" vertical="center"/>
      <protection hidden="1"/>
    </xf>
    <xf numFmtId="0" fontId="383" fillId="48" borderId="497" xfId="0" applyFont="1" applyFill="1" applyBorder="1" applyAlignment="1" applyProtection="1">
      <protection hidden="1"/>
    </xf>
    <xf numFmtId="3" fontId="89" fillId="48" borderId="0" xfId="64" applyNumberFormat="1" applyFont="1" applyFill="1" applyBorder="1" applyAlignment="1" applyProtection="1">
      <alignment horizontal="right" vertical="center" wrapText="1" readingOrder="1"/>
      <protection hidden="1"/>
    </xf>
    <xf numFmtId="0" fontId="367" fillId="48" borderId="0" xfId="0" applyFont="1" applyFill="1" applyBorder="1" applyAlignment="1" applyProtection="1">
      <alignment horizontal="right"/>
      <protection hidden="1"/>
    </xf>
    <xf numFmtId="0" fontId="368" fillId="48" borderId="0" xfId="68" applyFont="1" applyFill="1" applyBorder="1" applyAlignment="1" applyProtection="1">
      <alignment horizontal="center" vertical="center" readingOrder="2"/>
      <protection hidden="1"/>
    </xf>
    <xf numFmtId="0" fontId="7" fillId="26" borderId="515" xfId="68" applyFont="1" applyFill="1" applyBorder="1" applyAlignment="1" applyProtection="1">
      <alignment horizontal="center" vertical="center" readingOrder="2"/>
      <protection hidden="1"/>
    </xf>
    <xf numFmtId="0" fontId="368" fillId="48" borderId="0" xfId="68" applyFont="1" applyFill="1" applyBorder="1" applyAlignment="1" applyProtection="1">
      <alignment vertical="center" wrapText="1" readingOrder="2"/>
      <protection hidden="1"/>
    </xf>
    <xf numFmtId="0" fontId="57" fillId="0" borderId="0" xfId="71" applyFont="1" applyFill="1" applyBorder="1" applyAlignment="1" applyProtection="1">
      <alignment vertical="center" readingOrder="2"/>
      <protection hidden="1"/>
    </xf>
    <xf numFmtId="0" fontId="407" fillId="49" borderId="0" xfId="72" applyFont="1" applyFill="1" applyBorder="1" applyAlignment="1" applyProtection="1">
      <alignment horizontal="center" vertical="center" readingOrder="2"/>
    </xf>
    <xf numFmtId="0" fontId="407" fillId="31" borderId="0" xfId="72" applyFont="1" applyFill="1" applyBorder="1" applyAlignment="1" applyProtection="1">
      <alignment horizontal="center" vertical="center" readingOrder="2"/>
    </xf>
    <xf numFmtId="0" fontId="350" fillId="31" borderId="0" xfId="64" applyFont="1" applyFill="1" applyBorder="1" applyAlignment="1">
      <alignment vertical="center" readingOrder="2"/>
    </xf>
    <xf numFmtId="0" fontId="383" fillId="49" borderId="0" xfId="0" applyFont="1" applyFill="1" applyBorder="1" applyAlignment="1" applyProtection="1">
      <protection hidden="1"/>
    </xf>
    <xf numFmtId="0" fontId="181" fillId="0" borderId="0" xfId="76" applyFont="1" applyFill="1" applyBorder="1" applyAlignment="1">
      <alignment horizontal="left"/>
    </xf>
    <xf numFmtId="0" fontId="57" fillId="48" borderId="0" xfId="68" applyFont="1" applyFill="1" applyBorder="1" applyAlignment="1" applyProtection="1">
      <alignment horizontal="center" vertical="center" readingOrder="2"/>
    </xf>
    <xf numFmtId="0" fontId="369" fillId="48" borderId="0" xfId="0" applyFont="1" applyFill="1" applyBorder="1" applyAlignment="1" applyProtection="1">
      <protection hidden="1"/>
    </xf>
    <xf numFmtId="0" fontId="477" fillId="81" borderId="635" xfId="68" applyFont="1" applyFill="1" applyBorder="1" applyAlignment="1" applyProtection="1">
      <alignment vertical="center" readingOrder="2"/>
      <protection hidden="1"/>
    </xf>
    <xf numFmtId="0" fontId="478" fillId="81" borderId="636" xfId="0" applyFont="1" applyFill="1" applyBorder="1" applyAlignment="1"/>
    <xf numFmtId="0" fontId="480" fillId="81" borderId="636" xfId="73" applyFont="1" applyFill="1" applyBorder="1" applyAlignment="1" applyProtection="1">
      <alignment horizontal="left" vertical="center" readingOrder="2"/>
      <protection hidden="1"/>
    </xf>
    <xf numFmtId="0" fontId="395" fillId="81" borderId="637" xfId="73" applyFont="1" applyFill="1" applyBorder="1" applyAlignment="1">
      <alignment vertical="center" readingOrder="2"/>
    </xf>
    <xf numFmtId="0" fontId="7" fillId="77" borderId="498" xfId="73" applyFont="1" applyFill="1" applyBorder="1" applyAlignment="1">
      <alignment vertical="center" readingOrder="2"/>
    </xf>
    <xf numFmtId="0" fontId="7" fillId="77" borderId="641" xfId="73" applyFont="1" applyFill="1" applyBorder="1" applyAlignment="1">
      <alignment vertical="center" readingOrder="2"/>
    </xf>
    <xf numFmtId="0" fontId="62" fillId="77" borderId="0" xfId="68" applyFont="1" applyFill="1" applyBorder="1" applyAlignment="1" applyProtection="1">
      <alignment horizontal="center" vertical="center" readingOrder="2"/>
      <protection hidden="1"/>
    </xf>
    <xf numFmtId="0" fontId="62" fillId="77" borderId="640" xfId="68" applyFont="1" applyFill="1" applyBorder="1" applyAlignment="1" applyProtection="1">
      <alignment horizontal="center" vertical="center" readingOrder="2"/>
      <protection hidden="1"/>
    </xf>
    <xf numFmtId="0" fontId="62" fillId="77" borderId="638" xfId="68" applyFont="1" applyFill="1" applyBorder="1" applyAlignment="1" applyProtection="1">
      <alignment horizontal="center" vertical="center" readingOrder="2"/>
      <protection hidden="1"/>
    </xf>
    <xf numFmtId="0" fontId="350" fillId="77" borderId="0" xfId="73" applyFont="1" applyFill="1" applyBorder="1" applyAlignment="1" applyProtection="1">
      <alignment horizontal="left" vertical="center" readingOrder="2"/>
      <protection hidden="1"/>
    </xf>
    <xf numFmtId="0" fontId="479" fillId="77" borderId="0" xfId="68" applyFont="1" applyFill="1" applyBorder="1" applyAlignment="1" applyProtection="1">
      <alignment horizontal="center" vertical="center" readingOrder="2"/>
      <protection hidden="1"/>
    </xf>
    <xf numFmtId="0" fontId="62" fillId="77" borderId="639" xfId="68" applyFont="1" applyFill="1" applyBorder="1" applyAlignment="1" applyProtection="1">
      <alignment horizontal="center" vertical="center" readingOrder="2"/>
      <protection hidden="1"/>
    </xf>
    <xf numFmtId="3" fontId="333" fillId="48" borderId="116" xfId="64" applyNumberFormat="1" applyFont="1" applyFill="1" applyBorder="1" applyAlignment="1" applyProtection="1">
      <alignment horizontal="center" vertical="center" readingOrder="1"/>
      <protection locked="0"/>
    </xf>
    <xf numFmtId="0" fontId="350" fillId="0" borderId="120" xfId="64" applyFont="1" applyFill="1" applyBorder="1" applyAlignment="1" applyProtection="1">
      <alignment horizontal="center" vertical="center" readingOrder="2"/>
      <protection hidden="1"/>
    </xf>
    <xf numFmtId="0" fontId="350" fillId="35" borderId="120" xfId="64" applyFont="1" applyFill="1" applyBorder="1" applyAlignment="1" applyProtection="1">
      <alignment horizontal="center" vertical="center" readingOrder="2"/>
      <protection hidden="1"/>
    </xf>
    <xf numFmtId="0" fontId="481" fillId="0" borderId="0" xfId="0" applyFont="1"/>
    <xf numFmtId="0" fontId="331" fillId="20" borderId="0" xfId="64" applyFont="1" applyFill="1" applyBorder="1" applyAlignment="1" applyProtection="1">
      <alignment horizontal="center" vertical="center"/>
    </xf>
    <xf numFmtId="0" fontId="2" fillId="50" borderId="0" xfId="64" applyFont="1" applyFill="1" applyBorder="1" applyAlignment="1" applyProtection="1">
      <alignment vertical="center"/>
    </xf>
    <xf numFmtId="0" fontId="2" fillId="50" borderId="0" xfId="64" applyFont="1" applyFill="1" applyBorder="1" applyAlignment="1" applyProtection="1"/>
    <xf numFmtId="3" fontId="335" fillId="48" borderId="116" xfId="64" applyNumberFormat="1" applyFont="1" applyFill="1" applyBorder="1" applyAlignment="1" applyProtection="1">
      <alignment horizontal="center" vertical="center" readingOrder="2"/>
    </xf>
    <xf numFmtId="0" fontId="336" fillId="0" borderId="0" xfId="0" applyFont="1" applyProtection="1"/>
    <xf numFmtId="0" fontId="337" fillId="48" borderId="0" xfId="64" applyFont="1" applyFill="1" applyBorder="1" applyAlignment="1" applyProtection="1">
      <alignment horizontal="right" readingOrder="2"/>
    </xf>
    <xf numFmtId="0" fontId="323" fillId="0" borderId="0" xfId="0" applyFont="1" applyBorder="1" applyAlignment="1" applyProtection="1">
      <alignment horizontal="left" vertical="center"/>
    </xf>
    <xf numFmtId="0" fontId="57" fillId="48" borderId="0" xfId="64" applyFont="1" applyFill="1" applyBorder="1" applyAlignment="1" applyProtection="1">
      <alignment vertical="center" readingOrder="2"/>
    </xf>
    <xf numFmtId="0" fontId="58" fillId="48" borderId="0" xfId="64" applyFont="1" applyFill="1" applyBorder="1" applyAlignment="1" applyProtection="1">
      <alignment horizontal="left" vertical="center"/>
    </xf>
    <xf numFmtId="0" fontId="346" fillId="0" borderId="0" xfId="0" applyFont="1" applyBorder="1" applyAlignment="1" applyProtection="1">
      <alignment horizontal="left" vertical="center"/>
    </xf>
    <xf numFmtId="0" fontId="69" fillId="50" borderId="0" xfId="64" applyFont="1" applyFill="1" applyBorder="1" applyAlignment="1" applyProtection="1">
      <alignment horizontal="right" vertical="center" readingOrder="2"/>
    </xf>
    <xf numFmtId="0" fontId="0" fillId="50" borderId="0" xfId="0" applyFill="1" applyProtection="1"/>
    <xf numFmtId="0" fontId="57" fillId="47" borderId="0" xfId="64" applyFont="1" applyFill="1" applyBorder="1" applyAlignment="1" applyProtection="1">
      <alignment vertical="center" readingOrder="2"/>
    </xf>
    <xf numFmtId="0" fontId="0" fillId="47" borderId="0" xfId="0" applyFill="1" applyProtection="1"/>
    <xf numFmtId="3" fontId="335" fillId="48" borderId="117" xfId="64" applyNumberFormat="1" applyFont="1" applyFill="1" applyBorder="1" applyAlignment="1" applyProtection="1">
      <alignment horizontal="center" vertical="center" readingOrder="2"/>
    </xf>
    <xf numFmtId="0" fontId="353" fillId="47" borderId="0" xfId="0" applyFont="1" applyFill="1" applyProtection="1"/>
    <xf numFmtId="0" fontId="353" fillId="0" borderId="0" xfId="0" applyFont="1" applyProtection="1"/>
    <xf numFmtId="0" fontId="0" fillId="48" borderId="0" xfId="0" applyFill="1" applyProtection="1"/>
    <xf numFmtId="0" fontId="7" fillId="50" borderId="0" xfId="64" applyFont="1" applyFill="1" applyBorder="1" applyAlignment="1" applyProtection="1">
      <alignment horizontal="right" vertical="center" readingOrder="2"/>
    </xf>
    <xf numFmtId="3" fontId="472" fillId="0" borderId="0" xfId="64" applyNumberFormat="1" applyFont="1" applyBorder="1" applyAlignment="1" applyProtection="1">
      <alignment horizontal="right" vertical="center" readingOrder="1"/>
      <protection hidden="1"/>
    </xf>
    <xf numFmtId="0" fontId="397" fillId="0" borderId="122" xfId="64" applyFont="1" applyBorder="1" applyAlignment="1" applyProtection="1"/>
    <xf numFmtId="0" fontId="0" fillId="0" borderId="194" xfId="0" applyBorder="1" applyProtection="1"/>
    <xf numFmtId="0" fontId="1" fillId="0" borderId="245" xfId="64" applyBorder="1" applyProtection="1"/>
    <xf numFmtId="0" fontId="1" fillId="0" borderId="122" xfId="64" applyBorder="1" applyProtection="1"/>
    <xf numFmtId="0" fontId="419" fillId="0" borderId="122" xfId="64" applyFont="1" applyBorder="1" applyAlignment="1" applyProtection="1">
      <alignment horizontal="center" vertical="center"/>
    </xf>
    <xf numFmtId="0" fontId="173" fillId="0" borderId="0" xfId="64" applyFont="1" applyProtection="1"/>
    <xf numFmtId="3" fontId="402" fillId="48" borderId="122" xfId="64" applyNumberFormat="1" applyFont="1" applyFill="1" applyBorder="1" applyAlignment="1" applyProtection="1">
      <alignment horizontal="center" vertical="center" readingOrder="2"/>
    </xf>
    <xf numFmtId="3" fontId="402" fillId="48" borderId="0" xfId="64" applyNumberFormat="1" applyFont="1" applyFill="1" applyBorder="1" applyAlignment="1" applyProtection="1">
      <alignment horizontal="center" vertical="center" readingOrder="2"/>
    </xf>
    <xf numFmtId="0" fontId="337" fillId="48" borderId="13" xfId="64" applyFont="1" applyFill="1" applyBorder="1" applyAlignment="1" applyProtection="1">
      <alignment horizontal="right" readingOrder="2"/>
    </xf>
    <xf numFmtId="0" fontId="405" fillId="48" borderId="248" xfId="64" applyFont="1" applyFill="1" applyBorder="1" applyAlignment="1" applyProtection="1">
      <alignment horizontal="right" vertical="center" readingOrder="2"/>
    </xf>
    <xf numFmtId="0" fontId="411" fillId="0" borderId="248" xfId="0" applyFont="1" applyBorder="1" applyProtection="1"/>
    <xf numFmtId="0" fontId="335" fillId="48" borderId="0" xfId="64" applyFont="1" applyFill="1" applyBorder="1" applyAlignment="1" applyProtection="1">
      <alignment horizontal="right" readingOrder="2"/>
    </xf>
    <xf numFmtId="0" fontId="335" fillId="48" borderId="0" xfId="64" applyFont="1" applyFill="1" applyBorder="1" applyAlignment="1" applyProtection="1">
      <alignment horizontal="right" vertical="center" readingOrder="2"/>
    </xf>
    <xf numFmtId="0" fontId="411" fillId="0" borderId="0" xfId="0" applyFont="1" applyProtection="1"/>
    <xf numFmtId="0" fontId="7" fillId="48" borderId="0" xfId="64" applyFont="1" applyFill="1" applyBorder="1" applyAlignment="1" applyProtection="1">
      <alignment horizontal="right" vertical="center" readingOrder="2"/>
    </xf>
    <xf numFmtId="3" fontId="402" fillId="48" borderId="117" xfId="64" applyNumberFormat="1" applyFont="1" applyFill="1" applyBorder="1" applyAlignment="1" applyProtection="1">
      <alignment vertical="center" readingOrder="2"/>
    </xf>
    <xf numFmtId="0" fontId="460" fillId="81" borderId="0" xfId="68" applyFont="1" applyFill="1" applyBorder="1" applyAlignment="1" applyProtection="1">
      <alignment horizontal="center" vertical="center"/>
      <protection locked="0"/>
    </xf>
    <xf numFmtId="0" fontId="448" fillId="52" borderId="0" xfId="64" applyFont="1" applyFill="1" applyBorder="1" applyAlignment="1">
      <alignment horizontal="right" vertical="center"/>
    </xf>
    <xf numFmtId="0" fontId="315" fillId="52" borderId="0" xfId="73" applyFont="1" applyFill="1" applyBorder="1" applyAlignment="1" applyProtection="1">
      <alignment vertical="center"/>
      <protection hidden="1"/>
    </xf>
    <xf numFmtId="0" fontId="58" fillId="48" borderId="308" xfId="64" applyFont="1" applyFill="1" applyBorder="1" applyAlignment="1" applyProtection="1">
      <alignment horizontal="center" vertical="center" wrapText="1" readingOrder="2"/>
    </xf>
    <xf numFmtId="0" fontId="58" fillId="51" borderId="0" xfId="64" applyFont="1" applyFill="1" applyBorder="1" applyAlignment="1" applyProtection="1">
      <alignment readingOrder="2"/>
      <protection locked="0"/>
    </xf>
    <xf numFmtId="0" fontId="483" fillId="51" borderId="0" xfId="64" applyFont="1" applyFill="1" applyBorder="1" applyAlignment="1" applyProtection="1">
      <alignment horizontal="center" readingOrder="2"/>
      <protection hidden="1"/>
    </xf>
    <xf numFmtId="0" fontId="0" fillId="0" borderId="498" xfId="0" applyBorder="1" applyProtection="1">
      <protection hidden="1"/>
    </xf>
    <xf numFmtId="0" fontId="7" fillId="0" borderId="498" xfId="73" applyFont="1" applyFill="1" applyBorder="1" applyAlignment="1" applyProtection="1">
      <alignment vertical="center" readingOrder="2"/>
      <protection hidden="1"/>
    </xf>
    <xf numFmtId="0" fontId="1" fillId="0" borderId="498" xfId="73" applyBorder="1" applyAlignment="1" applyProtection="1">
      <alignment vertical="center"/>
      <protection hidden="1"/>
    </xf>
    <xf numFmtId="0" fontId="2" fillId="0" borderId="498" xfId="73" applyFont="1" applyFill="1" applyBorder="1" applyAlignment="1" applyProtection="1">
      <alignment vertical="center" readingOrder="2"/>
      <protection hidden="1"/>
    </xf>
    <xf numFmtId="0" fontId="482" fillId="48" borderId="524" xfId="70" applyFont="1" applyFill="1" applyBorder="1" applyAlignment="1" applyProtection="1">
      <alignment horizontal="right" vertical="center" readingOrder="2"/>
      <protection hidden="1"/>
    </xf>
    <xf numFmtId="0" fontId="7" fillId="0" borderId="525" xfId="70" applyFont="1" applyFill="1" applyBorder="1" applyAlignment="1" applyProtection="1">
      <alignment horizontal="right" vertical="center" readingOrder="2"/>
      <protection hidden="1"/>
    </xf>
    <xf numFmtId="0" fontId="482" fillId="48" borderId="525" xfId="70" applyFont="1" applyFill="1" applyBorder="1" applyAlignment="1" applyProtection="1">
      <alignment horizontal="right" vertical="center" readingOrder="2"/>
      <protection hidden="1"/>
    </xf>
    <xf numFmtId="0" fontId="2" fillId="0" borderId="525" xfId="73" applyFont="1" applyFill="1" applyBorder="1" applyAlignment="1" applyProtection="1">
      <alignment horizontal="right" vertical="center" readingOrder="2"/>
      <protection hidden="1"/>
    </xf>
    <xf numFmtId="0" fontId="2" fillId="0" borderId="525" xfId="73" applyFont="1" applyFill="1" applyBorder="1" applyAlignment="1" applyProtection="1">
      <alignment vertical="center" readingOrder="2"/>
      <protection hidden="1"/>
    </xf>
    <xf numFmtId="0" fontId="1" fillId="0" borderId="525" xfId="73" applyBorder="1" applyAlignment="1" applyProtection="1">
      <alignment vertical="center"/>
      <protection hidden="1"/>
    </xf>
    <xf numFmtId="0" fontId="0" fillId="0" borderId="528" xfId="0" applyBorder="1" applyProtection="1">
      <protection hidden="1"/>
    </xf>
    <xf numFmtId="0" fontId="62" fillId="61" borderId="0" xfId="68" applyFont="1" applyFill="1" applyBorder="1" applyAlignment="1" applyProtection="1">
      <alignment horizontal="center" vertical="center" readingOrder="2"/>
      <protection hidden="1"/>
    </xf>
    <xf numFmtId="0" fontId="7" fillId="77" borderId="498" xfId="73" applyFont="1" applyFill="1" applyBorder="1" applyAlignment="1" applyProtection="1">
      <alignment vertical="center" readingOrder="2"/>
      <protection hidden="1"/>
    </xf>
    <xf numFmtId="0" fontId="346" fillId="0" borderId="0" xfId="0" applyFont="1" applyBorder="1" applyAlignment="1" applyProtection="1">
      <alignment vertical="center"/>
    </xf>
    <xf numFmtId="0" fontId="346" fillId="52" borderId="0" xfId="0" applyFont="1" applyFill="1" applyBorder="1" applyAlignment="1" applyProtection="1">
      <alignment vertical="center"/>
    </xf>
    <xf numFmtId="3" fontId="402" fillId="48" borderId="308" xfId="64" applyNumberFormat="1" applyFont="1" applyFill="1" applyBorder="1" applyAlignment="1" applyProtection="1">
      <alignment horizontal="center" vertical="center" readingOrder="1"/>
    </xf>
    <xf numFmtId="3" fontId="335" fillId="48" borderId="642" xfId="64" applyNumberFormat="1" applyFont="1" applyFill="1" applyBorder="1" applyAlignment="1" applyProtection="1">
      <alignment horizontal="center" vertical="center" readingOrder="2"/>
    </xf>
    <xf numFmtId="3" fontId="335" fillId="48" borderId="247" xfId="64" applyNumberFormat="1" applyFont="1" applyFill="1" applyBorder="1" applyAlignment="1" applyProtection="1">
      <alignment horizontal="center" vertical="center" readingOrder="2"/>
    </xf>
    <xf numFmtId="0" fontId="1" fillId="0" borderId="118" xfId="64" applyBorder="1" applyProtection="1"/>
    <xf numFmtId="0" fontId="69" fillId="48" borderId="118" xfId="64" applyFont="1" applyFill="1" applyBorder="1" applyAlignment="1" applyProtection="1">
      <alignment horizontal="center" vertical="center" readingOrder="2"/>
    </xf>
    <xf numFmtId="0" fontId="2" fillId="48" borderId="0" xfId="73" applyFont="1" applyFill="1" applyBorder="1" applyAlignment="1" applyProtection="1">
      <alignment horizontal="center" vertical="center"/>
      <protection hidden="1"/>
    </xf>
    <xf numFmtId="0" fontId="337" fillId="48" borderId="0" xfId="68" applyFont="1" applyFill="1" applyBorder="1" applyAlignment="1" applyProtection="1">
      <alignment horizontal="left" vertical="center" readingOrder="2"/>
      <protection hidden="1"/>
    </xf>
    <xf numFmtId="0" fontId="486" fillId="51" borderId="0" xfId="68" applyFont="1" applyFill="1" applyBorder="1" applyAlignment="1" applyProtection="1">
      <alignment horizontal="center" vertical="center" readingOrder="2"/>
      <protection hidden="1"/>
    </xf>
    <xf numFmtId="0" fontId="62" fillId="82" borderId="497" xfId="68" applyFont="1" applyFill="1" applyBorder="1" applyAlignment="1" applyProtection="1">
      <alignment horizontal="center" vertical="center" readingOrder="2"/>
    </xf>
    <xf numFmtId="0" fontId="62" fillId="82" borderId="0" xfId="68" applyFont="1" applyFill="1" applyBorder="1" applyAlignment="1" applyProtection="1">
      <alignment horizontal="center" vertical="center" readingOrder="2"/>
    </xf>
    <xf numFmtId="0" fontId="62" fillId="82" borderId="0" xfId="68" applyFont="1" applyFill="1" applyBorder="1" applyAlignment="1" applyProtection="1">
      <alignment horizontal="center" vertical="center" readingOrder="2"/>
      <protection hidden="1"/>
    </xf>
    <xf numFmtId="0" fontId="350" fillId="48" borderId="0" xfId="68" applyFont="1" applyFill="1" applyBorder="1" applyAlignment="1" applyProtection="1">
      <alignment horizontal="left" vertical="center" readingOrder="2"/>
      <protection hidden="1"/>
    </xf>
    <xf numFmtId="0" fontId="479" fillId="48" borderId="497" xfId="68" applyFont="1" applyFill="1" applyBorder="1" applyAlignment="1" applyProtection="1">
      <alignment horizontal="center" vertical="center" readingOrder="2"/>
    </xf>
    <xf numFmtId="0" fontId="479" fillId="48" borderId="0" xfId="68" applyFont="1" applyFill="1" applyBorder="1" applyAlignment="1" applyProtection="1">
      <alignment horizontal="center" vertical="center" readingOrder="2"/>
    </xf>
    <xf numFmtId="0" fontId="350" fillId="48" borderId="0" xfId="73" applyFont="1" applyFill="1" applyBorder="1" applyAlignment="1">
      <alignment horizontal="left" vertical="center" readingOrder="2"/>
    </xf>
    <xf numFmtId="0" fontId="481" fillId="48" borderId="0" xfId="0" applyFont="1" applyFill="1"/>
    <xf numFmtId="0" fontId="472" fillId="64" borderId="500" xfId="73" applyFont="1" applyFill="1" applyBorder="1" applyAlignment="1" applyProtection="1">
      <alignment vertical="center"/>
      <protection hidden="1"/>
    </xf>
    <xf numFmtId="0" fontId="56" fillId="48" borderId="0" xfId="73" applyFont="1" applyFill="1" applyBorder="1" applyAlignment="1" applyProtection="1">
      <alignment horizontal="right"/>
      <protection hidden="1"/>
    </xf>
    <xf numFmtId="0" fontId="181" fillId="48" borderId="0" xfId="73" applyFont="1" applyFill="1" applyBorder="1" applyAlignment="1" applyProtection="1">
      <alignment horizontal="right"/>
      <protection hidden="1"/>
    </xf>
    <xf numFmtId="0" fontId="1" fillId="48" borderId="0" xfId="73" applyFont="1" applyFill="1" applyBorder="1" applyAlignment="1" applyProtection="1">
      <alignment horizontal="right"/>
      <protection hidden="1"/>
    </xf>
    <xf numFmtId="0" fontId="56" fillId="48" borderId="0" xfId="73" applyFont="1" applyFill="1" applyBorder="1" applyProtection="1">
      <protection hidden="1"/>
    </xf>
    <xf numFmtId="3" fontId="3" fillId="0" borderId="186" xfId="64" applyNumberFormat="1" applyFont="1" applyFill="1" applyBorder="1" applyAlignment="1" applyProtection="1">
      <alignment horizontal="center" vertical="center" wrapText="1" readingOrder="1"/>
      <protection locked="0"/>
    </xf>
    <xf numFmtId="0" fontId="313" fillId="48" borderId="0" xfId="0" applyFont="1" applyFill="1" applyBorder="1" applyAlignment="1" applyProtection="1">
      <alignment horizontal="right"/>
      <protection hidden="1"/>
    </xf>
    <xf numFmtId="0" fontId="316" fillId="48" borderId="514" xfId="68" applyFont="1" applyFill="1" applyBorder="1" applyAlignment="1" applyProtection="1">
      <alignment horizontal="right" vertical="center" readingOrder="2"/>
      <protection hidden="1"/>
    </xf>
    <xf numFmtId="0" fontId="4" fillId="0" borderId="0" xfId="73" applyFont="1" applyFill="1" applyBorder="1" applyAlignment="1" applyProtection="1"/>
    <xf numFmtId="0" fontId="58" fillId="0" borderId="498" xfId="73" applyFont="1" applyFill="1" applyBorder="1" applyAlignment="1">
      <alignment horizontal="left" vertical="center"/>
    </xf>
    <xf numFmtId="0" fontId="1" fillId="64" borderId="500" xfId="73" applyFont="1" applyFill="1" applyBorder="1" applyAlignment="1" applyProtection="1">
      <alignment horizontal="right" vertical="center"/>
      <protection hidden="1"/>
    </xf>
    <xf numFmtId="0" fontId="58" fillId="64" borderId="500" xfId="73" applyFont="1" applyFill="1" applyBorder="1" applyAlignment="1">
      <alignment horizontal="center" vertical="center"/>
    </xf>
    <xf numFmtId="0" fontId="2" fillId="64" borderId="500" xfId="73" applyFont="1" applyFill="1" applyBorder="1" applyAlignment="1" applyProtection="1">
      <alignment horizontal="left" vertical="center"/>
      <protection hidden="1"/>
    </xf>
    <xf numFmtId="0" fontId="58" fillId="64" borderId="500" xfId="73" applyFont="1" applyFill="1" applyBorder="1" applyAlignment="1">
      <alignment horizontal="left" vertical="center"/>
    </xf>
    <xf numFmtId="0" fontId="58" fillId="64" borderId="501" xfId="73" applyFont="1" applyFill="1" applyBorder="1" applyAlignment="1">
      <alignment horizontal="left" vertical="center"/>
    </xf>
    <xf numFmtId="0" fontId="0" fillId="59" borderId="495" xfId="0" applyFill="1" applyBorder="1"/>
    <xf numFmtId="0" fontId="1" fillId="59" borderId="495" xfId="73" applyFont="1" applyFill="1" applyBorder="1" applyAlignment="1" applyProtection="1">
      <alignment horizontal="right" vertical="center"/>
      <protection hidden="1"/>
    </xf>
    <xf numFmtId="0" fontId="2" fillId="59" borderId="495" xfId="73" applyFont="1" applyFill="1" applyBorder="1" applyAlignment="1" applyProtection="1">
      <alignment vertical="center"/>
      <protection hidden="1"/>
    </xf>
    <xf numFmtId="0" fontId="2" fillId="59" borderId="495" xfId="73" applyFont="1" applyFill="1" applyBorder="1" applyAlignment="1" applyProtection="1">
      <alignment horizontal="left" vertical="center"/>
      <protection hidden="1"/>
    </xf>
    <xf numFmtId="0" fontId="2" fillId="59" borderId="0" xfId="73" applyFont="1" applyFill="1" applyBorder="1" applyAlignment="1" applyProtection="1">
      <alignment horizontal="right" vertical="center"/>
      <protection hidden="1"/>
    </xf>
    <xf numFmtId="0" fontId="58" fillId="59" borderId="498" xfId="73" applyFont="1" applyFill="1" applyBorder="1" applyAlignment="1">
      <alignment horizontal="left" vertical="center"/>
    </xf>
    <xf numFmtId="0" fontId="0" fillId="59" borderId="0" xfId="0" applyFill="1" applyBorder="1"/>
    <xf numFmtId="3" fontId="488" fillId="48" borderId="0" xfId="64" applyNumberFormat="1" applyFont="1" applyFill="1" applyBorder="1" applyAlignment="1" applyProtection="1">
      <alignment horizontal="center" vertical="center"/>
      <protection hidden="1"/>
    </xf>
    <xf numFmtId="3" fontId="235" fillId="0" borderId="0" xfId="64" applyNumberFormat="1" applyFont="1" applyBorder="1" applyAlignment="1" applyProtection="1">
      <alignment vertical="center" readingOrder="1"/>
    </xf>
    <xf numFmtId="3" fontId="89" fillId="0" borderId="0" xfId="64" applyNumberFormat="1" applyFont="1" applyBorder="1" applyAlignment="1" applyProtection="1">
      <alignment vertical="center" readingOrder="1"/>
    </xf>
    <xf numFmtId="0" fontId="389" fillId="0" borderId="0" xfId="0" applyFont="1"/>
    <xf numFmtId="3" fontId="2" fillId="26" borderId="0" xfId="64" applyNumberFormat="1" applyFont="1" applyFill="1" applyBorder="1" applyAlignment="1" applyProtection="1">
      <alignment horizontal="center" vertical="center" wrapText="1" readingOrder="1"/>
    </xf>
    <xf numFmtId="3" fontId="489" fillId="0" borderId="0" xfId="64" applyNumberFormat="1" applyFont="1" applyBorder="1" applyAlignment="1" applyProtection="1">
      <alignment vertical="center" readingOrder="1"/>
    </xf>
    <xf numFmtId="0" fontId="58" fillId="49" borderId="646" xfId="64" applyFont="1" applyFill="1" applyBorder="1" applyAlignment="1" applyProtection="1">
      <alignment horizontal="center" vertical="center" wrapText="1" readingOrder="2"/>
    </xf>
    <xf numFmtId="3" fontId="3" fillId="26" borderId="647" xfId="64" applyNumberFormat="1" applyFont="1" applyFill="1" applyBorder="1" applyAlignment="1" applyProtection="1">
      <alignment horizontal="center" vertical="center" wrapText="1" readingOrder="1"/>
      <protection locked="0"/>
    </xf>
    <xf numFmtId="3" fontId="3" fillId="26" borderId="648" xfId="64" applyNumberFormat="1" applyFont="1" applyFill="1" applyBorder="1" applyAlignment="1" applyProtection="1">
      <alignment horizontal="center" vertical="center" wrapText="1" readingOrder="1"/>
      <protection locked="0"/>
    </xf>
    <xf numFmtId="0" fontId="58" fillId="26" borderId="651" xfId="64" applyFont="1" applyFill="1" applyBorder="1" applyAlignment="1" applyProtection="1">
      <alignment horizontal="center" vertical="center" wrapText="1" readingOrder="2"/>
    </xf>
    <xf numFmtId="0" fontId="58" fillId="26" borderId="652" xfId="64" applyFont="1" applyFill="1" applyBorder="1" applyAlignment="1" applyProtection="1">
      <alignment horizontal="center" vertical="center" wrapText="1" readingOrder="2"/>
    </xf>
    <xf numFmtId="3" fontId="3" fillId="26" borderId="654" xfId="64" applyNumberFormat="1" applyFont="1" applyFill="1" applyBorder="1" applyAlignment="1" applyProtection="1">
      <alignment horizontal="center" vertical="center" wrapText="1" readingOrder="1"/>
      <protection locked="0"/>
    </xf>
    <xf numFmtId="3" fontId="3" fillId="26" borderId="655" xfId="64" applyNumberFormat="1" applyFont="1" applyFill="1" applyBorder="1" applyAlignment="1" applyProtection="1">
      <alignment horizontal="center" vertical="center" wrapText="1" readingOrder="1"/>
      <protection locked="0"/>
    </xf>
    <xf numFmtId="3" fontId="3" fillId="26" borderId="656" xfId="64" applyNumberFormat="1" applyFont="1" applyFill="1" applyBorder="1" applyAlignment="1" applyProtection="1">
      <alignment horizontal="center" vertical="center" wrapText="1" readingOrder="1"/>
      <protection locked="0"/>
    </xf>
    <xf numFmtId="3" fontId="3" fillId="61" borderId="653" xfId="64" applyNumberFormat="1" applyFont="1" applyFill="1" applyBorder="1" applyAlignment="1" applyProtection="1">
      <alignment horizontal="center" vertical="center" wrapText="1" readingOrder="1"/>
    </xf>
    <xf numFmtId="3" fontId="3" fillId="61" borderId="654" xfId="64" applyNumberFormat="1" applyFont="1" applyFill="1" applyBorder="1" applyAlignment="1" applyProtection="1">
      <alignment horizontal="center" vertical="center" wrapText="1" readingOrder="1"/>
    </xf>
    <xf numFmtId="3" fontId="3" fillId="61" borderId="655" xfId="64" applyNumberFormat="1" applyFont="1" applyFill="1" applyBorder="1" applyAlignment="1" applyProtection="1">
      <alignment horizontal="center" vertical="center" wrapText="1" readingOrder="1"/>
    </xf>
    <xf numFmtId="3" fontId="3" fillId="61" borderId="656" xfId="64" applyNumberFormat="1" applyFont="1" applyFill="1" applyBorder="1" applyAlignment="1" applyProtection="1">
      <alignment horizontal="center" vertical="center" wrapText="1" readingOrder="1"/>
    </xf>
    <xf numFmtId="3" fontId="3" fillId="61" borderId="229" xfId="64" applyNumberFormat="1" applyFont="1" applyFill="1" applyBorder="1" applyAlignment="1" applyProtection="1">
      <alignment horizontal="center" vertical="center" wrapText="1" readingOrder="1"/>
    </xf>
    <xf numFmtId="3" fontId="3" fillId="61" borderId="153" xfId="64" applyNumberFormat="1" applyFont="1" applyFill="1" applyBorder="1" applyAlignment="1" applyProtection="1">
      <alignment horizontal="center" vertical="center" wrapText="1" readingOrder="1"/>
    </xf>
    <xf numFmtId="3" fontId="3" fillId="61" borderId="188" xfId="64" applyNumberFormat="1" applyFont="1" applyFill="1" applyBorder="1" applyAlignment="1" applyProtection="1">
      <alignment horizontal="center" vertical="center" wrapText="1" readingOrder="1"/>
    </xf>
    <xf numFmtId="3" fontId="3" fillId="61" borderId="154" xfId="64" applyNumberFormat="1" applyFont="1" applyFill="1" applyBorder="1" applyAlignment="1" applyProtection="1">
      <alignment horizontal="center" vertical="center" wrapText="1" readingOrder="1"/>
    </xf>
    <xf numFmtId="3" fontId="3" fillId="61" borderId="151" xfId="64" applyNumberFormat="1" applyFont="1" applyFill="1" applyBorder="1" applyAlignment="1" applyProtection="1">
      <alignment horizontal="center" vertical="center" wrapText="1" readingOrder="1"/>
    </xf>
    <xf numFmtId="0" fontId="58" fillId="26" borderId="657" xfId="64" applyFont="1" applyFill="1" applyBorder="1" applyAlignment="1" applyProtection="1">
      <alignment horizontal="center" vertical="center" wrapText="1" readingOrder="2"/>
    </xf>
    <xf numFmtId="3" fontId="3" fillId="61" borderId="658" xfId="64" applyNumberFormat="1" applyFont="1" applyFill="1" applyBorder="1" applyAlignment="1" applyProtection="1">
      <alignment horizontal="center" vertical="center" wrapText="1" readingOrder="1"/>
    </xf>
    <xf numFmtId="3" fontId="3" fillId="26" borderId="659" xfId="64" applyNumberFormat="1" applyFont="1" applyFill="1" applyBorder="1" applyAlignment="1" applyProtection="1">
      <alignment horizontal="center" vertical="center" wrapText="1" readingOrder="1"/>
      <protection locked="0"/>
    </xf>
    <xf numFmtId="3" fontId="3" fillId="0" borderId="174" xfId="64" applyNumberFormat="1" applyFont="1" applyFill="1" applyBorder="1" applyAlignment="1" applyProtection="1">
      <alignment horizontal="center" vertical="center" wrapText="1" readingOrder="1"/>
      <protection locked="0"/>
    </xf>
    <xf numFmtId="3" fontId="3" fillId="0" borderId="177" xfId="64" applyNumberFormat="1" applyFont="1" applyFill="1" applyBorder="1" applyAlignment="1" applyProtection="1">
      <alignment horizontal="center" vertical="center" wrapText="1" readingOrder="1"/>
      <protection locked="0"/>
    </xf>
    <xf numFmtId="3" fontId="3" fillId="0" borderId="176" xfId="64" applyNumberFormat="1" applyFont="1" applyFill="1" applyBorder="1" applyAlignment="1" applyProtection="1">
      <alignment horizontal="center" vertical="center" wrapText="1" readingOrder="1"/>
      <protection locked="0"/>
    </xf>
    <xf numFmtId="3" fontId="3" fillId="20" borderId="660" xfId="64" applyNumberFormat="1" applyFont="1" applyFill="1" applyBorder="1" applyAlignment="1" applyProtection="1">
      <alignment horizontal="center" vertical="center" wrapText="1" readingOrder="1"/>
      <protection locked="0"/>
    </xf>
    <xf numFmtId="3" fontId="3" fillId="20" borderId="661" xfId="64" applyNumberFormat="1" applyFont="1" applyFill="1" applyBorder="1" applyAlignment="1" applyProtection="1">
      <alignment horizontal="center" vertical="center" wrapText="1" readingOrder="1"/>
      <protection locked="0"/>
    </xf>
    <xf numFmtId="3" fontId="3" fillId="0" borderId="662" xfId="64" applyNumberFormat="1" applyFont="1" applyFill="1" applyBorder="1" applyAlignment="1" applyProtection="1">
      <alignment horizontal="center" vertical="center" wrapText="1" readingOrder="1"/>
      <protection locked="0"/>
    </xf>
    <xf numFmtId="3" fontId="3" fillId="0" borderId="179" xfId="64" applyNumberFormat="1" applyFont="1" applyFill="1" applyBorder="1" applyAlignment="1" applyProtection="1">
      <alignment horizontal="center" vertical="center" wrapText="1" readingOrder="1"/>
      <protection locked="0"/>
    </xf>
    <xf numFmtId="3" fontId="3" fillId="20" borderId="663" xfId="64" applyNumberFormat="1" applyFont="1" applyFill="1" applyBorder="1" applyAlignment="1" applyProtection="1">
      <alignment horizontal="center" vertical="center" wrapText="1" readingOrder="1"/>
      <protection locked="0"/>
    </xf>
    <xf numFmtId="3" fontId="3" fillId="20" borderId="664" xfId="64" applyNumberFormat="1" applyFont="1" applyFill="1" applyBorder="1" applyAlignment="1" applyProtection="1">
      <alignment horizontal="center" vertical="center" wrapText="1" readingOrder="1"/>
      <protection locked="0"/>
    </xf>
    <xf numFmtId="3" fontId="3" fillId="20" borderId="665" xfId="64" applyNumberFormat="1" applyFont="1" applyFill="1" applyBorder="1" applyAlignment="1" applyProtection="1">
      <alignment horizontal="center" vertical="center" wrapText="1" readingOrder="1"/>
      <protection locked="0"/>
    </xf>
    <xf numFmtId="3" fontId="3" fillId="20" borderId="666" xfId="64" applyNumberFormat="1" applyFont="1" applyFill="1" applyBorder="1" applyAlignment="1" applyProtection="1">
      <alignment horizontal="center" vertical="center" wrapText="1" readingOrder="1"/>
      <protection locked="0"/>
    </xf>
    <xf numFmtId="0" fontId="383" fillId="48" borderId="0" xfId="0" applyFont="1" applyFill="1" applyProtection="1">
      <protection hidden="1"/>
    </xf>
    <xf numFmtId="0" fontId="402" fillId="48" borderId="0" xfId="73" applyFont="1" applyFill="1" applyBorder="1" applyAlignment="1" applyProtection="1">
      <alignment horizontal="right" vertical="center" readingOrder="2"/>
      <protection hidden="1"/>
    </xf>
    <xf numFmtId="0" fontId="402" fillId="48" borderId="0" xfId="68" applyFont="1" applyFill="1" applyBorder="1" applyAlignment="1" applyProtection="1">
      <alignment horizontal="right" vertical="center" readingOrder="2"/>
      <protection hidden="1"/>
    </xf>
    <xf numFmtId="0" fontId="247" fillId="48" borderId="0" xfId="73" applyFont="1" applyFill="1" applyBorder="1" applyAlignment="1" applyProtection="1">
      <alignment horizontal="center" vertical="center"/>
      <protection hidden="1"/>
    </xf>
    <xf numFmtId="0" fontId="58" fillId="26" borderId="0" xfId="73" applyFont="1" applyFill="1" applyBorder="1" applyAlignment="1" applyProtection="1">
      <alignment horizontal="center" vertical="center" readingOrder="2"/>
    </xf>
    <xf numFmtId="0" fontId="247" fillId="48" borderId="317" xfId="73" applyFont="1" applyFill="1" applyBorder="1" applyAlignment="1" applyProtection="1">
      <alignment horizontal="center" vertical="center"/>
      <protection hidden="1"/>
    </xf>
    <xf numFmtId="0" fontId="2" fillId="48" borderId="0" xfId="73" applyFont="1" applyFill="1" applyBorder="1" applyAlignment="1" applyProtection="1">
      <alignment horizontal="center" vertical="center"/>
      <protection hidden="1"/>
    </xf>
    <xf numFmtId="0" fontId="375" fillId="48" borderId="0" xfId="0" applyFont="1" applyFill="1" applyBorder="1" applyAlignment="1" applyProtection="1"/>
    <xf numFmtId="0" fontId="7" fillId="48" borderId="497" xfId="73" applyFont="1" applyFill="1" applyBorder="1" applyAlignment="1" applyProtection="1">
      <alignment horizontal="left" vertical="center" readingOrder="2"/>
      <protection hidden="1"/>
    </xf>
    <xf numFmtId="0" fontId="379" fillId="0" borderId="0" xfId="0" applyFont="1" applyAlignment="1" applyProtection="1">
      <alignment horizontal="right"/>
      <protection hidden="1"/>
    </xf>
    <xf numFmtId="0" fontId="0" fillId="0" borderId="0" xfId="0" applyAlignment="1"/>
    <xf numFmtId="0" fontId="81" fillId="0" borderId="0" xfId="73" applyFont="1" applyFill="1" applyBorder="1" applyAlignment="1" applyProtection="1">
      <alignment horizontal="right"/>
      <protection hidden="1"/>
    </xf>
    <xf numFmtId="0" fontId="7" fillId="0" borderId="497" xfId="73" applyFont="1" applyFill="1" applyBorder="1" applyAlignment="1">
      <alignment horizontal="left" vertical="center" readingOrder="2"/>
    </xf>
    <xf numFmtId="0" fontId="58" fillId="48" borderId="119" xfId="73" applyFont="1" applyFill="1" applyBorder="1" applyAlignment="1" applyProtection="1">
      <alignment horizontal="center" vertical="center" readingOrder="2"/>
    </xf>
    <xf numFmtId="0" fontId="317" fillId="48" borderId="0" xfId="64" applyFont="1" applyFill="1" applyBorder="1" applyAlignment="1" applyProtection="1">
      <alignment horizontal="center" vertical="center"/>
      <protection hidden="1"/>
    </xf>
    <xf numFmtId="0" fontId="402" fillId="48" borderId="122" xfId="68" applyFont="1" applyFill="1" applyBorder="1" applyAlignment="1" applyProtection="1">
      <alignment vertical="center" readingOrder="2"/>
      <protection hidden="1"/>
    </xf>
    <xf numFmtId="0" fontId="58" fillId="48" borderId="0" xfId="73" applyFont="1" applyFill="1" applyBorder="1" applyAlignment="1" applyProtection="1">
      <alignment horizontal="center" vertical="center" readingOrder="2"/>
      <protection locked="0"/>
    </xf>
    <xf numFmtId="0" fontId="2" fillId="48" borderId="0" xfId="73" applyFont="1" applyFill="1" applyBorder="1" applyAlignment="1" applyProtection="1">
      <alignment horizontal="center" vertical="center"/>
      <protection hidden="1"/>
    </xf>
    <xf numFmtId="0" fontId="402" fillId="48" borderId="0" xfId="68" applyFont="1" applyFill="1" applyBorder="1" applyAlignment="1" applyProtection="1">
      <alignment vertical="center" readingOrder="2"/>
      <protection hidden="1"/>
    </xf>
    <xf numFmtId="0" fontId="402" fillId="48" borderId="498" xfId="68" applyFont="1" applyFill="1" applyBorder="1" applyAlignment="1" applyProtection="1">
      <alignment vertical="center" readingOrder="2"/>
      <protection hidden="1"/>
    </xf>
    <xf numFmtId="0" fontId="490" fillId="48" borderId="6" xfId="68" applyFont="1" applyFill="1" applyBorder="1" applyAlignment="1" applyProtection="1">
      <alignment vertical="center" readingOrder="2"/>
      <protection hidden="1"/>
    </xf>
    <xf numFmtId="3" fontId="3" fillId="20" borderId="667" xfId="64" applyNumberFormat="1" applyFont="1" applyFill="1" applyBorder="1" applyAlignment="1" applyProtection="1">
      <alignment horizontal="center" vertical="center" wrapText="1" readingOrder="1"/>
      <protection locked="0"/>
    </xf>
    <xf numFmtId="3" fontId="3" fillId="20" borderId="514" xfId="64" applyNumberFormat="1" applyFont="1" applyFill="1" applyBorder="1" applyAlignment="1" applyProtection="1">
      <alignment horizontal="center" vertical="center" wrapText="1" readingOrder="1"/>
      <protection locked="0"/>
    </xf>
    <xf numFmtId="3" fontId="3" fillId="20" borderId="668" xfId="64" applyNumberFormat="1" applyFont="1" applyFill="1" applyBorder="1" applyAlignment="1" applyProtection="1">
      <alignment horizontal="center" vertical="center" wrapText="1" readingOrder="1"/>
      <protection locked="0"/>
    </xf>
    <xf numFmtId="0" fontId="58" fillId="26" borderId="669" xfId="73" applyFont="1" applyFill="1" applyBorder="1" applyAlignment="1" applyProtection="1">
      <alignment horizontal="center" vertical="center" readingOrder="2"/>
    </xf>
    <xf numFmtId="0" fontId="448" fillId="26" borderId="669" xfId="73" applyFont="1" applyFill="1" applyBorder="1" applyAlignment="1" applyProtection="1">
      <alignment horizontal="center" vertical="center" readingOrder="2"/>
    </xf>
    <xf numFmtId="0" fontId="209" fillId="26" borderId="43" xfId="73" applyFont="1" applyFill="1" applyBorder="1" applyAlignment="1">
      <alignment vertical="center"/>
    </xf>
    <xf numFmtId="0" fontId="361" fillId="59" borderId="0" xfId="73" applyFont="1" applyFill="1" applyBorder="1" applyAlignment="1">
      <alignment vertical="center" wrapText="1" readingOrder="2"/>
    </xf>
    <xf numFmtId="0" fontId="0" fillId="59" borderId="497" xfId="0" applyFill="1" applyBorder="1"/>
    <xf numFmtId="0" fontId="361" fillId="48" borderId="0" xfId="73" applyFont="1" applyFill="1" applyBorder="1" applyAlignment="1">
      <alignment vertical="center" wrapText="1" readingOrder="2"/>
    </xf>
    <xf numFmtId="0" fontId="58" fillId="48" borderId="498" xfId="73" applyFont="1" applyFill="1" applyBorder="1" applyAlignment="1">
      <alignment horizontal="left" vertical="center"/>
    </xf>
    <xf numFmtId="0" fontId="57" fillId="57" borderId="0" xfId="73" applyFont="1" applyFill="1" applyBorder="1" applyAlignment="1" applyProtection="1">
      <alignment horizontal="left" vertical="center" readingOrder="2"/>
      <protection hidden="1"/>
    </xf>
    <xf numFmtId="0" fontId="81" fillId="57" borderId="0" xfId="73" applyFont="1" applyFill="1" applyBorder="1" applyAlignment="1" applyProtection="1">
      <alignment horizontal="right"/>
      <protection hidden="1"/>
    </xf>
    <xf numFmtId="0" fontId="492" fillId="31" borderId="0" xfId="70" applyFont="1" applyFill="1" applyBorder="1" applyAlignment="1" applyProtection="1">
      <alignment horizontal="right" vertical="center" readingOrder="2"/>
    </xf>
    <xf numFmtId="0" fontId="369" fillId="48" borderId="497" xfId="0" applyFont="1" applyFill="1" applyBorder="1" applyAlignment="1" applyProtection="1"/>
    <xf numFmtId="0" fontId="391" fillId="31" borderId="0" xfId="70" applyFont="1" applyFill="1" applyBorder="1" applyAlignment="1" applyProtection="1">
      <alignment horizontal="left" vertical="center" readingOrder="1"/>
    </xf>
    <xf numFmtId="0" fontId="0" fillId="58" borderId="269" xfId="0" applyFill="1" applyBorder="1"/>
    <xf numFmtId="0" fontId="0" fillId="58" borderId="0" xfId="0" applyFill="1" applyBorder="1"/>
    <xf numFmtId="0" fontId="0" fillId="58" borderId="270" xfId="0" applyFill="1" applyBorder="1"/>
    <xf numFmtId="0" fontId="61" fillId="48" borderId="0" xfId="73" applyFont="1" applyFill="1" applyBorder="1" applyAlignment="1" applyProtection="1">
      <alignment horizontal="left" vertical="center" readingOrder="2"/>
      <protection hidden="1"/>
    </xf>
    <xf numFmtId="0" fontId="57" fillId="48" borderId="0" xfId="64" applyFont="1" applyFill="1" applyBorder="1" applyAlignment="1" applyProtection="1">
      <alignment horizontal="left" vertical="center" readingOrder="2"/>
    </xf>
    <xf numFmtId="0" fontId="2" fillId="48" borderId="0" xfId="70" applyFont="1" applyFill="1" applyBorder="1" applyAlignment="1" applyProtection="1">
      <alignment vertical="center"/>
    </xf>
    <xf numFmtId="0" fontId="61" fillId="48" borderId="0" xfId="73" applyFont="1" applyFill="1" applyBorder="1" applyAlignment="1" applyProtection="1">
      <alignment horizontal="left" vertical="center" readingOrder="2"/>
    </xf>
    <xf numFmtId="0" fontId="2" fillId="48" borderId="0" xfId="77" applyFont="1" applyFill="1" applyBorder="1" applyAlignment="1" applyProtection="1">
      <alignment vertical="center"/>
    </xf>
    <xf numFmtId="0" fontId="7" fillId="0" borderId="0" xfId="70" applyFont="1" applyFill="1" applyBorder="1" applyAlignment="1" applyProtection="1">
      <alignment vertical="center" readingOrder="2"/>
    </xf>
    <xf numFmtId="0" fontId="7" fillId="0" borderId="0" xfId="70" applyFont="1" applyFill="1" applyBorder="1" applyAlignment="1" applyProtection="1">
      <alignment horizontal="left" vertical="center" readingOrder="2"/>
    </xf>
    <xf numFmtId="0" fontId="58" fillId="0" borderId="0" xfId="70" applyFont="1" applyFill="1" applyBorder="1" applyAlignment="1" applyProtection="1">
      <alignment horizontal="center" vertical="center" readingOrder="2"/>
    </xf>
    <xf numFmtId="0" fontId="57" fillId="0" borderId="0" xfId="64" applyFont="1" applyFill="1" applyBorder="1" applyAlignment="1" applyProtection="1">
      <alignment horizontal="left" vertical="center" readingOrder="2"/>
    </xf>
    <xf numFmtId="0" fontId="2" fillId="0" borderId="0" xfId="70" applyFont="1" applyFill="1" applyBorder="1" applyAlignment="1" applyProtection="1">
      <alignment vertical="center" readingOrder="1"/>
    </xf>
    <xf numFmtId="0" fontId="2" fillId="0" borderId="0" xfId="70" applyFont="1" applyFill="1" applyBorder="1" applyAlignment="1" applyProtection="1">
      <alignment vertical="center"/>
    </xf>
    <xf numFmtId="0" fontId="58" fillId="0" borderId="0" xfId="70" applyFont="1" applyFill="1" applyBorder="1" applyAlignment="1" applyProtection="1">
      <alignment horizontal="center" vertical="center" readingOrder="1"/>
    </xf>
    <xf numFmtId="0" fontId="7" fillId="48" borderId="0" xfId="73" applyFont="1" applyFill="1" applyBorder="1" applyAlignment="1" applyProtection="1">
      <alignment horizontal="right" vertical="center" readingOrder="2"/>
    </xf>
    <xf numFmtId="0" fontId="7" fillId="48" borderId="0" xfId="73" applyFont="1" applyFill="1" applyBorder="1" applyAlignment="1" applyProtection="1">
      <alignment horizontal="left" vertical="center" readingOrder="2"/>
    </xf>
    <xf numFmtId="0" fontId="207" fillId="48" borderId="0" xfId="73" applyFont="1" applyFill="1" applyBorder="1" applyAlignment="1" applyProtection="1">
      <alignment horizontal="center" vertical="center"/>
    </xf>
    <xf numFmtId="0" fontId="57" fillId="0" borderId="0" xfId="73" applyFont="1" applyFill="1" applyBorder="1" applyAlignment="1" applyProtection="1">
      <alignment horizontal="left" vertical="center" readingOrder="2"/>
    </xf>
    <xf numFmtId="0" fontId="233" fillId="48" borderId="0" xfId="0" applyFont="1" applyFill="1" applyBorder="1" applyAlignment="1" applyProtection="1">
      <alignment vertical="center"/>
    </xf>
    <xf numFmtId="0" fontId="7" fillId="48" borderId="0" xfId="73" applyFont="1" applyFill="1" applyBorder="1" applyAlignment="1" applyProtection="1">
      <alignment horizontal="center" vertical="center" readingOrder="2"/>
    </xf>
    <xf numFmtId="0" fontId="1" fillId="48" borderId="0" xfId="76" applyFill="1" applyBorder="1" applyProtection="1"/>
    <xf numFmtId="0" fontId="1" fillId="48" borderId="0" xfId="70" applyFill="1" applyBorder="1" applyProtection="1"/>
    <xf numFmtId="0" fontId="7" fillId="48" borderId="0" xfId="73" applyFont="1" applyFill="1" applyBorder="1" applyAlignment="1" applyProtection="1">
      <alignment horizontal="left" vertical="center"/>
    </xf>
    <xf numFmtId="0" fontId="58" fillId="48" borderId="0" xfId="73" applyFont="1" applyFill="1" applyBorder="1" applyAlignment="1" applyProtection="1">
      <alignment horizontal="center" vertical="center" readingOrder="2"/>
    </xf>
    <xf numFmtId="0" fontId="2" fillId="48" borderId="0" xfId="77" applyFont="1" applyFill="1" applyBorder="1" applyAlignment="1" applyProtection="1">
      <alignment vertical="center" readingOrder="1"/>
    </xf>
    <xf numFmtId="0" fontId="58" fillId="48" borderId="0" xfId="77" applyFont="1" applyFill="1" applyBorder="1" applyAlignment="1" applyProtection="1">
      <alignment horizontal="center" vertical="center" readingOrder="1"/>
    </xf>
    <xf numFmtId="0" fontId="1" fillId="26" borderId="0" xfId="73" applyFill="1" applyBorder="1" applyProtection="1"/>
    <xf numFmtId="0" fontId="7" fillId="26" borderId="0" xfId="64" applyFont="1" applyFill="1" applyBorder="1" applyAlignment="1" applyProtection="1">
      <alignment horizontal="left" vertical="center" readingOrder="2"/>
    </xf>
    <xf numFmtId="0" fontId="7" fillId="51" borderId="497" xfId="73" applyFont="1" applyFill="1" applyBorder="1" applyAlignment="1" applyProtection="1">
      <alignment horizontal="right" vertical="center" readingOrder="2"/>
    </xf>
    <xf numFmtId="0" fontId="7" fillId="51" borderId="0" xfId="73" applyFont="1" applyFill="1" applyBorder="1" applyAlignment="1" applyProtection="1">
      <alignment horizontal="right" vertical="center" readingOrder="2"/>
    </xf>
    <xf numFmtId="0" fontId="91" fillId="51" borderId="0" xfId="73" applyFont="1" applyFill="1" applyBorder="1" applyAlignment="1" applyProtection="1">
      <alignment horizontal="right" vertical="center"/>
    </xf>
    <xf numFmtId="0" fontId="7" fillId="51" borderId="0" xfId="73" applyFont="1" applyFill="1" applyBorder="1" applyAlignment="1" applyProtection="1">
      <alignment horizontal="left" vertical="center" readingOrder="2"/>
    </xf>
    <xf numFmtId="0" fontId="58" fillId="51" borderId="0" xfId="73" applyFont="1" applyFill="1" applyBorder="1" applyAlignment="1" applyProtection="1">
      <alignment horizontal="left" vertical="center" readingOrder="2"/>
    </xf>
    <xf numFmtId="0" fontId="7" fillId="48" borderId="497" xfId="73" applyFont="1" applyFill="1" applyBorder="1" applyAlignment="1" applyProtection="1">
      <alignment horizontal="right" vertical="center" readingOrder="2"/>
    </xf>
    <xf numFmtId="0" fontId="2" fillId="0" borderId="0" xfId="73" applyFont="1" applyFill="1" applyBorder="1" applyAlignment="1" applyProtection="1">
      <alignment horizontal="center" vertical="center"/>
    </xf>
    <xf numFmtId="0" fontId="2" fillId="0" borderId="0" xfId="73" applyFont="1" applyFill="1" applyBorder="1" applyAlignment="1" applyProtection="1">
      <alignment vertical="center" readingOrder="2"/>
    </xf>
    <xf numFmtId="0" fontId="2" fillId="0" borderId="0" xfId="73" applyFont="1" applyFill="1" applyBorder="1" applyAlignment="1" applyProtection="1">
      <alignment horizontal="right" vertical="center" readingOrder="2"/>
    </xf>
    <xf numFmtId="0" fontId="58" fillId="0" borderId="0" xfId="73" applyFont="1" applyFill="1" applyBorder="1" applyAlignment="1" applyProtection="1">
      <alignment horizontal="center" vertical="center" readingOrder="2"/>
    </xf>
    <xf numFmtId="0" fontId="2" fillId="0" borderId="0" xfId="73" applyFont="1" applyFill="1" applyBorder="1" applyAlignment="1" applyProtection="1">
      <alignment horizontal="center" vertical="center" readingOrder="2"/>
    </xf>
    <xf numFmtId="0" fontId="116" fillId="0" borderId="0" xfId="73" applyFont="1" applyFill="1" applyBorder="1" applyAlignment="1" applyProtection="1">
      <alignment horizontal="right" vertical="center" readingOrder="2"/>
    </xf>
    <xf numFmtId="0" fontId="116" fillId="48" borderId="0" xfId="73" applyFont="1" applyFill="1" applyBorder="1" applyAlignment="1" applyProtection="1">
      <alignment horizontal="right" vertical="center" readingOrder="2"/>
    </xf>
    <xf numFmtId="0" fontId="87" fillId="48" borderId="0" xfId="73" applyFont="1" applyFill="1" applyBorder="1" applyAlignment="1" applyProtection="1">
      <alignment horizontal="right" vertical="center" readingOrder="2"/>
    </xf>
    <xf numFmtId="0" fontId="7" fillId="0" borderId="0" xfId="73" applyFont="1" applyFill="1" applyBorder="1" applyAlignment="1" applyProtection="1">
      <alignment horizontal="right" vertical="center" readingOrder="2"/>
    </xf>
    <xf numFmtId="0" fontId="2" fillId="48" borderId="0" xfId="76" applyFont="1" applyFill="1" applyBorder="1" applyAlignment="1" applyProtection="1">
      <alignment horizontal="left"/>
    </xf>
    <xf numFmtId="0" fontId="58" fillId="48" borderId="0" xfId="73" applyFont="1" applyFill="1" applyBorder="1" applyAlignment="1" applyProtection="1">
      <alignment horizontal="center" vertical="center"/>
    </xf>
    <xf numFmtId="0" fontId="58" fillId="48" borderId="0" xfId="73" applyFont="1" applyFill="1" applyBorder="1" applyAlignment="1" applyProtection="1">
      <alignment vertical="center"/>
    </xf>
    <xf numFmtId="0" fontId="392" fillId="0" borderId="0" xfId="0" applyFont="1" applyBorder="1" applyProtection="1"/>
    <xf numFmtId="0" fontId="369" fillId="48" borderId="0" xfId="0" applyFont="1" applyFill="1" applyBorder="1" applyProtection="1"/>
    <xf numFmtId="0" fontId="61" fillId="48" borderId="0" xfId="72" applyFont="1" applyFill="1" applyBorder="1" applyAlignment="1" applyProtection="1">
      <alignment horizontal="left" vertical="center" readingOrder="2"/>
    </xf>
    <xf numFmtId="0" fontId="323" fillId="0" borderId="0" xfId="0" applyFont="1" applyBorder="1" applyAlignment="1" applyProtection="1">
      <alignment horizontal="center" vertical="center"/>
    </xf>
    <xf numFmtId="0" fontId="2" fillId="48" borderId="0" xfId="73" applyFont="1" applyFill="1" applyBorder="1" applyAlignment="1" applyProtection="1">
      <alignment horizontal="center" vertical="center"/>
      <protection hidden="1"/>
    </xf>
    <xf numFmtId="0" fontId="7" fillId="0" borderId="0" xfId="64" applyFont="1" applyFill="1" applyBorder="1" applyAlignment="1" applyProtection="1">
      <alignment horizontal="right" vertical="center" readingOrder="2"/>
      <protection hidden="1"/>
    </xf>
    <xf numFmtId="0" fontId="7" fillId="0" borderId="0" xfId="64" applyFont="1" applyFill="1" applyBorder="1" applyAlignment="1" applyProtection="1">
      <alignment horizontal="right" vertical="center" readingOrder="2"/>
    </xf>
    <xf numFmtId="0" fontId="323" fillId="0" borderId="0" xfId="0" applyFont="1" applyBorder="1" applyAlignment="1" applyProtection="1">
      <alignment horizontal="left" vertical="center"/>
      <protection hidden="1"/>
    </xf>
    <xf numFmtId="0" fontId="0" fillId="0" borderId="497" xfId="0" applyBorder="1" applyProtection="1">
      <protection hidden="1"/>
    </xf>
    <xf numFmtId="0" fontId="2" fillId="48" borderId="497" xfId="73" applyFont="1" applyFill="1" applyBorder="1" applyAlignment="1" applyProtection="1">
      <alignment vertical="center"/>
      <protection hidden="1"/>
    </xf>
    <xf numFmtId="0" fontId="361" fillId="59" borderId="671" xfId="70" applyFont="1" applyFill="1" applyBorder="1" applyAlignment="1" applyProtection="1">
      <alignment horizontal="right" vertical="center" readingOrder="2"/>
      <protection hidden="1"/>
    </xf>
    <xf numFmtId="0" fontId="58" fillId="59" borderId="495" xfId="73" applyFont="1" applyFill="1" applyBorder="1" applyAlignment="1" applyProtection="1">
      <alignment horizontal="center" vertical="center"/>
      <protection hidden="1"/>
    </xf>
    <xf numFmtId="0" fontId="58" fillId="59" borderId="495" xfId="73" applyFont="1" applyFill="1" applyBorder="1" applyAlignment="1" applyProtection="1">
      <alignment horizontal="left" vertical="center"/>
      <protection hidden="1"/>
    </xf>
    <xf numFmtId="0" fontId="58" fillId="59" borderId="496" xfId="73" applyFont="1" applyFill="1" applyBorder="1" applyAlignment="1" applyProtection="1">
      <alignment horizontal="left" vertical="center"/>
      <protection hidden="1"/>
    </xf>
    <xf numFmtId="0" fontId="0" fillId="64" borderId="500" xfId="0" applyFill="1" applyBorder="1" applyProtection="1">
      <protection hidden="1"/>
    </xf>
    <xf numFmtId="0" fontId="0" fillId="48" borderId="0" xfId="0" applyFill="1" applyBorder="1" applyAlignment="1" applyProtection="1">
      <alignment horizontal="left"/>
      <protection hidden="1"/>
    </xf>
    <xf numFmtId="0" fontId="0" fillId="0" borderId="0" xfId="0" applyBorder="1" applyAlignment="1" applyProtection="1">
      <alignment horizontal="left"/>
      <protection hidden="1"/>
    </xf>
    <xf numFmtId="0" fontId="2" fillId="48" borderId="0" xfId="73" applyFont="1" applyFill="1" applyBorder="1" applyAlignment="1" applyProtection="1">
      <alignment horizontal="left" vertical="center"/>
      <protection hidden="1"/>
    </xf>
    <xf numFmtId="0" fontId="1" fillId="0" borderId="0" xfId="73" applyBorder="1" applyAlignment="1" applyProtection="1">
      <alignment horizontal="left" vertical="center"/>
      <protection hidden="1"/>
    </xf>
    <xf numFmtId="0" fontId="208" fillId="26" borderId="0" xfId="70" applyFont="1" applyFill="1" applyBorder="1" applyAlignment="1" applyProtection="1">
      <alignment horizontal="right" vertical="center" readingOrder="2"/>
      <protection hidden="1"/>
    </xf>
    <xf numFmtId="0" fontId="208" fillId="26" borderId="0" xfId="70" applyFont="1" applyFill="1" applyBorder="1" applyAlignment="1" applyProtection="1">
      <alignment vertical="center" readingOrder="2"/>
      <protection hidden="1"/>
    </xf>
    <xf numFmtId="0" fontId="209" fillId="26" borderId="0" xfId="70" applyFont="1" applyFill="1" applyBorder="1" applyAlignment="1" applyProtection="1">
      <alignment vertical="center"/>
      <protection hidden="1"/>
    </xf>
    <xf numFmtId="0" fontId="209" fillId="26" borderId="0" xfId="70" applyFont="1" applyFill="1" applyBorder="1" applyAlignment="1" applyProtection="1">
      <alignment horizontal="left" vertical="center"/>
      <protection hidden="1"/>
    </xf>
    <xf numFmtId="0" fontId="2" fillId="0" borderId="0" xfId="73" applyFont="1" applyFill="1" applyBorder="1" applyAlignment="1" applyProtection="1">
      <alignment vertical="center" readingOrder="2"/>
      <protection hidden="1"/>
    </xf>
    <xf numFmtId="0" fontId="236" fillId="48" borderId="0" xfId="73" applyFont="1" applyFill="1" applyBorder="1" applyAlignment="1" applyProtection="1">
      <alignment horizontal="left" vertical="center" readingOrder="2"/>
      <protection hidden="1"/>
    </xf>
    <xf numFmtId="0" fontId="7" fillId="0" borderId="0" xfId="73" applyFont="1" applyFill="1" applyBorder="1" applyAlignment="1" applyProtection="1">
      <alignment vertical="center" readingOrder="2"/>
      <protection hidden="1"/>
    </xf>
    <xf numFmtId="0" fontId="2" fillId="48" borderId="0" xfId="73" applyFont="1" applyFill="1" applyBorder="1" applyAlignment="1" applyProtection="1">
      <alignment vertical="center" readingOrder="2"/>
      <protection hidden="1"/>
    </xf>
    <xf numFmtId="2" fontId="7" fillId="48" borderId="0" xfId="73" applyNumberFormat="1" applyFont="1" applyFill="1" applyBorder="1" applyAlignment="1" applyProtection="1">
      <alignment readingOrder="2"/>
      <protection hidden="1"/>
    </xf>
    <xf numFmtId="0" fontId="1" fillId="48" borderId="0" xfId="73" applyFill="1" applyBorder="1" applyAlignment="1" applyProtection="1">
      <alignment horizontal="left" vertical="center"/>
      <protection hidden="1"/>
    </xf>
    <xf numFmtId="0" fontId="181" fillId="48" borderId="0" xfId="73" applyFont="1" applyFill="1" applyBorder="1" applyAlignment="1" applyProtection="1">
      <alignment horizontal="left" vertical="center"/>
      <protection hidden="1"/>
    </xf>
    <xf numFmtId="0" fontId="2" fillId="0" borderId="0" xfId="73" applyFont="1" applyFill="1" applyBorder="1" applyAlignment="1" applyProtection="1">
      <alignment horizontal="left" vertical="center" readingOrder="2"/>
      <protection hidden="1"/>
    </xf>
    <xf numFmtId="0" fontId="58" fillId="0" borderId="0" xfId="73" applyFont="1" applyBorder="1" applyAlignment="1" applyProtection="1">
      <alignment horizontal="left" vertical="center"/>
      <protection hidden="1"/>
    </xf>
    <xf numFmtId="0" fontId="1" fillId="0" borderId="0" xfId="73" applyFill="1" applyBorder="1" applyAlignment="1" applyProtection="1">
      <alignment vertical="center"/>
      <protection hidden="1"/>
    </xf>
    <xf numFmtId="0" fontId="58" fillId="0" borderId="0" xfId="73" applyFont="1" applyFill="1" applyBorder="1" applyAlignment="1" applyProtection="1">
      <alignment horizontal="center" vertical="center"/>
      <protection hidden="1"/>
    </xf>
    <xf numFmtId="0" fontId="58" fillId="0" borderId="0" xfId="73" applyFont="1" applyFill="1" applyBorder="1" applyAlignment="1" applyProtection="1">
      <alignment horizontal="left" vertical="center"/>
      <protection hidden="1"/>
    </xf>
    <xf numFmtId="0" fontId="7" fillId="0" borderId="70" xfId="64" applyFont="1" applyFill="1" applyBorder="1" applyAlignment="1" applyProtection="1">
      <alignment horizontal="right" vertical="center" readingOrder="2"/>
      <protection hidden="1"/>
    </xf>
    <xf numFmtId="0" fontId="2" fillId="0" borderId="0" xfId="73" applyFont="1" applyFill="1" applyBorder="1" applyAlignment="1" applyProtection="1">
      <alignment horizontal="center"/>
      <protection hidden="1"/>
    </xf>
    <xf numFmtId="0" fontId="2" fillId="0" borderId="497" xfId="73" applyFont="1" applyFill="1" applyBorder="1" applyAlignment="1" applyProtection="1">
      <protection hidden="1"/>
    </xf>
    <xf numFmtId="0" fontId="57" fillId="0" borderId="0" xfId="64" applyFont="1" applyFill="1" applyBorder="1" applyAlignment="1" applyProtection="1">
      <alignment horizontal="left" vertical="center" readingOrder="2"/>
      <protection hidden="1"/>
    </xf>
    <xf numFmtId="0" fontId="58" fillId="26" borderId="0" xfId="73" applyFont="1" applyFill="1" applyBorder="1" applyAlignment="1" applyProtection="1">
      <alignment horizontal="center" vertical="center" readingOrder="2"/>
      <protection hidden="1"/>
    </xf>
    <xf numFmtId="49" fontId="2" fillId="26" borderId="0" xfId="73" applyNumberFormat="1" applyFont="1" applyFill="1" applyBorder="1" applyAlignment="1" applyProtection="1">
      <alignment horizontal="right" vertical="center" readingOrder="2"/>
      <protection hidden="1"/>
    </xf>
    <xf numFmtId="0" fontId="58" fillId="48" borderId="122" xfId="73" applyFont="1" applyFill="1" applyBorder="1" applyAlignment="1" applyProtection="1">
      <alignment vertical="center" readingOrder="2"/>
      <protection hidden="1"/>
    </xf>
    <xf numFmtId="0" fontId="58" fillId="48" borderId="0" xfId="73" applyFont="1" applyFill="1" applyBorder="1" applyAlignment="1" applyProtection="1">
      <alignment horizontal="right" vertical="center" readingOrder="2"/>
      <protection hidden="1"/>
    </xf>
    <xf numFmtId="0" fontId="58" fillId="48" borderId="0" xfId="73" applyFont="1" applyFill="1" applyBorder="1" applyAlignment="1" applyProtection="1">
      <alignment horizontal="left" vertical="center" readingOrder="2"/>
      <protection hidden="1"/>
    </xf>
    <xf numFmtId="0" fontId="1" fillId="0" borderId="70" xfId="70" applyFill="1" applyBorder="1" applyAlignment="1" applyProtection="1">
      <protection hidden="1"/>
    </xf>
    <xf numFmtId="0" fontId="1" fillId="0" borderId="0" xfId="73" applyFill="1" applyBorder="1" applyAlignment="1" applyProtection="1">
      <protection hidden="1"/>
    </xf>
    <xf numFmtId="0" fontId="7" fillId="48" borderId="70" xfId="70" applyFont="1" applyFill="1" applyBorder="1" applyAlignment="1" applyProtection="1">
      <alignment horizontal="right" vertical="center" readingOrder="2"/>
      <protection hidden="1"/>
    </xf>
    <xf numFmtId="0" fontId="1" fillId="48" borderId="0" xfId="73" applyFill="1" applyBorder="1" applyAlignment="1" applyProtection="1">
      <protection hidden="1"/>
    </xf>
    <xf numFmtId="0" fontId="1" fillId="0" borderId="0" xfId="73" applyFill="1" applyBorder="1" applyProtection="1">
      <protection hidden="1"/>
    </xf>
    <xf numFmtId="0" fontId="0" fillId="57" borderId="70" xfId="0" applyFill="1" applyBorder="1" applyProtection="1">
      <protection hidden="1"/>
    </xf>
    <xf numFmtId="0" fontId="0" fillId="57" borderId="0" xfId="0" applyFill="1" applyBorder="1" applyProtection="1">
      <protection hidden="1"/>
    </xf>
    <xf numFmtId="0" fontId="58" fillId="57" borderId="0" xfId="73" applyFont="1" applyFill="1" applyBorder="1" applyAlignment="1" applyProtection="1">
      <alignment horizontal="center" vertical="center" readingOrder="2"/>
      <protection hidden="1"/>
    </xf>
    <xf numFmtId="0" fontId="208" fillId="57" borderId="0" xfId="70" applyFont="1" applyFill="1" applyBorder="1" applyAlignment="1" applyProtection="1">
      <alignment horizontal="right" vertical="center" readingOrder="2"/>
      <protection hidden="1"/>
    </xf>
    <xf numFmtId="0" fontId="208" fillId="57" borderId="0" xfId="70" applyFont="1" applyFill="1" applyBorder="1" applyAlignment="1" applyProtection="1">
      <alignment vertical="center" readingOrder="2"/>
      <protection hidden="1"/>
    </xf>
    <xf numFmtId="0" fontId="209" fillId="57" borderId="0" xfId="70" applyFont="1" applyFill="1" applyBorder="1" applyAlignment="1" applyProtection="1">
      <alignment vertical="center"/>
      <protection hidden="1"/>
    </xf>
    <xf numFmtId="0" fontId="323" fillId="57" borderId="0" xfId="0" applyFont="1" applyFill="1" applyBorder="1" applyAlignment="1" applyProtection="1">
      <alignment horizontal="left" vertical="center"/>
      <protection hidden="1"/>
    </xf>
    <xf numFmtId="0" fontId="209" fillId="57" borderId="0" xfId="70" applyFont="1" applyFill="1" applyBorder="1" applyAlignment="1" applyProtection="1">
      <alignment horizontal="left" vertical="center"/>
      <protection hidden="1"/>
    </xf>
    <xf numFmtId="0" fontId="209" fillId="57" borderId="43" xfId="73" applyFont="1" applyFill="1" applyBorder="1" applyAlignment="1" applyProtection="1">
      <alignment vertical="center"/>
      <protection hidden="1"/>
    </xf>
    <xf numFmtId="0" fontId="0" fillId="51" borderId="497" xfId="0" applyFill="1" applyBorder="1" applyProtection="1">
      <protection hidden="1"/>
    </xf>
    <xf numFmtId="0" fontId="58" fillId="51" borderId="0" xfId="73" applyFont="1" applyFill="1" applyBorder="1" applyAlignment="1" applyProtection="1">
      <alignment horizontal="left" vertical="center" readingOrder="2"/>
      <protection hidden="1"/>
    </xf>
    <xf numFmtId="49" fontId="58" fillId="51" borderId="0" xfId="73" applyNumberFormat="1" applyFont="1" applyFill="1" applyBorder="1" applyAlignment="1" applyProtection="1">
      <alignment horizontal="center" vertical="center" readingOrder="2"/>
      <protection hidden="1"/>
    </xf>
    <xf numFmtId="0" fontId="7" fillId="51" borderId="0" xfId="70" applyFont="1" applyFill="1" applyBorder="1" applyAlignment="1" applyProtection="1">
      <alignment horizontal="right" vertical="center" readingOrder="2"/>
      <protection hidden="1"/>
    </xf>
    <xf numFmtId="0" fontId="7" fillId="51" borderId="0" xfId="70" applyFont="1" applyFill="1" applyBorder="1" applyAlignment="1" applyProtection="1">
      <alignment horizontal="left" vertical="center" readingOrder="2"/>
      <protection hidden="1"/>
    </xf>
    <xf numFmtId="0" fontId="7" fillId="51" borderId="43" xfId="73" applyFont="1" applyFill="1" applyBorder="1" applyAlignment="1" applyProtection="1">
      <alignment vertical="center" readingOrder="2"/>
      <protection hidden="1"/>
    </xf>
    <xf numFmtId="0" fontId="0" fillId="48" borderId="70" xfId="0" applyFill="1" applyBorder="1" applyProtection="1">
      <protection hidden="1"/>
    </xf>
    <xf numFmtId="0" fontId="208" fillId="48" borderId="0" xfId="70" applyFont="1" applyFill="1" applyBorder="1" applyAlignment="1" applyProtection="1">
      <alignment horizontal="right" vertical="center" readingOrder="2"/>
      <protection hidden="1"/>
    </xf>
    <xf numFmtId="0" fontId="208" fillId="48" borderId="0" xfId="70" applyFont="1" applyFill="1" applyBorder="1" applyAlignment="1" applyProtection="1">
      <alignment vertical="center" readingOrder="2"/>
      <protection hidden="1"/>
    </xf>
    <xf numFmtId="0" fontId="209" fillId="48" borderId="0" xfId="70" applyFont="1" applyFill="1" applyBorder="1" applyAlignment="1" applyProtection="1">
      <alignment vertical="center"/>
      <protection hidden="1"/>
    </xf>
    <xf numFmtId="0" fontId="323" fillId="48" borderId="0" xfId="0" applyFont="1" applyFill="1" applyBorder="1" applyAlignment="1" applyProtection="1">
      <alignment horizontal="left" vertical="center"/>
      <protection hidden="1"/>
    </xf>
    <xf numFmtId="0" fontId="209" fillId="48" borderId="0" xfId="70" applyFont="1" applyFill="1" applyBorder="1" applyAlignment="1" applyProtection="1">
      <alignment horizontal="left" vertical="center"/>
      <protection hidden="1"/>
    </xf>
    <xf numFmtId="0" fontId="209" fillId="48" borderId="43" xfId="73" applyFont="1" applyFill="1" applyBorder="1" applyAlignment="1" applyProtection="1">
      <alignment vertical="center"/>
      <protection hidden="1"/>
    </xf>
    <xf numFmtId="0" fontId="0" fillId="0" borderId="70" xfId="0" applyBorder="1" applyProtection="1">
      <protection hidden="1"/>
    </xf>
    <xf numFmtId="0" fontId="209" fillId="26" borderId="43" xfId="73" applyFont="1" applyFill="1" applyBorder="1" applyAlignment="1" applyProtection="1">
      <alignment vertical="center"/>
      <protection hidden="1"/>
    </xf>
    <xf numFmtId="0" fontId="7" fillId="0" borderId="497" xfId="73" applyFont="1" applyFill="1" applyBorder="1" applyAlignment="1" applyProtection="1">
      <alignment horizontal="right" vertical="center" readingOrder="2"/>
    </xf>
    <xf numFmtId="0" fontId="2" fillId="0" borderId="498" xfId="73" applyFont="1" applyFill="1" applyBorder="1" applyAlignment="1" applyProtection="1">
      <alignment horizontal="center" vertical="center"/>
    </xf>
    <xf numFmtId="0" fontId="7" fillId="0" borderId="497" xfId="70" applyFont="1" applyFill="1" applyBorder="1" applyAlignment="1" applyProtection="1">
      <alignment horizontal="right" vertical="center" readingOrder="2"/>
    </xf>
    <xf numFmtId="0" fontId="7" fillId="0" borderId="0" xfId="70" applyFont="1" applyFill="1" applyBorder="1" applyAlignment="1" applyProtection="1">
      <alignment horizontal="right" vertical="center" readingOrder="2"/>
    </xf>
    <xf numFmtId="0" fontId="229" fillId="26" borderId="0" xfId="73" applyFont="1" applyFill="1" applyBorder="1" applyProtection="1"/>
    <xf numFmtId="0" fontId="91" fillId="48" borderId="0" xfId="73" applyFont="1" applyFill="1" applyBorder="1" applyAlignment="1" applyProtection="1">
      <alignment horizontal="right"/>
    </xf>
    <xf numFmtId="0" fontId="207" fillId="26" borderId="0" xfId="73" applyFont="1" applyFill="1" applyBorder="1" applyAlignment="1" applyProtection="1">
      <alignment vertical="center"/>
    </xf>
    <xf numFmtId="0" fontId="58" fillId="0" borderId="0" xfId="70" applyFont="1" applyFill="1" applyBorder="1" applyAlignment="1" applyProtection="1">
      <alignment vertical="center" readingOrder="2"/>
    </xf>
    <xf numFmtId="0" fontId="7" fillId="0" borderId="498" xfId="70" applyFont="1" applyFill="1" applyBorder="1" applyAlignment="1" applyProtection="1">
      <alignment vertical="center" readingOrder="2"/>
    </xf>
    <xf numFmtId="0" fontId="1" fillId="0" borderId="497" xfId="70" applyFill="1" applyBorder="1" applyAlignment="1" applyProtection="1">
      <alignment vertical="center"/>
    </xf>
    <xf numFmtId="0" fontId="1" fillId="0" borderId="0" xfId="70" applyFill="1" applyBorder="1" applyAlignment="1" applyProtection="1">
      <alignment vertical="center"/>
    </xf>
    <xf numFmtId="0" fontId="2" fillId="0" borderId="497" xfId="70" applyFont="1" applyFill="1" applyBorder="1" applyAlignment="1" applyProtection="1">
      <alignment vertical="center" readingOrder="1"/>
    </xf>
    <xf numFmtId="0" fontId="316" fillId="48" borderId="0" xfId="68" applyFont="1" applyFill="1" applyBorder="1" applyAlignment="1" applyProtection="1">
      <alignment horizontal="right" vertical="center" readingOrder="2"/>
    </xf>
    <xf numFmtId="0" fontId="2" fillId="48" borderId="498" xfId="73" applyFont="1" applyFill="1" applyBorder="1" applyAlignment="1" applyProtection="1">
      <alignment horizontal="center" vertical="center"/>
    </xf>
    <xf numFmtId="0" fontId="402" fillId="48" borderId="0" xfId="68" applyFont="1" applyFill="1" applyBorder="1" applyAlignment="1" applyProtection="1">
      <alignment horizontal="right" vertical="center" readingOrder="2"/>
    </xf>
    <xf numFmtId="0" fontId="7" fillId="48" borderId="497" xfId="73" applyFont="1" applyFill="1" applyBorder="1" applyAlignment="1" applyProtection="1">
      <alignment horizontal="left" vertical="center" readingOrder="2"/>
    </xf>
    <xf numFmtId="0" fontId="7" fillId="48" borderId="0" xfId="73" applyFont="1" applyFill="1" applyBorder="1" applyAlignment="1" applyProtection="1">
      <alignment vertical="center" readingOrder="2"/>
    </xf>
    <xf numFmtId="0" fontId="7" fillId="48" borderId="0" xfId="73" applyFont="1" applyFill="1" applyBorder="1" applyAlignment="1" applyProtection="1">
      <alignment vertical="center"/>
    </xf>
    <xf numFmtId="0" fontId="58" fillId="48" borderId="0" xfId="73" applyFont="1" applyFill="1" applyBorder="1" applyAlignment="1" applyProtection="1">
      <alignment vertical="center" readingOrder="2"/>
    </xf>
    <xf numFmtId="0" fontId="7" fillId="48" borderId="497" xfId="73" applyFont="1" applyFill="1" applyBorder="1" applyAlignment="1" applyProtection="1">
      <alignment vertical="center"/>
    </xf>
    <xf numFmtId="0" fontId="1" fillId="48" borderId="497" xfId="70" applyFill="1" applyBorder="1" applyAlignment="1" applyProtection="1">
      <alignment vertical="center"/>
    </xf>
    <xf numFmtId="0" fontId="1" fillId="48" borderId="0" xfId="77" applyFill="1" applyBorder="1" applyAlignment="1" applyProtection="1">
      <alignment vertical="center"/>
    </xf>
    <xf numFmtId="0" fontId="2" fillId="48" borderId="497" xfId="77" applyFont="1" applyFill="1" applyBorder="1" applyAlignment="1" applyProtection="1">
      <alignment vertical="center" readingOrder="1"/>
    </xf>
    <xf numFmtId="0" fontId="1" fillId="26" borderId="497" xfId="73" applyFill="1" applyBorder="1" applyProtection="1"/>
    <xf numFmtId="0" fontId="7" fillId="26" borderId="0" xfId="73" applyFont="1" applyFill="1" applyBorder="1" applyAlignment="1" applyProtection="1">
      <alignment horizontal="left" vertical="center" readingOrder="2"/>
    </xf>
    <xf numFmtId="0" fontId="0" fillId="26" borderId="0" xfId="0" applyFill="1" applyBorder="1" applyProtection="1"/>
    <xf numFmtId="0" fontId="2" fillId="51" borderId="498" xfId="73" applyFont="1" applyFill="1" applyBorder="1" applyAlignment="1" applyProtection="1">
      <alignment horizontal="center" vertical="center"/>
    </xf>
    <xf numFmtId="0" fontId="2" fillId="26" borderId="498" xfId="73" applyFont="1" applyFill="1" applyBorder="1" applyAlignment="1" applyProtection="1">
      <alignment horizontal="center" vertical="center"/>
    </xf>
    <xf numFmtId="0" fontId="0" fillId="0" borderId="497" xfId="0" applyBorder="1" applyProtection="1"/>
    <xf numFmtId="0" fontId="58" fillId="26" borderId="0" xfId="73" applyFont="1" applyFill="1" applyBorder="1" applyAlignment="1" applyProtection="1">
      <alignment horizontal="left" vertical="center" readingOrder="2"/>
    </xf>
    <xf numFmtId="0" fontId="7" fillId="0" borderId="0" xfId="64" applyFont="1" applyFill="1" applyBorder="1" applyAlignment="1" applyProtection="1">
      <alignment horizontal="left" vertical="center" readingOrder="2"/>
    </xf>
    <xf numFmtId="0" fontId="71" fillId="0" borderId="0" xfId="73" applyFont="1" applyFill="1" applyBorder="1" applyAlignment="1" applyProtection="1">
      <alignment horizontal="right"/>
    </xf>
    <xf numFmtId="0" fontId="411" fillId="48" borderId="0" xfId="0" applyFont="1" applyFill="1" applyBorder="1" applyProtection="1"/>
    <xf numFmtId="0" fontId="7" fillId="48" borderId="498" xfId="73" applyFont="1" applyFill="1" applyBorder="1" applyAlignment="1" applyProtection="1">
      <alignment vertical="center" readingOrder="2"/>
    </xf>
    <xf numFmtId="0" fontId="1" fillId="0" borderId="0" xfId="76" applyFill="1" applyBorder="1" applyProtection="1"/>
    <xf numFmtId="0" fontId="173" fillId="0" borderId="0" xfId="73" applyFont="1" applyBorder="1" applyProtection="1"/>
    <xf numFmtId="0" fontId="55" fillId="48" borderId="0" xfId="73" applyFont="1" applyFill="1" applyBorder="1" applyAlignment="1" applyProtection="1">
      <alignment horizontal="center" vertical="center" readingOrder="2"/>
    </xf>
    <xf numFmtId="0" fontId="55" fillId="48" borderId="0" xfId="73" applyFont="1" applyFill="1" applyBorder="1" applyAlignment="1" applyProtection="1">
      <alignment horizontal="right" vertical="center" readingOrder="2"/>
    </xf>
    <xf numFmtId="0" fontId="80" fillId="0" borderId="0" xfId="73" applyFont="1" applyFill="1" applyBorder="1" applyAlignment="1" applyProtection="1">
      <alignment horizontal="right" vertical="center" readingOrder="2"/>
    </xf>
    <xf numFmtId="0" fontId="2" fillId="48" borderId="0" xfId="73" applyFont="1" applyFill="1" applyBorder="1" applyAlignment="1" applyProtection="1">
      <alignment horizontal="center" vertical="center"/>
    </xf>
    <xf numFmtId="0" fontId="2" fillId="48" borderId="0" xfId="73" applyFont="1" applyFill="1" applyBorder="1" applyAlignment="1" applyProtection="1">
      <alignment vertical="center" readingOrder="2"/>
    </xf>
    <xf numFmtId="0" fontId="1" fillId="48" borderId="497" xfId="73" applyFill="1" applyBorder="1" applyAlignment="1" applyProtection="1">
      <alignment vertical="center"/>
    </xf>
    <xf numFmtId="0" fontId="80" fillId="48" borderId="0" xfId="73" applyFont="1" applyFill="1" applyBorder="1" applyAlignment="1" applyProtection="1">
      <alignment horizontal="right" vertical="center" readingOrder="2"/>
    </xf>
    <xf numFmtId="0" fontId="58" fillId="48" borderId="0" xfId="73" applyFont="1" applyFill="1" applyBorder="1" applyAlignment="1" applyProtection="1">
      <alignment vertical="center" readingOrder="1"/>
    </xf>
    <xf numFmtId="0" fontId="2" fillId="48" borderId="0" xfId="73" applyFont="1" applyFill="1" applyBorder="1" applyAlignment="1" applyProtection="1">
      <alignment vertical="center" readingOrder="1"/>
    </xf>
    <xf numFmtId="0" fontId="58" fillId="48" borderId="0" xfId="73" applyFont="1" applyFill="1" applyBorder="1" applyAlignment="1" applyProtection="1">
      <alignment horizontal="center" vertical="center" readingOrder="1"/>
    </xf>
    <xf numFmtId="0" fontId="7" fillId="48" borderId="0" xfId="64" applyFont="1" applyFill="1" applyBorder="1" applyAlignment="1" applyProtection="1">
      <alignment horizontal="left" vertical="center" readingOrder="2"/>
    </xf>
    <xf numFmtId="0" fontId="58" fillId="48" borderId="0" xfId="73" applyFont="1" applyFill="1" applyBorder="1" applyAlignment="1" applyProtection="1">
      <alignment horizontal="right" vertical="center" readingOrder="2"/>
    </xf>
    <xf numFmtId="0" fontId="0" fillId="48" borderId="497" xfId="0" applyFill="1" applyBorder="1" applyProtection="1"/>
    <xf numFmtId="0" fontId="2" fillId="48" borderId="498" xfId="64" applyFont="1" applyFill="1" applyBorder="1" applyAlignment="1" applyProtection="1">
      <alignment horizontal="center" vertical="center"/>
    </xf>
    <xf numFmtId="0" fontId="1" fillId="48" borderId="497" xfId="64" applyFill="1" applyBorder="1" applyAlignment="1" applyProtection="1">
      <alignment vertical="center"/>
    </xf>
    <xf numFmtId="0" fontId="2" fillId="48" borderId="0" xfId="64" applyFont="1" applyFill="1" applyBorder="1" applyAlignment="1" applyProtection="1">
      <alignment horizontal="center" vertical="center"/>
    </xf>
    <xf numFmtId="0" fontId="2" fillId="48" borderId="0" xfId="64" applyFont="1" applyFill="1" applyBorder="1" applyAlignment="1" applyProtection="1">
      <alignment vertical="center" readingOrder="2"/>
    </xf>
    <xf numFmtId="0" fontId="2" fillId="48" borderId="0" xfId="64" applyFont="1" applyFill="1" applyBorder="1" applyAlignment="1" applyProtection="1">
      <alignment vertical="center" readingOrder="1"/>
    </xf>
    <xf numFmtId="0" fontId="2" fillId="48" borderId="0" xfId="64" applyFont="1" applyFill="1" applyBorder="1" applyAlignment="1" applyProtection="1">
      <alignment horizontal="center" vertical="center" readingOrder="1"/>
    </xf>
    <xf numFmtId="0" fontId="7" fillId="48" borderId="498" xfId="64" applyFont="1" applyFill="1" applyBorder="1" applyAlignment="1" applyProtection="1">
      <alignment vertical="center" readingOrder="2"/>
    </xf>
    <xf numFmtId="0" fontId="7" fillId="48" borderId="497" xfId="64" applyFont="1" applyFill="1" applyBorder="1" applyAlignment="1" applyProtection="1">
      <alignment horizontal="right" vertical="center" readingOrder="2"/>
    </xf>
    <xf numFmtId="0" fontId="373" fillId="0" borderId="0" xfId="0" applyFont="1" applyAlignment="1" applyProtection="1">
      <alignment horizontal="center" vertical="center"/>
    </xf>
    <xf numFmtId="0" fontId="3" fillId="48" borderId="0" xfId="73" applyFont="1" applyFill="1" applyBorder="1" applyAlignment="1" applyProtection="1">
      <alignment readingOrder="2"/>
    </xf>
    <xf numFmtId="0" fontId="61" fillId="48" borderId="0" xfId="73" applyFont="1" applyFill="1" applyBorder="1" applyAlignment="1" applyProtection="1">
      <alignment readingOrder="2"/>
    </xf>
    <xf numFmtId="0" fontId="411" fillId="0" borderId="0" xfId="0" applyFont="1" applyBorder="1" applyProtection="1"/>
    <xf numFmtId="0" fontId="318" fillId="48" borderId="0" xfId="73" applyFont="1" applyFill="1" applyBorder="1" applyAlignment="1" applyProtection="1">
      <alignment horizontal="right"/>
    </xf>
    <xf numFmtId="0" fontId="7" fillId="48" borderId="70" xfId="73" applyFont="1" applyFill="1" applyBorder="1" applyAlignment="1" applyProtection="1">
      <alignment horizontal="right" vertical="center" readingOrder="2"/>
    </xf>
    <xf numFmtId="0" fontId="0" fillId="0" borderId="0" xfId="0" applyBorder="1" applyAlignment="1" applyProtection="1"/>
    <xf numFmtId="0" fontId="2" fillId="48" borderId="43" xfId="73" applyFont="1" applyFill="1" applyBorder="1" applyAlignment="1" applyProtection="1">
      <alignment horizontal="center" vertical="center"/>
    </xf>
    <xf numFmtId="0" fontId="71" fillId="48" borderId="0" xfId="73" applyFont="1" applyFill="1" applyBorder="1" applyAlignment="1" applyProtection="1">
      <alignment horizontal="right"/>
    </xf>
    <xf numFmtId="0" fontId="0" fillId="0" borderId="0" xfId="0" applyAlignment="1" applyProtection="1"/>
    <xf numFmtId="0" fontId="317" fillId="48" borderId="0" xfId="73" applyFont="1" applyFill="1" applyBorder="1" applyAlignment="1" applyProtection="1">
      <alignment horizontal="right"/>
    </xf>
    <xf numFmtId="0" fontId="430" fillId="0" borderId="0" xfId="0" applyFont="1" applyAlignment="1" applyProtection="1"/>
    <xf numFmtId="0" fontId="373" fillId="0" borderId="497" xfId="0" applyFont="1" applyBorder="1" applyAlignment="1" applyProtection="1">
      <alignment horizontal="center" vertical="center"/>
    </xf>
    <xf numFmtId="0" fontId="373" fillId="0" borderId="0" xfId="0" applyFont="1" applyBorder="1" applyAlignment="1" applyProtection="1">
      <alignment horizontal="center" vertical="center"/>
    </xf>
    <xf numFmtId="0" fontId="0" fillId="51" borderId="497" xfId="0" applyFill="1" applyBorder="1" applyProtection="1"/>
    <xf numFmtId="49" fontId="7" fillId="51" borderId="0" xfId="73" applyNumberFormat="1" applyFont="1" applyFill="1" applyBorder="1" applyAlignment="1" applyProtection="1">
      <alignment horizontal="right" vertical="center" readingOrder="2"/>
    </xf>
    <xf numFmtId="49" fontId="7" fillId="51" borderId="0" xfId="73" applyNumberFormat="1" applyFont="1" applyFill="1" applyBorder="1" applyAlignment="1" applyProtection="1">
      <alignment horizontal="left" vertical="center"/>
    </xf>
    <xf numFmtId="49" fontId="58" fillId="51" borderId="0" xfId="73" applyNumberFormat="1" applyFont="1" applyFill="1" applyBorder="1" applyAlignment="1" applyProtection="1">
      <alignment horizontal="center" vertical="center" readingOrder="2"/>
    </xf>
    <xf numFmtId="0" fontId="7" fillId="51" borderId="0" xfId="73" applyFont="1" applyFill="1" applyBorder="1" applyAlignment="1" applyProtection="1">
      <alignment horizontal="center" vertical="center" readingOrder="2"/>
    </xf>
    <xf numFmtId="0" fontId="7" fillId="51" borderId="43" xfId="73" applyFont="1" applyFill="1" applyBorder="1" applyAlignment="1" applyProtection="1">
      <alignment vertical="center" readingOrder="2"/>
    </xf>
    <xf numFmtId="0" fontId="7" fillId="0" borderId="43" xfId="73" applyFont="1" applyFill="1" applyBorder="1" applyAlignment="1" applyProtection="1">
      <alignment vertical="center" readingOrder="2"/>
    </xf>
    <xf numFmtId="0" fontId="2" fillId="48" borderId="0" xfId="73" applyFont="1" applyFill="1" applyBorder="1" applyAlignment="1" applyProtection="1">
      <alignment horizontal="right" vertical="center" readingOrder="2"/>
    </xf>
    <xf numFmtId="0" fontId="7" fillId="0" borderId="0" xfId="73" applyFont="1" applyFill="1" applyBorder="1" applyAlignment="1" applyProtection="1">
      <alignment horizontal="center" vertical="center" readingOrder="2"/>
    </xf>
    <xf numFmtId="0" fontId="229" fillId="0" borderId="0" xfId="73" applyFont="1" applyFill="1" applyBorder="1" applyAlignment="1" applyProtection="1"/>
    <xf numFmtId="0" fontId="2" fillId="0" borderId="0" xfId="73" applyFont="1" applyFill="1" applyBorder="1" applyAlignment="1" applyProtection="1">
      <alignment horizontal="left" vertical="center"/>
    </xf>
    <xf numFmtId="0" fontId="3" fillId="48" borderId="0" xfId="73" applyFont="1" applyFill="1" applyBorder="1" applyAlignment="1" applyProtection="1">
      <alignment vertical="center" readingOrder="2"/>
    </xf>
    <xf numFmtId="0" fontId="379" fillId="0" borderId="0" xfId="0" applyFont="1" applyBorder="1" applyProtection="1"/>
    <xf numFmtId="0" fontId="236" fillId="48" borderId="0" xfId="73" applyFont="1" applyFill="1" applyBorder="1" applyAlignment="1" applyProtection="1">
      <alignment horizontal="left" vertical="center" readingOrder="2"/>
    </xf>
    <xf numFmtId="0" fontId="7" fillId="0" borderId="0" xfId="73" applyFont="1" applyFill="1" applyBorder="1" applyAlignment="1" applyProtection="1">
      <alignment vertical="center" readingOrder="2"/>
    </xf>
    <xf numFmtId="0" fontId="7" fillId="0" borderId="0" xfId="73" applyFont="1" applyFill="1" applyBorder="1" applyAlignment="1" applyProtection="1">
      <alignment horizontal="left" vertical="center" readingOrder="2"/>
    </xf>
    <xf numFmtId="0" fontId="7" fillId="0" borderId="0" xfId="64" applyFont="1" applyFill="1" applyBorder="1" applyAlignment="1" applyProtection="1">
      <alignment horizontal="center" vertical="center" readingOrder="2"/>
    </xf>
    <xf numFmtId="0" fontId="2" fillId="48" borderId="0" xfId="73" applyFont="1" applyFill="1" applyBorder="1" applyAlignment="1" applyProtection="1">
      <alignment horizontal="center" vertical="center" readingOrder="2"/>
    </xf>
    <xf numFmtId="0" fontId="3" fillId="48" borderId="0" xfId="73" applyFont="1" applyFill="1" applyBorder="1" applyAlignment="1" applyProtection="1">
      <alignment horizontal="right" vertical="center" readingOrder="2"/>
    </xf>
    <xf numFmtId="0" fontId="4" fillId="48" borderId="0" xfId="73" applyFont="1" applyFill="1" applyBorder="1" applyAlignment="1" applyProtection="1">
      <alignment horizontal="center" vertical="center" readingOrder="2"/>
    </xf>
    <xf numFmtId="0" fontId="2" fillId="48" borderId="0" xfId="73" applyFont="1" applyFill="1" applyBorder="1" applyAlignment="1" applyProtection="1">
      <alignment horizontal="left" vertical="center"/>
    </xf>
    <xf numFmtId="0" fontId="7" fillId="0" borderId="43" xfId="73" applyFont="1" applyFill="1" applyBorder="1" applyAlignment="1" applyProtection="1">
      <alignment horizontal="left" vertical="center" readingOrder="2"/>
    </xf>
    <xf numFmtId="0" fontId="1" fillId="0" borderId="0" xfId="73" applyBorder="1" applyAlignment="1" applyProtection="1">
      <alignment vertical="center"/>
    </xf>
    <xf numFmtId="0" fontId="65" fillId="48" borderId="0" xfId="73" applyFont="1" applyFill="1" applyBorder="1" applyAlignment="1" applyProtection="1">
      <alignment vertical="center"/>
    </xf>
    <xf numFmtId="0" fontId="1" fillId="48" borderId="0" xfId="73" applyFill="1" applyBorder="1" applyAlignment="1" applyProtection="1">
      <alignment vertical="center"/>
    </xf>
    <xf numFmtId="0" fontId="487" fillId="48" borderId="0" xfId="73" applyFont="1" applyFill="1" applyBorder="1" applyAlignment="1" applyProtection="1">
      <alignment vertical="center"/>
    </xf>
    <xf numFmtId="0" fontId="1" fillId="48" borderId="0" xfId="73" applyFill="1" applyBorder="1" applyAlignment="1" applyProtection="1">
      <alignment horizontal="right" vertical="center"/>
    </xf>
    <xf numFmtId="0" fontId="1" fillId="48" borderId="0" xfId="73" applyFill="1" applyBorder="1" applyAlignment="1" applyProtection="1">
      <alignment horizontal="left" vertical="center"/>
    </xf>
    <xf numFmtId="0" fontId="58" fillId="48" borderId="0" xfId="73" applyFont="1" applyFill="1" applyBorder="1" applyAlignment="1" applyProtection="1">
      <alignment horizontal="left" vertical="center"/>
    </xf>
    <xf numFmtId="0" fontId="3" fillId="48" borderId="0" xfId="73" applyFont="1" applyFill="1" applyBorder="1" applyAlignment="1" applyProtection="1">
      <alignment horizontal="center" vertical="center"/>
    </xf>
    <xf numFmtId="0" fontId="58" fillId="26" borderId="0" xfId="73" applyFont="1" applyFill="1" applyBorder="1" applyAlignment="1" applyProtection="1">
      <alignment vertical="center" readingOrder="2"/>
    </xf>
    <xf numFmtId="0" fontId="2" fillId="0" borderId="0" xfId="73" applyFont="1" applyFill="1" applyBorder="1" applyAlignment="1" applyProtection="1">
      <alignment horizontal="left" vertical="center" readingOrder="2"/>
    </xf>
    <xf numFmtId="0" fontId="487" fillId="0" borderId="0" xfId="73" applyFont="1" applyBorder="1" applyAlignment="1" applyProtection="1">
      <alignment vertical="center"/>
    </xf>
    <xf numFmtId="0" fontId="1" fillId="0" borderId="0" xfId="73" applyBorder="1" applyAlignment="1" applyProtection="1">
      <alignment horizontal="right" vertical="center"/>
    </xf>
    <xf numFmtId="0" fontId="1" fillId="0" borderId="0" xfId="73" applyBorder="1" applyAlignment="1" applyProtection="1">
      <alignment horizontal="left" vertical="center"/>
    </xf>
    <xf numFmtId="0" fontId="58" fillId="0" borderId="0" xfId="73" applyFont="1" applyBorder="1" applyAlignment="1" applyProtection="1">
      <alignment horizontal="left" vertical="center"/>
    </xf>
    <xf numFmtId="0" fontId="1" fillId="0" borderId="43" xfId="73" applyBorder="1" applyAlignment="1" applyProtection="1">
      <alignment horizontal="left" vertical="center"/>
    </xf>
    <xf numFmtId="0" fontId="66" fillId="0" borderId="0" xfId="73" applyFont="1" applyFill="1" applyBorder="1" applyAlignment="1" applyProtection="1"/>
    <xf numFmtId="0" fontId="61" fillId="48" borderId="0" xfId="73" applyFont="1" applyFill="1" applyBorder="1" applyAlignment="1" applyProtection="1">
      <alignment horizontal="center" vertical="center" readingOrder="2"/>
    </xf>
    <xf numFmtId="0" fontId="2" fillId="48" borderId="164" xfId="73" applyFont="1" applyFill="1" applyBorder="1" applyAlignment="1" applyProtection="1">
      <alignment horizontal="center"/>
    </xf>
    <xf numFmtId="0" fontId="2" fillId="48" borderId="41" xfId="73" applyFont="1" applyFill="1" applyBorder="1" applyAlignment="1" applyProtection="1">
      <alignment horizontal="center"/>
    </xf>
    <xf numFmtId="0" fontId="2" fillId="48" borderId="216" xfId="73" applyFont="1" applyFill="1" applyBorder="1" applyAlignment="1" applyProtection="1">
      <alignment horizontal="center"/>
    </xf>
    <xf numFmtId="0" fontId="493" fillId="51" borderId="0" xfId="74" applyFont="1" applyFill="1" applyBorder="1" applyAlignment="1">
      <alignment vertical="center"/>
    </xf>
    <xf numFmtId="0" fontId="410" fillId="48" borderId="0" xfId="73" applyFont="1" applyFill="1" applyBorder="1" applyAlignment="1">
      <alignment horizontal="left" vertical="center" readingOrder="2"/>
    </xf>
    <xf numFmtId="0" fontId="62" fillId="83" borderId="497" xfId="68" applyFont="1" applyFill="1" applyBorder="1" applyAlignment="1" applyProtection="1">
      <alignment horizontal="center" vertical="center" readingOrder="2"/>
    </xf>
    <xf numFmtId="0" fontId="62" fillId="83" borderId="0" xfId="68" applyFont="1" applyFill="1" applyBorder="1" applyAlignment="1" applyProtection="1">
      <alignment horizontal="center" vertical="center" readingOrder="2"/>
    </xf>
    <xf numFmtId="0" fontId="62" fillId="83" borderId="0" xfId="68" applyFont="1" applyFill="1" applyBorder="1" applyAlignment="1" applyProtection="1">
      <alignment horizontal="center" vertical="center" readingOrder="2"/>
      <protection hidden="1"/>
    </xf>
    <xf numFmtId="0" fontId="494" fillId="0" borderId="0" xfId="0" applyFont="1"/>
    <xf numFmtId="0" fontId="495" fillId="48" borderId="0" xfId="68" applyFont="1" applyFill="1" applyBorder="1" applyAlignment="1" applyProtection="1">
      <alignment horizontal="center" vertical="center" readingOrder="2"/>
      <protection hidden="1"/>
    </xf>
    <xf numFmtId="0" fontId="496" fillId="48" borderId="0" xfId="76" applyFont="1" applyFill="1" applyBorder="1" applyAlignment="1">
      <alignment horizontal="left"/>
    </xf>
    <xf numFmtId="0" fontId="497" fillId="48" borderId="0" xfId="76" applyFont="1" applyFill="1" applyBorder="1" applyAlignment="1">
      <alignment horizontal="left"/>
    </xf>
    <xf numFmtId="0" fontId="369" fillId="48" borderId="6" xfId="0" applyFont="1" applyFill="1" applyBorder="1" applyAlignment="1" applyProtection="1">
      <protection hidden="1"/>
    </xf>
    <xf numFmtId="0" fontId="369" fillId="48" borderId="0" xfId="0" applyFont="1" applyFill="1" applyAlignment="1" applyProtection="1">
      <protection hidden="1"/>
    </xf>
    <xf numFmtId="0" fontId="62" fillId="51" borderId="0" xfId="64" applyFont="1" applyFill="1" applyBorder="1" applyAlignment="1" applyProtection="1">
      <alignment horizontal="right" vertical="center" readingOrder="2"/>
    </xf>
    <xf numFmtId="0" fontId="367" fillId="0" borderId="0" xfId="0" applyFont="1" applyBorder="1" applyProtection="1"/>
    <xf numFmtId="0" fontId="2" fillId="48" borderId="0" xfId="73" applyFont="1" applyFill="1" applyBorder="1" applyAlignment="1" applyProtection="1">
      <alignment horizontal="center" vertical="center"/>
      <protection hidden="1"/>
    </xf>
    <xf numFmtId="0" fontId="60" fillId="48" borderId="0" xfId="73" applyFont="1" applyFill="1" applyBorder="1" applyAlignment="1" applyProtection="1">
      <alignment horizontal="right" vertical="center" readingOrder="2"/>
    </xf>
    <xf numFmtId="0" fontId="4" fillId="51" borderId="0" xfId="64" applyFont="1" applyFill="1" applyBorder="1" applyAlignment="1" applyProtection="1">
      <alignment vertical="top"/>
    </xf>
    <xf numFmtId="0" fontId="7" fillId="26" borderId="498" xfId="73" applyFont="1" applyFill="1" applyBorder="1" applyAlignment="1" applyProtection="1">
      <alignment vertical="center" readingOrder="2"/>
      <protection hidden="1"/>
    </xf>
    <xf numFmtId="0" fontId="474" fillId="51" borderId="0" xfId="73" applyFont="1" applyFill="1" applyBorder="1" applyAlignment="1" applyProtection="1">
      <alignment vertical="center"/>
      <protection hidden="1"/>
    </xf>
    <xf numFmtId="0" fontId="81" fillId="0" borderId="645" xfId="73" applyFont="1" applyFill="1" applyBorder="1" applyAlignment="1" applyProtection="1">
      <alignment horizontal="right"/>
      <protection hidden="1"/>
    </xf>
    <xf numFmtId="0" fontId="181" fillId="0" borderId="0" xfId="73" applyFont="1" applyFill="1" applyBorder="1" applyAlignment="1" applyProtection="1">
      <alignment horizontal="right" vertical="center"/>
      <protection hidden="1"/>
    </xf>
    <xf numFmtId="0" fontId="91" fillId="48" borderId="0" xfId="73" applyFont="1" applyFill="1" applyBorder="1" applyAlignment="1" applyProtection="1">
      <alignment horizontal="right"/>
      <protection hidden="1"/>
    </xf>
    <xf numFmtId="0" fontId="2" fillId="0" borderId="43" xfId="73" applyFont="1" applyFill="1" applyBorder="1" applyAlignment="1" applyProtection="1">
      <alignment vertical="center" readingOrder="2"/>
      <protection hidden="1"/>
    </xf>
    <xf numFmtId="3" fontId="89" fillId="26" borderId="244" xfId="64" applyNumberFormat="1" applyFont="1" applyFill="1" applyBorder="1" applyAlignment="1" applyProtection="1">
      <alignment horizontal="center" vertical="center" wrapText="1" readingOrder="1"/>
    </xf>
    <xf numFmtId="0" fontId="2" fillId="48" borderId="0" xfId="73" applyFont="1" applyFill="1" applyBorder="1" applyAlignment="1" applyProtection="1">
      <alignment horizontal="right" vertical="center"/>
    </xf>
    <xf numFmtId="0" fontId="2" fillId="48" borderId="497" xfId="64" applyFont="1" applyFill="1" applyBorder="1" applyAlignment="1" applyProtection="1">
      <alignment vertical="center" readingOrder="1"/>
    </xf>
    <xf numFmtId="0" fontId="61" fillId="48" borderId="497" xfId="73" applyFont="1" applyFill="1" applyBorder="1" applyAlignment="1" applyProtection="1">
      <alignment vertical="center" readingOrder="2"/>
    </xf>
    <xf numFmtId="0" fontId="71" fillId="0" borderId="497" xfId="73" applyFont="1" applyFill="1" applyBorder="1" applyAlignment="1" applyProtection="1">
      <alignment horizontal="right"/>
    </xf>
    <xf numFmtId="0" fontId="71" fillId="48" borderId="497" xfId="73" applyFont="1" applyFill="1" applyBorder="1" applyAlignment="1" applyProtection="1">
      <alignment horizontal="right"/>
    </xf>
    <xf numFmtId="0" fontId="61" fillId="51" borderId="0" xfId="73" applyFont="1" applyFill="1" applyBorder="1" applyAlignment="1" applyProtection="1">
      <alignment horizontal="right" vertical="center" readingOrder="2"/>
    </xf>
    <xf numFmtId="0" fontId="498" fillId="51" borderId="497" xfId="73" applyFont="1" applyFill="1" applyBorder="1" applyAlignment="1" applyProtection="1">
      <alignment horizontal="right" vertical="center" readingOrder="2"/>
    </xf>
    <xf numFmtId="0" fontId="499" fillId="48" borderId="0" xfId="64" applyFont="1" applyFill="1" applyBorder="1" applyAlignment="1" applyProtection="1">
      <alignment vertical="top"/>
    </xf>
    <xf numFmtId="3" fontId="81" fillId="26" borderId="244" xfId="64" applyNumberFormat="1" applyFont="1" applyFill="1" applyBorder="1" applyAlignment="1" applyProtection="1">
      <alignment horizontal="center" vertical="center" wrapText="1" readingOrder="1"/>
    </xf>
    <xf numFmtId="3" fontId="81" fillId="26" borderId="0" xfId="64" applyNumberFormat="1" applyFont="1" applyFill="1" applyBorder="1" applyAlignment="1" applyProtection="1">
      <alignment horizontal="center" vertical="center" wrapText="1" readingOrder="1"/>
    </xf>
    <xf numFmtId="3" fontId="81" fillId="26" borderId="244" xfId="64" applyNumberFormat="1" applyFont="1" applyFill="1" applyBorder="1" applyAlignment="1" applyProtection="1">
      <alignment horizontal="center" vertical="top" wrapText="1" readingOrder="1"/>
    </xf>
    <xf numFmtId="0" fontId="320" fillId="48" borderId="514" xfId="68" applyFont="1" applyFill="1" applyBorder="1" applyAlignment="1" applyProtection="1">
      <alignment horizontal="right" vertical="center" readingOrder="2"/>
      <protection hidden="1"/>
    </xf>
    <xf numFmtId="0" fontId="320" fillId="48" borderId="514" xfId="68" applyFont="1" applyFill="1" applyBorder="1" applyAlignment="1" applyProtection="1">
      <alignment horizontal="center" vertical="center" readingOrder="2"/>
      <protection hidden="1"/>
    </xf>
    <xf numFmtId="3" fontId="89" fillId="48" borderId="0" xfId="64" applyNumberFormat="1" applyFont="1" applyFill="1" applyBorder="1" applyAlignment="1" applyProtection="1">
      <alignment horizontal="right" vertical="center" wrapText="1" readingOrder="1"/>
    </xf>
    <xf numFmtId="0" fontId="367" fillId="48" borderId="0" xfId="0" applyFont="1" applyFill="1" applyBorder="1" applyAlignment="1" applyProtection="1">
      <alignment horizontal="right"/>
    </xf>
    <xf numFmtId="3" fontId="81" fillId="48" borderId="0" xfId="64" applyNumberFormat="1" applyFont="1" applyFill="1" applyBorder="1" applyAlignment="1" applyProtection="1">
      <alignment horizontal="right" vertical="center" wrapText="1" readingOrder="1"/>
    </xf>
    <xf numFmtId="0" fontId="313" fillId="48" borderId="0" xfId="0" applyFont="1" applyFill="1" applyBorder="1" applyAlignment="1" applyProtection="1">
      <alignment horizontal="right"/>
    </xf>
    <xf numFmtId="0" fontId="313" fillId="0" borderId="0" xfId="0" applyFont="1"/>
    <xf numFmtId="0" fontId="303" fillId="48" borderId="0" xfId="64" applyFont="1" applyFill="1" applyBorder="1" applyAlignment="1" applyProtection="1">
      <alignment vertical="center"/>
      <protection hidden="1"/>
    </xf>
    <xf numFmtId="0" fontId="7" fillId="26" borderId="6" xfId="73" applyFont="1" applyFill="1" applyBorder="1" applyAlignment="1" applyProtection="1">
      <alignment vertical="center" readingOrder="2"/>
      <protection locked="0"/>
    </xf>
    <xf numFmtId="3" fontId="91" fillId="26" borderId="244" xfId="64" applyNumberFormat="1" applyFont="1" applyFill="1" applyBorder="1" applyAlignment="1" applyProtection="1">
      <alignment horizontal="center" vertical="center" wrapText="1" readingOrder="1"/>
    </xf>
    <xf numFmtId="0" fontId="89" fillId="0" borderId="0" xfId="73" applyFont="1" applyFill="1" applyBorder="1" applyAlignment="1" applyProtection="1">
      <alignment horizontal="right" vertical="center"/>
      <protection hidden="1"/>
    </xf>
    <xf numFmtId="0" fontId="89" fillId="0" borderId="122" xfId="73" applyFont="1" applyFill="1" applyBorder="1" applyAlignment="1" applyProtection="1">
      <alignment horizontal="right" vertical="center"/>
      <protection hidden="1"/>
    </xf>
    <xf numFmtId="0" fontId="71" fillId="0" borderId="0" xfId="73" applyFont="1" applyFill="1" applyBorder="1" applyAlignment="1" applyProtection="1">
      <alignment horizontal="right" vertical="center"/>
      <protection hidden="1"/>
    </xf>
    <xf numFmtId="0" fontId="367" fillId="0" borderId="0" xfId="0" applyFont="1" applyBorder="1" applyAlignment="1" applyProtection="1">
      <alignment vertical="center"/>
      <protection hidden="1"/>
    </xf>
    <xf numFmtId="0" fontId="89" fillId="48" borderId="0" xfId="73" applyFont="1" applyFill="1" applyBorder="1" applyAlignment="1" applyProtection="1">
      <alignment vertical="center"/>
      <protection hidden="1"/>
    </xf>
    <xf numFmtId="0" fontId="367" fillId="0" borderId="0" xfId="0" applyFont="1" applyAlignment="1" applyProtection="1">
      <alignment vertical="center"/>
      <protection hidden="1"/>
    </xf>
    <xf numFmtId="0" fontId="1" fillId="0" borderId="0" xfId="73" applyFont="1" applyBorder="1" applyAlignment="1" applyProtection="1">
      <alignment vertical="center"/>
      <protection hidden="1"/>
    </xf>
    <xf numFmtId="0" fontId="89" fillId="48" borderId="0" xfId="73" applyFont="1" applyFill="1" applyBorder="1" applyAlignment="1" applyProtection="1">
      <alignment horizontal="right" vertical="center"/>
      <protection hidden="1"/>
    </xf>
    <xf numFmtId="0" fontId="1" fillId="48" borderId="0" xfId="73" applyFont="1" applyFill="1" applyBorder="1" applyAlignment="1" applyProtection="1">
      <alignment vertical="center"/>
      <protection hidden="1"/>
    </xf>
    <xf numFmtId="0" fontId="367" fillId="48" borderId="0" xfId="0" applyFont="1" applyFill="1" applyBorder="1" applyAlignment="1" applyProtection="1">
      <alignment vertical="center"/>
      <protection hidden="1"/>
    </xf>
    <xf numFmtId="0" fontId="367" fillId="48" borderId="0" xfId="0" applyFont="1" applyFill="1" applyAlignment="1" applyProtection="1">
      <alignment vertical="center"/>
      <protection hidden="1"/>
    </xf>
    <xf numFmtId="0" fontId="89" fillId="0" borderId="0" xfId="73" applyFont="1" applyFill="1" applyBorder="1" applyAlignment="1" applyProtection="1">
      <alignment horizontal="right"/>
      <protection hidden="1"/>
    </xf>
    <xf numFmtId="0" fontId="71" fillId="0" borderId="0" xfId="73" applyFont="1" applyFill="1" applyBorder="1" applyAlignment="1" applyProtection="1">
      <alignment horizontal="right" readingOrder="2"/>
    </xf>
    <xf numFmtId="0" fontId="89" fillId="48" borderId="0" xfId="73" applyFont="1" applyFill="1" applyBorder="1" applyAlignment="1" applyProtection="1">
      <alignment horizontal="right" vertical="center"/>
    </xf>
    <xf numFmtId="0" fontId="71" fillId="0" borderId="0" xfId="73" applyFont="1" applyFill="1" applyBorder="1" applyAlignment="1" applyProtection="1">
      <alignment horizontal="right" vertical="center"/>
    </xf>
    <xf numFmtId="3" fontId="91" fillId="26" borderId="0" xfId="64" applyNumberFormat="1" applyFont="1" applyFill="1" applyBorder="1" applyAlignment="1" applyProtection="1">
      <alignment vertical="center" readingOrder="1"/>
    </xf>
    <xf numFmtId="3" fontId="89" fillId="26" borderId="0" xfId="64" applyNumberFormat="1" applyFont="1" applyFill="1" applyBorder="1" applyAlignment="1" applyProtection="1">
      <alignment vertical="center" wrapText="1" readingOrder="1"/>
    </xf>
    <xf numFmtId="0" fontId="71" fillId="0" borderId="645" xfId="73" applyFont="1" applyFill="1" applyBorder="1" applyAlignment="1" applyProtection="1">
      <alignment horizontal="right" vertical="center"/>
    </xf>
    <xf numFmtId="3" fontId="71" fillId="26" borderId="0" xfId="64" applyNumberFormat="1" applyFont="1" applyFill="1" applyBorder="1" applyAlignment="1" applyProtection="1">
      <alignment vertical="center" readingOrder="1"/>
    </xf>
    <xf numFmtId="0" fontId="58" fillId="0" borderId="0" xfId="76" applyFont="1" applyFill="1" applyBorder="1" applyAlignment="1" applyProtection="1">
      <alignment horizontal="left" vertical="center"/>
    </xf>
    <xf numFmtId="0" fontId="369" fillId="48" borderId="0" xfId="0" applyFont="1" applyFill="1" applyBorder="1" applyAlignment="1" applyProtection="1"/>
    <xf numFmtId="0" fontId="502" fillId="51" borderId="0" xfId="73" applyFont="1" applyFill="1" applyBorder="1" applyAlignment="1" applyProtection="1">
      <alignment horizontal="right" vertical="center" readingOrder="2"/>
      <protection hidden="1"/>
    </xf>
    <xf numFmtId="0" fontId="420" fillId="51" borderId="0" xfId="64" applyFont="1" applyFill="1" applyBorder="1" applyAlignment="1" applyProtection="1">
      <alignment horizontal="center" vertical="center" wrapText="1" readingOrder="2"/>
      <protection hidden="1"/>
    </xf>
    <xf numFmtId="0" fontId="369" fillId="48" borderId="645" xfId="0" applyFont="1" applyFill="1" applyBorder="1" applyAlignment="1" applyProtection="1">
      <alignment vertical="center"/>
      <protection hidden="1"/>
    </xf>
    <xf numFmtId="0" fontId="383" fillId="48" borderId="0" xfId="0" applyFont="1" applyFill="1" applyAlignment="1" applyProtection="1">
      <alignment vertical="center"/>
      <protection hidden="1"/>
    </xf>
    <xf numFmtId="0" fontId="95" fillId="26" borderId="0" xfId="68" applyFont="1" applyFill="1" applyBorder="1" applyAlignment="1" applyProtection="1">
      <alignment horizontal="right" vertical="center" readingOrder="2"/>
      <protection hidden="1"/>
    </xf>
    <xf numFmtId="0" fontId="0" fillId="48" borderId="529" xfId="0" applyFill="1" applyBorder="1"/>
    <xf numFmtId="0" fontId="369" fillId="48" borderId="0" xfId="0" applyFont="1" applyFill="1" applyBorder="1" applyAlignment="1" applyProtection="1">
      <alignment vertical="center"/>
      <protection hidden="1"/>
    </xf>
    <xf numFmtId="0" fontId="434" fillId="51" borderId="0" xfId="73" applyFont="1" applyFill="1" applyBorder="1" applyAlignment="1" applyProtection="1">
      <alignment vertical="center"/>
      <protection hidden="1"/>
    </xf>
    <xf numFmtId="0" fontId="503" fillId="47" borderId="0" xfId="54" applyFont="1" applyFill="1" applyAlignment="1" applyProtection="1">
      <alignment horizontal="center" vertical="center"/>
    </xf>
    <xf numFmtId="3" fontId="71" fillId="26" borderId="253" xfId="75" applyNumberFormat="1" applyFont="1" applyFill="1" applyBorder="1" applyAlignment="1" applyProtection="1">
      <alignment horizontal="center" vertical="center" wrapText="1" readingOrder="1"/>
    </xf>
    <xf numFmtId="3" fontId="71" fillId="26" borderId="254" xfId="75" applyNumberFormat="1" applyFont="1" applyFill="1" applyBorder="1" applyAlignment="1" applyProtection="1">
      <alignment horizontal="center" vertical="center" wrapText="1" readingOrder="1"/>
    </xf>
    <xf numFmtId="3" fontId="54" fillId="26" borderId="122" xfId="75" applyNumberFormat="1" applyFont="1" applyFill="1" applyBorder="1" applyAlignment="1" applyProtection="1">
      <alignment horizontal="center" vertical="center" readingOrder="1"/>
    </xf>
    <xf numFmtId="3" fontId="54" fillId="26" borderId="120" xfId="75" applyNumberFormat="1" applyFont="1" applyFill="1" applyBorder="1" applyAlignment="1" applyProtection="1">
      <alignment horizontal="center" vertical="center" readingOrder="1"/>
    </xf>
    <xf numFmtId="3" fontId="71" fillId="26" borderId="255" xfId="75" applyNumberFormat="1" applyFont="1" applyFill="1" applyBorder="1" applyAlignment="1" applyProtection="1">
      <alignment horizontal="center" vertical="center" wrapText="1" readingOrder="1"/>
    </xf>
    <xf numFmtId="3" fontId="54" fillId="50" borderId="122" xfId="75" applyNumberFormat="1" applyFont="1" applyFill="1" applyBorder="1" applyAlignment="1" applyProtection="1">
      <alignment horizontal="center" vertical="center" readingOrder="1"/>
    </xf>
    <xf numFmtId="0" fontId="1" fillId="50" borderId="0" xfId="71" applyFill="1" applyBorder="1" applyProtection="1"/>
    <xf numFmtId="3" fontId="71" fillId="35" borderId="144" xfId="64" applyNumberFormat="1" applyFont="1" applyFill="1" applyBorder="1" applyAlignment="1" applyProtection="1">
      <alignment horizontal="center" wrapText="1" readingOrder="1"/>
    </xf>
    <xf numFmtId="3" fontId="71" fillId="35" borderId="145" xfId="64" applyNumberFormat="1" applyFont="1" applyFill="1" applyBorder="1" applyAlignment="1" applyProtection="1">
      <alignment horizontal="center" wrapText="1" readingOrder="1"/>
    </xf>
    <xf numFmtId="3" fontId="129" fillId="26" borderId="0" xfId="64" applyNumberFormat="1" applyFont="1" applyFill="1" applyBorder="1" applyAlignment="1" applyProtection="1">
      <alignment horizontal="center" vertical="center" readingOrder="1"/>
    </xf>
    <xf numFmtId="3" fontId="129" fillId="26" borderId="261" xfId="64" applyNumberFormat="1" applyFont="1" applyFill="1" applyBorder="1" applyAlignment="1" applyProtection="1">
      <alignment horizontal="center" vertical="center" readingOrder="1"/>
    </xf>
    <xf numFmtId="3" fontId="129" fillId="26" borderId="262" xfId="64" applyNumberFormat="1" applyFont="1" applyFill="1" applyBorder="1" applyAlignment="1" applyProtection="1">
      <alignment horizontal="center" vertical="center" readingOrder="1"/>
    </xf>
    <xf numFmtId="3" fontId="71" fillId="35" borderId="129" xfId="64" applyNumberFormat="1" applyFont="1" applyFill="1" applyBorder="1" applyAlignment="1" applyProtection="1">
      <alignment horizontal="center" wrapText="1" readingOrder="1"/>
    </xf>
    <xf numFmtId="3" fontId="71" fillId="35" borderId="126" xfId="64" applyNumberFormat="1" applyFont="1" applyFill="1" applyBorder="1" applyAlignment="1" applyProtection="1">
      <alignment horizontal="center" wrapText="1" readingOrder="1"/>
    </xf>
    <xf numFmtId="3" fontId="71" fillId="35" borderId="123" xfId="64" applyNumberFormat="1" applyFont="1" applyFill="1" applyBorder="1" applyAlignment="1" applyProtection="1">
      <alignment horizontal="center" wrapText="1" readingOrder="1"/>
    </xf>
    <xf numFmtId="3" fontId="71" fillId="35" borderId="124" xfId="64" applyNumberFormat="1" applyFont="1" applyFill="1" applyBorder="1" applyAlignment="1" applyProtection="1">
      <alignment horizontal="center" wrapText="1" readingOrder="1"/>
    </xf>
    <xf numFmtId="3" fontId="71" fillId="48" borderId="144" xfId="64" applyNumberFormat="1" applyFont="1" applyFill="1" applyBorder="1" applyAlignment="1" applyProtection="1">
      <alignment horizontal="center" wrapText="1" readingOrder="1"/>
    </xf>
    <xf numFmtId="3" fontId="71" fillId="48" borderId="145" xfId="64" applyNumberFormat="1" applyFont="1" applyFill="1" applyBorder="1" applyAlignment="1" applyProtection="1">
      <alignment horizontal="center" wrapText="1" readingOrder="1"/>
    </xf>
    <xf numFmtId="3" fontId="129" fillId="48" borderId="0" xfId="64" applyNumberFormat="1" applyFont="1" applyFill="1" applyBorder="1" applyAlignment="1" applyProtection="1">
      <alignment horizontal="center" vertical="center" readingOrder="1"/>
    </xf>
    <xf numFmtId="3" fontId="129" fillId="48" borderId="261" xfId="64" applyNumberFormat="1" applyFont="1" applyFill="1" applyBorder="1" applyAlignment="1" applyProtection="1">
      <alignment horizontal="center" vertical="center" readingOrder="1"/>
    </xf>
    <xf numFmtId="3" fontId="129" fillId="48" borderId="262" xfId="64" applyNumberFormat="1" applyFont="1" applyFill="1" applyBorder="1" applyAlignment="1" applyProtection="1">
      <alignment horizontal="center" vertical="center" readingOrder="1"/>
    </xf>
    <xf numFmtId="3" fontId="71" fillId="48" borderId="123" xfId="64" applyNumberFormat="1" applyFont="1" applyFill="1" applyBorder="1" applyAlignment="1" applyProtection="1">
      <alignment horizontal="center" wrapText="1" readingOrder="1"/>
    </xf>
    <xf numFmtId="3" fontId="71" fillId="48" borderId="124" xfId="64" applyNumberFormat="1" applyFont="1" applyFill="1" applyBorder="1" applyAlignment="1" applyProtection="1">
      <alignment horizontal="center" wrapText="1" readingOrder="1"/>
    </xf>
    <xf numFmtId="0" fontId="1" fillId="71" borderId="42" xfId="73" applyFill="1" applyBorder="1"/>
    <xf numFmtId="0" fontId="6" fillId="71" borderId="42" xfId="73" applyFont="1" applyFill="1" applyBorder="1" applyAlignment="1">
      <alignment vertical="center"/>
    </xf>
    <xf numFmtId="0" fontId="8" fillId="71" borderId="42" xfId="73" applyFont="1" applyFill="1" applyBorder="1" applyAlignment="1">
      <alignment vertical="center"/>
    </xf>
    <xf numFmtId="0" fontId="1" fillId="71" borderId="0" xfId="73" applyFill="1" applyBorder="1"/>
    <xf numFmtId="0" fontId="6" fillId="71" borderId="0" xfId="73" applyFont="1" applyFill="1" applyBorder="1" applyAlignment="1">
      <alignment vertical="center"/>
    </xf>
    <xf numFmtId="0" fontId="8" fillId="71" borderId="0" xfId="73" applyFont="1" applyFill="1" applyBorder="1" applyAlignment="1">
      <alignment vertical="center"/>
    </xf>
    <xf numFmtId="0" fontId="5" fillId="71" borderId="0" xfId="73" applyFont="1" applyFill="1" applyBorder="1" applyAlignment="1">
      <alignment vertical="center"/>
    </xf>
    <xf numFmtId="0" fontId="252" fillId="71" borderId="0" xfId="73" applyFont="1" applyFill="1" applyBorder="1" applyAlignment="1">
      <alignment vertical="center"/>
    </xf>
    <xf numFmtId="0" fontId="5" fillId="71" borderId="41" xfId="73" applyFont="1" applyFill="1" applyBorder="1" applyAlignment="1">
      <alignment vertical="center"/>
    </xf>
    <xf numFmtId="0" fontId="252" fillId="71" borderId="41" xfId="73" applyFont="1" applyFill="1" applyBorder="1" applyAlignment="1">
      <alignment vertical="center"/>
    </xf>
    <xf numFmtId="0" fontId="204" fillId="0" borderId="564" xfId="60" applyFont="1" applyBorder="1" applyAlignment="1" applyProtection="1">
      <alignment horizontal="center" vertical="center" wrapText="1"/>
    </xf>
    <xf numFmtId="0" fontId="204" fillId="0" borderId="566" xfId="60" applyFont="1" applyBorder="1" applyAlignment="1" applyProtection="1">
      <alignment horizontal="center" vertical="center" wrapText="1"/>
    </xf>
    <xf numFmtId="3" fontId="12" fillId="31" borderId="572" xfId="60" applyNumberFormat="1" applyFont="1" applyFill="1" applyBorder="1" applyAlignment="1" applyProtection="1">
      <alignment horizontal="center" vertical="center"/>
      <protection locked="0"/>
    </xf>
    <xf numFmtId="3" fontId="12" fillId="31" borderId="573" xfId="60" applyNumberFormat="1" applyFont="1" applyFill="1" applyBorder="1" applyAlignment="1" applyProtection="1">
      <alignment horizontal="center" vertical="center"/>
      <protection locked="0"/>
    </xf>
    <xf numFmtId="3" fontId="12" fillId="31" borderId="574" xfId="60" applyNumberFormat="1" applyFont="1" applyFill="1" applyBorder="1" applyAlignment="1" applyProtection="1">
      <alignment horizontal="center" vertical="center"/>
      <protection locked="0"/>
    </xf>
    <xf numFmtId="3" fontId="12" fillId="31" borderId="575" xfId="60" applyNumberFormat="1" applyFont="1" applyFill="1" applyBorder="1" applyAlignment="1" applyProtection="1">
      <alignment horizontal="center" vertical="center"/>
      <protection locked="0"/>
    </xf>
    <xf numFmtId="49" fontId="203" fillId="0" borderId="194" xfId="60" applyNumberFormat="1" applyFont="1" applyBorder="1" applyAlignment="1">
      <alignment horizontal="center" vertical="center" wrapText="1"/>
    </xf>
    <xf numFmtId="49" fontId="203" fillId="0" borderId="571" xfId="60" applyNumberFormat="1" applyFont="1" applyBorder="1" applyAlignment="1">
      <alignment horizontal="center" vertical="center" wrapText="1"/>
    </xf>
    <xf numFmtId="0" fontId="200" fillId="0" borderId="576" xfId="60" applyFont="1" applyFill="1" applyBorder="1" applyAlignment="1" applyProtection="1">
      <alignment horizontal="center" vertical="center"/>
    </xf>
    <xf numFmtId="0" fontId="200" fillId="0" borderId="577" xfId="60" applyFont="1" applyFill="1" applyBorder="1" applyAlignment="1" applyProtection="1">
      <alignment horizontal="center" vertical="center"/>
    </xf>
    <xf numFmtId="0" fontId="203" fillId="0" borderId="569" xfId="60" applyFont="1" applyFill="1" applyBorder="1" applyAlignment="1">
      <alignment horizontal="center" vertical="center" wrapText="1"/>
    </xf>
    <xf numFmtId="0" fontId="203" fillId="0" borderId="522" xfId="60" applyFont="1" applyFill="1" applyBorder="1" applyAlignment="1">
      <alignment horizontal="center" vertical="center" wrapText="1"/>
    </xf>
    <xf numFmtId="0" fontId="203" fillId="0" borderId="570" xfId="60" applyFont="1" applyFill="1" applyBorder="1" applyAlignment="1">
      <alignment horizontal="center" vertical="center" wrapText="1"/>
    </xf>
    <xf numFmtId="0" fontId="203" fillId="0" borderId="118" xfId="60" applyFont="1" applyFill="1" applyBorder="1" applyAlignment="1">
      <alignment horizontal="center" vertical="center" wrapText="1"/>
    </xf>
    <xf numFmtId="0" fontId="203" fillId="0" borderId="10" xfId="60" applyFont="1" applyFill="1" applyBorder="1" applyAlignment="1">
      <alignment horizontal="center" vertical="center" wrapText="1"/>
    </xf>
    <xf numFmtId="0" fontId="203" fillId="0" borderId="246" xfId="60" applyFont="1" applyFill="1" applyBorder="1" applyAlignment="1">
      <alignment horizontal="center" vertical="center" wrapText="1"/>
    </xf>
    <xf numFmtId="49" fontId="203" fillId="0" borderId="246" xfId="60" applyNumberFormat="1" applyFont="1" applyBorder="1" applyAlignment="1">
      <alignment horizontal="center" vertical="center" wrapText="1"/>
    </xf>
    <xf numFmtId="0" fontId="170" fillId="0" borderId="33" xfId="54" applyFont="1" applyFill="1" applyBorder="1" applyAlignment="1" applyProtection="1">
      <alignment horizontal="center" vertical="center" wrapText="1"/>
    </xf>
    <xf numFmtId="0" fontId="170" fillId="0" borderId="42" xfId="54" applyFont="1" applyFill="1" applyBorder="1" applyAlignment="1" applyProtection="1">
      <alignment horizontal="center" vertical="center" wrapText="1"/>
    </xf>
    <xf numFmtId="0" fontId="170" fillId="0" borderId="71" xfId="54" applyFont="1" applyFill="1" applyBorder="1" applyAlignment="1" applyProtection="1">
      <alignment horizontal="center" vertical="center" wrapText="1"/>
    </xf>
    <xf numFmtId="0" fontId="170" fillId="0" borderId="70" xfId="54" applyFont="1" applyFill="1" applyBorder="1" applyAlignment="1" applyProtection="1">
      <alignment horizontal="center" vertical="center" wrapText="1"/>
    </xf>
    <xf numFmtId="0" fontId="170" fillId="0" borderId="0" xfId="54" applyFont="1" applyFill="1" applyBorder="1" applyAlignment="1" applyProtection="1">
      <alignment horizontal="center" vertical="center" wrapText="1"/>
    </xf>
    <xf numFmtId="0" fontId="170" fillId="0" borderId="43" xfId="54" applyFont="1" applyFill="1" applyBorder="1" applyAlignment="1" applyProtection="1">
      <alignment horizontal="center" vertical="center" wrapText="1"/>
    </xf>
    <xf numFmtId="0" fontId="203" fillId="0" borderId="194" xfId="60" applyFont="1" applyBorder="1" applyAlignment="1" applyProtection="1">
      <alignment horizontal="center" vertical="center" wrapText="1"/>
    </xf>
    <xf numFmtId="0" fontId="203" fillId="0" borderId="308" xfId="60" applyFont="1" applyBorder="1" applyAlignment="1" applyProtection="1">
      <alignment horizontal="center" vertical="center" wrapText="1"/>
    </xf>
    <xf numFmtId="0" fontId="200" fillId="0" borderId="194" xfId="60" applyFont="1" applyFill="1" applyBorder="1" applyAlignment="1" applyProtection="1">
      <alignment horizontal="right" vertical="center" wrapText="1"/>
    </xf>
    <xf numFmtId="0" fontId="200" fillId="0" borderId="246" xfId="60" applyFont="1" applyFill="1" applyBorder="1" applyAlignment="1" applyProtection="1">
      <alignment horizontal="right" vertical="center" wrapText="1"/>
    </xf>
    <xf numFmtId="49" fontId="203" fillId="0" borderId="561" xfId="60" applyNumberFormat="1" applyFont="1" applyBorder="1" applyAlignment="1">
      <alignment horizontal="center" vertical="center" wrapText="1"/>
    </xf>
    <xf numFmtId="49" fontId="203" fillId="0" borderId="562" xfId="60" applyNumberFormat="1" applyFont="1" applyBorder="1" applyAlignment="1">
      <alignment horizontal="center" vertical="center" wrapText="1"/>
    </xf>
    <xf numFmtId="0" fontId="13" fillId="47" borderId="490" xfId="76" applyFont="1" applyFill="1" applyBorder="1" applyAlignment="1" applyProtection="1">
      <alignment horizontal="left" vertical="center" readingOrder="2"/>
      <protection locked="0"/>
    </xf>
    <xf numFmtId="0" fontId="13" fillId="47" borderId="0" xfId="76" applyFont="1" applyFill="1" applyBorder="1" applyAlignment="1" applyProtection="1">
      <alignment horizontal="left" vertical="center" readingOrder="2"/>
      <protection locked="0"/>
    </xf>
    <xf numFmtId="0" fontId="111" fillId="0" borderId="0" xfId="73" applyFont="1" applyBorder="1" applyAlignment="1">
      <alignment horizontal="center" vertical="center"/>
    </xf>
    <xf numFmtId="0" fontId="111" fillId="0" borderId="489" xfId="73" applyFont="1" applyBorder="1" applyAlignment="1">
      <alignment horizontal="center" vertical="center"/>
    </xf>
    <xf numFmtId="0" fontId="252" fillId="0" borderId="0" xfId="76" applyFont="1" applyFill="1" applyBorder="1" applyAlignment="1">
      <alignment horizontal="center" vertical="center"/>
    </xf>
    <xf numFmtId="0" fontId="252" fillId="0" borderId="487" xfId="76" applyFont="1" applyFill="1" applyBorder="1" applyAlignment="1">
      <alignment horizontal="center" vertical="center"/>
    </xf>
    <xf numFmtId="0" fontId="253" fillId="71" borderId="0" xfId="73" applyFont="1" applyFill="1" applyBorder="1" applyAlignment="1">
      <alignment horizontal="center"/>
    </xf>
    <xf numFmtId="0" fontId="252" fillId="71" borderId="0" xfId="73" applyFont="1" applyFill="1" applyBorder="1" applyAlignment="1">
      <alignment horizontal="center"/>
    </xf>
    <xf numFmtId="0" fontId="13" fillId="47" borderId="0" xfId="76" applyFont="1" applyFill="1" applyBorder="1" applyAlignment="1" applyProtection="1">
      <alignment horizontal="right" vertical="center" readingOrder="2"/>
    </xf>
    <xf numFmtId="0" fontId="13" fillId="47" borderId="489" xfId="76" applyFont="1" applyFill="1" applyBorder="1" applyAlignment="1" applyProtection="1">
      <alignment horizontal="right" vertical="center" readingOrder="2"/>
    </xf>
    <xf numFmtId="0" fontId="228" fillId="0" borderId="42" xfId="73" applyFont="1" applyBorder="1" applyAlignment="1">
      <alignment horizontal="center"/>
    </xf>
    <xf numFmtId="0" fontId="251" fillId="0" borderId="42" xfId="73" applyFont="1" applyBorder="1" applyAlignment="1">
      <alignment horizontal="center"/>
    </xf>
    <xf numFmtId="0" fontId="4" fillId="0" borderId="483" xfId="73" applyFont="1" applyBorder="1" applyAlignment="1" applyProtection="1">
      <alignment horizontal="right" vertical="center"/>
      <protection locked="0"/>
    </xf>
    <xf numFmtId="0" fontId="4" fillId="0" borderId="484" xfId="73" applyFont="1" applyBorder="1" applyAlignment="1" applyProtection="1">
      <alignment horizontal="right" vertical="center"/>
      <protection locked="0"/>
    </xf>
    <xf numFmtId="0" fontId="4" fillId="0" borderId="485" xfId="73" applyFont="1" applyBorder="1" applyAlignment="1" applyProtection="1">
      <alignment horizontal="right" vertical="center"/>
      <protection locked="0"/>
    </xf>
    <xf numFmtId="0" fontId="4" fillId="0" borderId="486" xfId="73" applyFont="1" applyBorder="1" applyAlignment="1" applyProtection="1">
      <alignment horizontal="right" vertical="center"/>
      <protection locked="0"/>
    </xf>
    <xf numFmtId="0" fontId="4" fillId="0" borderId="487" xfId="73" applyFont="1" applyBorder="1" applyAlignment="1" applyProtection="1">
      <alignment horizontal="right" vertical="center"/>
      <protection locked="0"/>
    </xf>
    <xf numFmtId="0" fontId="4" fillId="0" borderId="488" xfId="73" applyFont="1" applyBorder="1" applyAlignment="1" applyProtection="1">
      <alignment horizontal="right" vertical="center"/>
      <protection locked="0"/>
    </xf>
    <xf numFmtId="0" fontId="11" fillId="31" borderId="33" xfId="73" applyFont="1" applyFill="1" applyBorder="1" applyAlignment="1">
      <alignment horizontal="center" vertical="center" wrapText="1"/>
    </xf>
    <xf numFmtId="0" fontId="11" fillId="31" borderId="42" xfId="73" applyFont="1" applyFill="1" applyBorder="1" applyAlignment="1">
      <alignment horizontal="center" vertical="center" wrapText="1"/>
    </xf>
    <xf numFmtId="0" fontId="11" fillId="31" borderId="71" xfId="73" applyFont="1" applyFill="1" applyBorder="1" applyAlignment="1">
      <alignment horizontal="center" vertical="center" wrapText="1"/>
    </xf>
    <xf numFmtId="0" fontId="11" fillId="31" borderId="70" xfId="73" applyFont="1" applyFill="1" applyBorder="1" applyAlignment="1">
      <alignment horizontal="center" vertical="center" wrapText="1"/>
    </xf>
    <xf numFmtId="0" fontId="11" fillId="31" borderId="0" xfId="73" applyFont="1" applyFill="1" applyBorder="1" applyAlignment="1">
      <alignment horizontal="center" vertical="center" wrapText="1"/>
    </xf>
    <xf numFmtId="0" fontId="11" fillId="31" borderId="43" xfId="73" applyFont="1" applyFill="1" applyBorder="1" applyAlignment="1">
      <alignment horizontal="center" vertical="center" wrapText="1"/>
    </xf>
    <xf numFmtId="0" fontId="11" fillId="31" borderId="164" xfId="73" applyFont="1" applyFill="1" applyBorder="1" applyAlignment="1">
      <alignment horizontal="center" vertical="center" wrapText="1"/>
    </xf>
    <xf numFmtId="0" fontId="11" fillId="31" borderId="41" xfId="73" applyFont="1" applyFill="1" applyBorder="1" applyAlignment="1">
      <alignment horizontal="center" vertical="center" wrapText="1"/>
    </xf>
    <xf numFmtId="0" fontId="11" fillId="31" borderId="216" xfId="73" applyFont="1" applyFill="1" applyBorder="1" applyAlignment="1">
      <alignment horizontal="center" vertical="center" wrapText="1"/>
    </xf>
    <xf numFmtId="0" fontId="254" fillId="31" borderId="33" xfId="73" applyFont="1" applyFill="1" applyBorder="1" applyAlignment="1">
      <alignment horizontal="center" vertical="center"/>
    </xf>
    <xf numFmtId="0" fontId="255" fillId="31" borderId="42" xfId="73" applyFont="1" applyFill="1" applyBorder="1" applyAlignment="1">
      <alignment horizontal="center" vertical="center"/>
    </xf>
    <xf numFmtId="0" fontId="255" fillId="31" borderId="71" xfId="73" applyFont="1" applyFill="1" applyBorder="1" applyAlignment="1">
      <alignment horizontal="center" vertical="center"/>
    </xf>
    <xf numFmtId="0" fontId="255" fillId="31" borderId="164" xfId="73" applyFont="1" applyFill="1" applyBorder="1" applyAlignment="1">
      <alignment horizontal="center" vertical="center"/>
    </xf>
    <xf numFmtId="0" fontId="255" fillId="31" borderId="41" xfId="73" applyFont="1" applyFill="1" applyBorder="1" applyAlignment="1">
      <alignment horizontal="center" vertical="center"/>
    </xf>
    <xf numFmtId="0" fontId="255" fillId="31" borderId="216" xfId="73" applyFont="1" applyFill="1" applyBorder="1" applyAlignment="1">
      <alignment horizontal="center" vertical="center"/>
    </xf>
    <xf numFmtId="0" fontId="4" fillId="31" borderId="70" xfId="73" applyFont="1" applyFill="1" applyBorder="1" applyAlignment="1">
      <alignment horizontal="center" vertical="center" wrapText="1"/>
    </xf>
    <xf numFmtId="0" fontId="4" fillId="31" borderId="0" xfId="73" applyFont="1" applyFill="1" applyBorder="1" applyAlignment="1">
      <alignment horizontal="center" vertical="center" wrapText="1"/>
    </xf>
    <xf numFmtId="0" fontId="4" fillId="31" borderId="43" xfId="73" applyFont="1" applyFill="1" applyBorder="1" applyAlignment="1">
      <alignment horizontal="center" vertical="center" wrapText="1"/>
    </xf>
    <xf numFmtId="0" fontId="4" fillId="31" borderId="164" xfId="73" applyFont="1" applyFill="1" applyBorder="1" applyAlignment="1">
      <alignment horizontal="center" vertical="center" wrapText="1"/>
    </xf>
    <xf numFmtId="0" fontId="4" fillId="31" borderId="41" xfId="73" applyFont="1" applyFill="1" applyBorder="1" applyAlignment="1">
      <alignment horizontal="center" vertical="center" wrapText="1"/>
    </xf>
    <xf numFmtId="0" fontId="4" fillId="31" borderId="216" xfId="73" applyFont="1" applyFill="1" applyBorder="1" applyAlignment="1">
      <alignment horizontal="center" vertical="center" wrapText="1"/>
    </xf>
    <xf numFmtId="0" fontId="13" fillId="31" borderId="33" xfId="73" applyFont="1" applyFill="1" applyBorder="1" applyAlignment="1">
      <alignment horizontal="center" vertical="center" wrapText="1"/>
    </xf>
    <xf numFmtId="0" fontId="13" fillId="31" borderId="42" xfId="73" applyFont="1" applyFill="1" applyBorder="1" applyAlignment="1">
      <alignment horizontal="center" vertical="center" wrapText="1"/>
    </xf>
    <xf numFmtId="0" fontId="13" fillId="31" borderId="71" xfId="73" applyFont="1" applyFill="1" applyBorder="1" applyAlignment="1">
      <alignment horizontal="center" vertical="center" wrapText="1"/>
    </xf>
    <xf numFmtId="0" fontId="13" fillId="31" borderId="70" xfId="73" applyFont="1" applyFill="1" applyBorder="1" applyAlignment="1">
      <alignment horizontal="center" vertical="center" wrapText="1"/>
    </xf>
    <xf numFmtId="0" fontId="13" fillId="31" borderId="0" xfId="73" applyFont="1" applyFill="1" applyBorder="1" applyAlignment="1">
      <alignment horizontal="center" vertical="center" wrapText="1"/>
    </xf>
    <xf numFmtId="0" fontId="13" fillId="31" borderId="43" xfId="73" applyFont="1" applyFill="1" applyBorder="1" applyAlignment="1">
      <alignment horizontal="center" vertical="center" wrapText="1"/>
    </xf>
    <xf numFmtId="0" fontId="4" fillId="0" borderId="483" xfId="73" applyFont="1" applyBorder="1" applyAlignment="1" applyProtection="1">
      <alignment horizontal="right" vertical="center"/>
    </xf>
    <xf numFmtId="0" fontId="4" fillId="0" borderId="484" xfId="73" applyFont="1" applyBorder="1" applyAlignment="1" applyProtection="1">
      <alignment horizontal="right" vertical="center"/>
    </xf>
    <xf numFmtId="0" fontId="4" fillId="0" borderId="485" xfId="73" applyFont="1" applyBorder="1" applyAlignment="1" applyProtection="1">
      <alignment horizontal="right" vertical="center"/>
    </xf>
    <xf numFmtId="0" fontId="4" fillId="0" borderId="486" xfId="73" applyFont="1" applyBorder="1" applyAlignment="1" applyProtection="1">
      <alignment horizontal="right" vertical="center"/>
    </xf>
    <xf numFmtId="0" fontId="4" fillId="0" borderId="487" xfId="73" applyFont="1" applyBorder="1" applyAlignment="1" applyProtection="1">
      <alignment horizontal="right" vertical="center"/>
    </xf>
    <xf numFmtId="0" fontId="4" fillId="0" borderId="488" xfId="73" applyFont="1" applyBorder="1" applyAlignment="1" applyProtection="1">
      <alignment horizontal="right" vertical="center"/>
    </xf>
    <xf numFmtId="0" fontId="484" fillId="65" borderId="0" xfId="73" applyFont="1" applyFill="1" applyBorder="1" applyAlignment="1" applyProtection="1">
      <alignment horizontal="center" vertical="center"/>
      <protection hidden="1"/>
    </xf>
    <xf numFmtId="0" fontId="485" fillId="47" borderId="0" xfId="74" applyFont="1" applyFill="1" applyBorder="1" applyAlignment="1" applyProtection="1">
      <alignment horizontal="center" vertical="center"/>
      <protection hidden="1"/>
    </xf>
    <xf numFmtId="0" fontId="57" fillId="70" borderId="523" xfId="68" applyFont="1" applyFill="1" applyBorder="1" applyAlignment="1" applyProtection="1">
      <alignment horizontal="center" vertical="center" wrapText="1" readingOrder="2"/>
    </xf>
    <xf numFmtId="0" fontId="57" fillId="70" borderId="515" xfId="68" applyFont="1" applyFill="1" applyBorder="1" applyAlignment="1" applyProtection="1">
      <alignment horizontal="center" vertical="center" wrapText="1" readingOrder="2"/>
    </xf>
    <xf numFmtId="0" fontId="58" fillId="26" borderId="121" xfId="73" applyFont="1" applyFill="1" applyBorder="1" applyAlignment="1" applyProtection="1">
      <alignment horizontal="center" vertical="center"/>
      <protection locked="0"/>
    </xf>
    <xf numFmtId="0" fontId="58" fillId="26" borderId="115" xfId="73" applyFont="1" applyFill="1" applyBorder="1" applyAlignment="1" applyProtection="1">
      <alignment horizontal="center" vertical="center"/>
      <protection locked="0"/>
    </xf>
    <xf numFmtId="0" fontId="58" fillId="26" borderId="116" xfId="73" applyFont="1" applyFill="1" applyBorder="1" applyAlignment="1" applyProtection="1">
      <alignment horizontal="center" vertical="center"/>
      <protection locked="0"/>
    </xf>
    <xf numFmtId="0" fontId="61" fillId="51" borderId="120" xfId="73" applyFont="1" applyFill="1" applyBorder="1" applyAlignment="1">
      <alignment horizontal="center" vertical="center" readingOrder="2"/>
    </xf>
    <xf numFmtId="0" fontId="61" fillId="51" borderId="0" xfId="73" applyFont="1" applyFill="1" applyBorder="1" applyAlignment="1">
      <alignment horizontal="center" vertical="center" readingOrder="2"/>
    </xf>
    <xf numFmtId="0" fontId="2" fillId="0" borderId="121" xfId="73" applyFont="1" applyFill="1" applyBorder="1" applyAlignment="1" applyProtection="1">
      <alignment horizontal="center" vertical="center" readingOrder="2"/>
      <protection locked="0"/>
    </xf>
    <xf numFmtId="0" fontId="2" fillId="0" borderId="115" xfId="73" applyFont="1" applyFill="1" applyBorder="1" applyAlignment="1" applyProtection="1">
      <alignment horizontal="center" vertical="center" readingOrder="2"/>
      <protection locked="0"/>
    </xf>
    <xf numFmtId="0" fontId="2" fillId="0" borderId="116" xfId="73" applyFont="1" applyFill="1" applyBorder="1" applyAlignment="1" applyProtection="1">
      <alignment horizontal="center" vertical="center" readingOrder="2"/>
      <protection locked="0"/>
    </xf>
    <xf numFmtId="2" fontId="58" fillId="0" borderId="121" xfId="73" applyNumberFormat="1" applyFont="1" applyFill="1" applyBorder="1" applyAlignment="1" applyProtection="1">
      <alignment horizontal="center" readingOrder="2"/>
      <protection locked="0"/>
    </xf>
    <xf numFmtId="2" fontId="58" fillId="0" borderId="115" xfId="73" applyNumberFormat="1" applyFont="1" applyFill="1" applyBorder="1" applyAlignment="1" applyProtection="1">
      <alignment horizontal="center" readingOrder="2"/>
      <protection locked="0"/>
    </xf>
    <xf numFmtId="0" fontId="7" fillId="26" borderId="121" xfId="73" applyFont="1" applyFill="1" applyBorder="1" applyAlignment="1" applyProtection="1">
      <alignment horizontal="right" vertical="center" readingOrder="2"/>
      <protection locked="0"/>
    </xf>
    <xf numFmtId="0" fontId="7" fillId="26" borderId="115" xfId="73" applyFont="1" applyFill="1" applyBorder="1" applyAlignment="1" applyProtection="1">
      <alignment horizontal="right" vertical="center" readingOrder="2"/>
      <protection locked="0"/>
    </xf>
    <xf numFmtId="0" fontId="7" fillId="26" borderId="608" xfId="73" applyFont="1" applyFill="1" applyBorder="1" applyAlignment="1" applyProtection="1">
      <alignment horizontal="right" vertical="center" readingOrder="2"/>
      <protection locked="0"/>
    </xf>
    <xf numFmtId="49" fontId="2" fillId="26" borderId="121" xfId="73" applyNumberFormat="1" applyFont="1" applyFill="1" applyBorder="1" applyAlignment="1" applyProtection="1">
      <alignment horizontal="right" vertical="center" readingOrder="2"/>
      <protection locked="0"/>
    </xf>
    <xf numFmtId="49" fontId="2" fillId="26" borderId="115" xfId="73" applyNumberFormat="1" applyFont="1" applyFill="1" applyBorder="1" applyAlignment="1" applyProtection="1">
      <alignment horizontal="right" vertical="center" readingOrder="2"/>
      <protection locked="0"/>
    </xf>
    <xf numFmtId="49" fontId="2" fillId="26" borderId="116" xfId="73" applyNumberFormat="1" applyFont="1" applyFill="1" applyBorder="1" applyAlignment="1" applyProtection="1">
      <alignment horizontal="right" vertical="center" readingOrder="2"/>
      <protection locked="0"/>
    </xf>
    <xf numFmtId="0" fontId="7" fillId="0" borderId="121" xfId="73" applyFont="1" applyFill="1" applyBorder="1" applyAlignment="1" applyProtection="1">
      <alignment horizontal="center" vertical="center" readingOrder="2"/>
      <protection locked="0"/>
    </xf>
    <xf numFmtId="0" fontId="7" fillId="0" borderId="115" xfId="73" applyFont="1" applyFill="1" applyBorder="1" applyAlignment="1" applyProtection="1">
      <alignment horizontal="center" vertical="center" readingOrder="2"/>
      <protection locked="0"/>
    </xf>
    <xf numFmtId="0" fontId="57" fillId="48" borderId="515" xfId="73" applyFont="1" applyFill="1" applyBorder="1" applyAlignment="1">
      <alignment horizontal="center" vertical="center" readingOrder="2"/>
    </xf>
    <xf numFmtId="0" fontId="57" fillId="48" borderId="0" xfId="73" applyFont="1" applyFill="1" applyBorder="1" applyAlignment="1">
      <alignment horizontal="center" vertical="center" readingOrder="2"/>
    </xf>
    <xf numFmtId="0" fontId="2" fillId="0" borderId="121" xfId="70" applyFont="1" applyFill="1" applyBorder="1" applyAlignment="1" applyProtection="1">
      <alignment horizontal="center" vertical="center"/>
      <protection locked="0"/>
    </xf>
    <xf numFmtId="0" fontId="353" fillId="0" borderId="115" xfId="0" applyFont="1" applyBorder="1" applyProtection="1">
      <protection locked="0"/>
    </xf>
    <xf numFmtId="0" fontId="353" fillId="0" borderId="116" xfId="0" applyFont="1" applyBorder="1" applyProtection="1">
      <protection locked="0"/>
    </xf>
    <xf numFmtId="0" fontId="207" fillId="26" borderId="121" xfId="73" applyFont="1" applyFill="1" applyBorder="1" applyAlignment="1" applyProtection="1">
      <alignment horizontal="center" vertical="center"/>
      <protection locked="0"/>
    </xf>
    <xf numFmtId="0" fontId="207" fillId="26" borderId="115" xfId="73" applyFont="1" applyFill="1" applyBorder="1" applyAlignment="1" applyProtection="1">
      <alignment horizontal="center" vertical="center"/>
      <protection locked="0"/>
    </xf>
    <xf numFmtId="0" fontId="207" fillId="26" borderId="116" xfId="73" applyFont="1" applyFill="1" applyBorder="1" applyAlignment="1" applyProtection="1">
      <alignment horizontal="center" vertical="center"/>
      <protection locked="0"/>
    </xf>
    <xf numFmtId="0" fontId="58" fillId="26" borderId="121" xfId="73" applyFont="1" applyFill="1" applyBorder="1" applyAlignment="1" applyProtection="1">
      <alignment horizontal="center" vertical="center" readingOrder="2"/>
      <protection locked="0"/>
    </xf>
    <xf numFmtId="0" fontId="58" fillId="26" borderId="115" xfId="73" applyFont="1" applyFill="1" applyBorder="1" applyAlignment="1" applyProtection="1">
      <alignment horizontal="center" vertical="center" readingOrder="2"/>
      <protection locked="0"/>
    </xf>
    <xf numFmtId="0" fontId="58" fillId="26" borderId="116" xfId="73" applyFont="1" applyFill="1" applyBorder="1" applyAlignment="1" applyProtection="1">
      <alignment horizontal="center" vertical="center" readingOrder="2"/>
      <protection locked="0"/>
    </xf>
    <xf numFmtId="0" fontId="57" fillId="0" borderId="122" xfId="73" applyFont="1" applyFill="1" applyBorder="1" applyAlignment="1">
      <alignment horizontal="center" vertical="center" readingOrder="2"/>
    </xf>
    <xf numFmtId="0" fontId="57" fillId="0" borderId="0" xfId="73" applyFont="1" applyFill="1" applyBorder="1" applyAlignment="1">
      <alignment horizontal="center" vertical="center" readingOrder="2"/>
    </xf>
    <xf numFmtId="0" fontId="57" fillId="0" borderId="120" xfId="73" applyFont="1" applyFill="1" applyBorder="1" applyAlignment="1">
      <alignment horizontal="center" vertical="center" readingOrder="2"/>
    </xf>
    <xf numFmtId="0" fontId="198" fillId="0" borderId="335" xfId="73" applyFont="1" applyFill="1" applyBorder="1" applyAlignment="1" applyProtection="1">
      <alignment horizontal="center" vertical="center" readingOrder="2"/>
      <protection hidden="1"/>
    </xf>
    <xf numFmtId="0" fontId="198" fillId="0" borderId="336" xfId="73" applyFont="1" applyFill="1" applyBorder="1" applyAlignment="1" applyProtection="1">
      <alignment horizontal="center" vertical="center" readingOrder="2"/>
      <protection hidden="1"/>
    </xf>
    <xf numFmtId="0" fontId="198" fillId="0" borderId="337" xfId="73" applyFont="1" applyFill="1" applyBorder="1" applyAlignment="1" applyProtection="1">
      <alignment horizontal="center" vertical="center" readingOrder="2"/>
      <protection hidden="1"/>
    </xf>
    <xf numFmtId="2" fontId="55" fillId="0" borderId="121" xfId="73" applyNumberFormat="1" applyFont="1" applyFill="1" applyBorder="1" applyAlignment="1" applyProtection="1">
      <alignment horizontal="center" readingOrder="2"/>
      <protection locked="0"/>
    </xf>
    <xf numFmtId="2" fontId="55" fillId="0" borderId="115" xfId="73" applyNumberFormat="1" applyFont="1" applyFill="1" applyBorder="1" applyAlignment="1" applyProtection="1">
      <alignment horizontal="center" readingOrder="2"/>
      <protection locked="0"/>
    </xf>
    <xf numFmtId="0" fontId="247" fillId="48" borderId="0" xfId="73" applyFont="1" applyFill="1" applyBorder="1" applyAlignment="1" applyProtection="1">
      <alignment horizontal="center" vertical="center"/>
      <protection hidden="1"/>
    </xf>
    <xf numFmtId="0" fontId="189" fillId="65" borderId="0" xfId="73" applyFont="1" applyFill="1" applyBorder="1" applyAlignment="1" applyProtection="1">
      <alignment horizontal="center" vertical="center"/>
      <protection hidden="1"/>
    </xf>
    <xf numFmtId="0" fontId="228" fillId="0" borderId="44" xfId="73" applyFont="1" applyFill="1" applyBorder="1" applyAlignment="1">
      <alignment horizontal="center" vertical="center"/>
    </xf>
    <xf numFmtId="0" fontId="58" fillId="0" borderId="121" xfId="73" applyFont="1" applyFill="1" applyBorder="1" applyAlignment="1" applyProtection="1">
      <alignment horizontal="center" vertical="center" readingOrder="2"/>
      <protection locked="0"/>
    </xf>
    <xf numFmtId="0" fontId="58" fillId="0" borderId="115" xfId="73" applyFont="1" applyFill="1" applyBorder="1" applyAlignment="1" applyProtection="1">
      <alignment horizontal="center" vertical="center" readingOrder="2"/>
      <protection locked="0"/>
    </xf>
    <xf numFmtId="0" fontId="58" fillId="0" borderId="116" xfId="73" applyFont="1" applyFill="1" applyBorder="1" applyAlignment="1" applyProtection="1">
      <alignment horizontal="center" vertical="center" readingOrder="2"/>
      <protection locked="0"/>
    </xf>
    <xf numFmtId="0" fontId="58" fillId="48" borderId="121" xfId="73" applyFont="1" applyFill="1" applyBorder="1" applyAlignment="1" applyProtection="1">
      <alignment horizontal="center" vertical="center"/>
      <protection locked="0"/>
    </xf>
    <xf numFmtId="0" fontId="58" fillId="48" borderId="115" xfId="73" applyFont="1" applyFill="1" applyBorder="1" applyAlignment="1" applyProtection="1">
      <alignment horizontal="center" vertical="center"/>
      <protection locked="0"/>
    </xf>
    <xf numFmtId="0" fontId="58" fillId="48" borderId="116" xfId="73" applyFont="1" applyFill="1" applyBorder="1" applyAlignment="1" applyProtection="1">
      <alignment horizontal="center" vertical="center"/>
      <protection locked="0"/>
    </xf>
    <xf numFmtId="0" fontId="58" fillId="0" borderId="0" xfId="70" applyFont="1" applyFill="1" applyBorder="1" applyAlignment="1" applyProtection="1">
      <alignment horizontal="center" vertical="center" readingOrder="2"/>
      <protection locked="0"/>
    </xf>
    <xf numFmtId="0" fontId="71" fillId="31" borderId="121" xfId="73" applyFont="1" applyFill="1" applyBorder="1" applyAlignment="1">
      <alignment horizontal="center" vertical="center"/>
    </xf>
    <xf numFmtId="0" fontId="71" fillId="31" borderId="116" xfId="73" applyFont="1" applyFill="1" applyBorder="1" applyAlignment="1">
      <alignment horizontal="center" vertical="center"/>
    </xf>
    <xf numFmtId="0" fontId="3" fillId="26" borderId="121" xfId="73" applyFont="1" applyFill="1" applyBorder="1" applyAlignment="1" applyProtection="1">
      <alignment horizontal="center" readingOrder="2"/>
      <protection locked="0"/>
    </xf>
    <xf numFmtId="0" fontId="3" fillId="26" borderId="115" xfId="73" applyFont="1" applyFill="1" applyBorder="1" applyAlignment="1" applyProtection="1">
      <alignment horizontal="center" readingOrder="2"/>
      <protection locked="0"/>
    </xf>
    <xf numFmtId="0" fontId="58" fillId="48" borderId="0" xfId="73" applyFont="1" applyFill="1" applyBorder="1" applyAlignment="1" applyProtection="1">
      <alignment horizontal="center" vertical="center" readingOrder="2"/>
      <protection locked="0"/>
    </xf>
    <xf numFmtId="0" fontId="7" fillId="48" borderId="0" xfId="73" applyFont="1" applyFill="1" applyBorder="1" applyAlignment="1">
      <alignment horizontal="center" vertical="center" readingOrder="2"/>
    </xf>
    <xf numFmtId="0" fontId="2" fillId="0" borderId="330" xfId="73" applyFont="1" applyFill="1" applyBorder="1" applyAlignment="1" applyProtection="1">
      <alignment horizontal="right"/>
      <protection locked="0"/>
    </xf>
    <xf numFmtId="0" fontId="2" fillId="0" borderId="331" xfId="73" applyFont="1" applyFill="1" applyBorder="1" applyAlignment="1" applyProtection="1">
      <alignment horizontal="right"/>
      <protection locked="0"/>
    </xf>
    <xf numFmtId="0" fontId="2" fillId="0" borderId="332" xfId="73" applyFont="1" applyFill="1" applyBorder="1" applyAlignment="1" applyProtection="1">
      <alignment horizontal="right"/>
      <protection locked="0"/>
    </xf>
    <xf numFmtId="0" fontId="303" fillId="76" borderId="0" xfId="64" applyFont="1" applyFill="1" applyBorder="1" applyAlignment="1" applyProtection="1">
      <alignment horizontal="center" vertical="center"/>
      <protection hidden="1"/>
    </xf>
    <xf numFmtId="0" fontId="7" fillId="26" borderId="121" xfId="73" applyFont="1" applyFill="1" applyBorder="1" applyAlignment="1" applyProtection="1">
      <alignment horizontal="center" vertical="center" readingOrder="2"/>
      <protection locked="0"/>
    </xf>
    <xf numFmtId="0" fontId="7" fillId="26" borderId="115" xfId="73" applyFont="1" applyFill="1" applyBorder="1" applyAlignment="1" applyProtection="1">
      <alignment horizontal="center" vertical="center" readingOrder="2"/>
      <protection locked="0"/>
    </xf>
    <xf numFmtId="0" fontId="7" fillId="26" borderId="116" xfId="73" applyFont="1" applyFill="1" applyBorder="1" applyAlignment="1" applyProtection="1">
      <alignment horizontal="center" vertical="center" readingOrder="2"/>
      <protection locked="0"/>
    </xf>
    <xf numFmtId="3" fontId="433" fillId="26" borderId="57" xfId="64" applyNumberFormat="1" applyFont="1" applyFill="1" applyBorder="1" applyAlignment="1" applyProtection="1">
      <alignment horizontal="center" vertical="center" wrapText="1" readingOrder="1"/>
      <protection hidden="1"/>
    </xf>
    <xf numFmtId="3" fontId="433" fillId="26" borderId="328" xfId="64" applyNumberFormat="1" applyFont="1" applyFill="1" applyBorder="1" applyAlignment="1" applyProtection="1">
      <alignment horizontal="center" vertical="center" wrapText="1" readingOrder="1"/>
      <protection hidden="1"/>
    </xf>
    <xf numFmtId="3" fontId="433" fillId="26" borderId="329" xfId="64" applyNumberFormat="1" applyFont="1" applyFill="1" applyBorder="1" applyAlignment="1" applyProtection="1">
      <alignment horizontal="center" vertical="center" wrapText="1" readingOrder="1"/>
      <protection hidden="1"/>
    </xf>
    <xf numFmtId="3" fontId="433" fillId="26" borderId="156" xfId="64" applyNumberFormat="1" applyFont="1" applyFill="1" applyBorder="1" applyAlignment="1" applyProtection="1">
      <alignment horizontal="center" vertical="center" wrapText="1" readingOrder="1"/>
      <protection hidden="1"/>
    </xf>
    <xf numFmtId="3" fontId="433" fillId="26" borderId="0" xfId="64" applyNumberFormat="1" applyFont="1" applyFill="1" applyBorder="1" applyAlignment="1" applyProtection="1">
      <alignment horizontal="center" vertical="center" wrapText="1" readingOrder="1"/>
      <protection hidden="1"/>
    </xf>
    <xf numFmtId="3" fontId="433" fillId="26" borderId="157" xfId="64" applyNumberFormat="1" applyFont="1" applyFill="1" applyBorder="1" applyAlignment="1" applyProtection="1">
      <alignment horizontal="center" vertical="center" wrapText="1" readingOrder="1"/>
      <protection hidden="1"/>
    </xf>
    <xf numFmtId="3" fontId="433" fillId="26" borderId="158" xfId="64" applyNumberFormat="1" applyFont="1" applyFill="1" applyBorder="1" applyAlignment="1" applyProtection="1">
      <alignment horizontal="center" vertical="center" wrapText="1" readingOrder="1"/>
      <protection hidden="1"/>
    </xf>
    <xf numFmtId="3" fontId="433" fillId="26" borderId="67" xfId="64" applyNumberFormat="1" applyFont="1" applyFill="1" applyBorder="1" applyAlignment="1" applyProtection="1">
      <alignment horizontal="center" vertical="center" wrapText="1" readingOrder="1"/>
      <protection hidden="1"/>
    </xf>
    <xf numFmtId="3" fontId="433" fillId="26" borderId="159" xfId="64" applyNumberFormat="1" applyFont="1" applyFill="1" applyBorder="1" applyAlignment="1" applyProtection="1">
      <alignment horizontal="center" vertical="center" wrapText="1" readingOrder="1"/>
      <protection hidden="1"/>
    </xf>
    <xf numFmtId="0" fontId="7" fillId="0" borderId="116" xfId="73" applyFont="1" applyFill="1" applyBorder="1" applyAlignment="1" applyProtection="1">
      <alignment horizontal="center" vertical="center" readingOrder="2"/>
      <protection locked="0"/>
    </xf>
    <xf numFmtId="0" fontId="198" fillId="31" borderId="121" xfId="73" applyFont="1" applyFill="1" applyBorder="1" applyAlignment="1" applyProtection="1">
      <alignment horizontal="center" vertical="center"/>
    </xf>
    <xf numFmtId="0" fontId="198" fillId="31" borderId="116" xfId="73" applyFont="1" applyFill="1" applyBorder="1" applyAlignment="1" applyProtection="1">
      <alignment horizontal="center" vertical="center"/>
    </xf>
    <xf numFmtId="3" fontId="81" fillId="26" borderId="63" xfId="64" applyNumberFormat="1" applyFont="1" applyFill="1" applyBorder="1" applyAlignment="1" applyProtection="1">
      <alignment horizontal="right" vertical="center" wrapText="1" readingOrder="1"/>
      <protection hidden="1"/>
    </xf>
    <xf numFmtId="3" fontId="81" fillId="26" borderId="62" xfId="64" applyNumberFormat="1" applyFont="1" applyFill="1" applyBorder="1" applyAlignment="1" applyProtection="1">
      <alignment horizontal="right" vertical="center" wrapText="1" readingOrder="1"/>
      <protection hidden="1"/>
    </xf>
    <xf numFmtId="3" fontId="81" fillId="26" borderId="64" xfId="64" applyNumberFormat="1" applyFont="1" applyFill="1" applyBorder="1" applyAlignment="1" applyProtection="1">
      <alignment horizontal="right" vertical="center" wrapText="1" readingOrder="1"/>
      <protection hidden="1"/>
    </xf>
    <xf numFmtId="0" fontId="380" fillId="47" borderId="0" xfId="0" applyFont="1" applyFill="1" applyBorder="1" applyAlignment="1">
      <alignment horizontal="center" vertical="center" wrapText="1"/>
    </xf>
    <xf numFmtId="0" fontId="380" fillId="47" borderId="525" xfId="0" applyFont="1" applyFill="1" applyBorder="1" applyAlignment="1">
      <alignment horizontal="center" vertical="center" wrapText="1"/>
    </xf>
    <xf numFmtId="0" fontId="57" fillId="70" borderId="515" xfId="68" applyFont="1" applyFill="1" applyBorder="1" applyAlignment="1" applyProtection="1">
      <alignment horizontal="center" vertical="center" readingOrder="2"/>
    </xf>
    <xf numFmtId="0" fontId="57" fillId="70" borderId="0" xfId="68" applyFont="1" applyFill="1" applyBorder="1" applyAlignment="1" applyProtection="1">
      <alignment horizontal="center" vertical="center" readingOrder="2"/>
    </xf>
    <xf numFmtId="0" fontId="57" fillId="70" borderId="525" xfId="68" applyFont="1" applyFill="1" applyBorder="1" applyAlignment="1" applyProtection="1">
      <alignment horizontal="center" vertical="center" readingOrder="2"/>
    </xf>
    <xf numFmtId="0" fontId="57" fillId="70" borderId="523" xfId="68" applyFont="1" applyFill="1" applyBorder="1" applyAlignment="1" applyProtection="1">
      <alignment horizontal="center" vertical="center" readingOrder="2"/>
    </xf>
    <xf numFmtId="0" fontId="57" fillId="70" borderId="516" xfId="68" applyFont="1" applyFill="1" applyBorder="1" applyAlignment="1" applyProtection="1">
      <alignment horizontal="center" vertical="center" readingOrder="2"/>
    </xf>
    <xf numFmtId="0" fontId="57" fillId="70" borderId="524" xfId="68" applyFont="1" applyFill="1" applyBorder="1" applyAlignment="1" applyProtection="1">
      <alignment horizontal="center" vertical="center" readingOrder="2"/>
    </xf>
    <xf numFmtId="0" fontId="7" fillId="26" borderId="116" xfId="73" applyFont="1" applyFill="1" applyBorder="1" applyAlignment="1" applyProtection="1">
      <alignment horizontal="right" vertical="center" readingOrder="2"/>
      <protection locked="0"/>
    </xf>
    <xf numFmtId="0" fontId="4" fillId="31" borderId="70" xfId="73" applyFont="1" applyFill="1" applyBorder="1" applyAlignment="1">
      <alignment horizontal="center" wrapText="1"/>
    </xf>
    <xf numFmtId="0" fontId="4" fillId="31" borderId="0" xfId="73" applyFont="1" applyFill="1" applyBorder="1" applyAlignment="1">
      <alignment horizontal="center" wrapText="1"/>
    </xf>
    <xf numFmtId="0" fontId="4" fillId="31" borderId="43" xfId="73" applyFont="1" applyFill="1" applyBorder="1" applyAlignment="1">
      <alignment horizontal="center" wrapText="1"/>
    </xf>
    <xf numFmtId="0" fontId="2" fillId="31" borderId="333" xfId="73" applyFont="1" applyFill="1" applyBorder="1" applyAlignment="1">
      <alignment horizontal="center"/>
    </xf>
    <xf numFmtId="0" fontId="2" fillId="31" borderId="73" xfId="73" applyFont="1" applyFill="1" applyBorder="1" applyAlignment="1">
      <alignment horizontal="center"/>
    </xf>
    <xf numFmtId="0" fontId="2" fillId="31" borderId="334" xfId="73" applyFont="1" applyFill="1" applyBorder="1" applyAlignment="1">
      <alignment horizontal="center"/>
    </xf>
    <xf numFmtId="1" fontId="1" fillId="49" borderId="491" xfId="73" applyNumberFormat="1" applyFill="1" applyBorder="1" applyAlignment="1" applyProtection="1">
      <alignment horizontal="right" vertical="center"/>
      <protection locked="0"/>
    </xf>
    <xf numFmtId="0" fontId="1" fillId="49" borderId="492" xfId="73" applyFill="1" applyBorder="1" applyAlignment="1" applyProtection="1">
      <alignment horizontal="right" vertical="center"/>
      <protection locked="0"/>
    </xf>
    <xf numFmtId="0" fontId="1" fillId="49" borderId="493" xfId="73" applyFill="1" applyBorder="1" applyAlignment="1" applyProtection="1">
      <alignment horizontal="right" vertical="center"/>
      <protection locked="0"/>
    </xf>
    <xf numFmtId="0" fontId="181" fillId="31" borderId="70" xfId="73" applyFont="1" applyFill="1" applyBorder="1" applyAlignment="1">
      <alignment horizontal="center" vertical="center" wrapText="1"/>
    </xf>
    <xf numFmtId="0" fontId="181" fillId="31" borderId="0" xfId="73" applyFont="1" applyFill="1" applyBorder="1" applyAlignment="1">
      <alignment horizontal="center" vertical="center" wrapText="1"/>
    </xf>
    <xf numFmtId="0" fontId="181" fillId="31" borderId="43" xfId="73" applyFont="1" applyFill="1" applyBorder="1" applyAlignment="1">
      <alignment horizontal="center" vertical="center" wrapText="1"/>
    </xf>
    <xf numFmtId="0" fontId="181" fillId="31" borderId="164" xfId="73" applyFont="1" applyFill="1" applyBorder="1" applyAlignment="1">
      <alignment horizontal="center" vertical="center" wrapText="1"/>
    </xf>
    <xf numFmtId="0" fontId="181" fillId="31" borderId="41" xfId="73" applyFont="1" applyFill="1" applyBorder="1" applyAlignment="1">
      <alignment horizontal="center" vertical="center" wrapText="1"/>
    </xf>
    <xf numFmtId="0" fontId="181" fillId="31" borderId="216" xfId="73" applyFont="1" applyFill="1" applyBorder="1" applyAlignment="1">
      <alignment horizontal="center" vertical="center" wrapText="1"/>
    </xf>
    <xf numFmtId="0" fontId="10" fillId="31" borderId="33" xfId="73" applyFont="1" applyFill="1" applyBorder="1" applyAlignment="1">
      <alignment horizontal="center" vertical="center"/>
    </xf>
    <xf numFmtId="0" fontId="10" fillId="31" borderId="42" xfId="73" applyFont="1" applyFill="1" applyBorder="1" applyAlignment="1">
      <alignment horizontal="center" vertical="center"/>
    </xf>
    <xf numFmtId="0" fontId="10" fillId="31" borderId="71" xfId="73" applyFont="1" applyFill="1" applyBorder="1" applyAlignment="1">
      <alignment horizontal="center" vertical="center"/>
    </xf>
    <xf numFmtId="0" fontId="10" fillId="31" borderId="164" xfId="73" applyFont="1" applyFill="1" applyBorder="1" applyAlignment="1">
      <alignment horizontal="center" vertical="center"/>
    </xf>
    <xf numFmtId="0" fontId="10" fillId="31" borderId="41" xfId="73" applyFont="1" applyFill="1" applyBorder="1" applyAlignment="1">
      <alignment horizontal="center" vertical="center"/>
    </xf>
    <xf numFmtId="0" fontId="10" fillId="31" borderId="216" xfId="73" applyFont="1" applyFill="1" applyBorder="1" applyAlignment="1">
      <alignment horizontal="center" vertical="center"/>
    </xf>
    <xf numFmtId="0" fontId="1" fillId="49" borderId="0" xfId="73" applyFill="1" applyBorder="1" applyAlignment="1" applyProtection="1">
      <alignment horizontal="center" vertical="center"/>
      <protection locked="0"/>
    </xf>
    <xf numFmtId="0" fontId="63" fillId="31" borderId="42" xfId="62" applyFill="1" applyBorder="1"/>
    <xf numFmtId="0" fontId="63" fillId="31" borderId="71" xfId="62" applyFill="1" applyBorder="1"/>
    <xf numFmtId="0" fontId="63" fillId="31" borderId="70" xfId="62" applyFill="1" applyBorder="1"/>
    <xf numFmtId="0" fontId="63" fillId="31" borderId="0" xfId="62" applyFill="1" applyBorder="1"/>
    <xf numFmtId="0" fontId="63" fillId="31" borderId="43" xfId="62" applyFill="1" applyBorder="1"/>
    <xf numFmtId="0" fontId="63" fillId="31" borderId="164" xfId="62" applyFill="1" applyBorder="1"/>
    <xf numFmtId="0" fontId="63" fillId="31" borderId="41" xfId="62" applyFill="1" applyBorder="1"/>
    <xf numFmtId="0" fontId="63" fillId="31" borderId="216" xfId="62" applyFill="1" applyBorder="1"/>
    <xf numFmtId="0" fontId="323" fillId="0" borderId="511" xfId="0" applyFont="1" applyBorder="1" applyAlignment="1" applyProtection="1">
      <alignment horizontal="center"/>
      <protection locked="0"/>
    </xf>
    <xf numFmtId="0" fontId="323" fillId="0" borderId="513" xfId="0" applyFont="1" applyBorder="1" applyAlignment="1" applyProtection="1">
      <alignment horizontal="center"/>
      <protection locked="0"/>
    </xf>
    <xf numFmtId="0" fontId="166" fillId="47" borderId="603" xfId="73" applyFont="1" applyFill="1" applyBorder="1" applyAlignment="1" applyProtection="1">
      <alignment horizontal="left" vertical="center" wrapText="1"/>
      <protection hidden="1"/>
    </xf>
    <xf numFmtId="0" fontId="247" fillId="47" borderId="0" xfId="73" applyFont="1" applyFill="1" applyBorder="1" applyAlignment="1" applyProtection="1">
      <alignment horizontal="left" vertical="center" wrapText="1"/>
      <protection hidden="1"/>
    </xf>
    <xf numFmtId="0" fontId="247" fillId="47" borderId="604" xfId="73" applyFont="1" applyFill="1" applyBorder="1" applyAlignment="1" applyProtection="1">
      <alignment horizontal="left" vertical="center" wrapText="1"/>
      <protection hidden="1"/>
    </xf>
    <xf numFmtId="0" fontId="247" fillId="47" borderId="603" xfId="73" applyFont="1" applyFill="1" applyBorder="1" applyAlignment="1" applyProtection="1">
      <alignment horizontal="left" vertical="center" wrapText="1"/>
      <protection hidden="1"/>
    </xf>
    <xf numFmtId="0" fontId="247" fillId="47" borderId="605" xfId="73" applyFont="1" applyFill="1" applyBorder="1" applyAlignment="1" applyProtection="1">
      <alignment horizontal="left" vertical="center" wrapText="1"/>
      <protection hidden="1"/>
    </xf>
    <xf numFmtId="0" fontId="247" fillId="47" borderId="606" xfId="73" applyFont="1" applyFill="1" applyBorder="1" applyAlignment="1" applyProtection="1">
      <alignment horizontal="left" vertical="center" wrapText="1"/>
      <protection hidden="1"/>
    </xf>
    <xf numFmtId="0" fontId="247" fillId="47" borderId="607" xfId="73" applyFont="1" applyFill="1" applyBorder="1" applyAlignment="1" applyProtection="1">
      <alignment horizontal="left" vertical="center" wrapText="1"/>
      <protection hidden="1"/>
    </xf>
    <xf numFmtId="0" fontId="450" fillId="49" borderId="54" xfId="70" applyFont="1" applyFill="1" applyBorder="1" applyAlignment="1" applyProtection="1">
      <alignment horizontal="center" vertical="center" readingOrder="2"/>
      <protection hidden="1"/>
    </xf>
    <xf numFmtId="0" fontId="450" fillId="49" borderId="108" xfId="70" applyFont="1" applyFill="1" applyBorder="1" applyAlignment="1" applyProtection="1">
      <alignment horizontal="center" vertical="center" readingOrder="2"/>
      <protection hidden="1"/>
    </xf>
    <xf numFmtId="0" fontId="450" fillId="49" borderId="59" xfId="70" applyFont="1" applyFill="1" applyBorder="1" applyAlignment="1" applyProtection="1">
      <alignment horizontal="center" vertical="center" readingOrder="2"/>
      <protection hidden="1"/>
    </xf>
    <xf numFmtId="0" fontId="7" fillId="0" borderId="121" xfId="64" applyFont="1" applyFill="1" applyBorder="1" applyAlignment="1" applyProtection="1">
      <alignment horizontal="center" vertical="center" readingOrder="2"/>
      <protection locked="0"/>
    </xf>
    <xf numFmtId="0" fontId="7" fillId="0" borderId="116" xfId="64" applyFont="1" applyFill="1" applyBorder="1" applyAlignment="1" applyProtection="1">
      <alignment horizontal="center" vertical="center" readingOrder="2"/>
      <protection locked="0"/>
    </xf>
    <xf numFmtId="0" fontId="7" fillId="0" borderId="115" xfId="64" applyFont="1" applyFill="1" applyBorder="1" applyAlignment="1" applyProtection="1">
      <alignment horizontal="center" vertical="center" readingOrder="2"/>
      <protection locked="0"/>
    </xf>
    <xf numFmtId="0" fontId="2" fillId="0" borderId="673" xfId="73" applyFont="1" applyFill="1" applyBorder="1" applyAlignment="1" applyProtection="1">
      <alignment horizontal="right" vertical="center" readingOrder="2"/>
      <protection locked="0"/>
    </xf>
    <xf numFmtId="0" fontId="2" fillId="0" borderId="674" xfId="73" applyFont="1" applyFill="1" applyBorder="1" applyAlignment="1" applyProtection="1">
      <alignment horizontal="right" vertical="center" readingOrder="2"/>
      <protection locked="0"/>
    </xf>
    <xf numFmtId="0" fontId="2" fillId="0" borderId="675" xfId="73" applyFont="1" applyFill="1" applyBorder="1" applyAlignment="1" applyProtection="1">
      <alignment horizontal="right" vertical="center" readingOrder="2"/>
      <protection locked="0"/>
    </xf>
    <xf numFmtId="0" fontId="430" fillId="0" borderId="0" xfId="0" applyFont="1" applyAlignment="1" applyProtection="1">
      <alignment horizontal="center"/>
      <protection hidden="1"/>
    </xf>
    <xf numFmtId="0" fontId="428" fillId="47" borderId="516" xfId="68" applyFont="1" applyFill="1" applyBorder="1" applyAlignment="1" applyProtection="1">
      <alignment horizontal="center" vertical="center" wrapText="1" readingOrder="2"/>
      <protection hidden="1"/>
    </xf>
    <xf numFmtId="0" fontId="428" fillId="47" borderId="524" xfId="68" applyFont="1" applyFill="1" applyBorder="1" applyAlignment="1" applyProtection="1">
      <alignment horizontal="center" vertical="center" wrapText="1" readingOrder="2"/>
      <protection hidden="1"/>
    </xf>
    <xf numFmtId="0" fontId="428" fillId="47" borderId="0" xfId="68" applyFont="1" applyFill="1" applyBorder="1" applyAlignment="1" applyProtection="1">
      <alignment horizontal="center" vertical="center" wrapText="1" readingOrder="2"/>
      <protection hidden="1"/>
    </xf>
    <xf numFmtId="0" fontId="428" fillId="47" borderId="525" xfId="68" applyFont="1" applyFill="1" applyBorder="1" applyAlignment="1" applyProtection="1">
      <alignment horizontal="center" vertical="center" wrapText="1" readingOrder="2"/>
      <protection hidden="1"/>
    </xf>
    <xf numFmtId="0" fontId="428" fillId="47" borderId="527" xfId="68" applyFont="1" applyFill="1" applyBorder="1" applyAlignment="1" applyProtection="1">
      <alignment horizontal="center" vertical="center" wrapText="1" readingOrder="2"/>
      <protection hidden="1"/>
    </xf>
    <xf numFmtId="0" fontId="428" fillId="47" borderId="528" xfId="68" applyFont="1" applyFill="1" applyBorder="1" applyAlignment="1" applyProtection="1">
      <alignment horizontal="center" vertical="center" wrapText="1" readingOrder="2"/>
      <protection hidden="1"/>
    </xf>
    <xf numFmtId="3" fontId="89" fillId="26" borderId="63" xfId="64" applyNumberFormat="1" applyFont="1" applyFill="1" applyBorder="1" applyAlignment="1" applyProtection="1">
      <alignment horizontal="center" vertical="center" wrapText="1" readingOrder="1"/>
      <protection hidden="1"/>
    </xf>
    <xf numFmtId="3" fontId="89" fillId="26" borderId="62" xfId="64" applyNumberFormat="1" applyFont="1" applyFill="1" applyBorder="1" applyAlignment="1" applyProtection="1">
      <alignment horizontal="center" vertical="center" wrapText="1" readingOrder="1"/>
      <protection hidden="1"/>
    </xf>
    <xf numFmtId="3" fontId="89" fillId="26" borderId="64" xfId="64" applyNumberFormat="1" applyFont="1" applyFill="1" applyBorder="1" applyAlignment="1" applyProtection="1">
      <alignment horizontal="center" vertical="center" wrapText="1" readingOrder="1"/>
      <protection hidden="1"/>
    </xf>
    <xf numFmtId="3" fontId="89" fillId="26" borderId="63" xfId="64" applyNumberFormat="1" applyFont="1" applyFill="1" applyBorder="1" applyAlignment="1" applyProtection="1">
      <alignment horizontal="right" vertical="center" wrapText="1" readingOrder="1"/>
      <protection hidden="1"/>
    </xf>
    <xf numFmtId="3" fontId="89" fillId="26" borderId="62" xfId="64" applyNumberFormat="1" applyFont="1" applyFill="1" applyBorder="1" applyAlignment="1" applyProtection="1">
      <alignment horizontal="right" vertical="center" wrapText="1" readingOrder="1"/>
      <protection hidden="1"/>
    </xf>
    <xf numFmtId="3" fontId="89" fillId="26" borderId="64" xfId="64" applyNumberFormat="1" applyFont="1" applyFill="1" applyBorder="1" applyAlignment="1" applyProtection="1">
      <alignment horizontal="right" vertical="center" wrapText="1" readingOrder="1"/>
      <protection hidden="1"/>
    </xf>
    <xf numFmtId="0" fontId="460" fillId="60" borderId="0" xfId="73" applyFont="1" applyFill="1" applyBorder="1" applyAlignment="1" applyProtection="1">
      <alignment horizontal="right" vertical="center"/>
      <protection hidden="1"/>
    </xf>
    <xf numFmtId="0" fontId="162" fillId="69" borderId="600" xfId="73" applyFont="1" applyFill="1" applyBorder="1" applyAlignment="1" applyProtection="1">
      <alignment horizontal="center" vertical="top"/>
      <protection hidden="1"/>
    </xf>
    <xf numFmtId="0" fontId="257" fillId="69" borderId="601" xfId="73" applyFont="1" applyFill="1" applyBorder="1" applyAlignment="1" applyProtection="1">
      <alignment horizontal="center" vertical="top"/>
      <protection hidden="1"/>
    </xf>
    <xf numFmtId="0" fontId="257" fillId="69" borderId="602" xfId="73" applyFont="1" applyFill="1" applyBorder="1" applyAlignment="1" applyProtection="1">
      <alignment horizontal="center" vertical="top"/>
      <protection hidden="1"/>
    </xf>
    <xf numFmtId="0" fontId="50" fillId="47" borderId="603" xfId="73" applyFont="1" applyFill="1" applyBorder="1" applyAlignment="1" applyProtection="1">
      <alignment horizontal="right" vertical="center" wrapText="1"/>
      <protection hidden="1"/>
    </xf>
    <xf numFmtId="0" fontId="50" fillId="47" borderId="0" xfId="73" applyFont="1" applyFill="1" applyBorder="1" applyAlignment="1" applyProtection="1">
      <alignment horizontal="right" vertical="center" wrapText="1"/>
      <protection hidden="1"/>
    </xf>
    <xf numFmtId="0" fontId="50" fillId="47" borderId="604" xfId="73" applyFont="1" applyFill="1" applyBorder="1" applyAlignment="1" applyProtection="1">
      <alignment horizontal="right" vertical="center" wrapText="1"/>
      <protection hidden="1"/>
    </xf>
    <xf numFmtId="0" fontId="248" fillId="47" borderId="0" xfId="73" applyFont="1" applyFill="1" applyBorder="1" applyAlignment="1" applyProtection="1">
      <alignment horizontal="right" vertical="center" wrapText="1"/>
      <protection hidden="1"/>
    </xf>
    <xf numFmtId="0" fontId="248" fillId="47" borderId="604" xfId="73" applyFont="1" applyFill="1" applyBorder="1" applyAlignment="1" applyProtection="1">
      <alignment horizontal="right" vertical="center" wrapText="1"/>
      <protection hidden="1"/>
    </xf>
    <xf numFmtId="0" fontId="248" fillId="47" borderId="603" xfId="73" applyFont="1" applyFill="1" applyBorder="1" applyAlignment="1" applyProtection="1">
      <alignment horizontal="right" vertical="center" wrapText="1"/>
      <protection hidden="1"/>
    </xf>
    <xf numFmtId="0" fontId="256" fillId="26" borderId="322" xfId="73" applyFont="1" applyFill="1" applyBorder="1" applyAlignment="1" applyProtection="1">
      <alignment horizontal="right" vertical="center"/>
      <protection hidden="1"/>
    </xf>
    <xf numFmtId="0" fontId="256" fillId="26" borderId="323" xfId="73" applyFont="1" applyFill="1" applyBorder="1" applyAlignment="1" applyProtection="1">
      <alignment horizontal="right" vertical="center"/>
      <protection hidden="1"/>
    </xf>
    <xf numFmtId="0" fontId="256" fillId="26" borderId="324" xfId="73" applyFont="1" applyFill="1" applyBorder="1" applyAlignment="1" applyProtection="1">
      <alignment horizontal="right" vertical="center"/>
      <protection hidden="1"/>
    </xf>
    <xf numFmtId="0" fontId="184" fillId="31" borderId="325" xfId="68" applyFont="1" applyFill="1" applyBorder="1" applyAlignment="1" applyProtection="1">
      <alignment horizontal="center" vertical="center" wrapText="1"/>
      <protection hidden="1"/>
    </xf>
    <xf numFmtId="0" fontId="218" fillId="31" borderId="326" xfId="68" applyFont="1" applyFill="1" applyBorder="1" applyAlignment="1" applyProtection="1">
      <alignment horizontal="center" vertical="center" wrapText="1"/>
      <protection hidden="1"/>
    </xf>
    <xf numFmtId="0" fontId="218" fillId="31" borderId="327" xfId="68" applyFont="1" applyFill="1" applyBorder="1" applyAlignment="1" applyProtection="1">
      <alignment horizontal="center" vertical="center" wrapText="1"/>
      <protection hidden="1"/>
    </xf>
    <xf numFmtId="0" fontId="218" fillId="31" borderId="266" xfId="68" applyFont="1" applyFill="1" applyBorder="1" applyAlignment="1" applyProtection="1">
      <alignment horizontal="center" vertical="center" wrapText="1"/>
      <protection hidden="1"/>
    </xf>
    <xf numFmtId="0" fontId="218" fillId="31" borderId="0" xfId="68" applyFont="1" applyFill="1" applyBorder="1" applyAlignment="1" applyProtection="1">
      <alignment horizontal="center" vertical="center" wrapText="1"/>
      <protection hidden="1"/>
    </xf>
    <xf numFmtId="0" fontId="218" fillId="31" borderId="226" xfId="68" applyFont="1" applyFill="1" applyBorder="1" applyAlignment="1" applyProtection="1">
      <alignment horizontal="center" vertical="center" wrapText="1"/>
      <protection hidden="1"/>
    </xf>
    <xf numFmtId="0" fontId="227" fillId="26" borderId="63" xfId="73" applyFont="1" applyFill="1" applyBorder="1" applyAlignment="1" applyProtection="1">
      <alignment horizontal="right" vertical="center"/>
      <protection hidden="1"/>
    </xf>
    <xf numFmtId="0" fontId="227" fillId="26" borderId="62" xfId="73" applyFont="1" applyFill="1" applyBorder="1" applyAlignment="1" applyProtection="1">
      <alignment horizontal="right" vertical="center"/>
      <protection hidden="1"/>
    </xf>
    <xf numFmtId="0" fontId="227" fillId="26" borderId="64" xfId="73" applyFont="1" applyFill="1" applyBorder="1" applyAlignment="1" applyProtection="1">
      <alignment horizontal="right" vertical="center"/>
      <protection hidden="1"/>
    </xf>
    <xf numFmtId="0" fontId="422" fillId="20" borderId="0" xfId="64" applyFont="1" applyFill="1" applyBorder="1" applyAlignment="1" applyProtection="1">
      <alignment horizontal="center" vertical="center"/>
    </xf>
    <xf numFmtId="0" fontId="0" fillId="0" borderId="0" xfId="0" applyAlignment="1" applyProtection="1">
      <alignment horizontal="center"/>
      <protection hidden="1"/>
    </xf>
    <xf numFmtId="0" fontId="342" fillId="0" borderId="553" xfId="64" applyFont="1" applyFill="1" applyBorder="1" applyAlignment="1">
      <alignment horizontal="center" vertical="center"/>
    </xf>
    <xf numFmtId="0" fontId="448" fillId="48" borderId="121" xfId="73" applyFont="1" applyFill="1" applyBorder="1" applyAlignment="1" applyProtection="1">
      <alignment horizontal="center" vertical="center"/>
    </xf>
    <xf numFmtId="0" fontId="448" fillId="48" borderId="116" xfId="73" applyFont="1" applyFill="1" applyBorder="1" applyAlignment="1" applyProtection="1">
      <alignment horizontal="center" vertical="center"/>
    </xf>
    <xf numFmtId="3" fontId="372" fillId="26" borderId="511" xfId="64" applyNumberFormat="1" applyFont="1" applyFill="1" applyBorder="1" applyAlignment="1" applyProtection="1">
      <alignment horizontal="center" vertical="center" wrapText="1" readingOrder="1"/>
      <protection hidden="1"/>
    </xf>
    <xf numFmtId="3" fontId="372" fillId="26" borderId="513" xfId="64" applyNumberFormat="1" applyFont="1" applyFill="1" applyBorder="1" applyAlignment="1" applyProtection="1">
      <alignment horizontal="center" vertical="center" wrapText="1" readingOrder="1"/>
      <protection hidden="1"/>
    </xf>
    <xf numFmtId="0" fontId="320" fillId="26" borderId="511" xfId="68" applyFont="1" applyFill="1" applyBorder="1" applyAlignment="1" applyProtection="1">
      <alignment horizontal="center" vertical="center" readingOrder="2"/>
      <protection hidden="1"/>
    </xf>
    <xf numFmtId="0" fontId="320" fillId="26" borderId="513" xfId="68" applyFont="1" applyFill="1" applyBorder="1" applyAlignment="1" applyProtection="1">
      <alignment horizontal="center" vertical="center" readingOrder="2"/>
      <protection hidden="1"/>
    </xf>
    <xf numFmtId="3" fontId="319" fillId="26" borderId="511" xfId="64" applyNumberFormat="1" applyFont="1" applyFill="1" applyBorder="1" applyAlignment="1" applyProtection="1">
      <alignment horizontal="center" vertical="center" wrapText="1" readingOrder="1"/>
      <protection hidden="1"/>
    </xf>
    <xf numFmtId="3" fontId="319" fillId="26" borderId="512" xfId="64" applyNumberFormat="1" applyFont="1" applyFill="1" applyBorder="1" applyAlignment="1" applyProtection="1">
      <alignment horizontal="center" vertical="center" wrapText="1" readingOrder="1"/>
      <protection hidden="1"/>
    </xf>
    <xf numFmtId="3" fontId="319" fillId="26" borderId="513" xfId="64" applyNumberFormat="1" applyFont="1" applyFill="1" applyBorder="1" applyAlignment="1" applyProtection="1">
      <alignment horizontal="center" vertical="center" wrapText="1" readingOrder="1"/>
      <protection hidden="1"/>
    </xf>
    <xf numFmtId="0" fontId="2" fillId="48" borderId="121" xfId="73" applyFont="1" applyFill="1" applyBorder="1" applyAlignment="1" applyProtection="1">
      <alignment horizontal="center" vertical="center"/>
      <protection locked="0"/>
    </xf>
    <xf numFmtId="0" fontId="2" fillId="48" borderId="116" xfId="73" applyFont="1" applyFill="1" applyBorder="1" applyAlignment="1" applyProtection="1">
      <alignment horizontal="center" vertical="center"/>
      <protection locked="0"/>
    </xf>
    <xf numFmtId="0" fontId="57" fillId="26" borderId="511" xfId="68" applyFont="1" applyFill="1" applyBorder="1" applyAlignment="1" applyProtection="1">
      <alignment horizontal="center" vertical="center" readingOrder="2"/>
      <protection hidden="1"/>
    </xf>
    <xf numFmtId="0" fontId="57" fillId="26" borderId="513" xfId="68" applyFont="1" applyFill="1" applyBorder="1" applyAlignment="1" applyProtection="1">
      <alignment horizontal="center" vertical="center" readingOrder="2"/>
      <protection hidden="1"/>
    </xf>
    <xf numFmtId="0" fontId="7" fillId="26" borderId="511" xfId="68" applyFont="1" applyFill="1" applyBorder="1" applyAlignment="1" applyProtection="1">
      <alignment horizontal="center" vertical="center" readingOrder="2"/>
      <protection hidden="1"/>
    </xf>
    <xf numFmtId="0" fontId="7" fillId="26" borderId="513" xfId="68" applyFont="1" applyFill="1" applyBorder="1" applyAlignment="1" applyProtection="1">
      <alignment horizontal="center" vertical="center" readingOrder="2"/>
      <protection hidden="1"/>
    </xf>
    <xf numFmtId="3" fontId="319" fillId="50" borderId="511" xfId="64" applyNumberFormat="1" applyFont="1" applyFill="1" applyBorder="1" applyAlignment="1" applyProtection="1">
      <alignment horizontal="center" vertical="center" wrapText="1" readingOrder="1"/>
      <protection hidden="1"/>
    </xf>
    <xf numFmtId="3" fontId="319" fillId="50" borderId="512" xfId="64" applyNumberFormat="1" applyFont="1" applyFill="1" applyBorder="1" applyAlignment="1" applyProtection="1">
      <alignment horizontal="center" vertical="center" wrapText="1" readingOrder="1"/>
      <protection hidden="1"/>
    </xf>
    <xf numFmtId="3" fontId="319" fillId="50" borderId="513" xfId="64" applyNumberFormat="1" applyFont="1" applyFill="1" applyBorder="1" applyAlignment="1" applyProtection="1">
      <alignment horizontal="center" vertical="center" wrapText="1" readingOrder="1"/>
      <protection hidden="1"/>
    </xf>
    <xf numFmtId="0" fontId="422" fillId="20" borderId="0" xfId="64" applyFont="1" applyFill="1" applyBorder="1" applyAlignment="1" applyProtection="1">
      <alignment horizontal="center" vertical="center"/>
      <protection hidden="1"/>
    </xf>
    <xf numFmtId="0" fontId="4" fillId="51" borderId="497" xfId="73" applyFont="1" applyFill="1" applyBorder="1" applyAlignment="1">
      <alignment horizontal="center" wrapText="1"/>
    </xf>
    <xf numFmtId="0" fontId="4" fillId="51" borderId="0" xfId="73" applyFont="1" applyFill="1" applyBorder="1" applyAlignment="1">
      <alignment horizontal="center" wrapText="1"/>
    </xf>
    <xf numFmtId="0" fontId="4" fillId="51" borderId="498" xfId="73" applyFont="1" applyFill="1" applyBorder="1" applyAlignment="1">
      <alignment horizontal="center" wrapText="1"/>
    </xf>
    <xf numFmtId="0" fontId="221" fillId="56" borderId="0" xfId="70" applyFont="1" applyFill="1" applyBorder="1" applyAlignment="1" applyProtection="1">
      <alignment horizontal="center" vertical="center" readingOrder="2"/>
      <protection hidden="1"/>
    </xf>
    <xf numFmtId="0" fontId="57" fillId="56" borderId="507" xfId="70" applyFont="1" applyFill="1" applyBorder="1" applyAlignment="1" applyProtection="1">
      <alignment horizontal="center" vertical="center" readingOrder="2"/>
      <protection hidden="1"/>
    </xf>
    <xf numFmtId="0" fontId="57" fillId="56" borderId="0" xfId="70" applyFont="1" applyFill="1" applyBorder="1" applyAlignment="1" applyProtection="1">
      <alignment horizontal="center" vertical="center" readingOrder="2"/>
      <protection hidden="1"/>
    </xf>
    <xf numFmtId="0" fontId="365" fillId="51" borderId="494" xfId="73" applyFont="1" applyFill="1" applyBorder="1" applyAlignment="1">
      <alignment horizontal="center" vertical="center"/>
    </xf>
    <xf numFmtId="0" fontId="365" fillId="51" borderId="495" xfId="73" applyFont="1" applyFill="1" applyBorder="1" applyAlignment="1">
      <alignment horizontal="center" vertical="center"/>
    </xf>
    <xf numFmtId="0" fontId="365" fillId="51" borderId="496" xfId="73" applyFont="1" applyFill="1" applyBorder="1" applyAlignment="1">
      <alignment horizontal="center" vertical="center"/>
    </xf>
    <xf numFmtId="0" fontId="365" fillId="51" borderId="499" xfId="73" applyFont="1" applyFill="1" applyBorder="1" applyAlignment="1">
      <alignment horizontal="center" vertical="center"/>
    </xf>
    <xf numFmtId="0" fontId="365" fillId="51" borderId="500" xfId="73" applyFont="1" applyFill="1" applyBorder="1" applyAlignment="1">
      <alignment horizontal="center" vertical="center"/>
    </xf>
    <xf numFmtId="0" fontId="365" fillId="51" borderId="501" xfId="73" applyFont="1" applyFill="1" applyBorder="1" applyAlignment="1">
      <alignment horizontal="center" vertical="center"/>
    </xf>
    <xf numFmtId="0" fontId="382" fillId="76" borderId="0" xfId="64" applyFont="1" applyFill="1" applyBorder="1" applyAlignment="1" applyProtection="1">
      <alignment horizontal="center" vertical="center"/>
      <protection hidden="1"/>
    </xf>
    <xf numFmtId="0" fontId="2" fillId="0" borderId="519" xfId="73" applyFont="1" applyFill="1" applyBorder="1" applyAlignment="1" applyProtection="1">
      <alignment horizontal="right" vertical="center"/>
    </xf>
    <xf numFmtId="0" fontId="2" fillId="0" borderId="520" xfId="73" applyFont="1" applyFill="1" applyBorder="1" applyAlignment="1" applyProtection="1">
      <alignment horizontal="right" vertical="center"/>
    </xf>
    <xf numFmtId="0" fontId="2" fillId="0" borderId="521" xfId="73" applyFont="1" applyFill="1" applyBorder="1" applyAlignment="1" applyProtection="1">
      <alignment horizontal="right" vertical="center"/>
    </xf>
    <xf numFmtId="0" fontId="342" fillId="51" borderId="508" xfId="73" applyFont="1" applyFill="1" applyBorder="1" applyAlignment="1">
      <alignment horizontal="center"/>
    </xf>
    <xf numFmtId="0" fontId="342" fillId="51" borderId="509" xfId="73" applyFont="1" applyFill="1" applyBorder="1" applyAlignment="1">
      <alignment horizontal="center"/>
    </xf>
    <xf numFmtId="0" fontId="342" fillId="51" borderId="510" xfId="73" applyFont="1" applyFill="1" applyBorder="1" applyAlignment="1">
      <alignment horizontal="center"/>
    </xf>
    <xf numFmtId="169" fontId="3" fillId="26" borderId="121" xfId="73" applyNumberFormat="1" applyFont="1" applyFill="1" applyBorder="1" applyAlignment="1" applyProtection="1">
      <alignment horizontal="center" readingOrder="2"/>
      <protection locked="0"/>
    </xf>
    <xf numFmtId="169" fontId="3" fillId="26" borderId="115" xfId="73" applyNumberFormat="1" applyFont="1" applyFill="1" applyBorder="1" applyAlignment="1" applyProtection="1">
      <alignment horizontal="center" readingOrder="2"/>
      <protection locked="0"/>
    </xf>
    <xf numFmtId="0" fontId="13" fillId="51" borderId="494" xfId="73" applyFont="1" applyFill="1" applyBorder="1" applyAlignment="1">
      <alignment horizontal="center" vertical="center" wrapText="1"/>
    </xf>
    <xf numFmtId="0" fontId="13" fillId="51" borderId="495" xfId="73" applyFont="1" applyFill="1" applyBorder="1" applyAlignment="1">
      <alignment horizontal="center" vertical="center" wrapText="1"/>
    </xf>
    <xf numFmtId="0" fontId="13" fillId="51" borderId="496" xfId="73" applyFont="1" applyFill="1" applyBorder="1" applyAlignment="1">
      <alignment horizontal="center" vertical="center" wrapText="1"/>
    </xf>
    <xf numFmtId="0" fontId="13" fillId="51" borderId="497" xfId="73" applyFont="1" applyFill="1" applyBorder="1" applyAlignment="1">
      <alignment horizontal="center" vertical="center" wrapText="1"/>
    </xf>
    <xf numFmtId="0" fontId="13" fillId="51" borderId="0" xfId="73" applyFont="1" applyFill="1" applyBorder="1" applyAlignment="1">
      <alignment horizontal="center" vertical="center" wrapText="1"/>
    </xf>
    <xf numFmtId="0" fontId="13" fillId="51" borderId="498" xfId="73" applyFont="1" applyFill="1" applyBorder="1" applyAlignment="1">
      <alignment horizontal="center" vertical="center" wrapText="1"/>
    </xf>
    <xf numFmtId="0" fontId="310" fillId="51" borderId="494" xfId="73" applyFont="1" applyFill="1" applyBorder="1" applyAlignment="1">
      <alignment horizontal="center" vertical="center" wrapText="1"/>
    </xf>
    <xf numFmtId="0" fontId="310" fillId="51" borderId="495" xfId="73" applyFont="1" applyFill="1" applyBorder="1" applyAlignment="1">
      <alignment horizontal="center" vertical="center" wrapText="1"/>
    </xf>
    <xf numFmtId="0" fontId="310" fillId="51" borderId="496" xfId="73" applyFont="1" applyFill="1" applyBorder="1" applyAlignment="1">
      <alignment horizontal="center" vertical="center" wrapText="1"/>
    </xf>
    <xf numFmtId="0" fontId="310" fillId="51" borderId="497" xfId="73" applyFont="1" applyFill="1" applyBorder="1" applyAlignment="1">
      <alignment horizontal="center" vertical="center" wrapText="1"/>
    </xf>
    <xf numFmtId="0" fontId="310" fillId="51" borderId="0" xfId="73" applyFont="1" applyFill="1" applyBorder="1" applyAlignment="1">
      <alignment horizontal="center" vertical="center" wrapText="1"/>
    </xf>
    <xf numFmtId="0" fontId="310" fillId="51" borderId="498" xfId="73" applyFont="1" applyFill="1" applyBorder="1" applyAlignment="1">
      <alignment horizontal="center" vertical="center" wrapText="1"/>
    </xf>
    <xf numFmtId="0" fontId="310" fillId="51" borderId="499" xfId="73" applyFont="1" applyFill="1" applyBorder="1" applyAlignment="1">
      <alignment horizontal="center" vertical="center" wrapText="1"/>
    </xf>
    <xf numFmtId="0" fontId="310" fillId="51" borderId="500" xfId="73" applyFont="1" applyFill="1" applyBorder="1" applyAlignment="1">
      <alignment horizontal="center" vertical="center" wrapText="1"/>
    </xf>
    <xf numFmtId="0" fontId="310" fillId="51" borderId="501" xfId="73" applyFont="1" applyFill="1" applyBorder="1" applyAlignment="1">
      <alignment horizontal="center" vertical="center" wrapText="1"/>
    </xf>
    <xf numFmtId="0" fontId="58" fillId="0" borderId="121" xfId="73" applyFont="1" applyFill="1" applyBorder="1" applyAlignment="1" applyProtection="1">
      <alignment horizontal="center" vertical="center"/>
      <protection locked="0"/>
    </xf>
    <xf numFmtId="0" fontId="58" fillId="0" borderId="115" xfId="73" applyFont="1" applyFill="1" applyBorder="1" applyAlignment="1" applyProtection="1">
      <alignment horizontal="center" vertical="center"/>
      <protection locked="0"/>
    </xf>
    <xf numFmtId="0" fontId="58" fillId="0" borderId="116" xfId="73" applyFont="1" applyFill="1" applyBorder="1" applyAlignment="1" applyProtection="1">
      <alignment horizontal="center" vertical="center"/>
      <protection locked="0"/>
    </xf>
    <xf numFmtId="0" fontId="328" fillId="81" borderId="515" xfId="73" applyFont="1" applyFill="1" applyBorder="1" applyAlignment="1" applyProtection="1">
      <alignment horizontal="center" vertical="center" wrapText="1" readingOrder="2"/>
      <protection hidden="1"/>
    </xf>
    <xf numFmtId="0" fontId="328" fillId="81" borderId="0" xfId="73" applyFont="1" applyFill="1" applyBorder="1" applyAlignment="1" applyProtection="1">
      <alignment horizontal="center" vertical="center" wrapText="1" readingOrder="2"/>
      <protection hidden="1"/>
    </xf>
    <xf numFmtId="1" fontId="58" fillId="48" borderId="121" xfId="73" applyNumberFormat="1" applyFont="1" applyFill="1" applyBorder="1" applyAlignment="1" applyProtection="1">
      <alignment horizontal="center" vertical="center" readingOrder="2"/>
      <protection locked="0"/>
    </xf>
    <xf numFmtId="1" fontId="58" fillId="48" borderId="116" xfId="73" applyNumberFormat="1" applyFont="1" applyFill="1" applyBorder="1" applyAlignment="1" applyProtection="1">
      <alignment horizontal="center" vertical="center" readingOrder="2"/>
      <protection locked="0"/>
    </xf>
    <xf numFmtId="0" fontId="462" fillId="48" borderId="121" xfId="73" applyFont="1" applyFill="1" applyBorder="1" applyAlignment="1" applyProtection="1">
      <alignment horizontal="center" vertical="center"/>
    </xf>
    <xf numFmtId="0" fontId="462" fillId="48" borderId="116" xfId="73" applyFont="1" applyFill="1" applyBorder="1" applyAlignment="1" applyProtection="1">
      <alignment horizontal="center" vertical="center"/>
    </xf>
    <xf numFmtId="49" fontId="151" fillId="0" borderId="44" xfId="73" applyNumberFormat="1" applyFont="1" applyFill="1" applyBorder="1" applyAlignment="1">
      <alignment horizontal="center" vertical="center"/>
    </xf>
    <xf numFmtId="49" fontId="228" fillId="0" borderId="44" xfId="73" applyNumberFormat="1" applyFont="1" applyFill="1" applyBorder="1" applyAlignment="1">
      <alignment horizontal="center" vertical="center"/>
    </xf>
    <xf numFmtId="0" fontId="62" fillId="57" borderId="0" xfId="73" applyFont="1" applyFill="1" applyBorder="1" applyAlignment="1" applyProtection="1">
      <alignment horizontal="right" vertical="center" readingOrder="2"/>
      <protection hidden="1"/>
    </xf>
    <xf numFmtId="0" fontId="58" fillId="48" borderId="0" xfId="73" applyFont="1" applyFill="1" applyBorder="1" applyAlignment="1" applyProtection="1">
      <alignment horizontal="left" vertical="center"/>
      <protection hidden="1"/>
    </xf>
    <xf numFmtId="0" fontId="61" fillId="71" borderId="0" xfId="73" applyFont="1" applyFill="1" applyBorder="1" applyAlignment="1" applyProtection="1">
      <alignment horizontal="center" vertical="center" readingOrder="2"/>
      <protection hidden="1"/>
    </xf>
    <xf numFmtId="0" fontId="58" fillId="0" borderId="0" xfId="73" applyFont="1" applyFill="1" applyBorder="1" applyAlignment="1" applyProtection="1">
      <alignment horizontal="left" vertical="center" readingOrder="2"/>
      <protection hidden="1"/>
    </xf>
    <xf numFmtId="0" fontId="435" fillId="59" borderId="494" xfId="73" applyFont="1" applyFill="1" applyBorder="1" applyAlignment="1" applyProtection="1">
      <alignment horizontal="center" vertical="center" wrapText="1" readingOrder="2"/>
      <protection hidden="1"/>
    </xf>
    <xf numFmtId="0" fontId="435" fillId="59" borderId="495" xfId="73" applyFont="1" applyFill="1" applyBorder="1" applyAlignment="1" applyProtection="1">
      <alignment horizontal="center" vertical="center" wrapText="1" readingOrder="2"/>
      <protection hidden="1"/>
    </xf>
    <xf numFmtId="0" fontId="361" fillId="59" borderId="497" xfId="73" applyFont="1" applyFill="1" applyBorder="1" applyAlignment="1" applyProtection="1">
      <alignment horizontal="center" vertical="center" readingOrder="2"/>
      <protection hidden="1"/>
    </xf>
    <xf numFmtId="0" fontId="361" fillId="59" borderId="0" xfId="73" applyFont="1" applyFill="1" applyBorder="1" applyAlignment="1" applyProtection="1">
      <alignment horizontal="center" vertical="center" readingOrder="2"/>
      <protection hidden="1"/>
    </xf>
    <xf numFmtId="0" fontId="2" fillId="0" borderId="670" xfId="73" applyFont="1" applyFill="1" applyBorder="1" applyAlignment="1" applyProtection="1">
      <alignment horizontal="right" vertical="center"/>
      <protection locked="0"/>
    </xf>
    <xf numFmtId="0" fontId="2" fillId="0" borderId="671" xfId="73" applyFont="1" applyFill="1" applyBorder="1" applyAlignment="1" applyProtection="1">
      <alignment horizontal="right" vertical="center"/>
      <protection locked="0"/>
    </xf>
    <xf numFmtId="0" fontId="2" fillId="0" borderId="672" xfId="73" applyFont="1" applyFill="1" applyBorder="1" applyAlignment="1" applyProtection="1">
      <alignment horizontal="right" vertical="center"/>
      <protection locked="0"/>
    </xf>
    <xf numFmtId="0" fontId="58" fillId="0" borderId="121" xfId="64" applyFont="1" applyFill="1" applyBorder="1" applyAlignment="1" applyProtection="1">
      <alignment horizontal="center" vertical="center" readingOrder="2"/>
      <protection locked="0"/>
    </xf>
    <xf numFmtId="0" fontId="58" fillId="0" borderId="116" xfId="64" applyFont="1" applyFill="1" applyBorder="1" applyAlignment="1" applyProtection="1">
      <alignment horizontal="center" vertical="center" readingOrder="2"/>
      <protection locked="0"/>
    </xf>
    <xf numFmtId="0" fontId="62" fillId="51" borderId="0" xfId="73" applyFont="1" applyFill="1" applyBorder="1" applyAlignment="1" applyProtection="1">
      <alignment horizontal="center" vertical="center" readingOrder="2"/>
      <protection hidden="1"/>
    </xf>
    <xf numFmtId="0" fontId="1" fillId="49" borderId="0" xfId="73" applyFill="1" applyBorder="1" applyAlignment="1" applyProtection="1">
      <alignment horizontal="right" vertical="center"/>
    </xf>
    <xf numFmtId="0" fontId="257" fillId="32" borderId="316" xfId="73" applyFont="1" applyFill="1" applyBorder="1" applyAlignment="1" applyProtection="1">
      <alignment horizontal="center" vertical="center"/>
      <protection hidden="1"/>
    </xf>
    <xf numFmtId="0" fontId="258" fillId="32" borderId="317" xfId="73" applyFont="1" applyFill="1" applyBorder="1" applyAlignment="1" applyProtection="1">
      <alignment horizontal="center" vertical="center"/>
      <protection hidden="1"/>
    </xf>
    <xf numFmtId="0" fontId="258" fillId="32" borderId="318" xfId="73" applyFont="1" applyFill="1" applyBorder="1" applyAlignment="1" applyProtection="1">
      <alignment horizontal="center" vertical="center"/>
      <protection hidden="1"/>
    </xf>
    <xf numFmtId="0" fontId="501" fillId="76" borderId="0" xfId="64" applyFont="1" applyFill="1" applyBorder="1" applyAlignment="1" applyProtection="1">
      <alignment horizontal="center" vertical="center" wrapText="1"/>
      <protection hidden="1"/>
    </xf>
    <xf numFmtId="0" fontId="501" fillId="76" borderId="320" xfId="64" applyFont="1" applyFill="1" applyBorder="1" applyAlignment="1" applyProtection="1">
      <alignment horizontal="center" vertical="center" wrapText="1"/>
      <protection hidden="1"/>
    </xf>
    <xf numFmtId="0" fontId="61" fillId="72" borderId="0" xfId="73" applyFont="1" applyFill="1" applyBorder="1" applyAlignment="1" applyProtection="1">
      <alignment horizontal="center" vertical="center" readingOrder="2"/>
      <protection hidden="1"/>
    </xf>
    <xf numFmtId="0" fontId="61" fillId="80" borderId="0" xfId="73" applyFont="1" applyFill="1" applyBorder="1" applyAlignment="1">
      <alignment horizontal="center" vertical="center" readingOrder="2"/>
    </xf>
    <xf numFmtId="0" fontId="247" fillId="27" borderId="269" xfId="73" applyFont="1" applyFill="1" applyBorder="1" applyAlignment="1" applyProtection="1">
      <alignment horizontal="center" vertical="center"/>
      <protection hidden="1"/>
    </xf>
    <xf numFmtId="0" fontId="247" fillId="27" borderId="0" xfId="73" applyFont="1" applyFill="1" applyBorder="1" applyAlignment="1" applyProtection="1">
      <alignment horizontal="center" vertical="center"/>
      <protection hidden="1"/>
    </xf>
    <xf numFmtId="0" fontId="247" fillId="27" borderId="270" xfId="73" applyFont="1" applyFill="1" applyBorder="1" applyAlignment="1" applyProtection="1">
      <alignment horizontal="center" vertical="center"/>
      <protection hidden="1"/>
    </xf>
    <xf numFmtId="0" fontId="247" fillId="27" borderId="319" xfId="73" applyFont="1" applyFill="1" applyBorder="1" applyAlignment="1" applyProtection="1">
      <alignment horizontal="center" vertical="center"/>
      <protection hidden="1"/>
    </xf>
    <xf numFmtId="0" fontId="247" fillId="27" borderId="320" xfId="73" applyFont="1" applyFill="1" applyBorder="1" applyAlignment="1" applyProtection="1">
      <alignment horizontal="center" vertical="center"/>
      <protection hidden="1"/>
    </xf>
    <xf numFmtId="0" fontId="247" fillId="27" borderId="321" xfId="73" applyFont="1" applyFill="1" applyBorder="1" applyAlignment="1" applyProtection="1">
      <alignment horizontal="center" vertical="center"/>
      <protection hidden="1"/>
    </xf>
    <xf numFmtId="0" fontId="248" fillId="27" borderId="269" xfId="73" applyFont="1" applyFill="1" applyBorder="1" applyAlignment="1" applyProtection="1">
      <alignment horizontal="center" vertical="center"/>
      <protection hidden="1"/>
    </xf>
    <xf numFmtId="0" fontId="248" fillId="27" borderId="0" xfId="73" applyFont="1" applyFill="1" applyBorder="1" applyAlignment="1" applyProtection="1">
      <alignment horizontal="center" vertical="center"/>
      <protection hidden="1"/>
    </xf>
    <xf numFmtId="0" fontId="248" fillId="27" borderId="270" xfId="73" applyFont="1" applyFill="1" applyBorder="1" applyAlignment="1" applyProtection="1">
      <alignment horizontal="center" vertical="center"/>
      <protection hidden="1"/>
    </xf>
    <xf numFmtId="0" fontId="61" fillId="47" borderId="0" xfId="73" applyFont="1" applyFill="1" applyBorder="1" applyAlignment="1" applyProtection="1">
      <alignment horizontal="center" vertical="center" readingOrder="2"/>
      <protection hidden="1"/>
    </xf>
    <xf numFmtId="0" fontId="247" fillId="68" borderId="269" xfId="73" applyFont="1" applyFill="1" applyBorder="1" applyAlignment="1" applyProtection="1">
      <alignment horizontal="center" vertical="center"/>
      <protection hidden="1"/>
    </xf>
    <xf numFmtId="0" fontId="247" fillId="68" borderId="0" xfId="73" applyFont="1" applyFill="1" applyBorder="1" applyAlignment="1" applyProtection="1">
      <alignment horizontal="center" vertical="center"/>
      <protection hidden="1"/>
    </xf>
    <xf numFmtId="0" fontId="247" fillId="68" borderId="270" xfId="73" applyFont="1" applyFill="1" applyBorder="1" applyAlignment="1" applyProtection="1">
      <alignment horizontal="center" vertical="center"/>
      <protection hidden="1"/>
    </xf>
    <xf numFmtId="0" fontId="62" fillId="51" borderId="0" xfId="73" applyFont="1" applyFill="1" applyBorder="1" applyAlignment="1">
      <alignment horizontal="center" vertical="center" readingOrder="2"/>
    </xf>
    <xf numFmtId="0" fontId="58" fillId="48" borderId="121" xfId="73" applyFont="1" applyFill="1" applyBorder="1" applyAlignment="1" applyProtection="1">
      <alignment horizontal="center" vertical="center" readingOrder="2"/>
      <protection locked="0"/>
    </xf>
    <xf numFmtId="0" fontId="58" fillId="48" borderId="116" xfId="73" applyFont="1" applyFill="1" applyBorder="1" applyAlignment="1" applyProtection="1">
      <alignment horizontal="center" vertical="center" readingOrder="2"/>
      <protection locked="0"/>
    </xf>
    <xf numFmtId="0" fontId="491" fillId="0" borderId="335" xfId="0" applyFont="1" applyBorder="1" applyAlignment="1" applyProtection="1">
      <alignment horizontal="center" vertical="center"/>
    </xf>
    <xf numFmtId="0" fontId="491" fillId="0" borderId="337" xfId="0" applyFont="1" applyBorder="1" applyAlignment="1" applyProtection="1">
      <alignment horizontal="center" vertical="center"/>
    </xf>
    <xf numFmtId="0" fontId="371" fillId="0" borderId="335" xfId="0" applyFont="1" applyBorder="1" applyAlignment="1" applyProtection="1">
      <alignment horizontal="center" vertical="center"/>
      <protection locked="0"/>
    </xf>
    <xf numFmtId="0" fontId="371" fillId="0" borderId="337" xfId="0" applyFont="1" applyBorder="1" applyAlignment="1" applyProtection="1">
      <alignment horizontal="center" vertical="center"/>
      <protection locked="0"/>
    </xf>
    <xf numFmtId="0" fontId="62" fillId="51" borderId="0" xfId="73" applyFont="1" applyFill="1" applyBorder="1" applyAlignment="1" applyProtection="1">
      <alignment horizontal="center" vertical="center" readingOrder="2"/>
    </xf>
    <xf numFmtId="0" fontId="89" fillId="0" borderId="497" xfId="73" applyFont="1" applyFill="1" applyBorder="1" applyAlignment="1" applyProtection="1">
      <alignment horizontal="center" vertical="center"/>
    </xf>
    <xf numFmtId="0" fontId="89" fillId="0" borderId="0" xfId="73" applyFont="1" applyFill="1" applyBorder="1" applyAlignment="1" applyProtection="1">
      <alignment horizontal="center" vertical="center"/>
    </xf>
    <xf numFmtId="0" fontId="61" fillId="80" borderId="0" xfId="73" applyFont="1" applyFill="1" applyBorder="1" applyAlignment="1" applyProtection="1">
      <alignment horizontal="center" vertical="center" readingOrder="2"/>
    </xf>
    <xf numFmtId="0" fontId="323" fillId="0" borderId="335" xfId="0" applyFont="1" applyBorder="1" applyAlignment="1" applyProtection="1">
      <alignment horizontal="center" vertical="center"/>
      <protection locked="0"/>
    </xf>
    <xf numFmtId="0" fontId="323" fillId="0" borderId="337" xfId="0" applyFont="1" applyBorder="1" applyAlignment="1" applyProtection="1">
      <alignment horizontal="center" vertical="center"/>
      <protection locked="0"/>
    </xf>
    <xf numFmtId="0" fontId="61" fillId="47" borderId="120" xfId="73" applyFont="1" applyFill="1" applyBorder="1" applyAlignment="1" applyProtection="1">
      <alignment horizontal="center" vertical="center" readingOrder="2"/>
    </xf>
    <xf numFmtId="0" fontId="61" fillId="47" borderId="0" xfId="73" applyFont="1" applyFill="1" applyBorder="1" applyAlignment="1" applyProtection="1">
      <alignment horizontal="center" vertical="center" readingOrder="2"/>
    </xf>
    <xf numFmtId="0" fontId="58" fillId="26" borderId="0" xfId="73" applyFont="1" applyFill="1" applyBorder="1" applyAlignment="1" applyProtection="1">
      <alignment horizontal="center" vertical="center"/>
    </xf>
    <xf numFmtId="0" fontId="61" fillId="71" borderId="120" xfId="73" applyFont="1" applyFill="1" applyBorder="1" applyAlignment="1" applyProtection="1">
      <alignment horizontal="center" vertical="center" readingOrder="2"/>
    </xf>
    <xf numFmtId="0" fontId="61" fillId="71" borderId="0" xfId="73" applyFont="1" applyFill="1" applyBorder="1" applyAlignment="1" applyProtection="1">
      <alignment horizontal="center" vertical="center" readingOrder="2"/>
    </xf>
    <xf numFmtId="0" fontId="500" fillId="76" borderId="0" xfId="64" applyFont="1" applyFill="1" applyBorder="1" applyAlignment="1" applyProtection="1">
      <alignment horizontal="center" vertical="center" wrapText="1"/>
      <protection hidden="1"/>
    </xf>
    <xf numFmtId="0" fontId="61" fillId="72" borderId="0" xfId="73" applyFont="1" applyFill="1" applyBorder="1" applyAlignment="1" applyProtection="1">
      <alignment horizontal="center" vertical="center" readingOrder="2"/>
    </xf>
    <xf numFmtId="0" fontId="58" fillId="26" borderId="673" xfId="73" applyFont="1" applyFill="1" applyBorder="1" applyAlignment="1" applyProtection="1">
      <alignment horizontal="center" vertical="center"/>
      <protection locked="0"/>
    </xf>
    <xf numFmtId="0" fontId="58" fillId="26" borderId="674" xfId="73" applyFont="1" applyFill="1" applyBorder="1" applyAlignment="1" applyProtection="1">
      <alignment horizontal="center" vertical="center"/>
      <protection locked="0"/>
    </xf>
    <xf numFmtId="0" fontId="58" fillId="26" borderId="675" xfId="73" applyFont="1" applyFill="1" applyBorder="1" applyAlignment="1" applyProtection="1">
      <alignment horizontal="center" vertical="center"/>
      <protection locked="0"/>
    </xf>
    <xf numFmtId="0" fontId="257" fillId="32" borderId="317" xfId="73" applyFont="1" applyFill="1" applyBorder="1" applyAlignment="1" applyProtection="1">
      <alignment horizontal="center" vertical="center"/>
      <protection hidden="1"/>
    </xf>
    <xf numFmtId="0" fontId="257" fillId="32" borderId="318" xfId="73" applyFont="1" applyFill="1" applyBorder="1" applyAlignment="1" applyProtection="1">
      <alignment horizontal="center" vertical="center"/>
      <protection hidden="1"/>
    </xf>
    <xf numFmtId="0" fontId="248" fillId="58" borderId="269" xfId="73" applyFont="1" applyFill="1" applyBorder="1" applyAlignment="1" applyProtection="1">
      <alignment horizontal="right" vertical="center" wrapText="1"/>
      <protection hidden="1"/>
    </xf>
    <xf numFmtId="0" fontId="248" fillId="58" borderId="0" xfId="73" applyFont="1" applyFill="1" applyBorder="1" applyAlignment="1" applyProtection="1">
      <alignment horizontal="right" vertical="center" wrapText="1"/>
      <protection hidden="1"/>
    </xf>
    <xf numFmtId="0" fontId="248" fillId="58" borderId="270" xfId="73" applyFont="1" applyFill="1" applyBorder="1" applyAlignment="1" applyProtection="1">
      <alignment horizontal="right" vertical="center" wrapText="1"/>
      <protection hidden="1"/>
    </xf>
    <xf numFmtId="0" fontId="247" fillId="58" borderId="269" xfId="73" applyFont="1" applyFill="1" applyBorder="1" applyAlignment="1" applyProtection="1">
      <alignment horizontal="left" vertical="center" wrapText="1"/>
      <protection hidden="1"/>
    </xf>
    <xf numFmtId="0" fontId="247" fillId="58" borderId="0" xfId="73" applyFont="1" applyFill="1" applyBorder="1" applyAlignment="1" applyProtection="1">
      <alignment horizontal="left" vertical="center" wrapText="1"/>
      <protection hidden="1"/>
    </xf>
    <xf numFmtId="0" fontId="247" fillId="58" borderId="270" xfId="73" applyFont="1" applyFill="1" applyBorder="1" applyAlignment="1" applyProtection="1">
      <alignment horizontal="left" vertical="center" wrapText="1"/>
      <protection hidden="1"/>
    </xf>
    <xf numFmtId="0" fontId="247" fillId="58" borderId="319" xfId="73" applyFont="1" applyFill="1" applyBorder="1" applyAlignment="1" applyProtection="1">
      <alignment horizontal="left" vertical="center" wrapText="1"/>
      <protection hidden="1"/>
    </xf>
    <xf numFmtId="0" fontId="247" fillId="58" borderId="320" xfId="73" applyFont="1" applyFill="1" applyBorder="1" applyAlignment="1" applyProtection="1">
      <alignment horizontal="left" vertical="center" wrapText="1"/>
      <protection hidden="1"/>
    </xf>
    <xf numFmtId="0" fontId="247" fillId="58" borderId="321" xfId="73" applyFont="1" applyFill="1" applyBorder="1" applyAlignment="1" applyProtection="1">
      <alignment horizontal="left" vertical="center" wrapText="1"/>
      <protection hidden="1"/>
    </xf>
    <xf numFmtId="0" fontId="67" fillId="26" borderId="156" xfId="71" applyFont="1" applyFill="1" applyBorder="1" applyAlignment="1" applyProtection="1">
      <alignment horizontal="right" vertical="center" readingOrder="2"/>
      <protection locked="0"/>
    </xf>
    <xf numFmtId="0" fontId="67" fillId="26" borderId="0" xfId="71" applyFont="1" applyFill="1" applyBorder="1" applyAlignment="1" applyProtection="1">
      <alignment horizontal="right" vertical="center" readingOrder="2"/>
      <protection locked="0"/>
    </xf>
    <xf numFmtId="0" fontId="67" fillId="26" borderId="157" xfId="71" applyFont="1" applyFill="1" applyBorder="1" applyAlignment="1" applyProtection="1">
      <alignment horizontal="right" vertical="center" readingOrder="2"/>
      <protection locked="0"/>
    </xf>
    <xf numFmtId="0" fontId="67" fillId="26" borderId="158" xfId="71" applyFont="1" applyFill="1" applyBorder="1" applyAlignment="1" applyProtection="1">
      <alignment horizontal="right" vertical="center" readingOrder="2"/>
      <protection locked="0"/>
    </xf>
    <xf numFmtId="0" fontId="67" fillId="26" borderId="67" xfId="71" applyFont="1" applyFill="1" applyBorder="1" applyAlignment="1" applyProtection="1">
      <alignment horizontal="right" vertical="center" readingOrder="2"/>
      <protection locked="0"/>
    </xf>
    <xf numFmtId="0" fontId="67" fillId="26" borderId="159" xfId="71" applyFont="1" applyFill="1" applyBorder="1" applyAlignment="1" applyProtection="1">
      <alignment horizontal="right" vertical="center" readingOrder="2"/>
      <protection locked="0"/>
    </xf>
    <xf numFmtId="0" fontId="228" fillId="0" borderId="44" xfId="71" applyFont="1" applyFill="1" applyBorder="1" applyAlignment="1" applyProtection="1">
      <alignment horizontal="center" vertical="center"/>
    </xf>
    <xf numFmtId="0" fontId="3" fillId="0" borderId="0" xfId="71" applyFont="1" applyBorder="1" applyAlignment="1" applyProtection="1">
      <alignment horizontal="right"/>
      <protection locked="0"/>
    </xf>
    <xf numFmtId="0" fontId="58" fillId="26" borderId="41" xfId="71" applyFont="1" applyFill="1" applyBorder="1" applyAlignment="1" applyProtection="1">
      <alignment horizontal="center" vertical="center"/>
    </xf>
    <xf numFmtId="1" fontId="2" fillId="0" borderId="63" xfId="71" applyNumberFormat="1" applyFont="1" applyBorder="1" applyAlignment="1" applyProtection="1">
      <alignment horizontal="right" vertical="center"/>
      <protection locked="0"/>
    </xf>
    <xf numFmtId="1" fontId="2" fillId="0" borderId="62" xfId="71" applyNumberFormat="1" applyFont="1" applyBorder="1" applyAlignment="1" applyProtection="1">
      <alignment horizontal="right" vertical="center"/>
      <protection locked="0"/>
    </xf>
    <xf numFmtId="1" fontId="2" fillId="0" borderId="64" xfId="71" applyNumberFormat="1" applyFont="1" applyBorder="1" applyAlignment="1" applyProtection="1">
      <alignment horizontal="right" vertical="center"/>
      <protection locked="0"/>
    </xf>
    <xf numFmtId="0" fontId="2" fillId="0" borderId="63" xfId="73" applyFont="1" applyFill="1" applyBorder="1" applyAlignment="1" applyProtection="1">
      <alignment horizontal="right"/>
    </xf>
    <xf numFmtId="0" fontId="2" fillId="0" borderId="62" xfId="73" applyFont="1" applyFill="1" applyBorder="1" applyAlignment="1" applyProtection="1">
      <alignment horizontal="right"/>
    </xf>
    <xf numFmtId="0" fontId="2" fillId="0" borderId="64" xfId="73" applyFont="1" applyFill="1" applyBorder="1" applyAlignment="1" applyProtection="1">
      <alignment horizontal="right"/>
    </xf>
    <xf numFmtId="0" fontId="2" fillId="0" borderId="63" xfId="73" applyFont="1" applyFill="1" applyBorder="1" applyAlignment="1" applyProtection="1">
      <alignment horizontal="left" vertical="center"/>
      <protection locked="0"/>
    </xf>
    <xf numFmtId="0" fontId="2" fillId="0" borderId="62" xfId="73" applyFont="1" applyFill="1" applyBorder="1" applyAlignment="1" applyProtection="1">
      <alignment horizontal="left" vertical="center"/>
      <protection locked="0"/>
    </xf>
    <xf numFmtId="0" fontId="2" fillId="0" borderId="64" xfId="73" applyFont="1" applyFill="1" applyBorder="1" applyAlignment="1" applyProtection="1">
      <alignment horizontal="left" vertical="center"/>
      <protection locked="0"/>
    </xf>
    <xf numFmtId="0" fontId="67" fillId="26" borderId="57" xfId="71" applyFont="1" applyFill="1" applyBorder="1" applyAlignment="1" applyProtection="1">
      <alignment horizontal="right" vertical="center" readingOrder="2"/>
      <protection locked="0"/>
    </xf>
    <xf numFmtId="0" fontId="0" fillId="0" borderId="328" xfId="0" applyBorder="1" applyAlignment="1" applyProtection="1">
      <alignment horizontal="right"/>
      <protection locked="0"/>
    </xf>
    <xf numFmtId="0" fontId="0" fillId="0" borderId="329" xfId="0" applyBorder="1" applyAlignment="1" applyProtection="1">
      <alignment horizontal="right"/>
      <protection locked="0"/>
    </xf>
    <xf numFmtId="0" fontId="0" fillId="0" borderId="0" xfId="0" applyAlignment="1" applyProtection="1">
      <alignment horizontal="right"/>
      <protection locked="0"/>
    </xf>
    <xf numFmtId="0" fontId="0" fillId="0" borderId="157" xfId="0" applyBorder="1" applyAlignment="1" applyProtection="1">
      <alignment horizontal="right"/>
      <protection locked="0"/>
    </xf>
    <xf numFmtId="49" fontId="65" fillId="0" borderId="63" xfId="71" applyNumberFormat="1" applyFont="1" applyBorder="1" applyAlignment="1" applyProtection="1">
      <alignment horizontal="right"/>
      <protection locked="0"/>
    </xf>
    <xf numFmtId="49" fontId="65" fillId="0" borderId="62" xfId="71" applyNumberFormat="1" applyFont="1" applyBorder="1" applyAlignment="1" applyProtection="1">
      <alignment horizontal="right"/>
      <protection locked="0"/>
    </xf>
    <xf numFmtId="49" fontId="65" fillId="0" borderId="64" xfId="71" applyNumberFormat="1" applyFont="1" applyBorder="1" applyAlignment="1" applyProtection="1">
      <alignment horizontal="right"/>
      <protection locked="0"/>
    </xf>
    <xf numFmtId="0" fontId="61" fillId="0" borderId="0" xfId="71" applyFont="1" applyFill="1" applyBorder="1" applyAlignment="1" applyProtection="1">
      <alignment horizontal="right" readingOrder="2"/>
    </xf>
    <xf numFmtId="0" fontId="61" fillId="0" borderId="43" xfId="71" applyFont="1" applyFill="1" applyBorder="1" applyAlignment="1" applyProtection="1">
      <alignment horizontal="right" readingOrder="2"/>
    </xf>
    <xf numFmtId="0" fontId="2" fillId="48" borderId="0" xfId="73" applyFont="1" applyFill="1" applyBorder="1" applyAlignment="1" applyProtection="1">
      <alignment horizontal="center" vertical="center"/>
      <protection hidden="1"/>
    </xf>
    <xf numFmtId="0" fontId="383" fillId="59" borderId="0" xfId="0" applyFont="1" applyFill="1" applyAlignment="1" applyProtection="1">
      <alignment horizontal="right" vertical="center" wrapText="1"/>
      <protection hidden="1"/>
    </xf>
    <xf numFmtId="0" fontId="352" fillId="0" borderId="500" xfId="64" applyFont="1" applyFill="1" applyBorder="1" applyAlignment="1">
      <alignment horizontal="center" vertical="center"/>
    </xf>
    <xf numFmtId="0" fontId="57" fillId="48" borderId="248" xfId="64" applyFont="1" applyFill="1" applyBorder="1" applyAlignment="1" applyProtection="1">
      <alignment horizontal="right" vertical="center" readingOrder="2"/>
    </xf>
    <xf numFmtId="0" fontId="57" fillId="48" borderId="0" xfId="64" applyFont="1" applyFill="1" applyBorder="1" applyAlignment="1" applyProtection="1">
      <alignment horizontal="right" vertical="center" readingOrder="2"/>
    </xf>
    <xf numFmtId="0" fontId="7" fillId="50" borderId="0" xfId="64" applyFont="1" applyFill="1" applyBorder="1" applyAlignment="1" applyProtection="1">
      <alignment horizontal="right" vertical="center" readingOrder="2"/>
    </xf>
    <xf numFmtId="0" fontId="58" fillId="48" borderId="643" xfId="64" applyFont="1" applyFill="1" applyBorder="1" applyAlignment="1" applyProtection="1">
      <alignment horizontal="center" vertical="center" wrapText="1" readingOrder="2"/>
    </xf>
    <xf numFmtId="3" fontId="335" fillId="48" borderId="643" xfId="64" applyNumberFormat="1" applyFont="1" applyFill="1" applyBorder="1" applyAlignment="1" applyProtection="1">
      <alignment horizontal="center" vertical="center" readingOrder="2"/>
    </xf>
    <xf numFmtId="0" fontId="58" fillId="48" borderId="610" xfId="64" applyFont="1" applyFill="1" applyBorder="1" applyAlignment="1" applyProtection="1">
      <alignment horizontal="center" vertical="center" wrapText="1" readingOrder="2"/>
    </xf>
    <xf numFmtId="0" fontId="58" fillId="48" borderId="117" xfId="64" applyFont="1" applyFill="1" applyBorder="1" applyAlignment="1" applyProtection="1">
      <alignment horizontal="center" vertical="center" wrapText="1" readingOrder="2"/>
    </xf>
    <xf numFmtId="0" fontId="58" fillId="48" borderId="642" xfId="64" applyFont="1" applyFill="1" applyBorder="1" applyAlignment="1" applyProtection="1">
      <alignment horizontal="center" vertical="center" wrapText="1" readingOrder="2"/>
    </xf>
    <xf numFmtId="3" fontId="335" fillId="48" borderId="117" xfId="64" applyNumberFormat="1" applyFont="1" applyFill="1" applyBorder="1" applyAlignment="1" applyProtection="1">
      <alignment horizontal="center" vertical="center" readingOrder="2"/>
    </xf>
    <xf numFmtId="3" fontId="335" fillId="48" borderId="118" xfId="64" applyNumberFormat="1" applyFont="1" applyFill="1" applyBorder="1" applyAlignment="1" applyProtection="1">
      <alignment horizontal="center" vertical="center" readingOrder="2"/>
    </xf>
    <xf numFmtId="3" fontId="402" fillId="48" borderId="117" xfId="64" applyNumberFormat="1" applyFont="1" applyFill="1" applyBorder="1" applyAlignment="1" applyProtection="1">
      <alignment horizontal="center" vertical="center" readingOrder="1"/>
    </xf>
    <xf numFmtId="3" fontId="402" fillId="48" borderId="609" xfId="64" applyNumberFormat="1" applyFont="1" applyFill="1" applyBorder="1" applyAlignment="1" applyProtection="1">
      <alignment horizontal="center" vertical="center" readingOrder="1"/>
    </xf>
    <xf numFmtId="3" fontId="402" fillId="48" borderId="308" xfId="64" applyNumberFormat="1" applyFont="1" applyFill="1" applyBorder="1" applyAlignment="1" applyProtection="1">
      <alignment horizontal="center" vertical="center" readingOrder="1"/>
    </xf>
    <xf numFmtId="0" fontId="57" fillId="47" borderId="0" xfId="64" applyFont="1" applyFill="1" applyBorder="1" applyAlignment="1" applyProtection="1">
      <alignment horizontal="center" vertical="center" readingOrder="2"/>
    </xf>
    <xf numFmtId="0" fontId="58" fillId="48" borderId="308" xfId="64" applyFont="1" applyFill="1" applyBorder="1" applyAlignment="1" applyProtection="1">
      <alignment horizontal="center" vertical="center" wrapText="1" readingOrder="2"/>
    </xf>
    <xf numFmtId="0" fontId="58" fillId="48" borderId="118" xfId="64" applyFont="1" applyFill="1" applyBorder="1" applyAlignment="1" applyProtection="1">
      <alignment horizontal="center" vertical="center" wrapText="1" readingOrder="2"/>
    </xf>
    <xf numFmtId="0" fontId="3" fillId="0" borderId="519" xfId="73" applyFont="1" applyFill="1" applyBorder="1" applyAlignment="1" applyProtection="1">
      <alignment horizontal="right" vertical="center"/>
    </xf>
    <xf numFmtId="0" fontId="3" fillId="0" borderId="520" xfId="73" applyFont="1" applyFill="1" applyBorder="1" applyAlignment="1" applyProtection="1">
      <alignment horizontal="right" vertical="center"/>
    </xf>
    <xf numFmtId="0" fontId="57" fillId="49" borderId="0" xfId="72" applyFont="1" applyFill="1" applyBorder="1" applyAlignment="1" applyProtection="1">
      <alignment horizontal="right" vertical="center" readingOrder="2"/>
    </xf>
    <xf numFmtId="0" fontId="57" fillId="49" borderId="120" xfId="72" applyFont="1" applyFill="1" applyBorder="1" applyAlignment="1" applyProtection="1">
      <alignment horizontal="right" vertical="center" readingOrder="2"/>
    </xf>
    <xf numFmtId="0" fontId="57" fillId="49" borderId="0" xfId="72" applyFont="1" applyFill="1" applyBorder="1" applyAlignment="1" applyProtection="1">
      <alignment horizontal="center" vertical="center" readingOrder="2"/>
    </xf>
    <xf numFmtId="0" fontId="57" fillId="49" borderId="120" xfId="72" applyFont="1" applyFill="1" applyBorder="1" applyAlignment="1" applyProtection="1">
      <alignment horizontal="center" vertical="center" readingOrder="2"/>
    </xf>
    <xf numFmtId="0" fontId="57" fillId="0" borderId="0" xfId="72" applyFont="1" applyFill="1" applyBorder="1" applyAlignment="1" applyProtection="1">
      <alignment horizontal="right" vertical="center" readingOrder="2"/>
    </xf>
    <xf numFmtId="0" fontId="57" fillId="0" borderId="120" xfId="72" applyFont="1" applyFill="1" applyBorder="1" applyAlignment="1" applyProtection="1">
      <alignment horizontal="right" vertical="center" readingOrder="2"/>
    </xf>
    <xf numFmtId="0" fontId="7" fillId="49" borderId="0" xfId="64" applyFont="1" applyFill="1" applyBorder="1" applyAlignment="1" applyProtection="1">
      <alignment horizontal="left" vertical="center" readingOrder="2"/>
    </xf>
    <xf numFmtId="0" fontId="7" fillId="49" borderId="120" xfId="64" applyFont="1" applyFill="1" applyBorder="1" applyAlignment="1" applyProtection="1">
      <alignment horizontal="left" vertical="center" readingOrder="2"/>
    </xf>
    <xf numFmtId="0" fontId="57" fillId="49" borderId="0" xfId="64" applyFont="1" applyFill="1" applyBorder="1" applyAlignment="1" applyProtection="1">
      <alignment horizontal="center" vertical="center" readingOrder="2"/>
    </xf>
    <xf numFmtId="0" fontId="57" fillId="0" borderId="0" xfId="64" applyFont="1" applyFill="1" applyBorder="1" applyAlignment="1" applyProtection="1">
      <alignment horizontal="center" vertical="center" readingOrder="2"/>
    </xf>
    <xf numFmtId="0" fontId="338" fillId="0" borderId="0" xfId="64" applyFont="1" applyFill="1" applyBorder="1" applyAlignment="1" applyProtection="1">
      <alignment horizontal="center" vertical="center" readingOrder="2"/>
    </xf>
    <xf numFmtId="0" fontId="57" fillId="31" borderId="0" xfId="64" applyFont="1" applyFill="1" applyBorder="1" applyAlignment="1" applyProtection="1">
      <alignment horizontal="center" vertical="center" readingOrder="2"/>
    </xf>
    <xf numFmtId="0" fontId="57" fillId="31" borderId="120" xfId="64" applyFont="1" applyFill="1" applyBorder="1" applyAlignment="1" applyProtection="1">
      <alignment horizontal="center" vertical="center" readingOrder="2"/>
    </xf>
    <xf numFmtId="0" fontId="2" fillId="49" borderId="194" xfId="64" applyFont="1" applyFill="1" applyBorder="1" applyAlignment="1" applyProtection="1">
      <alignment horizontal="center" vertical="center" wrapText="1" readingOrder="2"/>
    </xf>
    <xf numFmtId="0" fontId="2" fillId="49" borderId="245" xfId="64" applyFont="1" applyFill="1" applyBorder="1" applyAlignment="1" applyProtection="1">
      <alignment horizontal="center" vertical="center" wrapText="1" readingOrder="2"/>
    </xf>
    <xf numFmtId="0" fontId="2" fillId="26" borderId="194" xfId="64" applyFont="1" applyFill="1" applyBorder="1" applyAlignment="1" applyProtection="1">
      <alignment horizontal="center" vertical="center" wrapText="1" readingOrder="2"/>
    </xf>
    <xf numFmtId="0" fontId="2" fillId="26" borderId="245" xfId="64" applyFont="1" applyFill="1" applyBorder="1" applyAlignment="1" applyProtection="1">
      <alignment horizontal="center" vertical="center" wrapText="1" readingOrder="2"/>
    </xf>
    <xf numFmtId="0" fontId="58" fillId="27" borderId="194" xfId="64" applyFont="1" applyFill="1" applyBorder="1" applyAlignment="1" applyProtection="1">
      <alignment horizontal="center" vertical="center" wrapText="1" readingOrder="2"/>
      <protection hidden="1"/>
    </xf>
    <xf numFmtId="0" fontId="58" fillId="27" borderId="245" xfId="64" applyFont="1" applyFill="1" applyBorder="1" applyAlignment="1" applyProtection="1">
      <alignment horizontal="center" vertical="center" wrapText="1" readingOrder="2"/>
      <protection hidden="1"/>
    </xf>
    <xf numFmtId="0" fontId="2" fillId="26" borderId="184" xfId="64" applyFont="1" applyFill="1" applyBorder="1" applyAlignment="1" applyProtection="1">
      <alignment horizontal="center" vertical="center" wrapText="1" readingOrder="2"/>
    </xf>
    <xf numFmtId="0" fontId="2" fillId="26" borderId="185" xfId="64" applyFont="1" applyFill="1" applyBorder="1" applyAlignment="1" applyProtection="1">
      <alignment horizontal="center" vertical="center" wrapText="1" readingOrder="2"/>
    </xf>
    <xf numFmtId="0" fontId="2" fillId="49" borderId="184" xfId="64" applyFont="1" applyFill="1" applyBorder="1" applyAlignment="1" applyProtection="1">
      <alignment horizontal="center" vertical="center" wrapText="1" readingOrder="2"/>
    </xf>
    <xf numFmtId="0" fontId="2" fillId="49" borderId="185" xfId="64" applyFont="1" applyFill="1" applyBorder="1" applyAlignment="1" applyProtection="1">
      <alignment horizontal="center" vertical="center" wrapText="1" readingOrder="2"/>
    </xf>
    <xf numFmtId="3" fontId="169" fillId="26" borderId="0" xfId="64" applyNumberFormat="1" applyFont="1" applyFill="1" applyBorder="1" applyAlignment="1" applyProtection="1">
      <alignment horizontal="center" vertical="center" wrapText="1" readingOrder="1"/>
      <protection hidden="1"/>
    </xf>
    <xf numFmtId="0" fontId="58" fillId="50" borderId="121" xfId="75" applyFont="1" applyFill="1" applyBorder="1" applyAlignment="1" applyProtection="1">
      <alignment horizontal="center" vertical="center" wrapText="1" readingOrder="2"/>
      <protection hidden="1"/>
    </xf>
    <xf numFmtId="0" fontId="58" fillId="50" borderId="116" xfId="75" applyFont="1" applyFill="1" applyBorder="1" applyAlignment="1" applyProtection="1">
      <alignment horizontal="center" vertical="center" wrapText="1" readingOrder="2"/>
      <protection hidden="1"/>
    </xf>
    <xf numFmtId="3" fontId="236" fillId="26" borderId="63" xfId="64" applyNumberFormat="1" applyFont="1" applyFill="1" applyBorder="1" applyAlignment="1" applyProtection="1">
      <alignment horizontal="center" wrapText="1" readingOrder="1"/>
      <protection hidden="1"/>
    </xf>
    <xf numFmtId="3" fontId="236" fillId="26" borderId="62" xfId="64" applyNumberFormat="1" applyFont="1" applyFill="1" applyBorder="1" applyAlignment="1" applyProtection="1">
      <alignment horizontal="center" wrapText="1" readingOrder="1"/>
      <protection hidden="1"/>
    </xf>
    <xf numFmtId="3" fontId="236" fillId="26" borderId="64" xfId="64" applyNumberFormat="1" applyFont="1" applyFill="1" applyBorder="1" applyAlignment="1" applyProtection="1">
      <alignment horizontal="center" wrapText="1" readingOrder="1"/>
      <protection hidden="1"/>
    </xf>
    <xf numFmtId="0" fontId="68" fillId="50" borderId="248" xfId="75" applyFont="1" applyFill="1" applyBorder="1" applyAlignment="1" applyProtection="1">
      <alignment horizontal="center" vertical="center"/>
      <protection hidden="1"/>
    </xf>
    <xf numFmtId="0" fontId="68" fillId="50" borderId="0" xfId="75" applyFont="1" applyFill="1" applyBorder="1" applyAlignment="1" applyProtection="1">
      <alignment horizontal="center" vertical="center"/>
      <protection hidden="1"/>
    </xf>
    <xf numFmtId="0" fontId="2" fillId="31" borderId="184" xfId="64" applyFont="1" applyFill="1" applyBorder="1" applyAlignment="1" applyProtection="1">
      <alignment horizontal="center" vertical="center" wrapText="1"/>
    </xf>
    <xf numFmtId="0" fontId="2" fillId="31" borderId="185" xfId="64" applyFont="1" applyFill="1" applyBorder="1" applyAlignment="1" applyProtection="1">
      <alignment horizontal="center" vertical="center" wrapText="1"/>
    </xf>
    <xf numFmtId="0" fontId="55" fillId="50" borderId="0" xfId="75" applyFont="1" applyFill="1" applyBorder="1" applyAlignment="1" applyProtection="1">
      <alignment horizontal="center" vertical="center" wrapText="1" readingOrder="2"/>
    </xf>
    <xf numFmtId="0" fontId="55" fillId="50" borderId="0" xfId="75" applyFont="1" applyFill="1" applyBorder="1" applyAlignment="1" applyProtection="1">
      <alignment horizontal="center" vertical="center" wrapText="1" readingOrder="2"/>
      <protection hidden="1"/>
    </xf>
    <xf numFmtId="0" fontId="55" fillId="50" borderId="120" xfId="75" applyFont="1" applyFill="1" applyBorder="1" applyAlignment="1" applyProtection="1">
      <alignment horizontal="center" vertical="center" wrapText="1" readingOrder="2"/>
      <protection hidden="1"/>
    </xf>
    <xf numFmtId="0" fontId="58" fillId="0" borderId="121" xfId="75" applyFont="1" applyFill="1" applyBorder="1" applyAlignment="1" applyProtection="1">
      <alignment horizontal="center" vertical="center" wrapText="1" readingOrder="2"/>
      <protection hidden="1"/>
    </xf>
    <xf numFmtId="0" fontId="58" fillId="0" borderId="116" xfId="75" applyFont="1" applyFill="1" applyBorder="1" applyAlignment="1" applyProtection="1">
      <alignment horizontal="center" vertical="center" wrapText="1" readingOrder="2"/>
      <protection hidden="1"/>
    </xf>
    <xf numFmtId="0" fontId="7" fillId="26" borderId="0" xfId="75" applyFont="1" applyFill="1" applyBorder="1" applyAlignment="1" applyProtection="1">
      <alignment horizontal="center" vertical="center" wrapText="1" readingOrder="2"/>
      <protection hidden="1"/>
    </xf>
    <xf numFmtId="0" fontId="55" fillId="49" borderId="0" xfId="72" applyFont="1" applyFill="1" applyBorder="1" applyAlignment="1" applyProtection="1">
      <alignment horizontal="right" vertical="center" readingOrder="2"/>
    </xf>
    <xf numFmtId="0" fontId="55" fillId="49" borderId="120" xfId="72" applyFont="1" applyFill="1" applyBorder="1" applyAlignment="1" applyProtection="1">
      <alignment horizontal="right" vertical="center" readingOrder="2"/>
    </xf>
    <xf numFmtId="0" fontId="55" fillId="0" borderId="0" xfId="72" applyFont="1" applyFill="1" applyBorder="1" applyAlignment="1" applyProtection="1">
      <alignment horizontal="right" vertical="center" readingOrder="2"/>
    </xf>
    <xf numFmtId="0" fontId="55" fillId="0" borderId="120" xfId="72" applyFont="1" applyFill="1" applyBorder="1" applyAlignment="1" applyProtection="1">
      <alignment horizontal="right" vertical="center" readingOrder="2"/>
    </xf>
    <xf numFmtId="0" fontId="7" fillId="49" borderId="0" xfId="72" applyFont="1" applyFill="1" applyBorder="1" applyAlignment="1" applyProtection="1">
      <alignment horizontal="right" vertical="center" readingOrder="2"/>
    </xf>
    <xf numFmtId="0" fontId="7" fillId="49" borderId="120" xfId="72" applyFont="1" applyFill="1" applyBorder="1" applyAlignment="1" applyProtection="1">
      <alignment horizontal="right" vertical="center" readingOrder="2"/>
    </xf>
    <xf numFmtId="0" fontId="7" fillId="0" borderId="0" xfId="72" applyFont="1" applyFill="1" applyBorder="1" applyAlignment="1" applyProtection="1">
      <alignment horizontal="right" vertical="center" readingOrder="2"/>
    </xf>
    <xf numFmtId="0" fontId="7" fillId="0" borderId="120" xfId="72" applyFont="1" applyFill="1" applyBorder="1" applyAlignment="1" applyProtection="1">
      <alignment horizontal="right" vertical="center" readingOrder="2"/>
    </xf>
    <xf numFmtId="0" fontId="57" fillId="31" borderId="0" xfId="72" applyFont="1" applyFill="1" applyBorder="1" applyAlignment="1" applyProtection="1">
      <alignment horizontal="center" vertical="center" readingOrder="2"/>
    </xf>
    <xf numFmtId="0" fontId="57" fillId="31" borderId="120" xfId="72" applyFont="1" applyFill="1" applyBorder="1" applyAlignment="1" applyProtection="1">
      <alignment horizontal="center" vertical="center" readingOrder="2"/>
    </xf>
    <xf numFmtId="0" fontId="7" fillId="31" borderId="0" xfId="72" applyFont="1" applyFill="1" applyBorder="1" applyAlignment="1" applyProtection="1">
      <alignment horizontal="center" vertical="center" readingOrder="2"/>
    </xf>
    <xf numFmtId="0" fontId="7" fillId="31" borderId="120" xfId="72" applyFont="1" applyFill="1" applyBorder="1" applyAlignment="1" applyProtection="1">
      <alignment horizontal="center" vertical="center" readingOrder="2"/>
    </xf>
    <xf numFmtId="0" fontId="228" fillId="0" borderId="44" xfId="64" applyFont="1" applyFill="1" applyBorder="1" applyAlignment="1">
      <alignment horizontal="center" vertical="center"/>
    </xf>
    <xf numFmtId="0" fontId="319" fillId="48" borderId="122" xfId="64" applyFont="1" applyFill="1" applyBorder="1" applyAlignment="1" applyProtection="1">
      <alignment horizontal="center" vertical="center" wrapText="1" readingOrder="2"/>
    </xf>
    <xf numFmtId="0" fontId="319" fillId="48" borderId="0" xfId="64" applyFont="1" applyFill="1" applyBorder="1" applyAlignment="1" applyProtection="1">
      <alignment horizontal="center" vertical="center" wrapText="1" readingOrder="2"/>
    </xf>
    <xf numFmtId="0" fontId="2" fillId="31" borderId="194" xfId="64" applyFont="1" applyFill="1" applyBorder="1" applyAlignment="1" applyProtection="1">
      <alignment horizontal="center" vertical="center" wrapText="1"/>
    </xf>
    <xf numFmtId="0" fontId="2" fillId="31" borderId="245" xfId="64" applyFont="1" applyFill="1" applyBorder="1" applyAlignment="1" applyProtection="1">
      <alignment horizontal="center" vertical="center" wrapText="1"/>
    </xf>
    <xf numFmtId="0" fontId="320" fillId="48" borderId="0" xfId="64" applyFont="1" applyFill="1" applyBorder="1" applyAlignment="1" applyProtection="1">
      <alignment horizontal="center" vertical="center" readingOrder="2"/>
    </xf>
    <xf numFmtId="0" fontId="7" fillId="26" borderId="118" xfId="75" applyFont="1" applyFill="1" applyBorder="1" applyAlignment="1" applyProtection="1">
      <alignment horizontal="center" vertical="center" wrapText="1" readingOrder="2"/>
    </xf>
    <xf numFmtId="0" fontId="7" fillId="26" borderId="10" xfId="75" applyFont="1" applyFill="1" applyBorder="1" applyAlignment="1" applyProtection="1">
      <alignment horizontal="center" vertical="center" wrapText="1" readingOrder="2"/>
    </xf>
    <xf numFmtId="0" fontId="7" fillId="26" borderId="308" xfId="75" applyFont="1" applyFill="1" applyBorder="1" applyAlignment="1" applyProtection="1">
      <alignment horizontal="center" vertical="center" wrapText="1" readingOrder="2"/>
    </xf>
    <xf numFmtId="0" fontId="7" fillId="49" borderId="0" xfId="75" applyFont="1" applyFill="1" applyBorder="1" applyAlignment="1" applyProtection="1">
      <alignment horizontal="center" vertical="center" readingOrder="2"/>
    </xf>
    <xf numFmtId="0" fontId="7" fillId="49" borderId="120" xfId="75" applyFont="1" applyFill="1" applyBorder="1" applyAlignment="1" applyProtection="1">
      <alignment horizontal="center" vertical="center" readingOrder="2"/>
    </xf>
    <xf numFmtId="0" fontId="69" fillId="26" borderId="118" xfId="75" applyFont="1" applyFill="1" applyBorder="1" applyAlignment="1" applyProtection="1">
      <alignment horizontal="center" vertical="center" wrapText="1" readingOrder="2"/>
    </xf>
    <xf numFmtId="0" fontId="69" fillId="26" borderId="10" xfId="75" applyFont="1" applyFill="1" applyBorder="1" applyAlignment="1" applyProtection="1">
      <alignment horizontal="center" vertical="center" wrapText="1" readingOrder="2"/>
    </xf>
    <xf numFmtId="0" fontId="69" fillId="26" borderId="308" xfId="75" applyFont="1" applyFill="1" applyBorder="1" applyAlignment="1" applyProtection="1">
      <alignment horizontal="center" vertical="center" wrapText="1" readingOrder="2"/>
    </xf>
    <xf numFmtId="0" fontId="321" fillId="51" borderId="0" xfId="64" applyFont="1" applyFill="1" applyBorder="1" applyAlignment="1" applyProtection="1">
      <alignment horizontal="center" vertical="center"/>
    </xf>
    <xf numFmtId="0" fontId="169" fillId="48" borderId="0" xfId="64" applyFont="1" applyFill="1" applyBorder="1" applyAlignment="1" applyProtection="1">
      <alignment horizontal="center" vertical="center"/>
      <protection hidden="1"/>
    </xf>
    <xf numFmtId="0" fontId="233" fillId="0" borderId="63" xfId="0" applyFont="1" applyBorder="1" applyAlignment="1" applyProtection="1">
      <alignment horizontal="center" vertical="center"/>
    </xf>
    <xf numFmtId="0" fontId="233" fillId="0" borderId="62" xfId="0" applyFont="1" applyBorder="1" applyAlignment="1" applyProtection="1">
      <alignment horizontal="center" vertical="center"/>
    </xf>
    <xf numFmtId="0" fontId="233" fillId="0" borderId="64" xfId="0" applyFont="1" applyBorder="1" applyAlignment="1" applyProtection="1">
      <alignment horizontal="center" vertical="center"/>
    </xf>
    <xf numFmtId="0" fontId="55" fillId="0" borderId="0" xfId="64" applyFont="1" applyFill="1" applyBorder="1" applyAlignment="1" applyProtection="1">
      <alignment horizontal="center" vertical="center" readingOrder="2"/>
      <protection hidden="1"/>
    </xf>
    <xf numFmtId="0" fontId="55" fillId="35" borderId="0" xfId="64" applyFont="1" applyFill="1" applyBorder="1" applyAlignment="1" applyProtection="1">
      <alignment horizontal="center" vertical="center" readingOrder="2"/>
      <protection hidden="1"/>
    </xf>
    <xf numFmtId="0" fontId="68" fillId="50" borderId="0" xfId="64" applyFont="1" applyFill="1" applyBorder="1" applyAlignment="1" applyProtection="1">
      <alignment horizontal="center" vertical="center"/>
      <protection hidden="1"/>
    </xf>
    <xf numFmtId="0" fontId="340" fillId="26" borderId="194" xfId="64" applyFont="1" applyFill="1" applyBorder="1" applyAlignment="1" applyProtection="1">
      <alignment horizontal="center" vertical="center" wrapText="1" readingOrder="2"/>
    </xf>
    <xf numFmtId="0" fontId="340" fillId="26" borderId="245" xfId="64" applyFont="1" applyFill="1" applyBorder="1" applyAlignment="1" applyProtection="1">
      <alignment horizontal="center" vertical="center" wrapText="1" readingOrder="2"/>
    </xf>
    <xf numFmtId="0" fontId="58" fillId="26" borderId="121" xfId="75" applyFont="1" applyFill="1" applyBorder="1" applyAlignment="1" applyProtection="1">
      <alignment horizontal="center" vertical="center" wrapText="1" readingOrder="2"/>
      <protection hidden="1"/>
    </xf>
    <xf numFmtId="0" fontId="58" fillId="26" borderId="116" xfId="75" applyFont="1" applyFill="1" applyBorder="1" applyAlignment="1" applyProtection="1">
      <alignment horizontal="center" vertical="center" wrapText="1" readingOrder="2"/>
      <protection hidden="1"/>
    </xf>
    <xf numFmtId="0" fontId="55" fillId="49" borderId="0" xfId="64" applyFont="1" applyFill="1" applyBorder="1" applyAlignment="1" applyProtection="1">
      <alignment horizontal="center" vertical="center" readingOrder="2"/>
    </xf>
    <xf numFmtId="0" fontId="55" fillId="0" borderId="0" xfId="64" applyFont="1" applyFill="1" applyBorder="1" applyAlignment="1" applyProtection="1">
      <alignment horizontal="center" vertical="center" readingOrder="2"/>
    </xf>
    <xf numFmtId="0" fontId="7" fillId="49" borderId="0" xfId="64" applyFont="1" applyFill="1" applyBorder="1" applyAlignment="1" applyProtection="1">
      <alignment horizontal="center" vertical="center" readingOrder="2"/>
    </xf>
    <xf numFmtId="0" fontId="58" fillId="26" borderId="194" xfId="64" applyFont="1" applyFill="1" applyBorder="1" applyAlignment="1" applyProtection="1">
      <alignment horizontal="center" vertical="center" wrapText="1" readingOrder="2"/>
    </xf>
    <xf numFmtId="0" fontId="58" fillId="26" borderId="245" xfId="64" applyFont="1" applyFill="1" applyBorder="1" applyAlignment="1" applyProtection="1">
      <alignment horizontal="center" vertical="center" wrapText="1" readingOrder="2"/>
    </xf>
    <xf numFmtId="0" fontId="58" fillId="49" borderId="194" xfId="64" applyFont="1" applyFill="1" applyBorder="1" applyAlignment="1" applyProtection="1">
      <alignment horizontal="center" vertical="center" wrapText="1" readingOrder="2"/>
    </xf>
    <xf numFmtId="0" fontId="58" fillId="49" borderId="245" xfId="64" applyFont="1" applyFill="1" applyBorder="1" applyAlignment="1" applyProtection="1">
      <alignment horizontal="center" vertical="center" wrapText="1" readingOrder="2"/>
    </xf>
    <xf numFmtId="0" fontId="58" fillId="31" borderId="194" xfId="64" applyFont="1" applyFill="1" applyBorder="1" applyAlignment="1" applyProtection="1">
      <alignment horizontal="center" vertical="center" wrapText="1"/>
    </xf>
    <xf numFmtId="0" fontId="58" fillId="31" borderId="245" xfId="64" applyFont="1" applyFill="1" applyBorder="1" applyAlignment="1" applyProtection="1">
      <alignment horizontal="center" vertical="center" wrapText="1"/>
    </xf>
    <xf numFmtId="0" fontId="55" fillId="31" borderId="0" xfId="64" applyFont="1" applyFill="1" applyBorder="1" applyAlignment="1" applyProtection="1">
      <alignment horizontal="center" vertical="center" readingOrder="2"/>
    </xf>
    <xf numFmtId="0" fontId="55" fillId="31" borderId="120" xfId="64" applyFont="1" applyFill="1" applyBorder="1" applyAlignment="1" applyProtection="1">
      <alignment horizontal="center" vertical="center" readingOrder="2"/>
    </xf>
    <xf numFmtId="0" fontId="324" fillId="0" borderId="0" xfId="64" applyFont="1" applyFill="1" applyBorder="1" applyAlignment="1" applyProtection="1">
      <alignment horizontal="center" vertical="center" readingOrder="2"/>
    </xf>
    <xf numFmtId="0" fontId="368" fillId="48" borderId="0" xfId="68" applyFont="1" applyFill="1" applyBorder="1" applyAlignment="1" applyProtection="1">
      <alignment horizontal="center" vertical="center" wrapText="1" readingOrder="2"/>
      <protection hidden="1"/>
    </xf>
    <xf numFmtId="0" fontId="368" fillId="48" borderId="634" xfId="68" applyFont="1" applyFill="1" applyBorder="1" applyAlignment="1" applyProtection="1">
      <alignment horizontal="center" vertical="center" wrapText="1" readingOrder="2"/>
      <protection hidden="1"/>
    </xf>
    <xf numFmtId="0" fontId="2" fillId="49" borderId="366" xfId="64" applyFont="1" applyFill="1" applyBorder="1" applyAlignment="1" applyProtection="1">
      <alignment horizontal="center" vertical="center" wrapText="1" readingOrder="2"/>
      <protection hidden="1"/>
    </xf>
    <xf numFmtId="0" fontId="2" fillId="49" borderId="367" xfId="64" applyFont="1" applyFill="1" applyBorder="1" applyAlignment="1" applyProtection="1">
      <alignment horizontal="center" vertical="center" wrapText="1" readingOrder="2"/>
      <protection hidden="1"/>
    </xf>
    <xf numFmtId="3" fontId="2" fillId="0" borderId="238" xfId="64" applyNumberFormat="1" applyFont="1" applyFill="1" applyBorder="1" applyAlignment="1" applyProtection="1">
      <alignment horizontal="center" vertical="center" wrapText="1" readingOrder="1"/>
      <protection locked="0"/>
    </xf>
    <xf numFmtId="3" fontId="2" fillId="0" borderId="116" xfId="64" applyNumberFormat="1" applyFont="1" applyFill="1" applyBorder="1" applyAlignment="1" applyProtection="1">
      <alignment horizontal="center" vertical="center" wrapText="1" readingOrder="1"/>
      <protection locked="0"/>
    </xf>
    <xf numFmtId="0" fontId="57" fillId="49" borderId="0" xfId="64" applyFont="1" applyFill="1" applyBorder="1" applyAlignment="1" applyProtection="1">
      <alignment horizontal="center" vertical="center" wrapText="1" readingOrder="2"/>
      <protection hidden="1"/>
    </xf>
    <xf numFmtId="0" fontId="57" fillId="49" borderId="0" xfId="64" applyFont="1" applyFill="1" applyBorder="1" applyAlignment="1" applyProtection="1">
      <alignment horizontal="center" vertical="center" readingOrder="2"/>
      <protection hidden="1"/>
    </xf>
    <xf numFmtId="0" fontId="181" fillId="26" borderId="309" xfId="64" applyFont="1" applyFill="1" applyBorder="1" applyAlignment="1" applyProtection="1">
      <alignment horizontal="center" wrapText="1" readingOrder="2"/>
      <protection hidden="1"/>
    </xf>
    <xf numFmtId="0" fontId="181" fillId="26" borderId="367" xfId="64" applyFont="1" applyFill="1" applyBorder="1" applyAlignment="1" applyProtection="1">
      <alignment horizontal="center" wrapText="1" readingOrder="2"/>
      <protection hidden="1"/>
    </xf>
    <xf numFmtId="0" fontId="2" fillId="26" borderId="309" xfId="64" applyFont="1" applyFill="1" applyBorder="1" applyAlignment="1" applyProtection="1">
      <alignment horizontal="center" vertical="center" wrapText="1" readingOrder="2"/>
      <protection hidden="1"/>
    </xf>
    <xf numFmtId="0" fontId="2" fillId="26" borderId="367" xfId="64" applyFont="1" applyFill="1" applyBorder="1" applyAlignment="1" applyProtection="1">
      <alignment horizontal="center" vertical="center" wrapText="1" readingOrder="2"/>
      <protection hidden="1"/>
    </xf>
    <xf numFmtId="0" fontId="181" fillId="26" borderId="366" xfId="64" applyFont="1" applyFill="1" applyBorder="1" applyAlignment="1" applyProtection="1">
      <alignment horizontal="center" wrapText="1" readingOrder="2"/>
      <protection hidden="1"/>
    </xf>
    <xf numFmtId="0" fontId="181" fillId="49" borderId="366" xfId="64" applyFont="1" applyFill="1" applyBorder="1" applyAlignment="1" applyProtection="1">
      <alignment horizontal="center" wrapText="1" readingOrder="2"/>
      <protection hidden="1"/>
    </xf>
    <xf numFmtId="0" fontId="181" fillId="49" borderId="367" xfId="64" applyFont="1" applyFill="1" applyBorder="1" applyAlignment="1" applyProtection="1">
      <alignment horizontal="center" wrapText="1" readingOrder="2"/>
      <protection hidden="1"/>
    </xf>
    <xf numFmtId="3" fontId="81" fillId="26" borderId="248" xfId="64" applyNumberFormat="1" applyFont="1" applyFill="1" applyBorder="1" applyAlignment="1" applyProtection="1">
      <alignment horizontal="center" vertical="center" wrapText="1" readingOrder="1"/>
      <protection hidden="1"/>
    </xf>
    <xf numFmtId="0" fontId="2" fillId="31" borderId="366" xfId="64" applyFont="1" applyFill="1" applyBorder="1" applyAlignment="1" applyProtection="1">
      <alignment horizontal="center" vertical="center" wrapText="1"/>
      <protection hidden="1"/>
    </xf>
    <xf numFmtId="0" fontId="2" fillId="31" borderId="368" xfId="64" applyFont="1" applyFill="1" applyBorder="1" applyAlignment="1" applyProtection="1">
      <alignment horizontal="center" vertical="center" wrapText="1"/>
      <protection hidden="1"/>
    </xf>
    <xf numFmtId="0" fontId="181" fillId="31" borderId="366" xfId="64" applyFont="1" applyFill="1" applyBorder="1" applyAlignment="1" applyProtection="1">
      <alignment horizontal="center" wrapText="1"/>
      <protection hidden="1"/>
    </xf>
    <xf numFmtId="0" fontId="181" fillId="31" borderId="368" xfId="64" applyFont="1" applyFill="1" applyBorder="1" applyAlignment="1" applyProtection="1">
      <alignment horizontal="center" wrapText="1"/>
      <protection hidden="1"/>
    </xf>
    <xf numFmtId="3" fontId="462" fillId="48" borderId="121" xfId="64" applyNumberFormat="1" applyFont="1" applyFill="1" applyBorder="1" applyAlignment="1" applyProtection="1">
      <alignment horizontal="center" vertical="center" wrapText="1" readingOrder="1"/>
      <protection hidden="1"/>
    </xf>
    <xf numFmtId="3" fontId="462" fillId="48" borderId="371" xfId="64" applyNumberFormat="1" applyFont="1" applyFill="1" applyBorder="1" applyAlignment="1" applyProtection="1">
      <alignment horizontal="center" vertical="center" wrapText="1" readingOrder="1"/>
      <protection hidden="1"/>
    </xf>
    <xf numFmtId="0" fontId="57" fillId="31" borderId="311" xfId="71" applyFont="1" applyFill="1" applyBorder="1" applyAlignment="1" applyProtection="1">
      <alignment horizontal="center" vertical="center" readingOrder="2"/>
      <protection hidden="1"/>
    </xf>
    <xf numFmtId="3" fontId="2" fillId="0" borderId="121" xfId="64" applyNumberFormat="1" applyFont="1" applyFill="1" applyBorder="1" applyAlignment="1" applyProtection="1">
      <alignment horizontal="center" vertical="center" wrapText="1" readingOrder="1"/>
      <protection locked="0"/>
    </xf>
    <xf numFmtId="0" fontId="228" fillId="0" borderId="44" xfId="71" applyFont="1" applyFill="1" applyBorder="1" applyAlignment="1">
      <alignment horizontal="center" vertical="center"/>
    </xf>
    <xf numFmtId="3" fontId="81" fillId="26" borderId="63" xfId="64" applyNumberFormat="1" applyFont="1" applyFill="1" applyBorder="1" applyAlignment="1" applyProtection="1">
      <alignment horizontal="center" wrapText="1" readingOrder="1"/>
      <protection hidden="1"/>
    </xf>
    <xf numFmtId="3" fontId="81" fillId="26" borderId="62" xfId="64" applyNumberFormat="1" applyFont="1" applyFill="1" applyBorder="1" applyAlignment="1" applyProtection="1">
      <alignment horizontal="center" wrapText="1" readingOrder="1"/>
      <protection hidden="1"/>
    </xf>
    <xf numFmtId="3" fontId="81" fillId="26" borderId="64" xfId="64" applyNumberFormat="1" applyFont="1" applyFill="1" applyBorder="1" applyAlignment="1" applyProtection="1">
      <alignment horizontal="center" wrapText="1" readingOrder="1"/>
      <protection hidden="1"/>
    </xf>
    <xf numFmtId="0" fontId="181" fillId="26" borderId="121" xfId="64" applyFont="1" applyFill="1" applyBorder="1" applyAlignment="1" applyProtection="1">
      <alignment horizontal="center" vertical="center" wrapText="1" readingOrder="2"/>
      <protection hidden="1"/>
    </xf>
    <xf numFmtId="0" fontId="181" fillId="26" borderId="116" xfId="64" applyFont="1" applyFill="1" applyBorder="1" applyAlignment="1" applyProtection="1">
      <alignment horizontal="center" vertical="center" wrapText="1" readingOrder="2"/>
      <protection hidden="1"/>
    </xf>
    <xf numFmtId="0" fontId="181" fillId="31" borderId="121" xfId="64" applyFont="1" applyFill="1" applyBorder="1" applyAlignment="1" applyProtection="1">
      <alignment horizontal="center" vertical="center" wrapText="1"/>
      <protection hidden="1"/>
    </xf>
    <xf numFmtId="0" fontId="181" fillId="31" borderId="116" xfId="64" applyFont="1" applyFill="1" applyBorder="1" applyAlignment="1" applyProtection="1">
      <alignment horizontal="center" vertical="center" wrapText="1"/>
      <protection hidden="1"/>
    </xf>
    <xf numFmtId="0" fontId="181" fillId="49" borderId="121" xfId="64" applyFont="1" applyFill="1" applyBorder="1" applyAlignment="1" applyProtection="1">
      <alignment horizontal="center" vertical="center" wrapText="1" readingOrder="2"/>
      <protection hidden="1"/>
    </xf>
    <xf numFmtId="0" fontId="181" fillId="49" borderId="116" xfId="64" applyFont="1" applyFill="1" applyBorder="1" applyAlignment="1" applyProtection="1">
      <alignment horizontal="center" vertical="center" wrapText="1" readingOrder="2"/>
      <protection hidden="1"/>
    </xf>
    <xf numFmtId="3" fontId="135" fillId="48" borderId="121" xfId="64" applyNumberFormat="1" applyFont="1" applyFill="1" applyBorder="1" applyAlignment="1" applyProtection="1">
      <alignment horizontal="center" vertical="center" wrapText="1" readingOrder="1"/>
      <protection hidden="1"/>
    </xf>
    <xf numFmtId="3" fontId="135" fillId="48" borderId="116" xfId="64" applyNumberFormat="1" applyFont="1" applyFill="1" applyBorder="1" applyAlignment="1" applyProtection="1">
      <alignment horizontal="center" vertical="center" wrapText="1" readingOrder="1"/>
      <protection hidden="1"/>
    </xf>
    <xf numFmtId="3" fontId="462" fillId="48" borderId="116" xfId="64" applyNumberFormat="1" applyFont="1" applyFill="1" applyBorder="1" applyAlignment="1" applyProtection="1">
      <alignment horizontal="center" vertical="center" wrapText="1" readingOrder="1"/>
      <protection hidden="1"/>
    </xf>
    <xf numFmtId="0" fontId="452" fillId="20" borderId="0" xfId="64" applyFont="1" applyFill="1" applyBorder="1" applyAlignment="1" applyProtection="1">
      <alignment horizontal="center" vertical="center"/>
      <protection hidden="1"/>
    </xf>
    <xf numFmtId="0" fontId="62" fillId="0" borderId="621" xfId="64" applyFont="1" applyFill="1" applyBorder="1" applyAlignment="1" applyProtection="1">
      <alignment horizontal="center" vertical="center" readingOrder="2"/>
      <protection hidden="1"/>
    </xf>
    <xf numFmtId="0" fontId="237" fillId="0" borderId="511" xfId="0" applyFont="1" applyBorder="1" applyAlignment="1" applyProtection="1">
      <alignment horizontal="center" vertical="center"/>
      <protection hidden="1"/>
    </xf>
    <xf numFmtId="0" fontId="237" fillId="0" borderId="513" xfId="0" applyFont="1" applyBorder="1" applyAlignment="1" applyProtection="1">
      <alignment horizontal="center" vertical="center"/>
      <protection hidden="1"/>
    </xf>
    <xf numFmtId="0" fontId="57" fillId="48" borderId="644" xfId="64" applyFont="1" applyFill="1" applyBorder="1" applyAlignment="1" applyProtection="1">
      <alignment horizontal="center" vertical="center" wrapText="1" readingOrder="2"/>
    </xf>
    <xf numFmtId="0" fontId="57" fillId="26" borderId="245" xfId="64" applyFont="1" applyFill="1" applyBorder="1" applyAlignment="1" applyProtection="1">
      <alignment horizontal="center" vertical="center" wrapText="1" readingOrder="2"/>
    </xf>
    <xf numFmtId="0" fontId="57" fillId="48" borderId="0" xfId="64" applyFont="1" applyFill="1" applyBorder="1" applyAlignment="1" applyProtection="1">
      <alignment horizontal="center" vertical="center" wrapText="1" readingOrder="2"/>
    </xf>
    <xf numFmtId="0" fontId="57" fillId="26" borderId="120" xfId="64" applyFont="1" applyFill="1" applyBorder="1" applyAlignment="1" applyProtection="1">
      <alignment horizontal="center" vertical="center" wrapText="1" readingOrder="2"/>
    </xf>
    <xf numFmtId="0" fontId="2" fillId="49" borderId="369" xfId="64" applyFont="1" applyFill="1" applyBorder="1" applyAlignment="1" applyProtection="1">
      <alignment horizontal="center" vertical="center" wrapText="1" readingOrder="2"/>
    </xf>
    <xf numFmtId="0" fontId="2" fillId="49" borderId="372" xfId="64" applyFont="1" applyFill="1" applyBorder="1" applyAlignment="1" applyProtection="1">
      <alignment horizontal="center" vertical="center" wrapText="1" readingOrder="2"/>
    </xf>
    <xf numFmtId="0" fontId="316" fillId="0" borderId="0" xfId="64" applyFont="1" applyFill="1" applyBorder="1" applyAlignment="1" applyProtection="1">
      <alignment horizontal="center" vertical="center" wrapText="1" readingOrder="2"/>
    </xf>
    <xf numFmtId="0" fontId="402" fillId="0" borderId="614" xfId="71" applyFont="1" applyFill="1" applyBorder="1" applyAlignment="1" applyProtection="1">
      <alignment horizontal="right" vertical="center" wrapText="1" readingOrder="2"/>
      <protection hidden="1"/>
    </xf>
    <xf numFmtId="0" fontId="402" fillId="0" borderId="615" xfId="71" applyFont="1" applyFill="1" applyBorder="1" applyAlignment="1" applyProtection="1">
      <alignment horizontal="right" vertical="center" wrapText="1" readingOrder="2"/>
      <protection hidden="1"/>
    </xf>
    <xf numFmtId="0" fontId="402" fillId="0" borderId="619" xfId="71" applyFont="1" applyFill="1" applyBorder="1" applyAlignment="1" applyProtection="1">
      <alignment horizontal="center" vertical="center" wrapText="1" readingOrder="2"/>
      <protection hidden="1"/>
    </xf>
    <xf numFmtId="0" fontId="402" fillId="0" borderId="616" xfId="71" applyFont="1" applyFill="1" applyBorder="1" applyAlignment="1" applyProtection="1">
      <alignment horizontal="center" vertical="center" wrapText="1" readingOrder="2"/>
      <protection hidden="1"/>
    </xf>
    <xf numFmtId="0" fontId="402" fillId="0" borderId="0" xfId="71" applyFont="1" applyFill="1" applyBorder="1" applyAlignment="1" applyProtection="1">
      <alignment horizontal="center" vertical="center" wrapText="1" readingOrder="2"/>
      <protection hidden="1"/>
    </xf>
    <xf numFmtId="0" fontId="402" fillId="0" borderId="617" xfId="71" applyFont="1" applyFill="1" applyBorder="1" applyAlignment="1" applyProtection="1">
      <alignment horizontal="center" vertical="center" wrapText="1" readingOrder="2"/>
      <protection hidden="1"/>
    </xf>
    <xf numFmtId="0" fontId="402" fillId="0" borderId="620" xfId="71" applyFont="1" applyFill="1" applyBorder="1" applyAlignment="1" applyProtection="1">
      <alignment horizontal="center" vertical="center" wrapText="1" readingOrder="2"/>
      <protection hidden="1"/>
    </xf>
    <xf numFmtId="0" fontId="402" fillId="0" borderId="618" xfId="71" applyFont="1" applyFill="1" applyBorder="1" applyAlignment="1" applyProtection="1">
      <alignment horizontal="center" vertical="center" wrapText="1" readingOrder="2"/>
      <protection hidden="1"/>
    </xf>
    <xf numFmtId="0" fontId="402" fillId="0" borderId="611" xfId="71" applyFont="1" applyFill="1" applyBorder="1" applyAlignment="1" applyProtection="1">
      <alignment horizontal="right" vertical="center" wrapText="1" readingOrder="2"/>
      <protection hidden="1"/>
    </xf>
    <xf numFmtId="0" fontId="402" fillId="0" borderId="612" xfId="71" applyFont="1" applyFill="1" applyBorder="1" applyAlignment="1" applyProtection="1">
      <alignment horizontal="right" vertical="center" wrapText="1" readingOrder="2"/>
      <protection hidden="1"/>
    </xf>
    <xf numFmtId="0" fontId="402" fillId="0" borderId="613" xfId="71" applyFont="1" applyFill="1" applyBorder="1" applyAlignment="1" applyProtection="1">
      <alignment horizontal="right" vertical="center" wrapText="1" readingOrder="2"/>
      <protection hidden="1"/>
    </xf>
    <xf numFmtId="0" fontId="402" fillId="0" borderId="0" xfId="71" applyFont="1" applyFill="1" applyBorder="1" applyAlignment="1" applyProtection="1">
      <alignment horizontal="right" vertical="center" wrapText="1" readingOrder="2"/>
      <protection hidden="1"/>
    </xf>
    <xf numFmtId="0" fontId="232" fillId="76" borderId="0" xfId="64" applyFont="1" applyFill="1" applyBorder="1" applyAlignment="1" applyProtection="1">
      <alignment horizontal="center" vertical="center"/>
      <protection hidden="1"/>
    </xf>
    <xf numFmtId="0" fontId="50" fillId="0" borderId="32" xfId="64" applyFont="1" applyBorder="1" applyAlignment="1" applyProtection="1">
      <alignment horizontal="center"/>
      <protection hidden="1"/>
    </xf>
    <xf numFmtId="0" fontId="50" fillId="0" borderId="42" xfId="64" applyFont="1" applyBorder="1" applyAlignment="1" applyProtection="1">
      <alignment horizontal="center"/>
      <protection hidden="1"/>
    </xf>
    <xf numFmtId="0" fontId="50" fillId="0" borderId="46" xfId="64" applyFont="1" applyBorder="1" applyAlignment="1" applyProtection="1">
      <alignment horizontal="center"/>
      <protection hidden="1"/>
    </xf>
    <xf numFmtId="0" fontId="181" fillId="27" borderId="194" xfId="64" applyFont="1" applyFill="1" applyBorder="1" applyAlignment="1" applyProtection="1">
      <alignment horizontal="center" vertical="center" wrapText="1" readingOrder="2"/>
      <protection hidden="1"/>
    </xf>
    <xf numFmtId="0" fontId="181" fillId="27" borderId="245" xfId="64" applyFont="1" applyFill="1" applyBorder="1" applyAlignment="1" applyProtection="1">
      <alignment horizontal="center" vertical="center" wrapText="1" readingOrder="2"/>
      <protection hidden="1"/>
    </xf>
    <xf numFmtId="0" fontId="181" fillId="27" borderId="174" xfId="64" applyFont="1" applyFill="1" applyBorder="1" applyAlignment="1" applyProtection="1">
      <alignment horizontal="center" vertical="center" wrapText="1" readingOrder="2"/>
      <protection hidden="1"/>
    </xf>
    <xf numFmtId="0" fontId="181" fillId="27" borderId="555" xfId="64" applyFont="1" applyFill="1" applyBorder="1" applyAlignment="1" applyProtection="1">
      <alignment horizontal="center" vertical="center" wrapText="1" readingOrder="2"/>
      <protection hidden="1"/>
    </xf>
    <xf numFmtId="2" fontId="257" fillId="0" borderId="164" xfId="64" applyNumberFormat="1" applyFont="1" applyBorder="1" applyAlignment="1" applyProtection="1">
      <alignment horizontal="center" vertical="center"/>
      <protection hidden="1"/>
    </xf>
    <xf numFmtId="2" fontId="257" fillId="0" borderId="41" xfId="64" applyNumberFormat="1" applyFont="1" applyBorder="1" applyAlignment="1" applyProtection="1">
      <alignment horizontal="center" vertical="center"/>
      <protection hidden="1"/>
    </xf>
    <xf numFmtId="2" fontId="257" fillId="0" borderId="216" xfId="64" applyNumberFormat="1" applyFont="1" applyBorder="1" applyAlignment="1" applyProtection="1">
      <alignment horizontal="center" vertical="center"/>
      <protection hidden="1"/>
    </xf>
    <xf numFmtId="0" fontId="50" fillId="0" borderId="33" xfId="64" applyFont="1" applyBorder="1" applyAlignment="1" applyProtection="1">
      <alignment horizontal="center" vertical="center"/>
      <protection hidden="1"/>
    </xf>
    <xf numFmtId="0" fontId="50" fillId="0" borderId="42" xfId="64" applyFont="1" applyBorder="1" applyAlignment="1" applyProtection="1">
      <alignment horizontal="center" vertical="center"/>
      <protection hidden="1"/>
    </xf>
    <xf numFmtId="0" fontId="50" fillId="0" borderId="71" xfId="64" applyFont="1" applyBorder="1" applyAlignment="1" applyProtection="1">
      <alignment horizontal="center" vertical="center"/>
      <protection hidden="1"/>
    </xf>
    <xf numFmtId="0" fontId="62" fillId="50" borderId="0" xfId="64" applyFont="1" applyFill="1" applyBorder="1" applyAlignment="1" applyProtection="1">
      <alignment horizontal="center" vertical="center" readingOrder="2"/>
      <protection hidden="1"/>
    </xf>
    <xf numFmtId="0" fontId="233" fillId="0" borderId="63" xfId="0" applyFont="1" applyBorder="1" applyAlignment="1" applyProtection="1">
      <alignment horizontal="center" vertical="center"/>
      <protection hidden="1"/>
    </xf>
    <xf numFmtId="0" fontId="233" fillId="0" borderId="62" xfId="0" applyFont="1" applyBorder="1" applyAlignment="1" applyProtection="1">
      <alignment horizontal="center" vertical="center"/>
      <protection hidden="1"/>
    </xf>
    <xf numFmtId="0" fontId="233" fillId="0" borderId="64" xfId="0" applyFont="1" applyBorder="1" applyAlignment="1" applyProtection="1">
      <alignment horizontal="center" vertical="center"/>
      <protection hidden="1"/>
    </xf>
    <xf numFmtId="0" fontId="62" fillId="48" borderId="0" xfId="64" applyFont="1" applyFill="1" applyBorder="1" applyAlignment="1" applyProtection="1">
      <alignment horizontal="center" vertical="center" readingOrder="2"/>
      <protection hidden="1"/>
    </xf>
    <xf numFmtId="0" fontId="4" fillId="49" borderId="194" xfId="64" applyFont="1" applyFill="1" applyBorder="1" applyAlignment="1" applyProtection="1">
      <alignment horizontal="center" vertical="center" wrapText="1" readingOrder="2"/>
    </xf>
    <xf numFmtId="0" fontId="4" fillId="49" borderId="245" xfId="64" applyFont="1" applyFill="1" applyBorder="1" applyAlignment="1" applyProtection="1">
      <alignment horizontal="center" vertical="center" wrapText="1" readingOrder="2"/>
    </xf>
    <xf numFmtId="0" fontId="4" fillId="49" borderId="122" xfId="64" applyFont="1" applyFill="1" applyBorder="1" applyAlignment="1" applyProtection="1">
      <alignment horizontal="center" vertical="center" wrapText="1" readingOrder="2"/>
    </xf>
    <xf numFmtId="0" fontId="4" fillId="49" borderId="120" xfId="64" applyFont="1" applyFill="1" applyBorder="1" applyAlignment="1" applyProtection="1">
      <alignment horizontal="center" vertical="center" wrapText="1" readingOrder="2"/>
    </xf>
    <xf numFmtId="0" fontId="4" fillId="49" borderId="369" xfId="64" applyFont="1" applyFill="1" applyBorder="1" applyAlignment="1" applyProtection="1">
      <alignment horizontal="center" vertical="center" wrapText="1" readingOrder="2"/>
    </xf>
    <xf numFmtId="0" fontId="4" fillId="49" borderId="372" xfId="64" applyFont="1" applyFill="1" applyBorder="1" applyAlignment="1" applyProtection="1">
      <alignment horizontal="center" vertical="center" wrapText="1" readingOrder="2"/>
    </xf>
    <xf numFmtId="0" fontId="451" fillId="31" borderId="194" xfId="64" applyFont="1" applyFill="1" applyBorder="1" applyAlignment="1">
      <alignment horizontal="center" vertical="center" wrapText="1"/>
    </xf>
    <xf numFmtId="0" fontId="451" fillId="31" borderId="245" xfId="64" applyFont="1" applyFill="1" applyBorder="1" applyAlignment="1">
      <alignment horizontal="center" vertical="center" wrapText="1"/>
    </xf>
    <xf numFmtId="0" fontId="181" fillId="26" borderId="194" xfId="64" applyFont="1" applyFill="1" applyBorder="1" applyAlignment="1">
      <alignment horizontal="center" vertical="center" wrapText="1" readingOrder="2"/>
    </xf>
    <xf numFmtId="0" fontId="181" fillId="26" borderId="245" xfId="64" applyFont="1" applyFill="1" applyBorder="1" applyAlignment="1">
      <alignment horizontal="center" vertical="center" wrapText="1" readingOrder="2"/>
    </xf>
    <xf numFmtId="0" fontId="181" fillId="49" borderId="194" xfId="64" applyFont="1" applyFill="1" applyBorder="1" applyAlignment="1">
      <alignment horizontal="center" vertical="center" wrapText="1" readingOrder="2"/>
    </xf>
    <xf numFmtId="0" fontId="181" fillId="49" borderId="245" xfId="64" applyFont="1" applyFill="1" applyBorder="1" applyAlignment="1">
      <alignment horizontal="center" vertical="center" wrapText="1" readingOrder="2"/>
    </xf>
    <xf numFmtId="0" fontId="228" fillId="0" borderId="44" xfId="64" applyFont="1" applyFill="1" applyBorder="1" applyAlignment="1" applyProtection="1">
      <alignment horizontal="center" vertical="center"/>
    </xf>
    <xf numFmtId="3" fontId="229" fillId="26" borderId="373" xfId="64" applyNumberFormat="1" applyFont="1" applyFill="1" applyBorder="1" applyAlignment="1" applyProtection="1">
      <alignment horizontal="right" vertical="center" wrapText="1" readingOrder="1"/>
      <protection hidden="1"/>
    </xf>
    <xf numFmtId="0" fontId="57" fillId="49" borderId="649" xfId="64" applyFont="1" applyFill="1" applyBorder="1" applyAlignment="1" applyProtection="1">
      <alignment horizontal="center" vertical="center" wrapText="1" readingOrder="2"/>
    </xf>
    <xf numFmtId="0" fontId="57" fillId="49" borderId="650" xfId="64" applyFont="1" applyFill="1" applyBorder="1" applyAlignment="1" applyProtection="1">
      <alignment horizontal="center" vertical="center" wrapText="1" readingOrder="2"/>
    </xf>
    <xf numFmtId="0" fontId="57" fillId="49" borderId="6" xfId="64" applyFont="1" applyFill="1" applyBorder="1" applyAlignment="1" applyProtection="1">
      <alignment horizontal="center" vertical="center" wrapText="1" readingOrder="2"/>
    </xf>
    <xf numFmtId="0" fontId="57" fillId="49" borderId="313" xfId="64" applyFont="1" applyFill="1" applyBorder="1" applyAlignment="1" applyProtection="1">
      <alignment horizontal="center" vertical="center" wrapText="1" readingOrder="2"/>
    </xf>
    <xf numFmtId="0" fontId="4" fillId="49" borderId="194" xfId="72" applyFont="1" applyFill="1" applyBorder="1" applyAlignment="1" applyProtection="1">
      <alignment horizontal="center" vertical="center" wrapText="1" readingOrder="2"/>
    </xf>
    <xf numFmtId="0" fontId="4" fillId="49" borderId="245" xfId="72" applyFont="1" applyFill="1" applyBorder="1" applyAlignment="1" applyProtection="1">
      <alignment horizontal="center" vertical="center" wrapText="1" readingOrder="2"/>
    </xf>
    <xf numFmtId="0" fontId="4" fillId="49" borderId="122" xfId="72" applyFont="1" applyFill="1" applyBorder="1" applyAlignment="1" applyProtection="1">
      <alignment horizontal="center" vertical="center" wrapText="1" readingOrder="2"/>
    </xf>
    <xf numFmtId="0" fontId="4" fillId="49" borderId="120" xfId="72" applyFont="1" applyFill="1" applyBorder="1" applyAlignment="1" applyProtection="1">
      <alignment horizontal="center" vertical="center" wrapText="1" readingOrder="2"/>
    </xf>
    <xf numFmtId="0" fontId="4" fillId="49" borderId="369" xfId="72" applyFont="1" applyFill="1" applyBorder="1" applyAlignment="1" applyProtection="1">
      <alignment horizontal="center" vertical="center" wrapText="1" readingOrder="2"/>
    </xf>
    <xf numFmtId="0" fontId="4" fillId="49" borderId="372" xfId="72" applyFont="1" applyFill="1" applyBorder="1" applyAlignment="1" applyProtection="1">
      <alignment horizontal="center" vertical="center" wrapText="1" readingOrder="2"/>
    </xf>
    <xf numFmtId="0" fontId="58" fillId="71" borderId="194" xfId="72" applyFont="1" applyFill="1" applyBorder="1" applyAlignment="1" applyProtection="1">
      <alignment horizontal="center" vertical="center" wrapText="1" readingOrder="2"/>
    </xf>
    <xf numFmtId="0" fontId="58" fillId="71" borderId="245" xfId="72" applyFont="1" applyFill="1" applyBorder="1" applyAlignment="1" applyProtection="1">
      <alignment horizontal="center" vertical="center" wrapText="1" readingOrder="2"/>
    </xf>
    <xf numFmtId="0" fontId="58" fillId="71" borderId="122" xfId="72" applyFont="1" applyFill="1" applyBorder="1" applyAlignment="1" applyProtection="1">
      <alignment horizontal="center" vertical="center" wrapText="1" readingOrder="2"/>
    </xf>
    <xf numFmtId="0" fontId="58" fillId="71" borderId="120" xfId="72" applyFont="1" applyFill="1" applyBorder="1" applyAlignment="1" applyProtection="1">
      <alignment horizontal="center" vertical="center" wrapText="1" readingOrder="2"/>
    </xf>
    <xf numFmtId="0" fontId="237" fillId="0" borderId="559" xfId="0" applyFont="1" applyBorder="1" applyAlignment="1" applyProtection="1">
      <alignment horizontal="center" vertical="center"/>
      <protection hidden="1"/>
    </xf>
    <xf numFmtId="0" fontId="237" fillId="0" borderId="560" xfId="0" applyFont="1" applyBorder="1" applyAlignment="1" applyProtection="1">
      <alignment horizontal="center" vertical="center"/>
      <protection hidden="1"/>
    </xf>
    <xf numFmtId="0" fontId="237" fillId="0" borderId="526" xfId="0" applyFont="1" applyBorder="1" applyAlignment="1" applyProtection="1">
      <alignment horizontal="center" vertical="center"/>
      <protection hidden="1"/>
    </xf>
    <xf numFmtId="0" fontId="237" fillId="0" borderId="528" xfId="0" applyFont="1" applyBorder="1" applyAlignment="1" applyProtection="1">
      <alignment horizontal="center" vertical="center"/>
      <protection hidden="1"/>
    </xf>
    <xf numFmtId="3" fontId="81" fillId="26" borderId="557" xfId="64" applyNumberFormat="1" applyFont="1" applyFill="1" applyBorder="1" applyAlignment="1" applyProtection="1">
      <alignment horizontal="center" vertical="center" wrapText="1" readingOrder="1"/>
      <protection hidden="1"/>
    </xf>
    <xf numFmtId="3" fontId="81" fillId="26" borderId="558" xfId="64" applyNumberFormat="1" applyFont="1" applyFill="1" applyBorder="1" applyAlignment="1" applyProtection="1">
      <alignment horizontal="center" vertical="center" wrapText="1" readingOrder="1"/>
      <protection hidden="1"/>
    </xf>
    <xf numFmtId="0" fontId="58" fillId="58" borderId="194" xfId="72" applyFont="1" applyFill="1" applyBorder="1" applyAlignment="1" applyProtection="1">
      <alignment horizontal="center" vertical="center" wrapText="1" readingOrder="2"/>
    </xf>
    <xf numFmtId="0" fontId="58" fillId="58" borderId="245" xfId="72" applyFont="1" applyFill="1" applyBorder="1" applyAlignment="1" applyProtection="1">
      <alignment horizontal="center" vertical="center" wrapText="1" readingOrder="2"/>
    </xf>
    <xf numFmtId="0" fontId="58" fillId="58" borderId="122" xfId="72" applyFont="1" applyFill="1" applyBorder="1" applyAlignment="1" applyProtection="1">
      <alignment horizontal="center" vertical="center" wrapText="1" readingOrder="2"/>
    </xf>
    <xf numFmtId="0" fontId="58" fillId="58" borderId="120" xfId="72" applyFont="1" applyFill="1" applyBorder="1" applyAlignment="1" applyProtection="1">
      <alignment horizontal="center" vertical="center" wrapText="1" readingOrder="2"/>
    </xf>
    <xf numFmtId="0" fontId="4" fillId="26" borderId="194" xfId="72" applyFont="1" applyFill="1" applyBorder="1" applyAlignment="1" applyProtection="1">
      <alignment horizontal="center" vertical="center" wrapText="1" readingOrder="2"/>
    </xf>
    <xf numFmtId="0" fontId="4" fillId="26" borderId="248" xfId="72" applyFont="1" applyFill="1" applyBorder="1" applyAlignment="1" applyProtection="1">
      <alignment horizontal="center" vertical="center" wrapText="1" readingOrder="2"/>
    </xf>
    <xf numFmtId="0" fontId="4" fillId="26" borderId="122" xfId="72" applyFont="1" applyFill="1" applyBorder="1" applyAlignment="1" applyProtection="1">
      <alignment horizontal="center" vertical="center" wrapText="1" readingOrder="2"/>
    </xf>
    <xf numFmtId="0" fontId="4" fillId="26" borderId="0" xfId="72" applyFont="1" applyFill="1" applyBorder="1" applyAlignment="1" applyProtection="1">
      <alignment horizontal="center" vertical="center" wrapText="1" readingOrder="2"/>
    </xf>
    <xf numFmtId="0" fontId="4" fillId="26" borderId="369" xfId="72" applyFont="1" applyFill="1" applyBorder="1" applyAlignment="1" applyProtection="1">
      <alignment horizontal="center" vertical="center" wrapText="1" readingOrder="2"/>
    </xf>
    <xf numFmtId="0" fontId="4" fillId="26" borderId="370" xfId="72" applyFont="1" applyFill="1" applyBorder="1" applyAlignment="1" applyProtection="1">
      <alignment horizontal="center" vertical="center" wrapText="1" readingOrder="2"/>
    </xf>
    <xf numFmtId="0" fontId="57" fillId="49" borderId="248" xfId="64" applyFont="1" applyFill="1" applyBorder="1" applyAlignment="1" applyProtection="1">
      <alignment horizontal="center" vertical="center" wrapText="1" readingOrder="2"/>
    </xf>
    <xf numFmtId="0" fontId="57" fillId="49" borderId="0" xfId="64" applyFont="1" applyFill="1" applyBorder="1" applyAlignment="1" applyProtection="1">
      <alignment horizontal="center" vertical="center" wrapText="1" readingOrder="2"/>
    </xf>
    <xf numFmtId="0" fontId="57" fillId="49" borderId="194" xfId="64" applyFont="1" applyFill="1" applyBorder="1" applyAlignment="1" applyProtection="1">
      <alignment horizontal="center" vertical="center" wrapText="1" readingOrder="2"/>
    </xf>
    <xf numFmtId="0" fontId="57" fillId="49" borderId="645" xfId="64" applyFont="1" applyFill="1" applyBorder="1" applyAlignment="1" applyProtection="1">
      <alignment horizontal="center" vertical="center" wrapText="1" readingOrder="2"/>
    </xf>
    <xf numFmtId="0" fontId="452" fillId="39" borderId="0" xfId="64" applyFont="1" applyFill="1" applyBorder="1" applyAlignment="1" applyProtection="1">
      <alignment horizontal="center" vertical="center"/>
      <protection hidden="1"/>
    </xf>
    <xf numFmtId="3" fontId="229" fillId="26" borderId="374" xfId="64" applyNumberFormat="1" applyFont="1" applyFill="1" applyBorder="1" applyAlignment="1" applyProtection="1">
      <alignment horizontal="right" vertical="center" wrapText="1" readingOrder="1"/>
      <protection hidden="1"/>
    </xf>
    <xf numFmtId="3" fontId="259" fillId="26" borderId="374" xfId="64" applyNumberFormat="1" applyFont="1" applyFill="1" applyBorder="1" applyAlignment="1" applyProtection="1">
      <alignment horizontal="right" vertical="center" wrapText="1" readingOrder="1"/>
      <protection hidden="1"/>
    </xf>
    <xf numFmtId="3" fontId="229" fillId="26" borderId="375" xfId="64" applyNumberFormat="1" applyFont="1" applyFill="1" applyBorder="1" applyAlignment="1" applyProtection="1">
      <alignment horizontal="right" vertical="center" wrapText="1" readingOrder="1"/>
      <protection hidden="1"/>
    </xf>
    <xf numFmtId="3" fontId="81" fillId="26" borderId="63" xfId="64" applyNumberFormat="1" applyFont="1" applyFill="1" applyBorder="1" applyAlignment="1" applyProtection="1">
      <alignment horizontal="center" vertical="center" wrapText="1" readingOrder="1"/>
      <protection hidden="1"/>
    </xf>
    <xf numFmtId="3" fontId="81" fillId="26" borderId="64" xfId="64" applyNumberFormat="1" applyFont="1" applyFill="1" applyBorder="1" applyAlignment="1" applyProtection="1">
      <alignment horizontal="center" vertical="center" wrapText="1" readingOrder="1"/>
      <protection hidden="1"/>
    </xf>
    <xf numFmtId="3" fontId="402" fillId="48" borderId="121" xfId="64" applyNumberFormat="1" applyFont="1" applyFill="1" applyBorder="1" applyAlignment="1" applyProtection="1">
      <alignment horizontal="center" vertical="center" readingOrder="2"/>
    </xf>
    <xf numFmtId="3" fontId="402" fillId="48" borderId="116" xfId="64" applyNumberFormat="1" applyFont="1" applyFill="1" applyBorder="1" applyAlignment="1" applyProtection="1">
      <alignment horizontal="center" vertical="center" readingOrder="2"/>
    </xf>
    <xf numFmtId="3" fontId="333" fillId="48" borderId="121" xfId="64" applyNumberFormat="1" applyFont="1" applyFill="1" applyBorder="1" applyAlignment="1" applyProtection="1">
      <alignment horizontal="center" vertical="center" readingOrder="1"/>
      <protection locked="0"/>
    </xf>
    <xf numFmtId="3" fontId="333" fillId="48" borderId="116" xfId="64" applyNumberFormat="1" applyFont="1" applyFill="1" applyBorder="1" applyAlignment="1" applyProtection="1">
      <alignment horizontal="center" vertical="center" readingOrder="1"/>
      <protection locked="0"/>
    </xf>
    <xf numFmtId="3" fontId="335" fillId="48" borderId="121" xfId="64" applyNumberFormat="1" applyFont="1" applyFill="1" applyBorder="1" applyAlignment="1" applyProtection="1">
      <alignment horizontal="center" vertical="center" readingOrder="1"/>
    </xf>
    <xf numFmtId="3" fontId="335" fillId="48" borderId="116" xfId="64" applyNumberFormat="1" applyFont="1" applyFill="1" applyBorder="1" applyAlignment="1" applyProtection="1">
      <alignment horizontal="center" vertical="center" readingOrder="1"/>
    </xf>
    <xf numFmtId="3" fontId="402" fillId="48" borderId="0" xfId="64" applyNumberFormat="1" applyFont="1" applyFill="1" applyBorder="1" applyAlignment="1" applyProtection="1">
      <alignment horizontal="center" vertical="center" readingOrder="2"/>
    </xf>
    <xf numFmtId="0" fontId="401" fillId="48" borderId="121" xfId="64" applyFont="1" applyFill="1" applyBorder="1" applyAlignment="1" applyProtection="1">
      <alignment horizontal="center" vertical="center" readingOrder="1"/>
    </xf>
    <xf numFmtId="0" fontId="401" fillId="48" borderId="116" xfId="64" applyFont="1" applyFill="1" applyBorder="1" applyAlignment="1" applyProtection="1">
      <alignment horizontal="center" vertical="center" readingOrder="1"/>
    </xf>
    <xf numFmtId="0" fontId="55" fillId="48" borderId="121" xfId="64" applyFont="1" applyFill="1" applyBorder="1" applyAlignment="1" applyProtection="1">
      <alignment horizontal="center" vertical="center" wrapText="1" readingOrder="1"/>
      <protection locked="0"/>
    </xf>
    <xf numFmtId="0" fontId="55" fillId="48" borderId="116" xfId="64" applyFont="1" applyFill="1" applyBorder="1" applyAlignment="1" applyProtection="1">
      <alignment horizontal="center" vertical="center" wrapText="1" readingOrder="1"/>
      <protection locked="0"/>
    </xf>
    <xf numFmtId="3" fontId="402" fillId="48" borderId="121" xfId="64" applyNumberFormat="1" applyFont="1" applyFill="1" applyBorder="1" applyAlignment="1" applyProtection="1">
      <alignment horizontal="center" vertical="center" readingOrder="2"/>
      <protection hidden="1"/>
    </xf>
    <xf numFmtId="3" fontId="402" fillId="48" borderId="116" xfId="64" applyNumberFormat="1" applyFont="1" applyFill="1" applyBorder="1" applyAlignment="1" applyProtection="1">
      <alignment horizontal="center" vertical="center" readingOrder="2"/>
      <protection hidden="1"/>
    </xf>
    <xf numFmtId="0" fontId="445" fillId="0" borderId="246" xfId="64" applyFont="1" applyBorder="1" applyAlignment="1" applyProtection="1">
      <alignment horizontal="center" vertical="center"/>
    </xf>
    <xf numFmtId="0" fontId="445" fillId="0" borderId="247" xfId="64" applyFont="1" applyBorder="1" applyAlignment="1" applyProtection="1">
      <alignment horizontal="center" vertical="center"/>
    </xf>
    <xf numFmtId="0" fontId="446" fillId="20" borderId="0" xfId="64" applyFont="1" applyFill="1" applyBorder="1" applyAlignment="1" applyProtection="1">
      <alignment horizontal="center" vertical="center"/>
    </xf>
    <xf numFmtId="0" fontId="445" fillId="0" borderId="121" xfId="64" applyFont="1" applyBorder="1" applyAlignment="1" applyProtection="1">
      <alignment horizontal="center" vertical="center"/>
    </xf>
    <xf numFmtId="0" fontId="445" fillId="0" borderId="116" xfId="64" applyFont="1" applyBorder="1" applyAlignment="1" applyProtection="1">
      <alignment horizontal="center" vertical="center"/>
    </xf>
    <xf numFmtId="0" fontId="446" fillId="20" borderId="0" xfId="64" applyFont="1" applyFill="1" applyBorder="1" applyAlignment="1" applyProtection="1">
      <alignment horizontal="center" vertical="center"/>
      <protection hidden="1"/>
    </xf>
    <xf numFmtId="0" fontId="445" fillId="0" borderId="246" xfId="64" applyFont="1" applyBorder="1" applyAlignment="1" applyProtection="1">
      <alignment horizontal="center" vertical="center"/>
      <protection hidden="1"/>
    </xf>
    <xf numFmtId="0" fontId="445" fillId="0" borderId="247" xfId="64" applyFont="1" applyBorder="1" applyAlignment="1" applyProtection="1">
      <alignment horizontal="center" vertical="center"/>
      <protection hidden="1"/>
    </xf>
    <xf numFmtId="0" fontId="445" fillId="0" borderId="121" xfId="64" applyFont="1" applyBorder="1" applyAlignment="1" applyProtection="1">
      <alignment horizontal="center" vertical="center"/>
      <protection hidden="1"/>
    </xf>
    <xf numFmtId="0" fontId="445" fillId="0" borderId="116" xfId="64" applyFont="1" applyBorder="1" applyAlignment="1" applyProtection="1">
      <alignment horizontal="center" vertical="center"/>
      <protection hidden="1"/>
    </xf>
    <xf numFmtId="3" fontId="402" fillId="48" borderId="0" xfId="64" applyNumberFormat="1" applyFont="1" applyFill="1" applyBorder="1" applyAlignment="1" applyProtection="1">
      <alignment horizontal="center" vertical="center" readingOrder="2"/>
      <protection hidden="1"/>
    </xf>
    <xf numFmtId="0" fontId="55" fillId="48" borderId="121" xfId="64" applyFont="1" applyFill="1" applyBorder="1" applyAlignment="1" applyProtection="1">
      <alignment horizontal="center" vertical="center" wrapText="1" readingOrder="1"/>
      <protection hidden="1"/>
    </xf>
    <xf numFmtId="0" fontId="55" fillId="48" borderId="116" xfId="64" applyFont="1" applyFill="1" applyBorder="1" applyAlignment="1" applyProtection="1">
      <alignment horizontal="center" vertical="center" wrapText="1" readingOrder="1"/>
      <protection hidden="1"/>
    </xf>
    <xf numFmtId="0" fontId="401" fillId="48" borderId="121" xfId="64" applyFont="1" applyFill="1" applyBorder="1" applyAlignment="1" applyProtection="1">
      <alignment horizontal="center" vertical="center" readingOrder="1"/>
      <protection hidden="1"/>
    </xf>
    <xf numFmtId="0" fontId="401" fillId="48" borderId="116" xfId="64" applyFont="1" applyFill="1" applyBorder="1" applyAlignment="1" applyProtection="1">
      <alignment horizontal="center" vertical="center" readingOrder="1"/>
      <protection hidden="1"/>
    </xf>
    <xf numFmtId="3" fontId="335" fillId="48" borderId="121" xfId="64" applyNumberFormat="1" applyFont="1" applyFill="1" applyBorder="1" applyAlignment="1" applyProtection="1">
      <alignment horizontal="center" vertical="center" readingOrder="1"/>
      <protection hidden="1"/>
    </xf>
    <xf numFmtId="3" fontId="335" fillId="48" borderId="116" xfId="64" applyNumberFormat="1" applyFont="1" applyFill="1" applyBorder="1" applyAlignment="1" applyProtection="1">
      <alignment horizontal="center" vertical="center" readingOrder="1"/>
      <protection hidden="1"/>
    </xf>
    <xf numFmtId="0" fontId="447" fillId="20" borderId="0" xfId="64" applyFont="1" applyFill="1" applyBorder="1" applyAlignment="1" applyProtection="1">
      <alignment horizontal="center" vertical="center"/>
      <protection hidden="1"/>
    </xf>
    <xf numFmtId="0" fontId="467" fillId="79" borderId="0" xfId="64" applyFont="1" applyFill="1" applyBorder="1" applyAlignment="1" applyProtection="1">
      <alignment horizontal="center" vertical="center"/>
      <protection hidden="1"/>
    </xf>
    <xf numFmtId="0" fontId="7" fillId="49" borderId="344" xfId="64" applyFont="1" applyFill="1" applyBorder="1" applyAlignment="1" applyProtection="1">
      <alignment horizontal="center" vertical="center" wrapText="1" readingOrder="2"/>
    </xf>
    <xf numFmtId="0" fontId="7" fillId="49" borderId="345" xfId="64" applyFont="1" applyFill="1" applyBorder="1" applyAlignment="1" applyProtection="1">
      <alignment horizontal="center" vertical="center" wrapText="1" readingOrder="2"/>
    </xf>
    <xf numFmtId="0" fontId="7" fillId="49" borderId="346" xfId="64" applyFont="1" applyFill="1" applyBorder="1" applyAlignment="1" applyProtection="1">
      <alignment horizontal="center" vertical="center" wrapText="1" readingOrder="2"/>
    </xf>
    <xf numFmtId="0" fontId="7" fillId="49" borderId="0" xfId="64" applyFont="1" applyFill="1" applyBorder="1" applyAlignment="1" applyProtection="1">
      <alignment horizontal="right" vertical="center" wrapText="1" readingOrder="2"/>
    </xf>
    <xf numFmtId="0" fontId="7" fillId="49" borderId="120" xfId="64" applyFont="1" applyFill="1" applyBorder="1" applyAlignment="1" applyProtection="1">
      <alignment horizontal="right" vertical="center" wrapText="1" readingOrder="2"/>
    </xf>
    <xf numFmtId="0" fontId="338" fillId="49" borderId="245" xfId="64" applyFont="1" applyFill="1" applyBorder="1" applyAlignment="1" applyProtection="1">
      <alignment horizontal="center" vertical="center" wrapText="1" readingOrder="2"/>
    </xf>
    <xf numFmtId="0" fontId="338" fillId="49" borderId="120" xfId="64" applyFont="1" applyFill="1" applyBorder="1" applyAlignment="1" applyProtection="1">
      <alignment horizontal="center" vertical="center" wrapText="1" readingOrder="2"/>
    </xf>
    <xf numFmtId="0" fontId="338" fillId="49" borderId="247" xfId="64" applyFont="1" applyFill="1" applyBorder="1" applyAlignment="1" applyProtection="1">
      <alignment horizontal="center" vertical="center" wrapText="1" readingOrder="2"/>
    </xf>
    <xf numFmtId="0" fontId="55" fillId="47" borderId="118" xfId="64" applyFont="1" applyFill="1" applyBorder="1" applyAlignment="1" applyProtection="1">
      <alignment horizontal="center" vertical="center" wrapText="1" readingOrder="2"/>
    </xf>
    <xf numFmtId="0" fontId="55" fillId="47" borderId="10" xfId="64" applyFont="1" applyFill="1" applyBorder="1" applyAlignment="1" applyProtection="1">
      <alignment horizontal="center" vertical="center" wrapText="1" readingOrder="2"/>
    </xf>
    <xf numFmtId="0" fontId="55" fillId="47" borderId="308" xfId="64" applyFont="1" applyFill="1" applyBorder="1" applyAlignment="1" applyProtection="1">
      <alignment horizontal="center" vertical="center" wrapText="1" readingOrder="2"/>
    </xf>
    <xf numFmtId="0" fontId="7" fillId="49" borderId="341" xfId="64" applyFont="1" applyFill="1" applyBorder="1" applyAlignment="1" applyProtection="1">
      <alignment horizontal="center" vertical="center" wrapText="1" readingOrder="2"/>
    </xf>
    <xf numFmtId="0" fontId="7" fillId="49" borderId="342" xfId="64" applyFont="1" applyFill="1" applyBorder="1" applyAlignment="1" applyProtection="1">
      <alignment horizontal="center" vertical="center" wrapText="1" readingOrder="2"/>
    </xf>
    <xf numFmtId="0" fontId="7" fillId="49" borderId="343" xfId="64" applyFont="1" applyFill="1" applyBorder="1" applyAlignment="1" applyProtection="1">
      <alignment horizontal="center" vertical="center" wrapText="1" readingOrder="2"/>
    </xf>
    <xf numFmtId="0" fontId="57" fillId="49" borderId="0" xfId="64" applyFont="1" applyFill="1" applyBorder="1" applyAlignment="1" applyProtection="1">
      <alignment horizontal="left" vertical="center" wrapText="1" readingOrder="2"/>
    </xf>
    <xf numFmtId="0" fontId="57" fillId="49" borderId="120" xfId="64" applyFont="1" applyFill="1" applyBorder="1" applyAlignment="1" applyProtection="1">
      <alignment horizontal="left" vertical="center" wrapText="1" readingOrder="2"/>
    </xf>
    <xf numFmtId="0" fontId="7" fillId="49" borderId="0" xfId="64" applyFont="1" applyFill="1" applyBorder="1" applyAlignment="1" applyProtection="1">
      <alignment horizontal="right" vertical="center" readingOrder="2"/>
      <protection hidden="1"/>
    </xf>
    <xf numFmtId="0" fontId="7" fillId="49" borderId="120" xfId="64" applyFont="1" applyFill="1" applyBorder="1" applyAlignment="1" applyProtection="1">
      <alignment horizontal="right" vertical="center" readingOrder="2"/>
      <protection hidden="1"/>
    </xf>
    <xf numFmtId="0" fontId="7" fillId="0" borderId="0" xfId="64" applyFont="1" applyFill="1" applyBorder="1" applyAlignment="1" applyProtection="1">
      <alignment horizontal="right" vertical="center" readingOrder="2"/>
      <protection hidden="1"/>
    </xf>
    <xf numFmtId="0" fontId="7" fillId="0" borderId="120" xfId="64" applyFont="1" applyFill="1" applyBorder="1" applyAlignment="1" applyProtection="1">
      <alignment horizontal="right" vertical="center" readingOrder="2"/>
      <protection hidden="1"/>
    </xf>
    <xf numFmtId="0" fontId="57" fillId="49" borderId="194" xfId="64" applyFont="1" applyFill="1" applyBorder="1" applyAlignment="1" applyProtection="1">
      <alignment horizontal="center" vertical="center" wrapText="1" readingOrder="2"/>
      <protection hidden="1"/>
    </xf>
    <xf numFmtId="0" fontId="57" fillId="49" borderId="122" xfId="64" applyFont="1" applyFill="1" applyBorder="1" applyAlignment="1" applyProtection="1">
      <alignment horizontal="center" vertical="center" wrapText="1" readingOrder="2"/>
      <protection hidden="1"/>
    </xf>
    <xf numFmtId="0" fontId="57" fillId="49" borderId="246" xfId="64" applyFont="1" applyFill="1" applyBorder="1" applyAlignment="1" applyProtection="1">
      <alignment horizontal="center" vertical="center" wrapText="1" readingOrder="2"/>
      <protection hidden="1"/>
    </xf>
    <xf numFmtId="0" fontId="454" fillId="51" borderId="0" xfId="64" applyFont="1" applyFill="1" applyBorder="1" applyAlignment="1" applyProtection="1">
      <alignment horizontal="center" vertical="center"/>
    </xf>
    <xf numFmtId="0" fontId="7" fillId="0" borderId="0" xfId="64" applyFont="1" applyFill="1" applyBorder="1" applyAlignment="1" applyProtection="1">
      <alignment horizontal="center" vertical="center" wrapText="1" readingOrder="2"/>
    </xf>
    <xf numFmtId="0" fontId="1" fillId="49" borderId="0" xfId="62" applyFont="1" applyFill="1" applyBorder="1" applyAlignment="1" applyProtection="1">
      <alignment horizontal="right"/>
      <protection hidden="1"/>
    </xf>
    <xf numFmtId="0" fontId="1" fillId="0" borderId="0" xfId="62" applyFont="1" applyFill="1" applyBorder="1" applyAlignment="1" applyProtection="1">
      <alignment horizontal="right"/>
      <protection hidden="1"/>
    </xf>
    <xf numFmtId="0" fontId="7" fillId="49" borderId="0" xfId="64" applyFont="1" applyFill="1" applyBorder="1" applyAlignment="1" applyProtection="1">
      <alignment horizontal="center" vertical="center" wrapText="1" readingOrder="2"/>
    </xf>
    <xf numFmtId="0" fontId="1" fillId="0" borderId="0" xfId="62" applyFont="1" applyBorder="1" applyAlignment="1" applyProtection="1">
      <alignment horizontal="right"/>
      <protection hidden="1"/>
    </xf>
    <xf numFmtId="0" fontId="454" fillId="51" borderId="0" xfId="64" applyFont="1" applyFill="1" applyBorder="1" applyAlignment="1" applyProtection="1">
      <alignment horizontal="center" vertical="center"/>
      <protection hidden="1"/>
    </xf>
    <xf numFmtId="0" fontId="55" fillId="49" borderId="118" xfId="64" applyFont="1" applyFill="1" applyBorder="1" applyAlignment="1" applyProtection="1">
      <alignment horizontal="center" vertical="center" wrapText="1" readingOrder="2"/>
      <protection hidden="1"/>
    </xf>
    <xf numFmtId="0" fontId="55" fillId="49" borderId="10" xfId="64" applyFont="1" applyFill="1" applyBorder="1" applyAlignment="1" applyProtection="1">
      <alignment horizontal="center" vertical="center" wrapText="1" readingOrder="2"/>
      <protection hidden="1"/>
    </xf>
    <xf numFmtId="0" fontId="55" fillId="49" borderId="308" xfId="64" applyFont="1" applyFill="1" applyBorder="1" applyAlignment="1" applyProtection="1">
      <alignment horizontal="center" vertical="center" wrapText="1" readingOrder="2"/>
      <protection hidden="1"/>
    </xf>
    <xf numFmtId="0" fontId="2" fillId="31" borderId="194" xfId="64" applyFont="1" applyFill="1" applyBorder="1" applyAlignment="1" applyProtection="1">
      <alignment horizontal="center" vertical="center" wrapText="1"/>
      <protection hidden="1"/>
    </xf>
    <xf numFmtId="0" fontId="2" fillId="31" borderId="245" xfId="64" applyFont="1" applyFill="1" applyBorder="1" applyAlignment="1" applyProtection="1">
      <alignment horizontal="center" vertical="center" wrapText="1"/>
      <protection hidden="1"/>
    </xf>
    <xf numFmtId="0" fontId="2" fillId="49" borderId="194" xfId="64" applyFont="1" applyFill="1" applyBorder="1" applyAlignment="1" applyProtection="1">
      <alignment horizontal="center" vertical="center" wrapText="1" readingOrder="2"/>
      <protection hidden="1"/>
    </xf>
    <xf numFmtId="0" fontId="2" fillId="49" borderId="245" xfId="64" applyFont="1" applyFill="1" applyBorder="1" applyAlignment="1" applyProtection="1">
      <alignment horizontal="center" vertical="center" wrapText="1" readingOrder="2"/>
      <protection hidden="1"/>
    </xf>
    <xf numFmtId="0" fontId="7" fillId="49" borderId="0" xfId="64" applyFont="1" applyFill="1" applyBorder="1" applyAlignment="1" applyProtection="1">
      <alignment horizontal="left" vertical="center" wrapText="1" readingOrder="2"/>
      <protection hidden="1"/>
    </xf>
    <xf numFmtId="0" fontId="7" fillId="49" borderId="120" xfId="64" applyFont="1" applyFill="1" applyBorder="1" applyAlignment="1" applyProtection="1">
      <alignment horizontal="left" vertical="center" wrapText="1" readingOrder="2"/>
      <protection hidden="1"/>
    </xf>
    <xf numFmtId="0" fontId="7" fillId="49" borderId="0" xfId="64" applyFont="1" applyFill="1" applyBorder="1" applyAlignment="1" applyProtection="1">
      <alignment horizontal="right" vertical="center" wrapText="1" readingOrder="2"/>
      <protection hidden="1"/>
    </xf>
    <xf numFmtId="0" fontId="7" fillId="49" borderId="120" xfId="64" applyFont="1" applyFill="1" applyBorder="1" applyAlignment="1" applyProtection="1">
      <alignment horizontal="right" vertical="center" wrapText="1" readingOrder="2"/>
      <protection hidden="1"/>
    </xf>
    <xf numFmtId="0" fontId="60" fillId="49" borderId="121" xfId="64" applyFont="1" applyFill="1" applyBorder="1" applyAlignment="1" applyProtection="1">
      <alignment horizontal="center" vertical="center" wrapText="1" readingOrder="2"/>
      <protection hidden="1"/>
    </xf>
    <xf numFmtId="0" fontId="60" fillId="49" borderId="115" xfId="64" applyFont="1" applyFill="1" applyBorder="1" applyAlignment="1" applyProtection="1">
      <alignment horizontal="center" vertical="center" wrapText="1" readingOrder="2"/>
      <protection hidden="1"/>
    </xf>
    <xf numFmtId="0" fontId="60" fillId="49" borderId="116" xfId="64" applyFont="1" applyFill="1" applyBorder="1" applyAlignment="1" applyProtection="1">
      <alignment horizontal="center" vertical="center" wrapText="1" readingOrder="2"/>
      <protection hidden="1"/>
    </xf>
    <xf numFmtId="0" fontId="2" fillId="26" borderId="194" xfId="64" applyFont="1" applyFill="1" applyBorder="1" applyAlignment="1" applyProtection="1">
      <alignment horizontal="center" vertical="center" wrapText="1" readingOrder="2"/>
      <protection hidden="1"/>
    </xf>
    <xf numFmtId="0" fontId="2" fillId="26" borderId="245" xfId="64" applyFont="1" applyFill="1" applyBorder="1" applyAlignment="1" applyProtection="1">
      <alignment horizontal="center" vertical="center" wrapText="1" readingOrder="2"/>
      <protection hidden="1"/>
    </xf>
    <xf numFmtId="0" fontId="55" fillId="31" borderId="0" xfId="64" applyFont="1" applyFill="1" applyBorder="1" applyAlignment="1" applyProtection="1">
      <alignment horizontal="center" vertical="center" readingOrder="2"/>
      <protection hidden="1"/>
    </xf>
    <xf numFmtId="0" fontId="63" fillId="31" borderId="0" xfId="62" applyFill="1" applyBorder="1" applyProtection="1">
      <protection hidden="1"/>
    </xf>
    <xf numFmtId="0" fontId="244" fillId="48" borderId="0" xfId="0" applyFont="1" applyFill="1" applyBorder="1" applyAlignment="1" applyProtection="1">
      <alignment horizontal="center" vertical="center"/>
      <protection hidden="1"/>
    </xf>
    <xf numFmtId="0" fontId="457" fillId="48" borderId="0" xfId="0" applyFont="1" applyFill="1" applyBorder="1" applyAlignment="1" applyProtection="1">
      <alignment horizontal="center" vertical="center"/>
      <protection hidden="1"/>
    </xf>
    <xf numFmtId="0" fontId="326" fillId="48" borderId="0" xfId="64" applyFont="1" applyFill="1" applyBorder="1" applyAlignment="1" applyProtection="1">
      <alignment horizontal="center" vertical="center" readingOrder="2"/>
      <protection hidden="1"/>
    </xf>
    <xf numFmtId="0" fontId="55" fillId="48" borderId="121" xfId="64" applyFont="1" applyFill="1" applyBorder="1" applyAlignment="1" applyProtection="1">
      <alignment horizontal="center" vertical="center" readingOrder="2"/>
      <protection hidden="1"/>
    </xf>
    <xf numFmtId="0" fontId="55" fillId="48" borderId="116" xfId="64" applyFont="1" applyFill="1" applyBorder="1" applyAlignment="1" applyProtection="1">
      <alignment horizontal="center" vertical="center" readingOrder="2"/>
      <protection hidden="1"/>
    </xf>
    <xf numFmtId="0" fontId="314" fillId="0" borderId="624" xfId="0" applyFont="1" applyBorder="1" applyAlignment="1" applyProtection="1">
      <alignment horizontal="center" vertical="center"/>
    </xf>
    <xf numFmtId="0" fontId="314" fillId="0" borderId="625" xfId="0" applyFont="1" applyBorder="1" applyAlignment="1" applyProtection="1">
      <alignment horizontal="center" vertical="center"/>
    </xf>
    <xf numFmtId="0" fontId="314" fillId="0" borderId="626" xfId="0" applyFont="1" applyBorder="1" applyAlignment="1" applyProtection="1">
      <alignment horizontal="center" vertical="center"/>
    </xf>
    <xf numFmtId="0" fontId="314" fillId="0" borderId="627" xfId="0" applyFont="1" applyBorder="1" applyAlignment="1" applyProtection="1">
      <alignment horizontal="center" vertical="center"/>
    </xf>
    <xf numFmtId="0" fontId="314" fillId="0" borderId="0" xfId="0" applyFont="1" applyBorder="1" applyAlignment="1" applyProtection="1">
      <alignment horizontal="center" vertical="center"/>
    </xf>
    <xf numFmtId="0" fontId="314" fillId="0" borderId="628" xfId="0" applyFont="1" applyBorder="1" applyAlignment="1" applyProtection="1">
      <alignment horizontal="center" vertical="center"/>
    </xf>
    <xf numFmtId="0" fontId="314" fillId="0" borderId="629" xfId="0" applyFont="1" applyBorder="1" applyAlignment="1" applyProtection="1">
      <alignment horizontal="center" vertical="center"/>
    </xf>
    <xf numFmtId="0" fontId="314" fillId="0" borderId="630" xfId="0" applyFont="1" applyBorder="1" applyAlignment="1" applyProtection="1">
      <alignment horizontal="center" vertical="center"/>
    </xf>
    <xf numFmtId="0" fontId="314" fillId="0" borderId="631" xfId="0" applyFont="1" applyBorder="1" applyAlignment="1" applyProtection="1">
      <alignment horizontal="center" vertical="center"/>
    </xf>
    <xf numFmtId="0" fontId="338" fillId="48" borderId="118" xfId="64" applyFont="1" applyFill="1" applyBorder="1" applyAlignment="1" applyProtection="1">
      <alignment horizontal="center" vertical="center" wrapText="1" readingOrder="2"/>
      <protection hidden="1"/>
    </xf>
    <xf numFmtId="0" fontId="338" fillId="48" borderId="10" xfId="64" applyFont="1" applyFill="1" applyBorder="1" applyAlignment="1" applyProtection="1">
      <alignment horizontal="center" vertical="center" wrapText="1" readingOrder="2"/>
      <protection hidden="1"/>
    </xf>
    <xf numFmtId="0" fontId="338" fillId="48" borderId="308" xfId="64" applyFont="1" applyFill="1" applyBorder="1" applyAlignment="1" applyProtection="1">
      <alignment horizontal="center" vertical="center" wrapText="1" readingOrder="2"/>
      <protection hidden="1"/>
    </xf>
    <xf numFmtId="0" fontId="435" fillId="31" borderId="10" xfId="64" applyFont="1" applyFill="1" applyBorder="1" applyAlignment="1" applyProtection="1">
      <alignment horizontal="center" vertical="center" readingOrder="2"/>
      <protection hidden="1"/>
    </xf>
    <xf numFmtId="0" fontId="435" fillId="31" borderId="308" xfId="64" applyFont="1" applyFill="1" applyBorder="1" applyAlignment="1" applyProtection="1">
      <alignment horizontal="center" vertical="center" readingOrder="2"/>
      <protection hidden="1"/>
    </xf>
    <xf numFmtId="0" fontId="7" fillId="0" borderId="10" xfId="64" applyFont="1" applyFill="1" applyBorder="1" applyAlignment="1" applyProtection="1">
      <alignment horizontal="center" vertical="center" wrapText="1" readingOrder="2"/>
      <protection hidden="1"/>
    </xf>
    <xf numFmtId="0" fontId="7" fillId="0" borderId="118" xfId="64" applyFont="1" applyFill="1" applyBorder="1" applyAlignment="1" applyProtection="1">
      <alignment horizontal="center" vertical="center" wrapText="1" readingOrder="2"/>
      <protection hidden="1"/>
    </xf>
    <xf numFmtId="0" fontId="7" fillId="49" borderId="10" xfId="64" applyFont="1" applyFill="1" applyBorder="1" applyAlignment="1" applyProtection="1">
      <alignment horizontal="center" vertical="center" wrapText="1" readingOrder="2"/>
      <protection hidden="1"/>
    </xf>
    <xf numFmtId="0" fontId="7" fillId="48" borderId="344" xfId="64" applyFont="1" applyFill="1" applyBorder="1" applyAlignment="1" applyProtection="1">
      <alignment horizontal="center" vertical="center" wrapText="1" readingOrder="2"/>
      <protection hidden="1"/>
    </xf>
    <xf numFmtId="0" fontId="7" fillId="48" borderId="345" xfId="64" applyFont="1" applyFill="1" applyBorder="1" applyAlignment="1" applyProtection="1">
      <alignment horizontal="center" vertical="center" wrapText="1" readingOrder="2"/>
      <protection hidden="1"/>
    </xf>
    <xf numFmtId="0" fontId="7" fillId="48" borderId="346" xfId="64" applyFont="1" applyFill="1" applyBorder="1" applyAlignment="1" applyProtection="1">
      <alignment horizontal="center" vertical="center" wrapText="1" readingOrder="2"/>
      <protection hidden="1"/>
    </xf>
    <xf numFmtId="0" fontId="455" fillId="48" borderId="118" xfId="64" applyFont="1" applyFill="1" applyBorder="1" applyAlignment="1" applyProtection="1">
      <alignment horizontal="center" vertical="center" wrapText="1" readingOrder="2"/>
      <protection hidden="1"/>
    </xf>
    <xf numFmtId="0" fontId="455" fillId="48" borderId="10" xfId="64" applyFont="1" applyFill="1" applyBorder="1" applyAlignment="1" applyProtection="1">
      <alignment horizontal="center" vertical="center" wrapText="1" readingOrder="2"/>
      <protection hidden="1"/>
    </xf>
    <xf numFmtId="0" fontId="455" fillId="48" borderId="308" xfId="64" applyFont="1" applyFill="1" applyBorder="1" applyAlignment="1" applyProtection="1">
      <alignment horizontal="center" vertical="center" wrapText="1" readingOrder="2"/>
      <protection hidden="1"/>
    </xf>
    <xf numFmtId="0" fontId="7" fillId="48" borderId="194" xfId="64" applyFont="1" applyFill="1" applyBorder="1" applyAlignment="1" applyProtection="1">
      <alignment horizontal="left" vertical="center" wrapText="1" readingOrder="2"/>
      <protection hidden="1"/>
    </xf>
    <xf numFmtId="0" fontId="7" fillId="48" borderId="245" xfId="64" applyFont="1" applyFill="1" applyBorder="1" applyAlignment="1" applyProtection="1">
      <alignment horizontal="left" vertical="center" wrapText="1" readingOrder="2"/>
      <protection hidden="1"/>
    </xf>
    <xf numFmtId="0" fontId="7" fillId="48" borderId="122" xfId="64" applyFont="1" applyFill="1" applyBorder="1" applyAlignment="1" applyProtection="1">
      <alignment horizontal="left" vertical="center" wrapText="1" readingOrder="2"/>
      <protection hidden="1"/>
    </xf>
    <xf numFmtId="0" fontId="7" fillId="48" borderId="120" xfId="64" applyFont="1" applyFill="1" applyBorder="1" applyAlignment="1" applyProtection="1">
      <alignment horizontal="left" vertical="center" wrapText="1" readingOrder="2"/>
      <protection hidden="1"/>
    </xf>
    <xf numFmtId="0" fontId="7" fillId="48" borderId="341" xfId="64" applyFont="1" applyFill="1" applyBorder="1" applyAlignment="1" applyProtection="1">
      <alignment horizontal="center" vertical="center" wrapText="1" readingOrder="2"/>
      <protection hidden="1"/>
    </xf>
    <xf numFmtId="0" fontId="7" fillId="48" borderId="342" xfId="64" applyFont="1" applyFill="1" applyBorder="1" applyAlignment="1" applyProtection="1">
      <alignment horizontal="center" vertical="center" wrapText="1" readingOrder="2"/>
      <protection hidden="1"/>
    </xf>
    <xf numFmtId="0" fontId="7" fillId="48" borderId="343" xfId="64" applyFont="1" applyFill="1" applyBorder="1" applyAlignment="1" applyProtection="1">
      <alignment horizontal="center" vertical="center" wrapText="1" readingOrder="2"/>
      <protection hidden="1"/>
    </xf>
    <xf numFmtId="0" fontId="7" fillId="48" borderId="246" xfId="64" applyFont="1" applyFill="1" applyBorder="1" applyAlignment="1" applyProtection="1">
      <alignment horizontal="right" vertical="center" wrapText="1" readingOrder="2"/>
      <protection hidden="1"/>
    </xf>
    <xf numFmtId="0" fontId="7" fillId="48" borderId="247" xfId="64" applyFont="1" applyFill="1" applyBorder="1" applyAlignment="1" applyProtection="1">
      <alignment horizontal="right" vertical="center" wrapText="1" readingOrder="2"/>
      <protection hidden="1"/>
    </xf>
    <xf numFmtId="0" fontId="57" fillId="49" borderId="122" xfId="64" applyFont="1" applyFill="1" applyBorder="1" applyAlignment="1" applyProtection="1">
      <alignment horizontal="center" vertical="center" wrapText="1" readingOrder="2"/>
    </xf>
    <xf numFmtId="0" fontId="57" fillId="49" borderId="246" xfId="64" applyFont="1" applyFill="1" applyBorder="1" applyAlignment="1" applyProtection="1">
      <alignment horizontal="center" vertical="center" wrapText="1" readingOrder="2"/>
    </xf>
    <xf numFmtId="0" fontId="60" fillId="49" borderId="121" xfId="64" applyFont="1" applyFill="1" applyBorder="1" applyAlignment="1" applyProtection="1">
      <alignment horizontal="center" vertical="center" wrapText="1" readingOrder="2"/>
    </xf>
    <xf numFmtId="0" fontId="60" fillId="49" borderId="115" xfId="64" applyFont="1" applyFill="1" applyBorder="1" applyAlignment="1" applyProtection="1">
      <alignment horizontal="center" vertical="center" wrapText="1" readingOrder="2"/>
    </xf>
    <xf numFmtId="0" fontId="60" fillId="49" borderId="116" xfId="64" applyFont="1" applyFill="1" applyBorder="1" applyAlignment="1" applyProtection="1">
      <alignment horizontal="center" vertical="center" wrapText="1" readingOrder="2"/>
    </xf>
    <xf numFmtId="0" fontId="57" fillId="49" borderId="118" xfId="64" applyFont="1" applyFill="1" applyBorder="1" applyAlignment="1" applyProtection="1">
      <alignment horizontal="center" vertical="center" wrapText="1" readingOrder="2"/>
    </xf>
    <xf numFmtId="0" fontId="57" fillId="49" borderId="10" xfId="64" applyFont="1" applyFill="1" applyBorder="1" applyAlignment="1" applyProtection="1">
      <alignment horizontal="center" vertical="center" wrapText="1" readingOrder="2"/>
    </xf>
    <xf numFmtId="0" fontId="57" fillId="49" borderId="308" xfId="64" applyFont="1" applyFill="1" applyBorder="1" applyAlignment="1" applyProtection="1">
      <alignment horizontal="center" vertical="center" wrapText="1" readingOrder="2"/>
    </xf>
    <xf numFmtId="0" fontId="181" fillId="49" borderId="194" xfId="64" applyFont="1" applyFill="1" applyBorder="1" applyAlignment="1" applyProtection="1">
      <alignment horizontal="center" vertical="center" wrapText="1" readingOrder="2"/>
    </xf>
    <xf numFmtId="0" fontId="181" fillId="49" borderId="245" xfId="64" applyFont="1" applyFill="1" applyBorder="1" applyAlignment="1" applyProtection="1">
      <alignment horizontal="center" vertical="center" wrapText="1" readingOrder="2"/>
    </xf>
    <xf numFmtId="0" fontId="181" fillId="26" borderId="194" xfId="64" applyFont="1" applyFill="1" applyBorder="1" applyAlignment="1" applyProtection="1">
      <alignment horizontal="center" vertical="center" wrapText="1" readingOrder="2"/>
    </xf>
    <xf numFmtId="0" fontId="181" fillId="26" borderId="245" xfId="64" applyFont="1" applyFill="1" applyBorder="1" applyAlignment="1" applyProtection="1">
      <alignment horizontal="center" vertical="center" wrapText="1" readingOrder="2"/>
    </xf>
    <xf numFmtId="0" fontId="181" fillId="31" borderId="194" xfId="64" applyFont="1" applyFill="1" applyBorder="1" applyAlignment="1" applyProtection="1">
      <alignment horizontal="center" vertical="center" wrapText="1"/>
    </xf>
    <xf numFmtId="0" fontId="181" fillId="31" borderId="245" xfId="64" applyFont="1" applyFill="1" applyBorder="1" applyAlignment="1" applyProtection="1">
      <alignment horizontal="center" vertical="center" wrapText="1"/>
    </xf>
    <xf numFmtId="0" fontId="57" fillId="47" borderId="0" xfId="64" applyFont="1" applyFill="1" applyBorder="1" applyAlignment="1" applyProtection="1">
      <alignment horizontal="right" vertical="center" wrapText="1" readingOrder="2"/>
    </xf>
    <xf numFmtId="0" fontId="57" fillId="47" borderId="120" xfId="64" applyFont="1" applyFill="1" applyBorder="1" applyAlignment="1" applyProtection="1">
      <alignment horizontal="right" vertical="center" wrapText="1" readingOrder="2"/>
    </xf>
    <xf numFmtId="0" fontId="7" fillId="0" borderId="0" xfId="64" applyFont="1" applyFill="1" applyBorder="1" applyAlignment="1" applyProtection="1">
      <alignment horizontal="right" vertical="center" readingOrder="2"/>
    </xf>
    <xf numFmtId="0" fontId="1" fillId="0" borderId="0" xfId="62" applyFont="1" applyFill="1" applyBorder="1" applyAlignment="1" applyProtection="1">
      <alignment horizontal="right"/>
    </xf>
    <xf numFmtId="0" fontId="7" fillId="49" borderId="0" xfId="64" applyFont="1" applyFill="1" applyBorder="1" applyAlignment="1" applyProtection="1">
      <alignment horizontal="right" vertical="center" readingOrder="2"/>
    </xf>
    <xf numFmtId="0" fontId="7" fillId="49" borderId="120" xfId="64" applyFont="1" applyFill="1" applyBorder="1" applyAlignment="1" applyProtection="1">
      <alignment horizontal="right" vertical="center" readingOrder="2"/>
    </xf>
    <xf numFmtId="0" fontId="7" fillId="0" borderId="120" xfId="64" applyFont="1" applyFill="1" applyBorder="1" applyAlignment="1" applyProtection="1">
      <alignment horizontal="right" vertical="center" readingOrder="2"/>
    </xf>
    <xf numFmtId="0" fontId="1" fillId="0" borderId="0" xfId="62" applyFont="1" applyBorder="1" applyAlignment="1" applyProtection="1">
      <alignment horizontal="right"/>
    </xf>
    <xf numFmtId="0" fontId="1" fillId="49" borderId="0" xfId="62" applyFont="1" applyFill="1" applyBorder="1" applyAlignment="1" applyProtection="1">
      <alignment horizontal="right"/>
    </xf>
    <xf numFmtId="0" fontId="435" fillId="31" borderId="0" xfId="64" applyFont="1" applyFill="1" applyBorder="1" applyAlignment="1" applyProtection="1">
      <alignment horizontal="center" vertical="center" readingOrder="2"/>
    </xf>
    <xf numFmtId="0" fontId="466" fillId="31" borderId="0" xfId="62" applyFont="1" applyFill="1" applyBorder="1" applyProtection="1"/>
    <xf numFmtId="0" fontId="457" fillId="0" borderId="63" xfId="0" applyFont="1" applyBorder="1" applyAlignment="1" applyProtection="1">
      <alignment horizontal="center" vertical="center"/>
      <protection hidden="1"/>
    </xf>
    <xf numFmtId="0" fontId="457" fillId="0" borderId="64" xfId="0" applyFont="1" applyBorder="1" applyAlignment="1" applyProtection="1">
      <alignment horizontal="center" vertical="center"/>
      <protection hidden="1"/>
    </xf>
    <xf numFmtId="0" fontId="244" fillId="0" borderId="63" xfId="0" applyFont="1" applyBorder="1" applyAlignment="1" applyProtection="1">
      <alignment horizontal="center" vertical="center"/>
      <protection hidden="1"/>
    </xf>
    <xf numFmtId="0" fontId="244" fillId="0" borderId="64" xfId="0" applyFont="1" applyBorder="1" applyAlignment="1" applyProtection="1">
      <alignment horizontal="center" vertical="center"/>
      <protection hidden="1"/>
    </xf>
    <xf numFmtId="0" fontId="468" fillId="79" borderId="0" xfId="64" applyFont="1" applyFill="1" applyBorder="1" applyAlignment="1" applyProtection="1">
      <alignment horizontal="center" vertical="center" readingOrder="2"/>
      <protection hidden="1"/>
    </xf>
    <xf numFmtId="0" fontId="55" fillId="0" borderId="0" xfId="64" applyFont="1" applyFill="1" applyBorder="1" applyAlignment="1" applyProtection="1">
      <alignment horizontal="center" vertical="center" wrapText="1" readingOrder="2"/>
      <protection hidden="1"/>
    </xf>
    <xf numFmtId="0" fontId="55" fillId="0" borderId="120" xfId="64" applyFont="1" applyFill="1" applyBorder="1" applyAlignment="1" applyProtection="1">
      <alignment horizontal="center" vertical="center" wrapText="1" readingOrder="2"/>
      <protection hidden="1"/>
    </xf>
    <xf numFmtId="3" fontId="3" fillId="31" borderId="184" xfId="64" applyNumberFormat="1" applyFont="1" applyFill="1" applyBorder="1" applyAlignment="1" applyProtection="1">
      <alignment horizontal="center" vertical="center" wrapText="1" readingOrder="1"/>
      <protection hidden="1"/>
    </xf>
    <xf numFmtId="3" fontId="3" fillId="31" borderId="185" xfId="64" applyNumberFormat="1" applyFont="1" applyFill="1" applyBorder="1" applyAlignment="1" applyProtection="1">
      <alignment horizontal="center" vertical="center" wrapText="1" readingOrder="1"/>
      <protection hidden="1"/>
    </xf>
    <xf numFmtId="3" fontId="3" fillId="31" borderId="186" xfId="64" applyNumberFormat="1" applyFont="1" applyFill="1" applyBorder="1" applyAlignment="1" applyProtection="1">
      <alignment horizontal="center" vertical="center" wrapText="1" readingOrder="1"/>
      <protection hidden="1"/>
    </xf>
    <xf numFmtId="3" fontId="3" fillId="31" borderId="187" xfId="64" applyNumberFormat="1" applyFont="1" applyFill="1" applyBorder="1" applyAlignment="1" applyProtection="1">
      <alignment horizontal="center" vertical="center" wrapText="1" readingOrder="1"/>
      <protection hidden="1"/>
    </xf>
    <xf numFmtId="0" fontId="55" fillId="49" borderId="350" xfId="64" applyFont="1" applyFill="1" applyBorder="1" applyAlignment="1" applyProtection="1">
      <alignment horizontal="center" vertical="center" wrapText="1" readingOrder="2"/>
      <protection hidden="1"/>
    </xf>
    <xf numFmtId="0" fontId="55" fillId="49" borderId="131" xfId="64" applyFont="1" applyFill="1" applyBorder="1" applyAlignment="1" applyProtection="1">
      <alignment horizontal="center" vertical="center" wrapText="1" readingOrder="2"/>
      <protection hidden="1"/>
    </xf>
    <xf numFmtId="0" fontId="61" fillId="35" borderId="194" xfId="64" applyFont="1" applyFill="1" applyBorder="1" applyAlignment="1" applyProtection="1">
      <alignment horizontal="center" vertical="center" wrapText="1" readingOrder="2"/>
      <protection hidden="1"/>
    </xf>
    <xf numFmtId="0" fontId="61" fillId="35" borderId="245" xfId="64" applyFont="1" applyFill="1" applyBorder="1" applyAlignment="1" applyProtection="1">
      <alignment horizontal="center" vertical="center" wrapText="1" readingOrder="2"/>
      <protection hidden="1"/>
    </xf>
    <xf numFmtId="0" fontId="61" fillId="35" borderId="246" xfId="64" applyFont="1" applyFill="1" applyBorder="1" applyAlignment="1" applyProtection="1">
      <alignment horizontal="center" vertical="center" wrapText="1" readingOrder="2"/>
      <protection hidden="1"/>
    </xf>
    <xf numFmtId="0" fontId="61" fillId="35" borderId="247" xfId="64" applyFont="1" applyFill="1" applyBorder="1" applyAlignment="1" applyProtection="1">
      <alignment horizontal="center" vertical="center" wrapText="1" readingOrder="2"/>
      <protection hidden="1"/>
    </xf>
    <xf numFmtId="0" fontId="368" fillId="48" borderId="248" xfId="64" applyFont="1" applyFill="1" applyBorder="1" applyAlignment="1" applyProtection="1">
      <alignment horizontal="center" vertical="center" wrapText="1" readingOrder="2"/>
      <protection hidden="1"/>
    </xf>
    <xf numFmtId="0" fontId="368" fillId="48" borderId="0" xfId="64" applyFont="1" applyFill="1" applyBorder="1" applyAlignment="1" applyProtection="1">
      <alignment horizontal="center" vertical="center" wrapText="1" readingOrder="2"/>
      <protection hidden="1"/>
    </xf>
    <xf numFmtId="0" fontId="420" fillId="31" borderId="118" xfId="64" applyFont="1" applyFill="1" applyBorder="1" applyAlignment="1" applyProtection="1">
      <alignment horizontal="center" vertical="center" wrapText="1" readingOrder="2"/>
      <protection hidden="1"/>
    </xf>
    <xf numFmtId="0" fontId="420" fillId="31" borderId="308" xfId="64" applyFont="1" applyFill="1" applyBorder="1" applyAlignment="1" applyProtection="1">
      <alignment horizontal="center" vertical="center" wrapText="1" readingOrder="2"/>
      <protection hidden="1"/>
    </xf>
    <xf numFmtId="0" fontId="55" fillId="26" borderId="0" xfId="64" applyFont="1" applyFill="1" applyBorder="1" applyAlignment="1" applyProtection="1">
      <alignment horizontal="center" vertical="center" wrapText="1" readingOrder="2"/>
      <protection hidden="1"/>
    </xf>
    <xf numFmtId="0" fontId="55" fillId="26" borderId="120" xfId="64" applyFont="1" applyFill="1" applyBorder="1" applyAlignment="1" applyProtection="1">
      <alignment horizontal="center" vertical="center" wrapText="1" readingOrder="2"/>
      <protection hidden="1"/>
    </xf>
    <xf numFmtId="3" fontId="3" fillId="0" borderId="184" xfId="64" applyNumberFormat="1" applyFont="1" applyFill="1" applyBorder="1" applyAlignment="1" applyProtection="1">
      <alignment horizontal="center" vertical="center" wrapText="1" readingOrder="1"/>
      <protection locked="0"/>
    </xf>
    <xf numFmtId="3" fontId="3" fillId="0" borderId="185" xfId="64" applyNumberFormat="1" applyFont="1" applyFill="1" applyBorder="1" applyAlignment="1" applyProtection="1">
      <alignment horizontal="center" vertical="center" wrapText="1" readingOrder="1"/>
      <protection locked="0"/>
    </xf>
    <xf numFmtId="0" fontId="55" fillId="35" borderId="0" xfId="64" applyFont="1" applyFill="1" applyBorder="1" applyAlignment="1" applyProtection="1">
      <alignment horizontal="center" vertical="center" wrapText="1" readingOrder="2"/>
      <protection hidden="1"/>
    </xf>
    <xf numFmtId="3" fontId="3" fillId="0" borderId="186" xfId="64" applyNumberFormat="1" applyFont="1" applyFill="1" applyBorder="1" applyAlignment="1" applyProtection="1">
      <alignment horizontal="center" vertical="center" wrapText="1" readingOrder="1"/>
      <protection locked="0"/>
    </xf>
    <xf numFmtId="3" fontId="3" fillId="0" borderId="187" xfId="64" applyNumberFormat="1" applyFont="1" applyFill="1" applyBorder="1" applyAlignment="1" applyProtection="1">
      <alignment horizontal="center" vertical="center" wrapText="1" readingOrder="1"/>
      <protection locked="0"/>
    </xf>
    <xf numFmtId="0" fontId="70" fillId="79" borderId="0" xfId="64" applyFont="1" applyFill="1" applyBorder="1" applyAlignment="1" applyProtection="1">
      <alignment horizontal="center" vertical="center"/>
      <protection hidden="1"/>
    </xf>
    <xf numFmtId="0" fontId="57" fillId="49" borderId="245" xfId="64" applyFont="1" applyFill="1" applyBorder="1" applyAlignment="1" applyProtection="1">
      <alignment horizontal="center" vertical="center" wrapText="1" readingOrder="2"/>
      <protection hidden="1"/>
    </xf>
    <xf numFmtId="0" fontId="57" fillId="49" borderId="247" xfId="64" applyFont="1" applyFill="1" applyBorder="1" applyAlignment="1" applyProtection="1">
      <alignment horizontal="center" vertical="center" wrapText="1" readingOrder="2"/>
      <protection hidden="1"/>
    </xf>
    <xf numFmtId="0" fontId="57" fillId="49" borderId="248" xfId="64" applyFont="1" applyFill="1" applyBorder="1" applyAlignment="1" applyProtection="1">
      <alignment horizontal="center" vertical="center" wrapText="1" readingOrder="2"/>
      <protection hidden="1"/>
    </xf>
    <xf numFmtId="0" fontId="57" fillId="49" borderId="13" xfId="64" applyFont="1" applyFill="1" applyBorder="1" applyAlignment="1" applyProtection="1">
      <alignment horizontal="center" vertical="center" wrapText="1" readingOrder="2"/>
      <protection hidden="1"/>
    </xf>
    <xf numFmtId="0" fontId="2" fillId="49" borderId="0" xfId="64" applyFont="1" applyFill="1" applyBorder="1" applyAlignment="1" applyProtection="1">
      <alignment horizontal="center" vertical="center" wrapText="1"/>
      <protection hidden="1"/>
    </xf>
    <xf numFmtId="0" fontId="2" fillId="49" borderId="120" xfId="64" applyFont="1" applyFill="1" applyBorder="1" applyAlignment="1" applyProtection="1">
      <alignment horizontal="center" vertical="center" wrapText="1"/>
      <protection hidden="1"/>
    </xf>
    <xf numFmtId="0" fontId="55" fillId="49" borderId="0" xfId="64" applyFont="1" applyFill="1" applyBorder="1" applyAlignment="1" applyProtection="1">
      <alignment horizontal="center" vertical="center" wrapText="1" readingOrder="2"/>
      <protection hidden="1"/>
    </xf>
    <xf numFmtId="0" fontId="7" fillId="35" borderId="0" xfId="64" applyFont="1" applyFill="1" applyBorder="1" applyAlignment="1" applyProtection="1">
      <alignment horizontal="center" vertical="center" wrapText="1" readingOrder="2"/>
      <protection hidden="1"/>
    </xf>
    <xf numFmtId="0" fontId="338" fillId="49" borderId="194" xfId="64" applyFont="1" applyFill="1" applyBorder="1" applyAlignment="1" applyProtection="1">
      <alignment horizontal="center" vertical="center" wrapText="1" readingOrder="2"/>
      <protection hidden="1"/>
    </xf>
    <xf numFmtId="0" fontId="338" fillId="49" borderId="245" xfId="64" applyFont="1" applyFill="1" applyBorder="1" applyAlignment="1" applyProtection="1">
      <alignment horizontal="center" vertical="center" wrapText="1" readingOrder="2"/>
      <protection hidden="1"/>
    </xf>
    <xf numFmtId="0" fontId="338" fillId="49" borderId="246" xfId="64" applyFont="1" applyFill="1" applyBorder="1" applyAlignment="1" applyProtection="1">
      <alignment horizontal="center" vertical="center" wrapText="1" readingOrder="2"/>
      <protection hidden="1"/>
    </xf>
    <xf numFmtId="0" fontId="338" fillId="49" borderId="247" xfId="64" applyFont="1" applyFill="1" applyBorder="1" applyAlignment="1" applyProtection="1">
      <alignment horizontal="center" vertical="center" wrapText="1" readingOrder="2"/>
      <protection hidden="1"/>
    </xf>
    <xf numFmtId="0" fontId="55" fillId="49" borderId="349" xfId="64" applyFont="1" applyFill="1" applyBorder="1" applyAlignment="1" applyProtection="1">
      <alignment horizontal="center" vertical="center" wrapText="1" readingOrder="2"/>
      <protection hidden="1"/>
    </xf>
    <xf numFmtId="0" fontId="55" fillId="49" borderId="132" xfId="64" applyFont="1" applyFill="1" applyBorder="1" applyAlignment="1" applyProtection="1">
      <alignment horizontal="center" vertical="center" wrapText="1" readingOrder="2"/>
      <protection hidden="1"/>
    </xf>
    <xf numFmtId="0" fontId="55" fillId="31" borderId="0" xfId="64" applyFont="1" applyFill="1" applyBorder="1" applyAlignment="1" applyProtection="1">
      <alignment horizontal="center" vertical="center" wrapText="1" readingOrder="2"/>
      <protection hidden="1"/>
    </xf>
    <xf numFmtId="0" fontId="55" fillId="31" borderId="120" xfId="64" applyFont="1" applyFill="1" applyBorder="1" applyAlignment="1" applyProtection="1">
      <alignment horizontal="center" vertical="center" wrapText="1" readingOrder="2"/>
      <protection hidden="1"/>
    </xf>
    <xf numFmtId="0" fontId="320" fillId="0" borderId="0" xfId="64" applyFont="1" applyFill="1" applyBorder="1" applyAlignment="1" applyProtection="1">
      <alignment horizontal="center" vertical="center" wrapText="1" readingOrder="2"/>
      <protection hidden="1"/>
    </xf>
    <xf numFmtId="0" fontId="320" fillId="0" borderId="120" xfId="64" applyFont="1" applyFill="1" applyBorder="1" applyAlignment="1" applyProtection="1">
      <alignment horizontal="center" vertical="center" wrapText="1" readingOrder="2"/>
      <protection hidden="1"/>
    </xf>
    <xf numFmtId="0" fontId="55" fillId="49" borderId="347" xfId="64" applyFont="1" applyFill="1" applyBorder="1" applyAlignment="1" applyProtection="1">
      <alignment horizontal="center" vertical="center" wrapText="1" readingOrder="2"/>
      <protection hidden="1"/>
    </xf>
    <xf numFmtId="0" fontId="55" fillId="49" borderId="348" xfId="64" applyFont="1" applyFill="1" applyBorder="1" applyAlignment="1" applyProtection="1">
      <alignment horizontal="center" vertical="center" wrapText="1" readingOrder="2"/>
      <protection hidden="1"/>
    </xf>
    <xf numFmtId="0" fontId="338" fillId="0" borderId="0" xfId="64" applyFont="1" applyFill="1" applyBorder="1" applyAlignment="1" applyProtection="1">
      <alignment horizontal="center" vertical="center" readingOrder="2"/>
      <protection hidden="1"/>
    </xf>
    <xf numFmtId="0" fontId="7" fillId="48" borderId="0" xfId="64" applyFont="1" applyFill="1" applyBorder="1" applyAlignment="1" applyProtection="1">
      <alignment horizontal="right" vertical="center" wrapText="1" readingOrder="2"/>
      <protection hidden="1"/>
    </xf>
    <xf numFmtId="0" fontId="7" fillId="48" borderId="120" xfId="64" applyFont="1" applyFill="1" applyBorder="1" applyAlignment="1" applyProtection="1">
      <alignment horizontal="right" vertical="center" wrapText="1" readingOrder="2"/>
      <protection hidden="1"/>
    </xf>
    <xf numFmtId="0" fontId="7" fillId="48" borderId="0" xfId="64" applyFont="1" applyFill="1" applyBorder="1" applyAlignment="1" applyProtection="1">
      <alignment horizontal="left" vertical="center" wrapText="1" readingOrder="2"/>
      <protection hidden="1"/>
    </xf>
    <xf numFmtId="0" fontId="61" fillId="35" borderId="248" xfId="64" applyFont="1" applyFill="1" applyBorder="1" applyAlignment="1" applyProtection="1">
      <alignment horizontal="center" vertical="center" wrapText="1" readingOrder="2"/>
      <protection hidden="1"/>
    </xf>
    <xf numFmtId="0" fontId="61" fillId="35" borderId="13" xfId="64" applyFont="1" applyFill="1" applyBorder="1" applyAlignment="1" applyProtection="1">
      <alignment horizontal="center" vertical="center" wrapText="1" readingOrder="2"/>
      <protection hidden="1"/>
    </xf>
    <xf numFmtId="0" fontId="61" fillId="26" borderId="194" xfId="64" applyFont="1" applyFill="1" applyBorder="1" applyAlignment="1" applyProtection="1">
      <alignment horizontal="center" vertical="center" wrapText="1" readingOrder="2"/>
      <protection hidden="1"/>
    </xf>
    <xf numFmtId="0" fontId="61" fillId="26" borderId="245" xfId="64" applyFont="1" applyFill="1" applyBorder="1" applyAlignment="1" applyProtection="1">
      <alignment horizontal="center" vertical="center" wrapText="1" readingOrder="2"/>
      <protection hidden="1"/>
    </xf>
    <xf numFmtId="0" fontId="61" fillId="26" borderId="246" xfId="64" applyFont="1" applyFill="1" applyBorder="1" applyAlignment="1" applyProtection="1">
      <alignment horizontal="center" vertical="center" wrapText="1" readingOrder="2"/>
      <protection hidden="1"/>
    </xf>
    <xf numFmtId="0" fontId="61" fillId="26" borderId="247" xfId="64" applyFont="1" applyFill="1" applyBorder="1" applyAlignment="1" applyProtection="1">
      <alignment horizontal="center" vertical="center" wrapText="1" readingOrder="2"/>
      <protection hidden="1"/>
    </xf>
    <xf numFmtId="0" fontId="453" fillId="51" borderId="0" xfId="64" applyFont="1" applyFill="1" applyBorder="1" applyAlignment="1" applyProtection="1">
      <alignment horizontal="center" vertical="center"/>
    </xf>
    <xf numFmtId="3" fontId="66" fillId="0" borderId="121" xfId="64" applyNumberFormat="1" applyFont="1" applyFill="1" applyBorder="1" applyAlignment="1" applyProtection="1">
      <alignment horizontal="center" vertical="center" wrapText="1" readingOrder="1"/>
      <protection hidden="1"/>
    </xf>
    <xf numFmtId="3" fontId="66" fillId="0" borderId="116" xfId="64" applyNumberFormat="1" applyFont="1" applyFill="1" applyBorder="1" applyAlignment="1" applyProtection="1">
      <alignment horizontal="center" vertical="center" wrapText="1" readingOrder="1"/>
      <protection hidden="1"/>
    </xf>
    <xf numFmtId="0" fontId="58" fillId="31" borderId="184" xfId="64" applyFont="1" applyFill="1" applyBorder="1" applyAlignment="1" applyProtection="1">
      <alignment horizontal="center" vertical="center" wrapText="1"/>
    </xf>
    <xf numFmtId="0" fontId="58" fillId="31" borderId="185" xfId="64" applyFont="1" applyFill="1" applyBorder="1" applyAlignment="1" applyProtection="1">
      <alignment horizontal="center" vertical="center" wrapText="1"/>
    </xf>
    <xf numFmtId="0" fontId="61" fillId="35" borderId="118" xfId="64" applyFont="1" applyFill="1" applyBorder="1" applyAlignment="1" applyProtection="1">
      <alignment horizontal="center" vertical="center" wrapText="1" readingOrder="2"/>
      <protection hidden="1"/>
    </xf>
    <xf numFmtId="0" fontId="61" fillId="35" borderId="308" xfId="64" applyFont="1" applyFill="1" applyBorder="1" applyAlignment="1" applyProtection="1">
      <alignment horizontal="center" vertical="center" wrapText="1" readingOrder="2"/>
      <protection hidden="1"/>
    </xf>
    <xf numFmtId="0" fontId="68" fillId="79" borderId="0" xfId="64" applyFont="1" applyFill="1" applyBorder="1" applyAlignment="1" applyProtection="1">
      <alignment horizontal="center" vertical="center"/>
      <protection hidden="1"/>
    </xf>
    <xf numFmtId="0" fontId="55" fillId="49" borderId="0" xfId="64" applyFont="1" applyFill="1" applyBorder="1" applyAlignment="1" applyProtection="1">
      <alignment horizontal="center" vertical="center" wrapText="1" readingOrder="2"/>
    </xf>
    <xf numFmtId="0" fontId="183" fillId="49" borderId="175" xfId="64" applyFont="1" applyFill="1" applyBorder="1" applyAlignment="1" applyProtection="1">
      <alignment horizontal="center" vertical="center" wrapText="1" readingOrder="2"/>
    </xf>
    <xf numFmtId="0" fontId="183" fillId="49" borderId="351" xfId="64" applyFont="1" applyFill="1" applyBorder="1" applyAlignment="1" applyProtection="1">
      <alignment horizontal="center" vertical="center" wrapText="1" readingOrder="2"/>
    </xf>
    <xf numFmtId="0" fontId="183" fillId="49" borderId="352" xfId="64" applyFont="1" applyFill="1" applyBorder="1" applyAlignment="1" applyProtection="1">
      <alignment horizontal="center" vertical="center" wrapText="1" readingOrder="2"/>
    </xf>
    <xf numFmtId="0" fontId="55" fillId="0" borderId="0" xfId="64" applyFont="1" applyFill="1" applyBorder="1" applyAlignment="1" applyProtection="1">
      <alignment horizontal="right" vertical="center" readingOrder="2"/>
    </xf>
    <xf numFmtId="0" fontId="55" fillId="0" borderId="120" xfId="64" applyFont="1" applyFill="1" applyBorder="1" applyAlignment="1" applyProtection="1">
      <alignment horizontal="right" vertical="center" readingOrder="2"/>
    </xf>
    <xf numFmtId="0" fontId="55" fillId="49" borderId="0" xfId="64" applyFont="1" applyFill="1" applyBorder="1" applyAlignment="1" applyProtection="1">
      <alignment horizontal="right" vertical="center" readingOrder="2"/>
    </xf>
    <xf numFmtId="0" fontId="55" fillId="49" borderId="120" xfId="64" applyFont="1" applyFill="1" applyBorder="1" applyAlignment="1" applyProtection="1">
      <alignment horizontal="right" vertical="center" readingOrder="2"/>
    </xf>
    <xf numFmtId="0" fontId="69" fillId="0" borderId="341" xfId="64" applyFont="1" applyFill="1" applyBorder="1" applyAlignment="1" applyProtection="1">
      <alignment horizontal="center" vertical="center" wrapText="1" readingOrder="2"/>
    </xf>
    <xf numFmtId="0" fontId="69" fillId="0" borderId="342" xfId="64" applyFont="1" applyFill="1" applyBorder="1" applyAlignment="1" applyProtection="1">
      <alignment horizontal="center" vertical="center" wrapText="1" readingOrder="2"/>
    </xf>
    <xf numFmtId="0" fontId="69" fillId="0" borderId="343" xfId="64" applyFont="1" applyFill="1" applyBorder="1" applyAlignment="1" applyProtection="1">
      <alignment horizontal="center" vertical="center" wrapText="1" readingOrder="2"/>
    </xf>
    <xf numFmtId="0" fontId="7" fillId="49" borderId="0" xfId="64" applyFont="1" applyFill="1" applyBorder="1" applyAlignment="1" applyProtection="1">
      <alignment horizontal="left" vertical="center" wrapText="1" readingOrder="2"/>
    </xf>
    <xf numFmtId="0" fontId="69" fillId="0" borderId="0" xfId="64" applyFont="1" applyFill="1" applyBorder="1" applyAlignment="1" applyProtection="1">
      <alignment horizontal="right" vertical="center" readingOrder="2"/>
    </xf>
    <xf numFmtId="0" fontId="69" fillId="0" borderId="120" xfId="64" applyFont="1" applyFill="1" applyBorder="1" applyAlignment="1" applyProtection="1">
      <alignment horizontal="right" vertical="center" readingOrder="2"/>
    </xf>
    <xf numFmtId="0" fontId="58" fillId="26" borderId="184" xfId="64" applyFont="1" applyFill="1" applyBorder="1" applyAlignment="1" applyProtection="1">
      <alignment horizontal="center" vertical="center" wrapText="1" readingOrder="2"/>
    </xf>
    <xf numFmtId="0" fontId="58" fillId="26" borderId="185" xfId="64" applyFont="1" applyFill="1" applyBorder="1" applyAlignment="1" applyProtection="1">
      <alignment horizontal="center" vertical="center" wrapText="1" readingOrder="2"/>
    </xf>
    <xf numFmtId="0" fontId="55" fillId="0" borderId="0" xfId="64" applyFont="1" applyFill="1" applyBorder="1" applyAlignment="1" applyProtection="1">
      <alignment horizontal="center" vertical="center" wrapText="1" readingOrder="2"/>
    </xf>
    <xf numFmtId="0" fontId="55" fillId="49" borderId="0" xfId="64" applyFont="1" applyFill="1" applyBorder="1" applyAlignment="1" applyProtection="1">
      <alignment horizontal="right" vertical="center" wrapText="1" readingOrder="2"/>
    </xf>
    <xf numFmtId="0" fontId="55" fillId="49" borderId="120" xfId="64" applyFont="1" applyFill="1" applyBorder="1" applyAlignment="1" applyProtection="1">
      <alignment horizontal="right" vertical="center" wrapText="1" readingOrder="2"/>
    </xf>
    <xf numFmtId="0" fontId="183" fillId="49" borderId="344" xfId="64" applyFont="1" applyFill="1" applyBorder="1" applyAlignment="1" applyProtection="1">
      <alignment horizontal="center" vertical="center" wrapText="1" readingOrder="2"/>
    </xf>
    <xf numFmtId="0" fontId="183" fillId="49" borderId="345" xfId="64" applyFont="1" applyFill="1" applyBorder="1" applyAlignment="1" applyProtection="1">
      <alignment horizontal="center" vertical="center" wrapText="1" readingOrder="2"/>
    </xf>
    <xf numFmtId="0" fontId="183" fillId="49" borderId="346" xfId="64" applyFont="1" applyFill="1" applyBorder="1" applyAlignment="1" applyProtection="1">
      <alignment horizontal="center" vertical="center" wrapText="1" readingOrder="2"/>
    </xf>
    <xf numFmtId="0" fontId="183" fillId="0" borderId="344" xfId="64" applyFont="1" applyFill="1" applyBorder="1" applyAlignment="1" applyProtection="1">
      <alignment horizontal="center" vertical="center" wrapText="1" readingOrder="2"/>
    </xf>
    <xf numFmtId="0" fontId="183" fillId="0" borderId="345" xfId="64" applyFont="1" applyFill="1" applyBorder="1" applyAlignment="1" applyProtection="1">
      <alignment horizontal="center" vertical="center" wrapText="1" readingOrder="2"/>
    </xf>
    <xf numFmtId="0" fontId="183" fillId="0" borderId="346" xfId="64" applyFont="1" applyFill="1" applyBorder="1" applyAlignment="1" applyProtection="1">
      <alignment horizontal="center" vertical="center" wrapText="1" readingOrder="2"/>
    </xf>
    <xf numFmtId="0" fontId="58" fillId="49" borderId="184" xfId="64" applyFont="1" applyFill="1" applyBorder="1" applyAlignment="1" applyProtection="1">
      <alignment horizontal="center" vertical="center" wrapText="1" readingOrder="2"/>
    </xf>
    <xf numFmtId="0" fontId="58" fillId="49" borderId="185" xfId="64" applyFont="1" applyFill="1" applyBorder="1" applyAlignment="1" applyProtection="1">
      <alignment horizontal="center" vertical="center" wrapText="1" readingOrder="2"/>
    </xf>
    <xf numFmtId="0" fontId="338" fillId="0" borderId="120" xfId="64" applyFont="1" applyFill="1" applyBorder="1" applyAlignment="1" applyProtection="1">
      <alignment horizontal="center" vertical="center" readingOrder="2"/>
    </xf>
    <xf numFmtId="0" fontId="316" fillId="48" borderId="0" xfId="64" applyFont="1" applyFill="1" applyBorder="1" applyAlignment="1" applyProtection="1">
      <alignment horizontal="center" vertical="center" readingOrder="2"/>
      <protection hidden="1"/>
    </xf>
    <xf numFmtId="3" fontId="58" fillId="49" borderId="0" xfId="64" applyNumberFormat="1" applyFont="1" applyFill="1" applyBorder="1" applyAlignment="1" applyProtection="1">
      <alignment horizontal="left" vertical="center" wrapText="1" readingOrder="2"/>
    </xf>
    <xf numFmtId="3" fontId="58" fillId="49" borderId="120" xfId="64" applyNumberFormat="1" applyFont="1" applyFill="1" applyBorder="1" applyAlignment="1" applyProtection="1">
      <alignment horizontal="left" vertical="center" wrapText="1" readingOrder="2"/>
    </xf>
    <xf numFmtId="0" fontId="469" fillId="31" borderId="338" xfId="64" applyFont="1" applyFill="1" applyBorder="1" applyAlignment="1" applyProtection="1">
      <alignment horizontal="center" vertical="center" wrapText="1" readingOrder="2"/>
    </xf>
    <xf numFmtId="0" fontId="469" fillId="31" borderId="339" xfId="64" applyFont="1" applyFill="1" applyBorder="1" applyAlignment="1" applyProtection="1">
      <alignment horizontal="center" vertical="center" wrapText="1" readingOrder="2"/>
    </xf>
    <xf numFmtId="0" fontId="469" fillId="31" borderId="340" xfId="64" applyFont="1" applyFill="1" applyBorder="1" applyAlignment="1" applyProtection="1">
      <alignment horizontal="center" vertical="center" wrapText="1" readingOrder="2"/>
    </xf>
    <xf numFmtId="0" fontId="55" fillId="48" borderId="0" xfId="64" applyFont="1" applyFill="1" applyBorder="1" applyAlignment="1" applyProtection="1">
      <alignment horizontal="center" vertical="center" readingOrder="2"/>
      <protection hidden="1"/>
    </xf>
    <xf numFmtId="0" fontId="7" fillId="48" borderId="0" xfId="64" applyFont="1" applyFill="1" applyBorder="1" applyAlignment="1" applyProtection="1">
      <alignment horizontal="center" vertical="center" readingOrder="2"/>
      <protection hidden="1"/>
    </xf>
    <xf numFmtId="0" fontId="68" fillId="48" borderId="0" xfId="64" applyFont="1" applyFill="1" applyBorder="1" applyAlignment="1" applyProtection="1">
      <alignment horizontal="center" vertical="center"/>
      <protection hidden="1"/>
    </xf>
    <xf numFmtId="0" fontId="67" fillId="49" borderId="344" xfId="71" applyFont="1" applyFill="1" applyBorder="1" applyAlignment="1" applyProtection="1">
      <alignment horizontal="center" vertical="center" wrapText="1" readingOrder="2"/>
    </xf>
    <xf numFmtId="0" fontId="67" fillId="49" borderId="346" xfId="71" applyFont="1" applyFill="1" applyBorder="1" applyAlignment="1" applyProtection="1">
      <alignment horizontal="center" vertical="center" wrapText="1" readingOrder="2"/>
    </xf>
    <xf numFmtId="0" fontId="67" fillId="0" borderId="344" xfId="71" applyFont="1" applyFill="1" applyBorder="1" applyAlignment="1" applyProtection="1">
      <alignment horizontal="center" vertical="center" wrapText="1" readingOrder="2"/>
    </xf>
    <xf numFmtId="0" fontId="67" fillId="0" borderId="346" xfId="71" applyFont="1" applyFill="1" applyBorder="1" applyAlignment="1" applyProtection="1">
      <alignment horizontal="center" vertical="center" wrapText="1" readingOrder="2"/>
    </xf>
    <xf numFmtId="0" fontId="67" fillId="0" borderId="344" xfId="64" applyFont="1" applyFill="1" applyBorder="1" applyAlignment="1" applyProtection="1">
      <alignment horizontal="center" vertical="center" wrapText="1" readingOrder="2"/>
    </xf>
    <xf numFmtId="0" fontId="67" fillId="0" borderId="346" xfId="64" applyFont="1" applyFill="1" applyBorder="1" applyAlignment="1" applyProtection="1">
      <alignment horizontal="center" vertical="center" wrapText="1" readingOrder="2"/>
    </xf>
    <xf numFmtId="0" fontId="69" fillId="49" borderId="118" xfId="71" applyFont="1" applyFill="1" applyBorder="1" applyAlignment="1" applyProtection="1">
      <alignment horizontal="right" vertical="center" wrapText="1" readingOrder="2"/>
    </xf>
    <xf numFmtId="0" fontId="414" fillId="49" borderId="308" xfId="0" applyFont="1" applyFill="1" applyBorder="1" applyAlignment="1" applyProtection="1">
      <alignment horizontal="right" vertical="center" wrapText="1" readingOrder="2"/>
    </xf>
    <xf numFmtId="0" fontId="7" fillId="49" borderId="0" xfId="71" applyFont="1" applyFill="1" applyBorder="1" applyAlignment="1" applyProtection="1">
      <alignment horizontal="left" vertical="center" wrapText="1" readingOrder="2"/>
    </xf>
    <xf numFmtId="0" fontId="7" fillId="49" borderId="120" xfId="71" applyFont="1" applyFill="1" applyBorder="1" applyAlignment="1" applyProtection="1">
      <alignment horizontal="left" vertical="center" wrapText="1" readingOrder="2"/>
    </xf>
    <xf numFmtId="0" fontId="55" fillId="49" borderId="13" xfId="71" applyFont="1" applyFill="1" applyBorder="1" applyAlignment="1" applyProtection="1">
      <alignment horizontal="right" vertical="center" wrapText="1" readingOrder="2"/>
    </xf>
    <xf numFmtId="0" fontId="55" fillId="49" borderId="247" xfId="71" applyFont="1" applyFill="1" applyBorder="1" applyAlignment="1" applyProtection="1">
      <alignment horizontal="right" vertical="center" wrapText="1" readingOrder="2"/>
    </xf>
    <xf numFmtId="0" fontId="67" fillId="0" borderId="341" xfId="71" applyFont="1" applyFill="1" applyBorder="1" applyAlignment="1" applyProtection="1">
      <alignment horizontal="center" vertical="center" wrapText="1" readingOrder="2"/>
    </xf>
    <xf numFmtId="0" fontId="67" fillId="0" borderId="343" xfId="71" applyFont="1" applyFill="1" applyBorder="1" applyAlignment="1" applyProtection="1">
      <alignment horizontal="center" vertical="center" wrapText="1" readingOrder="2"/>
    </xf>
    <xf numFmtId="0" fontId="67" fillId="49" borderId="175" xfId="71" applyFont="1" applyFill="1" applyBorder="1" applyAlignment="1" applyProtection="1">
      <alignment horizontal="center" vertical="center" wrapText="1" readingOrder="2"/>
    </xf>
    <xf numFmtId="0" fontId="67" fillId="49" borderId="352" xfId="71" applyFont="1" applyFill="1" applyBorder="1" applyAlignment="1" applyProtection="1">
      <alignment horizontal="center" vertical="center" wrapText="1" readingOrder="2"/>
    </xf>
    <xf numFmtId="0" fontId="7" fillId="49" borderId="120" xfId="64" applyFont="1" applyFill="1" applyBorder="1" applyAlignment="1" applyProtection="1">
      <alignment horizontal="left" vertical="center" wrapText="1" readingOrder="2"/>
    </xf>
    <xf numFmtId="0" fontId="7" fillId="49" borderId="120" xfId="64" applyFont="1" applyFill="1" applyBorder="1" applyAlignment="1" applyProtection="1">
      <alignment horizontal="center" vertical="center" wrapText="1" readingOrder="2"/>
    </xf>
    <xf numFmtId="0" fontId="69" fillId="0" borderId="0" xfId="64" applyFont="1" applyFill="1" applyBorder="1" applyAlignment="1" applyProtection="1">
      <alignment horizontal="center" vertical="center" readingOrder="2"/>
    </xf>
    <xf numFmtId="0" fontId="69" fillId="0" borderId="120" xfId="64" applyFont="1" applyFill="1" applyBorder="1" applyAlignment="1" applyProtection="1">
      <alignment horizontal="center" vertical="center" readingOrder="2"/>
    </xf>
    <xf numFmtId="0" fontId="69" fillId="49" borderId="0" xfId="64" applyFont="1" applyFill="1" applyBorder="1" applyAlignment="1" applyProtection="1">
      <alignment horizontal="center" vertical="center" readingOrder="2"/>
    </xf>
    <xf numFmtId="0" fontId="69" fillId="49" borderId="120" xfId="64" applyFont="1" applyFill="1" applyBorder="1" applyAlignment="1" applyProtection="1">
      <alignment horizontal="center" vertical="center" readingOrder="2"/>
    </xf>
    <xf numFmtId="0" fontId="55" fillId="0" borderId="120" xfId="64" applyFont="1" applyFill="1" applyBorder="1" applyAlignment="1" applyProtection="1">
      <alignment horizontal="center" vertical="center" readingOrder="2"/>
      <protection hidden="1"/>
    </xf>
    <xf numFmtId="0" fontId="69" fillId="31" borderId="118" xfId="71" applyFont="1" applyFill="1" applyBorder="1" applyAlignment="1" applyProtection="1">
      <alignment horizontal="center" vertical="center" wrapText="1" readingOrder="2"/>
    </xf>
    <xf numFmtId="0" fontId="69" fillId="31" borderId="308" xfId="71" applyFont="1" applyFill="1" applyBorder="1" applyAlignment="1" applyProtection="1">
      <alignment horizontal="center" vertical="center" wrapText="1" readingOrder="2"/>
    </xf>
    <xf numFmtId="0" fontId="55" fillId="67" borderId="120" xfId="64" applyFont="1" applyFill="1" applyBorder="1" applyAlignment="1" applyProtection="1">
      <alignment horizontal="center" vertical="center" readingOrder="2"/>
      <protection hidden="1"/>
    </xf>
    <xf numFmtId="0" fontId="69" fillId="0" borderId="118" xfId="71" applyFont="1" applyFill="1" applyBorder="1" applyAlignment="1" applyProtection="1">
      <alignment horizontal="right" vertical="center" wrapText="1" readingOrder="2"/>
    </xf>
    <xf numFmtId="0" fontId="69" fillId="0" borderId="308" xfId="71" applyFont="1" applyFill="1" applyBorder="1" applyAlignment="1" applyProtection="1">
      <alignment horizontal="right" vertical="center" wrapText="1" readingOrder="2"/>
    </xf>
    <xf numFmtId="0" fontId="57" fillId="48" borderId="353" xfId="71" applyFont="1" applyFill="1" applyBorder="1" applyAlignment="1" applyProtection="1">
      <alignment horizontal="center" vertical="center" readingOrder="2"/>
    </xf>
    <xf numFmtId="0" fontId="57" fillId="48" borderId="354" xfId="71" applyFont="1" applyFill="1" applyBorder="1" applyAlignment="1" applyProtection="1">
      <alignment horizontal="center" vertical="center" readingOrder="2"/>
    </xf>
    <xf numFmtId="0" fontId="69" fillId="49" borderId="308" xfId="71" applyFont="1" applyFill="1" applyBorder="1" applyAlignment="1" applyProtection="1">
      <alignment horizontal="right" vertical="center" wrapText="1" readingOrder="2"/>
    </xf>
    <xf numFmtId="0" fontId="67" fillId="49" borderId="338" xfId="71" applyFont="1" applyFill="1" applyBorder="1" applyAlignment="1" applyProtection="1">
      <alignment horizontal="center" vertical="center" wrapText="1" readingOrder="2"/>
    </xf>
    <xf numFmtId="0" fontId="67" fillId="49" borderId="340" xfId="71" applyFont="1" applyFill="1" applyBorder="1" applyAlignment="1" applyProtection="1">
      <alignment horizontal="center" vertical="center" wrapText="1" readingOrder="2"/>
    </xf>
    <xf numFmtId="0" fontId="447" fillId="20" borderId="0" xfId="64" applyFont="1" applyFill="1" applyBorder="1" applyAlignment="1">
      <alignment horizontal="center" vertical="center"/>
    </xf>
    <xf numFmtId="0" fontId="55" fillId="35" borderId="120" xfId="64" applyFont="1" applyFill="1" applyBorder="1" applyAlignment="1" applyProtection="1">
      <alignment horizontal="center" vertical="center" readingOrder="2"/>
      <protection hidden="1"/>
    </xf>
    <xf numFmtId="0" fontId="7" fillId="35" borderId="120" xfId="64" applyFont="1" applyFill="1" applyBorder="1" applyAlignment="1" applyProtection="1">
      <alignment horizontal="center" vertical="center" readingOrder="2"/>
      <protection hidden="1"/>
    </xf>
    <xf numFmtId="0" fontId="57" fillId="48" borderId="0" xfId="71" applyFont="1" applyFill="1" applyBorder="1" applyAlignment="1" applyProtection="1">
      <alignment horizontal="center" vertical="center" readingOrder="2"/>
    </xf>
    <xf numFmtId="0" fontId="335" fillId="48" borderId="248" xfId="71" applyFont="1" applyFill="1" applyBorder="1" applyAlignment="1" applyProtection="1">
      <alignment horizontal="right" vertical="center" wrapText="1" readingOrder="2"/>
    </xf>
    <xf numFmtId="0" fontId="335" fillId="48" borderId="0" xfId="71" applyFont="1" applyFill="1" applyBorder="1" applyAlignment="1" applyProtection="1">
      <alignment horizontal="right" vertical="center" wrapText="1" readingOrder="2"/>
    </xf>
    <xf numFmtId="0" fontId="69" fillId="0" borderId="0" xfId="71" applyFont="1" applyFill="1" applyBorder="1" applyAlignment="1" applyProtection="1">
      <alignment horizontal="right" vertical="center" wrapText="1" readingOrder="2"/>
    </xf>
    <xf numFmtId="0" fontId="350" fillId="35" borderId="120" xfId="64" applyFont="1" applyFill="1" applyBorder="1" applyAlignment="1" applyProtection="1">
      <alignment horizontal="center" vertical="center" readingOrder="2"/>
      <protection hidden="1"/>
    </xf>
    <xf numFmtId="0" fontId="350" fillId="0" borderId="120" xfId="64" applyFont="1" applyFill="1" applyBorder="1" applyAlignment="1" applyProtection="1">
      <alignment horizontal="center" vertical="center" readingOrder="2"/>
      <protection hidden="1"/>
    </xf>
    <xf numFmtId="0" fontId="350" fillId="67" borderId="120" xfId="64" applyFont="1" applyFill="1" applyBorder="1" applyAlignment="1" applyProtection="1">
      <alignment horizontal="center" vertical="center" readingOrder="2"/>
      <protection hidden="1"/>
    </xf>
    <xf numFmtId="0" fontId="2" fillId="35" borderId="122" xfId="62" applyFont="1" applyFill="1" applyBorder="1" applyAlignment="1" applyProtection="1">
      <alignment horizontal="center" vertical="center" readingOrder="2"/>
      <protection hidden="1"/>
    </xf>
    <xf numFmtId="0" fontId="2" fillId="35" borderId="0" xfId="62" applyFont="1" applyFill="1" applyBorder="1" applyAlignment="1" applyProtection="1">
      <alignment horizontal="center" vertical="center" readingOrder="2"/>
      <protection hidden="1"/>
    </xf>
    <xf numFmtId="0" fontId="2" fillId="49" borderId="184" xfId="62" applyFont="1" applyFill="1" applyBorder="1" applyAlignment="1" applyProtection="1">
      <alignment horizontal="center" vertical="center" readingOrder="2"/>
    </xf>
    <xf numFmtId="0" fontId="2" fillId="49" borderId="355" xfId="62" applyFont="1" applyFill="1" applyBorder="1" applyAlignment="1" applyProtection="1">
      <alignment horizontal="center" vertical="center" readingOrder="2"/>
    </xf>
    <xf numFmtId="0" fontId="2" fillId="49" borderId="185" xfId="62" applyFont="1" applyFill="1" applyBorder="1" applyAlignment="1" applyProtection="1">
      <alignment horizontal="center" vertical="center" readingOrder="2"/>
    </xf>
    <xf numFmtId="0" fontId="2" fillId="35" borderId="157" xfId="62" applyFont="1" applyFill="1" applyBorder="1" applyAlignment="1" applyProtection="1">
      <alignment horizontal="center" vertical="center" readingOrder="2"/>
      <protection hidden="1"/>
    </xf>
    <xf numFmtId="0" fontId="7" fillId="49" borderId="121" xfId="71" applyFont="1" applyFill="1" applyBorder="1" applyAlignment="1" applyProtection="1">
      <alignment horizontal="center" wrapText="1" readingOrder="2"/>
    </xf>
    <xf numFmtId="0" fontId="7" fillId="49" borderId="115" xfId="71" applyFont="1" applyFill="1" applyBorder="1" applyAlignment="1" applyProtection="1">
      <alignment horizontal="center" wrapText="1" readingOrder="2"/>
    </xf>
    <xf numFmtId="0" fontId="7" fillId="49" borderId="116" xfId="71" applyFont="1" applyFill="1" applyBorder="1" applyAlignment="1" applyProtection="1">
      <alignment horizontal="center" wrapText="1" readingOrder="2"/>
    </xf>
    <xf numFmtId="0" fontId="55" fillId="49" borderId="184" xfId="71" applyFont="1" applyFill="1" applyBorder="1" applyAlignment="1" applyProtection="1">
      <alignment horizontal="center" vertical="center" wrapText="1" readingOrder="2"/>
    </xf>
    <xf numFmtId="0" fontId="55" fillId="49" borderId="185" xfId="71" applyFont="1" applyFill="1" applyBorder="1" applyAlignment="1" applyProtection="1">
      <alignment horizontal="center" vertical="center" wrapText="1" readingOrder="2"/>
    </xf>
    <xf numFmtId="0" fontId="7" fillId="49" borderId="118" xfId="71" applyFont="1" applyFill="1" applyBorder="1" applyAlignment="1" applyProtection="1">
      <alignment horizontal="center" vertical="center" wrapText="1" readingOrder="2"/>
    </xf>
    <xf numFmtId="0" fontId="7" fillId="49" borderId="10" xfId="71" applyFont="1" applyFill="1" applyBorder="1" applyAlignment="1" applyProtection="1">
      <alignment horizontal="center" vertical="center" wrapText="1" readingOrder="2"/>
    </xf>
    <xf numFmtId="0" fontId="7" fillId="49" borderId="308" xfId="71" applyFont="1" applyFill="1" applyBorder="1" applyAlignment="1" applyProtection="1">
      <alignment horizontal="center" vertical="center" wrapText="1" readingOrder="2"/>
    </xf>
    <xf numFmtId="0" fontId="303" fillId="76" borderId="0" xfId="64" applyFont="1" applyFill="1" applyBorder="1" applyAlignment="1" applyProtection="1">
      <alignment horizontal="center" vertical="center"/>
    </xf>
    <xf numFmtId="0" fontId="2" fillId="49" borderId="194" xfId="62" applyFont="1" applyFill="1" applyBorder="1" applyAlignment="1" applyProtection="1">
      <alignment horizontal="center" vertical="center" readingOrder="2"/>
    </xf>
    <xf numFmtId="0" fontId="2" fillId="49" borderId="248" xfId="62" applyFont="1" applyFill="1" applyBorder="1" applyAlignment="1" applyProtection="1">
      <alignment horizontal="center" vertical="center" readingOrder="2"/>
    </xf>
    <xf numFmtId="0" fontId="2" fillId="49" borderId="245" xfId="62" applyFont="1" applyFill="1" applyBorder="1" applyAlignment="1" applyProtection="1">
      <alignment horizontal="center" vertical="center" readingOrder="2"/>
    </xf>
    <xf numFmtId="0" fontId="2" fillId="49" borderId="356" xfId="62" applyFont="1" applyFill="1" applyBorder="1" applyAlignment="1" applyProtection="1">
      <alignment horizontal="center" vertical="center" readingOrder="2"/>
    </xf>
    <xf numFmtId="0" fontId="2" fillId="49" borderId="357" xfId="62" applyFont="1" applyFill="1" applyBorder="1" applyAlignment="1" applyProtection="1">
      <alignment horizontal="center" vertical="center" readingOrder="2"/>
    </xf>
    <xf numFmtId="0" fontId="2" fillId="49" borderId="358" xfId="62" applyFont="1" applyFill="1" applyBorder="1" applyAlignment="1" applyProtection="1">
      <alignment horizontal="center" vertical="center" readingOrder="2"/>
    </xf>
    <xf numFmtId="0" fontId="69" fillId="49" borderId="356" xfId="64" applyFont="1" applyFill="1" applyBorder="1" applyAlignment="1" applyProtection="1">
      <alignment horizontal="center" vertical="center" wrapText="1" readingOrder="2"/>
    </xf>
    <xf numFmtId="0" fontId="69" fillId="49" borderId="358" xfId="64" applyFont="1" applyFill="1" applyBorder="1" applyAlignment="1" applyProtection="1">
      <alignment horizontal="center" vertical="center" wrapText="1" readingOrder="2"/>
    </xf>
    <xf numFmtId="0" fontId="2" fillId="49" borderId="201" xfId="62" applyFont="1" applyFill="1" applyBorder="1" applyAlignment="1" applyProtection="1">
      <alignment horizontal="center" vertical="center" readingOrder="2"/>
    </xf>
    <xf numFmtId="0" fontId="2" fillId="49" borderId="359" xfId="62" applyFont="1" applyFill="1" applyBorder="1" applyAlignment="1" applyProtection="1">
      <alignment horizontal="center" vertical="center" readingOrder="2"/>
    </xf>
    <xf numFmtId="0" fontId="69" fillId="49" borderId="360" xfId="64" applyFont="1" applyFill="1" applyBorder="1" applyAlignment="1" applyProtection="1">
      <alignment horizontal="center" vertical="center" wrapText="1" readingOrder="2"/>
    </xf>
    <xf numFmtId="0" fontId="69" fillId="49" borderId="361" xfId="64" applyFont="1" applyFill="1" applyBorder="1" applyAlignment="1" applyProtection="1">
      <alignment horizontal="center" vertical="center" wrapText="1" readingOrder="2"/>
    </xf>
    <xf numFmtId="0" fontId="2" fillId="49" borderId="362" xfId="62" applyFont="1" applyFill="1" applyBorder="1" applyAlignment="1" applyProtection="1">
      <alignment horizontal="center" vertical="center" readingOrder="2"/>
    </xf>
    <xf numFmtId="0" fontId="2" fillId="49" borderId="363" xfId="62" applyFont="1" applyFill="1" applyBorder="1" applyAlignment="1" applyProtection="1">
      <alignment horizontal="center" vertical="center" readingOrder="2"/>
    </xf>
    <xf numFmtId="0" fontId="69" fillId="49" borderId="364" xfId="64" applyFont="1" applyFill="1" applyBorder="1" applyAlignment="1" applyProtection="1">
      <alignment horizontal="center" vertical="center" wrapText="1" readingOrder="2"/>
    </xf>
    <xf numFmtId="0" fontId="69" fillId="49" borderId="365" xfId="64" applyFont="1" applyFill="1" applyBorder="1" applyAlignment="1" applyProtection="1">
      <alignment horizontal="center" vertical="center" wrapText="1" readingOrder="2"/>
    </xf>
    <xf numFmtId="0" fontId="2" fillId="26" borderId="122" xfId="62" applyFont="1" applyFill="1" applyBorder="1" applyAlignment="1" applyProtection="1">
      <alignment horizontal="center" vertical="center" readingOrder="2"/>
      <protection hidden="1"/>
    </xf>
    <xf numFmtId="0" fontId="2" fillId="26" borderId="0" xfId="62" applyFont="1" applyFill="1" applyBorder="1" applyAlignment="1" applyProtection="1">
      <alignment horizontal="center" vertical="center" readingOrder="2"/>
      <protection hidden="1"/>
    </xf>
    <xf numFmtId="0" fontId="2" fillId="26" borderId="120" xfId="62" applyFont="1" applyFill="1" applyBorder="1" applyAlignment="1" applyProtection="1">
      <alignment horizontal="center" vertical="center" readingOrder="2"/>
      <protection hidden="1"/>
    </xf>
    <xf numFmtId="0" fontId="2" fillId="35" borderId="194" xfId="62" applyFont="1" applyFill="1" applyBorder="1" applyAlignment="1" applyProtection="1">
      <alignment horizontal="center" vertical="center" readingOrder="2"/>
      <protection hidden="1"/>
    </xf>
    <xf numFmtId="0" fontId="2" fillId="35" borderId="248" xfId="62" applyFont="1" applyFill="1" applyBorder="1" applyAlignment="1" applyProtection="1">
      <alignment horizontal="center" vertical="center" readingOrder="2"/>
      <protection hidden="1"/>
    </xf>
    <xf numFmtId="0" fontId="2" fillId="26" borderId="121" xfId="62" applyFont="1" applyFill="1" applyBorder="1" applyAlignment="1" applyProtection="1">
      <alignment horizontal="center" vertical="center" readingOrder="2"/>
      <protection hidden="1"/>
    </xf>
    <xf numFmtId="0" fontId="2" fillId="26" borderId="115" xfId="62" applyFont="1" applyFill="1" applyBorder="1" applyAlignment="1" applyProtection="1">
      <alignment horizontal="center" vertical="center" readingOrder="2"/>
      <protection hidden="1"/>
    </xf>
    <xf numFmtId="0" fontId="90" fillId="79" borderId="0" xfId="71" applyFont="1" applyFill="1" applyBorder="1" applyAlignment="1" applyProtection="1">
      <alignment horizontal="center" vertical="center"/>
    </xf>
    <xf numFmtId="0" fontId="90" fillId="79" borderId="13" xfId="71" applyFont="1" applyFill="1" applyBorder="1" applyAlignment="1" applyProtection="1">
      <alignment horizontal="center" vertical="center"/>
    </xf>
    <xf numFmtId="0" fontId="2" fillId="26" borderId="194" xfId="62" applyFont="1" applyFill="1" applyBorder="1" applyAlignment="1" applyProtection="1">
      <alignment horizontal="center" vertical="center" readingOrder="2"/>
      <protection hidden="1"/>
    </xf>
    <xf numFmtId="0" fontId="2" fillId="26" borderId="248" xfId="62" applyFont="1" applyFill="1" applyBorder="1" applyAlignment="1" applyProtection="1">
      <alignment horizontal="center" vertical="center" readingOrder="2"/>
      <protection hidden="1"/>
    </xf>
    <xf numFmtId="0" fontId="2" fillId="35" borderId="121" xfId="62" applyFont="1" applyFill="1" applyBorder="1" applyAlignment="1" applyProtection="1">
      <alignment horizontal="center" vertical="center" readingOrder="2"/>
      <protection hidden="1"/>
    </xf>
    <xf numFmtId="0" fontId="2" fillId="35" borderId="115" xfId="62" applyFont="1" applyFill="1" applyBorder="1" applyAlignment="1" applyProtection="1">
      <alignment horizontal="center" vertical="center" readingOrder="2"/>
      <protection hidden="1"/>
    </xf>
    <xf numFmtId="0" fontId="123" fillId="0" borderId="287" xfId="54" applyFont="1" applyFill="1" applyBorder="1" applyAlignment="1" applyProtection="1">
      <alignment horizontal="center"/>
    </xf>
    <xf numFmtId="0" fontId="123" fillId="0" borderId="0" xfId="54" applyFont="1" applyFill="1" applyBorder="1" applyAlignment="1" applyProtection="1">
      <alignment horizontal="center"/>
    </xf>
    <xf numFmtId="0" fontId="123" fillId="0" borderId="288" xfId="54" applyFont="1" applyFill="1" applyBorder="1" applyAlignment="1" applyProtection="1">
      <alignment horizontal="center"/>
    </xf>
    <xf numFmtId="0" fontId="297" fillId="0" borderId="287" xfId="54" applyFont="1" applyFill="1" applyBorder="1" applyAlignment="1" applyProtection="1">
      <alignment horizontal="center"/>
    </xf>
    <xf numFmtId="0" fontId="297" fillId="0" borderId="0" xfId="54" applyFont="1" applyFill="1" applyBorder="1" applyAlignment="1" applyProtection="1">
      <alignment horizontal="center"/>
    </xf>
    <xf numFmtId="0" fontId="296" fillId="0" borderId="0" xfId="54" applyFont="1" applyFill="1" applyBorder="1" applyAlignment="1" applyProtection="1">
      <alignment horizontal="right"/>
    </xf>
    <xf numFmtId="0" fontId="296" fillId="0" borderId="288" xfId="54" applyFont="1" applyFill="1" applyBorder="1" applyAlignment="1" applyProtection="1">
      <alignment horizontal="right"/>
    </xf>
    <xf numFmtId="0" fontId="123" fillId="0" borderId="289" xfId="54" applyFont="1" applyFill="1" applyBorder="1" applyAlignment="1" applyProtection="1">
      <alignment horizontal="center"/>
    </xf>
    <xf numFmtId="0" fontId="123" fillId="0" borderId="290" xfId="54" applyFont="1" applyFill="1" applyBorder="1" applyAlignment="1" applyProtection="1">
      <alignment horizontal="center"/>
    </xf>
    <xf numFmtId="0" fontId="296" fillId="0" borderId="289" xfId="54" applyFont="1" applyFill="1" applyBorder="1" applyAlignment="1" applyProtection="1">
      <alignment horizontal="right"/>
    </xf>
    <xf numFmtId="0" fontId="292" fillId="0" borderId="0" xfId="54" applyFont="1" applyFill="1" applyBorder="1" applyAlignment="1" applyProtection="1">
      <alignment horizontal="right"/>
    </xf>
    <xf numFmtId="0" fontId="292" fillId="0" borderId="289" xfId="54" applyFont="1" applyFill="1" applyBorder="1" applyAlignment="1" applyProtection="1">
      <alignment horizontal="right"/>
    </xf>
    <xf numFmtId="0" fontId="297" fillId="0" borderId="290" xfId="54" applyFont="1" applyFill="1" applyBorder="1" applyAlignment="1" applyProtection="1">
      <alignment horizontal="center"/>
    </xf>
    <xf numFmtId="0" fontId="291" fillId="47" borderId="397" xfId="55" applyFont="1" applyFill="1" applyBorder="1" applyAlignment="1" applyProtection="1">
      <alignment horizontal="center"/>
    </xf>
    <xf numFmtId="0" fontId="291" fillId="47" borderId="391" xfId="55" applyFont="1" applyFill="1" applyBorder="1" applyAlignment="1" applyProtection="1">
      <alignment horizontal="center"/>
    </xf>
    <xf numFmtId="3" fontId="418" fillId="0" borderId="403" xfId="55" applyNumberFormat="1" applyFont="1" applyFill="1" applyBorder="1" applyAlignment="1" applyProtection="1">
      <alignment horizontal="center" vertical="center"/>
    </xf>
    <xf numFmtId="3" fontId="418" fillId="0" borderId="404" xfId="55" applyNumberFormat="1" applyFont="1" applyFill="1" applyBorder="1" applyAlignment="1" applyProtection="1">
      <alignment horizontal="center" vertical="center"/>
    </xf>
    <xf numFmtId="170" fontId="418" fillId="0" borderId="403" xfId="55" applyNumberFormat="1" applyFont="1" applyFill="1" applyBorder="1" applyAlignment="1" applyProtection="1">
      <alignment horizontal="center" vertical="center"/>
    </xf>
    <xf numFmtId="170" fontId="418" fillId="0" borderId="404" xfId="55" applyNumberFormat="1" applyFont="1" applyFill="1" applyBorder="1" applyAlignment="1" applyProtection="1">
      <alignment horizontal="center" vertical="center"/>
    </xf>
    <xf numFmtId="0" fontId="291" fillId="47" borderId="401" xfId="55" applyFont="1" applyFill="1" applyBorder="1" applyAlignment="1" applyProtection="1">
      <alignment horizontal="center" vertical="center"/>
    </xf>
    <xf numFmtId="0" fontId="291" fillId="47" borderId="402" xfId="55" applyFont="1" applyFill="1" applyBorder="1" applyAlignment="1" applyProtection="1">
      <alignment horizontal="center" vertical="center"/>
    </xf>
    <xf numFmtId="0" fontId="306" fillId="0" borderId="0" xfId="54" applyFont="1" applyFill="1" applyAlignment="1" applyProtection="1">
      <alignment horizontal="left"/>
    </xf>
    <xf numFmtId="0" fontId="307" fillId="0" borderId="0" xfId="54" applyFont="1" applyFill="1" applyAlignment="1" applyProtection="1">
      <alignment horizontal="center"/>
    </xf>
    <xf numFmtId="0" fontId="305" fillId="0" borderId="376" xfId="54" applyFont="1" applyFill="1" applyBorder="1" applyAlignment="1" applyProtection="1">
      <alignment horizontal="center"/>
    </xf>
    <xf numFmtId="0" fontId="305" fillId="0" borderId="306" xfId="54" applyFont="1" applyFill="1" applyBorder="1" applyAlignment="1" applyProtection="1">
      <alignment horizontal="center"/>
    </xf>
    <xf numFmtId="0" fontId="305" fillId="0" borderId="377" xfId="54" applyFont="1" applyFill="1" applyBorder="1" applyAlignment="1" applyProtection="1">
      <alignment horizontal="center"/>
    </xf>
    <xf numFmtId="0" fontId="141" fillId="0" borderId="378" xfId="54" applyFont="1" applyFill="1" applyBorder="1" applyAlignment="1" applyProtection="1">
      <alignment horizontal="center"/>
    </xf>
    <xf numFmtId="0" fontId="298" fillId="0" borderId="379" xfId="54" applyFont="1" applyFill="1" applyBorder="1" applyAlignment="1" applyProtection="1">
      <alignment horizontal="center"/>
    </xf>
    <xf numFmtId="0" fontId="298" fillId="0" borderId="380" xfId="54" applyFont="1" applyFill="1" applyBorder="1" applyAlignment="1" applyProtection="1">
      <alignment horizontal="center"/>
    </xf>
    <xf numFmtId="0" fontId="141" fillId="0" borderId="381" xfId="54" applyFont="1" applyFill="1" applyBorder="1" applyAlignment="1" applyProtection="1">
      <alignment horizontal="center"/>
    </xf>
    <xf numFmtId="0" fontId="141" fillId="0" borderId="382" xfId="54" applyFont="1" applyFill="1" applyBorder="1" applyAlignment="1" applyProtection="1">
      <alignment horizontal="center"/>
    </xf>
    <xf numFmtId="0" fontId="298" fillId="0" borderId="383" xfId="54" applyFont="1" applyFill="1" applyBorder="1" applyAlignment="1" applyProtection="1">
      <alignment horizontal="center"/>
    </xf>
    <xf numFmtId="0" fontId="301" fillId="41" borderId="0" xfId="54" applyFont="1" applyFill="1" applyBorder="1" applyAlignment="1" applyProtection="1">
      <alignment horizontal="center" vertical="center"/>
    </xf>
    <xf numFmtId="0" fontId="132" fillId="63" borderId="550" xfId="54" applyFont="1" applyFill="1" applyBorder="1" applyAlignment="1" applyProtection="1">
      <alignment horizontal="right" vertical="center"/>
    </xf>
    <xf numFmtId="0" fontId="132" fillId="63" borderId="551" xfId="54" applyFont="1" applyFill="1" applyBorder="1" applyAlignment="1" applyProtection="1">
      <alignment horizontal="right" vertical="center"/>
    </xf>
    <xf numFmtId="0" fontId="132" fillId="63" borderId="552" xfId="54" applyFont="1" applyFill="1" applyBorder="1" applyAlignment="1" applyProtection="1">
      <alignment horizontal="right" vertical="center"/>
    </xf>
    <xf numFmtId="0" fontId="290" fillId="47" borderId="384" xfId="55" applyFont="1" applyFill="1" applyBorder="1" applyAlignment="1" applyProtection="1">
      <alignment horizontal="center" vertical="center"/>
    </xf>
    <xf numFmtId="0" fontId="290" fillId="47" borderId="385" xfId="55" applyFont="1" applyFill="1" applyBorder="1" applyAlignment="1" applyProtection="1">
      <alignment horizontal="center" vertical="center"/>
    </xf>
    <xf numFmtId="0" fontId="290" fillId="47" borderId="386" xfId="55" applyFont="1" applyFill="1" applyBorder="1" applyAlignment="1" applyProtection="1">
      <alignment horizontal="center" vertical="center"/>
    </xf>
    <xf numFmtId="0" fontId="290" fillId="47" borderId="387" xfId="55" applyFont="1" applyFill="1" applyBorder="1" applyAlignment="1" applyProtection="1">
      <alignment horizontal="center" vertical="center"/>
    </xf>
    <xf numFmtId="0" fontId="291" fillId="27" borderId="388" xfId="55" applyFont="1" applyFill="1" applyBorder="1" applyAlignment="1" applyProtection="1">
      <alignment horizontal="center" vertical="center"/>
    </xf>
    <xf numFmtId="0" fontId="291" fillId="27" borderId="389" xfId="55" applyFont="1" applyFill="1" applyBorder="1" applyAlignment="1" applyProtection="1">
      <alignment horizontal="center" vertical="center"/>
    </xf>
    <xf numFmtId="0" fontId="291" fillId="0" borderId="390" xfId="55" applyFont="1" applyFill="1" applyBorder="1" applyAlignment="1" applyProtection="1">
      <alignment horizontal="center"/>
    </xf>
    <xf numFmtId="0" fontId="291" fillId="0" borderId="391" xfId="55" applyFont="1" applyFill="1" applyBorder="1" applyAlignment="1" applyProtection="1">
      <alignment horizontal="center"/>
    </xf>
    <xf numFmtId="0" fontId="291" fillId="0" borderId="392" xfId="55" applyFont="1" applyFill="1" applyBorder="1" applyAlignment="1" applyProtection="1">
      <alignment horizontal="center"/>
    </xf>
    <xf numFmtId="0" fontId="151" fillId="0" borderId="393" xfId="54" applyFont="1" applyFill="1" applyBorder="1" applyAlignment="1" applyProtection="1">
      <alignment horizontal="center" vertical="center" wrapText="1"/>
    </xf>
    <xf numFmtId="0" fontId="151" fillId="0" borderId="287" xfId="54" applyFont="1" applyFill="1" applyBorder="1" applyAlignment="1" applyProtection="1">
      <alignment horizontal="center" vertical="center" wrapText="1"/>
    </xf>
    <xf numFmtId="0" fontId="151" fillId="0" borderId="394" xfId="54" applyFont="1" applyFill="1" applyBorder="1" applyAlignment="1" applyProtection="1">
      <alignment horizontal="center" vertical="center" wrapText="1"/>
    </xf>
    <xf numFmtId="0" fontId="291" fillId="27" borderId="395" xfId="55" applyFont="1" applyFill="1" applyBorder="1" applyAlignment="1" applyProtection="1">
      <alignment horizontal="center"/>
    </xf>
    <xf numFmtId="0" fontId="291" fillId="27" borderId="396" xfId="55" applyFont="1" applyFill="1" applyBorder="1" applyAlignment="1" applyProtection="1">
      <alignment horizontal="center"/>
    </xf>
    <xf numFmtId="0" fontId="291" fillId="37" borderId="397" xfId="55" applyFont="1" applyFill="1" applyBorder="1" applyAlignment="1" applyProtection="1">
      <alignment horizontal="center"/>
    </xf>
    <xf numFmtId="0" fontId="291" fillId="37" borderId="396" xfId="55" applyFont="1" applyFill="1" applyBorder="1" applyAlignment="1" applyProtection="1">
      <alignment horizontal="center"/>
    </xf>
    <xf numFmtId="0" fontId="151" fillId="0" borderId="398" xfId="54" applyFont="1" applyFill="1" applyBorder="1" applyAlignment="1" applyProtection="1">
      <alignment horizontal="center" vertical="center" wrapText="1"/>
    </xf>
    <xf numFmtId="0" fontId="151" fillId="0" borderId="399" xfId="54" applyFont="1" applyFill="1" applyBorder="1" applyAlignment="1" applyProtection="1">
      <alignment horizontal="center" vertical="center" wrapText="1"/>
    </xf>
    <xf numFmtId="0" fontId="151" fillId="0" borderId="400" xfId="54" applyFont="1" applyFill="1" applyBorder="1" applyAlignment="1" applyProtection="1">
      <alignment horizontal="center" vertical="center" wrapText="1"/>
    </xf>
    <xf numFmtId="0" fontId="291" fillId="27" borderId="391" xfId="55" applyFont="1" applyFill="1" applyBorder="1" applyAlignment="1" applyProtection="1">
      <alignment horizontal="center"/>
    </xf>
    <xf numFmtId="3" fontId="418" fillId="0" borderId="424" xfId="55" applyNumberFormat="1" applyFont="1" applyFill="1" applyBorder="1" applyAlignment="1" applyProtection="1">
      <alignment horizontal="center" vertical="center"/>
    </xf>
    <xf numFmtId="3" fontId="418" fillId="0" borderId="425" xfId="55" applyNumberFormat="1" applyFont="1" applyFill="1" applyBorder="1" applyAlignment="1" applyProtection="1">
      <alignment horizontal="center" vertical="center"/>
    </xf>
    <xf numFmtId="170" fontId="418" fillId="0" borderId="420" xfId="55" applyNumberFormat="1" applyFont="1" applyFill="1" applyBorder="1" applyAlignment="1" applyProtection="1">
      <alignment horizontal="center" vertical="center"/>
    </xf>
    <xf numFmtId="170" fontId="418" fillId="0" borderId="421" xfId="55" applyNumberFormat="1" applyFont="1" applyFill="1" applyBorder="1" applyAlignment="1" applyProtection="1">
      <alignment horizontal="center" vertical="center"/>
    </xf>
    <xf numFmtId="170" fontId="288" fillId="20" borderId="418" xfId="55" applyNumberFormat="1" applyFont="1" applyFill="1" applyBorder="1" applyAlignment="1" applyProtection="1">
      <alignment horizontal="center" vertical="center"/>
    </xf>
    <xf numFmtId="170" fontId="288" fillId="20" borderId="419" xfId="55" applyNumberFormat="1" applyFont="1" applyFill="1" applyBorder="1" applyAlignment="1" applyProtection="1">
      <alignment horizontal="center" vertical="center"/>
    </xf>
    <xf numFmtId="3" fontId="287" fillId="0" borderId="403" xfId="55" applyNumberFormat="1" applyFont="1" applyFill="1" applyBorder="1" applyAlignment="1" applyProtection="1">
      <alignment horizontal="center" vertical="center"/>
    </xf>
    <xf numFmtId="3" fontId="287" fillId="0" borderId="404" xfId="55" applyNumberFormat="1" applyFont="1" applyFill="1" applyBorder="1" applyAlignment="1" applyProtection="1">
      <alignment horizontal="center" vertical="center"/>
    </xf>
    <xf numFmtId="0" fontId="290" fillId="37" borderId="401" xfId="55" applyFont="1" applyFill="1" applyBorder="1" applyAlignment="1" applyProtection="1">
      <alignment horizontal="center" vertical="center"/>
    </xf>
    <xf numFmtId="0" fontId="290" fillId="37" borderId="402" xfId="55" applyFont="1" applyFill="1" applyBorder="1" applyAlignment="1" applyProtection="1">
      <alignment horizontal="center" vertical="center"/>
    </xf>
    <xf numFmtId="0" fontId="290" fillId="27" borderId="401" xfId="55" applyFont="1" applyFill="1" applyBorder="1" applyAlignment="1" applyProtection="1">
      <alignment horizontal="center" vertical="center"/>
    </xf>
    <xf numFmtId="0" fontId="290" fillId="27" borderId="402" xfId="55" applyFont="1" applyFill="1" applyBorder="1" applyAlignment="1" applyProtection="1">
      <alignment horizontal="center" vertical="center"/>
    </xf>
    <xf numFmtId="0" fontId="291" fillId="37" borderId="401" xfId="55" applyFont="1" applyFill="1" applyBorder="1" applyAlignment="1" applyProtection="1">
      <alignment horizontal="center" vertical="center"/>
    </xf>
    <xf numFmtId="0" fontId="291" fillId="37" borderId="402" xfId="55" applyFont="1" applyFill="1" applyBorder="1" applyAlignment="1" applyProtection="1">
      <alignment horizontal="center" vertical="center"/>
    </xf>
    <xf numFmtId="170" fontId="286" fillId="0" borderId="403" xfId="55" applyNumberFormat="1" applyFont="1" applyFill="1" applyBorder="1" applyAlignment="1" applyProtection="1">
      <alignment horizontal="center" vertical="center"/>
    </xf>
    <xf numFmtId="170" fontId="286" fillId="0" borderId="404" xfId="55" applyNumberFormat="1" applyFont="1" applyFill="1" applyBorder="1" applyAlignment="1" applyProtection="1">
      <alignment horizontal="center" vertical="center"/>
    </xf>
    <xf numFmtId="0" fontId="293" fillId="27" borderId="405" xfId="55" applyFont="1" applyFill="1" applyBorder="1" applyAlignment="1" applyProtection="1">
      <alignment horizontal="center" vertical="center"/>
    </xf>
    <xf numFmtId="0" fontId="293" fillId="27" borderId="406" xfId="55" applyFont="1" applyFill="1" applyBorder="1" applyAlignment="1" applyProtection="1">
      <alignment horizontal="center" vertical="center"/>
    </xf>
    <xf numFmtId="0" fontId="293" fillId="37" borderId="180" xfId="55" applyFont="1" applyFill="1" applyBorder="1" applyAlignment="1" applyProtection="1">
      <alignment horizontal="center" vertical="center"/>
    </xf>
    <xf numFmtId="0" fontId="293" fillId="37" borderId="407" xfId="55" applyFont="1" applyFill="1" applyBorder="1" applyAlignment="1" applyProtection="1">
      <alignment horizontal="center" vertical="center"/>
    </xf>
    <xf numFmtId="0" fontId="293" fillId="40" borderId="408" xfId="55" applyFont="1" applyFill="1" applyBorder="1" applyAlignment="1" applyProtection="1">
      <alignment horizontal="center" vertical="center"/>
    </xf>
    <xf numFmtId="0" fontId="293" fillId="40" borderId="409" xfId="55" applyFont="1" applyFill="1" applyBorder="1" applyAlignment="1" applyProtection="1">
      <alignment horizontal="center" vertical="center"/>
    </xf>
    <xf numFmtId="0" fontId="291" fillId="27" borderId="410" xfId="55" applyFont="1" applyFill="1" applyBorder="1" applyAlignment="1" applyProtection="1">
      <alignment horizontal="center" vertical="center"/>
    </xf>
    <xf numFmtId="0" fontId="291" fillId="27" borderId="411" xfId="55" applyFont="1" applyFill="1" applyBorder="1" applyAlignment="1" applyProtection="1">
      <alignment horizontal="center" vertical="center"/>
    </xf>
    <xf numFmtId="3" fontId="417" fillId="0" borderId="412" xfId="55" applyNumberFormat="1" applyFont="1" applyFill="1" applyBorder="1" applyAlignment="1" applyProtection="1">
      <alignment horizontal="center" vertical="center"/>
    </xf>
    <xf numFmtId="3" fontId="417" fillId="0" borderId="413" xfId="55" applyNumberFormat="1" applyFont="1" applyFill="1" applyBorder="1" applyAlignment="1" applyProtection="1">
      <alignment horizontal="center" vertical="center"/>
    </xf>
    <xf numFmtId="3" fontId="417" fillId="0" borderId="403" xfId="55" applyNumberFormat="1" applyFont="1" applyFill="1" applyBorder="1" applyAlignment="1" applyProtection="1">
      <alignment horizontal="center" vertical="center"/>
    </xf>
    <xf numFmtId="3" fontId="417" fillId="0" borderId="404" xfId="55" applyNumberFormat="1" applyFont="1" applyFill="1" applyBorder="1" applyAlignment="1" applyProtection="1">
      <alignment horizontal="center" vertical="center"/>
    </xf>
    <xf numFmtId="3" fontId="417" fillId="0" borderId="414" xfId="55" applyNumberFormat="1" applyFont="1" applyFill="1" applyBorder="1" applyAlignment="1" applyProtection="1">
      <alignment horizontal="center" vertical="center"/>
    </xf>
    <xf numFmtId="3" fontId="417" fillId="0" borderId="415" xfId="55" applyNumberFormat="1" applyFont="1" applyFill="1" applyBorder="1" applyAlignment="1" applyProtection="1">
      <alignment horizontal="center" vertical="center"/>
    </xf>
    <xf numFmtId="170" fontId="288" fillId="20" borderId="416" xfId="55" applyNumberFormat="1" applyFont="1" applyFill="1" applyBorder="1" applyAlignment="1" applyProtection="1">
      <alignment horizontal="center" vertical="center"/>
    </xf>
    <xf numFmtId="170" fontId="288" fillId="20" borderId="417" xfId="55" applyNumberFormat="1" applyFont="1" applyFill="1" applyBorder="1" applyAlignment="1" applyProtection="1">
      <alignment horizontal="center" vertical="center"/>
    </xf>
    <xf numFmtId="3" fontId="418" fillId="0" borderId="418" xfId="55" applyNumberFormat="1" applyFont="1" applyFill="1" applyBorder="1" applyAlignment="1" applyProtection="1">
      <alignment horizontal="center" vertical="center"/>
    </xf>
    <xf numFmtId="3" fontId="418" fillId="0" borderId="419" xfId="55" applyNumberFormat="1" applyFont="1" applyFill="1" applyBorder="1" applyAlignment="1" applyProtection="1">
      <alignment horizontal="center" vertical="center"/>
    </xf>
    <xf numFmtId="3" fontId="287" fillId="0" borderId="420" xfId="55" applyNumberFormat="1" applyFont="1" applyFill="1" applyBorder="1" applyAlignment="1" applyProtection="1">
      <alignment horizontal="center" vertical="center"/>
    </xf>
    <xf numFmtId="3" fontId="287" fillId="0" borderId="421" xfId="55" applyNumberFormat="1" applyFont="1" applyFill="1" applyBorder="1" applyAlignment="1" applyProtection="1">
      <alignment horizontal="center" vertical="center"/>
    </xf>
    <xf numFmtId="170" fontId="286" fillId="0" borderId="420" xfId="55" applyNumberFormat="1" applyFont="1" applyFill="1" applyBorder="1" applyAlignment="1" applyProtection="1">
      <alignment horizontal="center" vertical="center"/>
    </xf>
    <xf numFmtId="170" fontId="286" fillId="0" borderId="421" xfId="55" applyNumberFormat="1" applyFont="1" applyFill="1" applyBorder="1" applyAlignment="1" applyProtection="1">
      <alignment horizontal="center" vertical="center"/>
    </xf>
    <xf numFmtId="0" fontId="270" fillId="38" borderId="42" xfId="0" applyFont="1" applyFill="1" applyBorder="1" applyAlignment="1" applyProtection="1">
      <alignment horizontal="center" vertical="center" wrapText="1"/>
      <protection hidden="1"/>
    </xf>
    <xf numFmtId="0" fontId="0" fillId="38" borderId="42" xfId="0" applyFill="1" applyBorder="1" applyProtection="1">
      <protection hidden="1"/>
    </xf>
    <xf numFmtId="0" fontId="0" fillId="38" borderId="67" xfId="0" applyFill="1" applyBorder="1" applyProtection="1">
      <protection hidden="1"/>
    </xf>
    <xf numFmtId="0" fontId="89" fillId="38" borderId="33" xfId="73" applyFont="1" applyFill="1" applyBorder="1" applyAlignment="1" applyProtection="1">
      <alignment horizontal="center" vertical="center" wrapText="1"/>
      <protection hidden="1"/>
    </xf>
    <xf numFmtId="0" fontId="89" fillId="38" borderId="42" xfId="73" applyFont="1" applyFill="1" applyBorder="1" applyAlignment="1" applyProtection="1">
      <alignment horizontal="center" vertical="center" wrapText="1"/>
      <protection hidden="1"/>
    </xf>
    <xf numFmtId="0" fontId="89" fillId="38" borderId="71" xfId="73" applyFont="1" applyFill="1" applyBorder="1" applyAlignment="1" applyProtection="1">
      <alignment horizontal="center" vertical="center" wrapText="1"/>
      <protection hidden="1"/>
    </xf>
    <xf numFmtId="0" fontId="89" fillId="38" borderId="70" xfId="73" applyFont="1" applyFill="1" applyBorder="1" applyAlignment="1" applyProtection="1">
      <alignment horizontal="center" vertical="center" wrapText="1"/>
      <protection hidden="1"/>
    </xf>
    <xf numFmtId="0" fontId="89" fillId="38" borderId="0" xfId="73" applyFont="1" applyFill="1" applyBorder="1" applyAlignment="1" applyProtection="1">
      <alignment horizontal="center" vertical="center" wrapText="1"/>
      <protection hidden="1"/>
    </xf>
    <xf numFmtId="0" fontId="89" fillId="38" borderId="43" xfId="73" applyFont="1" applyFill="1" applyBorder="1" applyAlignment="1" applyProtection="1">
      <alignment horizontal="center" vertical="center" wrapText="1"/>
      <protection hidden="1"/>
    </xf>
    <xf numFmtId="0" fontId="89" fillId="38" borderId="282" xfId="73" applyFont="1" applyFill="1" applyBorder="1" applyAlignment="1" applyProtection="1">
      <alignment horizontal="center" vertical="center" wrapText="1"/>
      <protection hidden="1"/>
    </xf>
    <xf numFmtId="0" fontId="89" fillId="38" borderId="283" xfId="73" applyFont="1" applyFill="1" applyBorder="1" applyAlignment="1" applyProtection="1">
      <alignment horizontal="center" vertical="center" wrapText="1"/>
      <protection hidden="1"/>
    </xf>
    <xf numFmtId="0" fontId="89" fillId="38" borderId="286" xfId="73" applyFont="1" applyFill="1" applyBorder="1" applyAlignment="1" applyProtection="1">
      <alignment horizontal="center" vertical="center" wrapText="1"/>
      <protection hidden="1"/>
    </xf>
    <xf numFmtId="0" fontId="81" fillId="38" borderId="33" xfId="73" applyFont="1" applyFill="1" applyBorder="1" applyAlignment="1" applyProtection="1">
      <alignment horizontal="center" vertical="center" wrapText="1"/>
      <protection hidden="1"/>
    </xf>
    <xf numFmtId="0" fontId="81" fillId="38" borderId="42" xfId="73" applyFont="1" applyFill="1" applyBorder="1" applyAlignment="1" applyProtection="1">
      <alignment horizontal="center" vertical="center" wrapText="1"/>
      <protection hidden="1"/>
    </xf>
    <xf numFmtId="0" fontId="81" fillId="38" borderId="71" xfId="73" applyFont="1" applyFill="1" applyBorder="1" applyAlignment="1" applyProtection="1">
      <alignment horizontal="center" vertical="center" wrapText="1"/>
      <protection hidden="1"/>
    </xf>
    <xf numFmtId="0" fontId="81" fillId="38" borderId="70" xfId="73" applyFont="1" applyFill="1" applyBorder="1" applyAlignment="1" applyProtection="1">
      <alignment horizontal="center" vertical="center" wrapText="1"/>
      <protection hidden="1"/>
    </xf>
    <xf numFmtId="0" fontId="81" fillId="38" borderId="0" xfId="73" applyFont="1" applyFill="1" applyBorder="1" applyAlignment="1" applyProtection="1">
      <alignment horizontal="center" vertical="center" wrapText="1"/>
      <protection hidden="1"/>
    </xf>
    <xf numFmtId="0" fontId="81" fillId="38" borderId="43" xfId="73" applyFont="1" applyFill="1" applyBorder="1" applyAlignment="1" applyProtection="1">
      <alignment horizontal="center" vertical="center" wrapText="1"/>
      <protection hidden="1"/>
    </xf>
    <xf numFmtId="0" fontId="267" fillId="38" borderId="282" xfId="0" applyFont="1" applyFill="1" applyBorder="1" applyAlignment="1" applyProtection="1">
      <alignment horizontal="center" vertical="center" wrapText="1"/>
      <protection hidden="1"/>
    </xf>
    <xf numFmtId="0" fontId="267" fillId="38" borderId="283" xfId="0" applyFont="1" applyFill="1" applyBorder="1" applyAlignment="1" applyProtection="1">
      <alignment horizontal="center" vertical="center" wrapText="1"/>
      <protection hidden="1"/>
    </xf>
    <xf numFmtId="0" fontId="267" fillId="38" borderId="286" xfId="0" applyFont="1" applyFill="1" applyBorder="1" applyAlignment="1" applyProtection="1">
      <alignment horizontal="center" vertical="center" wrapText="1"/>
      <protection hidden="1"/>
    </xf>
    <xf numFmtId="0" fontId="54" fillId="38" borderId="97" xfId="73" applyFont="1" applyFill="1" applyBorder="1" applyAlignment="1" applyProtection="1">
      <alignment horizontal="center" vertical="center" wrapText="1"/>
      <protection hidden="1"/>
    </xf>
    <xf numFmtId="0" fontId="129" fillId="38" borderId="96" xfId="73" applyFont="1" applyFill="1" applyBorder="1" applyAlignment="1" applyProtection="1">
      <alignment horizontal="center" vertical="center" wrapText="1"/>
      <protection hidden="1"/>
    </xf>
    <xf numFmtId="0" fontId="129" fillId="38" borderId="442" xfId="67" applyFont="1" applyFill="1" applyBorder="1" applyAlignment="1" applyProtection="1">
      <alignment horizontal="center" vertical="center" wrapText="1"/>
      <protection hidden="1"/>
    </xf>
    <xf numFmtId="0" fontId="129" fillId="38" borderId="443" xfId="67" applyFont="1" applyFill="1" applyBorder="1" applyAlignment="1" applyProtection="1">
      <alignment horizontal="center" vertical="center" wrapText="1"/>
      <protection hidden="1"/>
    </xf>
    <xf numFmtId="0" fontId="129" fillId="38" borderId="96" xfId="67" applyFont="1" applyFill="1" applyBorder="1" applyAlignment="1" applyProtection="1">
      <alignment horizontal="center" vertical="center" wrapText="1"/>
      <protection hidden="1"/>
    </xf>
    <xf numFmtId="0" fontId="129" fillId="38" borderId="95" xfId="67" applyFont="1" applyFill="1" applyBorder="1" applyAlignment="1" applyProtection="1">
      <alignment horizontal="center" vertical="center" wrapText="1"/>
      <protection hidden="1"/>
    </xf>
    <xf numFmtId="0" fontId="277" fillId="37" borderId="444" xfId="0" applyFont="1" applyFill="1" applyBorder="1" applyAlignment="1" applyProtection="1">
      <alignment horizontal="center" vertical="center"/>
      <protection hidden="1"/>
    </xf>
    <xf numFmtId="0" fontId="277" fillId="37" borderId="70" xfId="0" applyFont="1" applyFill="1" applyBorder="1" applyAlignment="1" applyProtection="1">
      <alignment horizontal="center" vertical="center"/>
      <protection hidden="1"/>
    </xf>
    <xf numFmtId="0" fontId="277" fillId="37" borderId="445" xfId="0" applyFont="1" applyFill="1" applyBorder="1" applyAlignment="1" applyProtection="1">
      <alignment horizontal="center" vertical="center"/>
      <protection hidden="1"/>
    </xf>
    <xf numFmtId="0" fontId="265" fillId="37" borderId="446" xfId="0" applyFont="1" applyFill="1" applyBorder="1" applyAlignment="1" applyProtection="1">
      <alignment horizontal="right" vertical="center"/>
      <protection hidden="1"/>
    </xf>
    <xf numFmtId="0" fontId="265" fillId="37" borderId="429" xfId="0" applyFont="1" applyFill="1" applyBorder="1" applyAlignment="1" applyProtection="1">
      <alignment horizontal="right" vertical="center"/>
      <protection hidden="1"/>
    </xf>
    <xf numFmtId="0" fontId="265" fillId="37" borderId="447" xfId="0" applyFont="1" applyFill="1" applyBorder="1" applyAlignment="1" applyProtection="1">
      <alignment horizontal="right" vertical="center"/>
      <protection hidden="1"/>
    </xf>
    <xf numFmtId="1" fontId="287" fillId="0" borderId="403" xfId="55" applyNumberFormat="1" applyFont="1" applyFill="1" applyBorder="1" applyAlignment="1" applyProtection="1">
      <alignment horizontal="center" vertical="center"/>
    </xf>
    <xf numFmtId="1" fontId="287" fillId="0" borderId="404" xfId="55" applyNumberFormat="1" applyFont="1" applyFill="1" applyBorder="1" applyAlignment="1" applyProtection="1">
      <alignment horizontal="center" vertical="center"/>
    </xf>
    <xf numFmtId="2" fontId="304" fillId="0" borderId="420" xfId="55" applyNumberFormat="1" applyFont="1" applyFill="1" applyBorder="1" applyAlignment="1" applyProtection="1">
      <alignment horizontal="center" vertical="center"/>
    </xf>
    <xf numFmtId="2" fontId="304" fillId="0" borderId="421" xfId="55" applyNumberFormat="1" applyFont="1" applyFill="1" applyBorder="1" applyAlignment="1" applyProtection="1">
      <alignment horizontal="center" vertical="center"/>
    </xf>
    <xf numFmtId="1" fontId="287" fillId="0" borderId="422" xfId="55" applyNumberFormat="1" applyFont="1" applyFill="1" applyBorder="1" applyAlignment="1" applyProtection="1">
      <alignment horizontal="center" vertical="center"/>
    </xf>
    <xf numFmtId="1" fontId="287" fillId="0" borderId="423" xfId="55" applyNumberFormat="1" applyFont="1" applyFill="1" applyBorder="1" applyAlignment="1" applyProtection="1">
      <alignment horizontal="center" vertical="center"/>
    </xf>
    <xf numFmtId="0" fontId="129" fillId="27" borderId="433" xfId="67" applyFont="1" applyFill="1" applyBorder="1" applyAlignment="1" applyProtection="1">
      <alignment horizontal="center" vertical="center" wrapText="1"/>
      <protection hidden="1"/>
    </xf>
    <xf numFmtId="0" fontId="129" fillId="27" borderId="434" xfId="67" applyFont="1" applyFill="1" applyBorder="1" applyAlignment="1" applyProtection="1">
      <alignment horizontal="center" vertical="center" wrapText="1"/>
      <protection hidden="1"/>
    </xf>
    <xf numFmtId="0" fontId="129" fillId="27" borderId="435" xfId="67" applyFont="1" applyFill="1" applyBorder="1" applyAlignment="1" applyProtection="1">
      <alignment horizontal="center" vertical="center" wrapText="1"/>
      <protection hidden="1"/>
    </xf>
    <xf numFmtId="0" fontId="129" fillId="27" borderId="436" xfId="67" applyFont="1" applyFill="1" applyBorder="1" applyAlignment="1" applyProtection="1">
      <alignment horizontal="center" vertical="center" wrapText="1"/>
      <protection hidden="1"/>
    </xf>
    <xf numFmtId="0" fontId="129" fillId="27" borderId="437" xfId="67" applyFont="1" applyFill="1" applyBorder="1" applyAlignment="1" applyProtection="1">
      <alignment horizontal="center" vertical="center" wrapText="1"/>
      <protection hidden="1"/>
    </xf>
    <xf numFmtId="0" fontId="129" fillId="27" borderId="438" xfId="67" applyFont="1" applyFill="1" applyBorder="1" applyAlignment="1" applyProtection="1">
      <alignment horizontal="center" vertical="center" wrapText="1"/>
      <protection hidden="1"/>
    </xf>
    <xf numFmtId="0" fontId="54" fillId="27" borderId="431" xfId="73" applyFont="1" applyFill="1" applyBorder="1" applyAlignment="1" applyProtection="1">
      <alignment horizontal="center" vertical="center" wrapText="1"/>
      <protection hidden="1"/>
    </xf>
    <xf numFmtId="0" fontId="54" fillId="27" borderId="432" xfId="73" applyFont="1" applyFill="1" applyBorder="1" applyAlignment="1" applyProtection="1">
      <alignment horizontal="center" vertical="center" wrapText="1"/>
      <protection hidden="1"/>
    </xf>
    <xf numFmtId="1" fontId="265" fillId="0" borderId="32" xfId="0" applyNumberFormat="1" applyFont="1" applyFill="1" applyBorder="1" applyAlignment="1" applyProtection="1">
      <alignment horizontal="center" vertical="center"/>
    </xf>
    <xf numFmtId="0" fontId="265" fillId="0" borderId="44" xfId="0" applyFont="1" applyFill="1" applyBorder="1" applyAlignment="1" applyProtection="1">
      <alignment horizontal="center" vertical="center"/>
    </xf>
    <xf numFmtId="0" fontId="265" fillId="0" borderId="32" xfId="0" applyFont="1" applyFill="1" applyBorder="1" applyAlignment="1" applyProtection="1">
      <alignment horizontal="center" vertical="center"/>
    </xf>
    <xf numFmtId="0" fontId="105" fillId="39" borderId="426" xfId="0" applyFont="1" applyFill="1" applyBorder="1" applyAlignment="1" applyProtection="1">
      <alignment horizontal="center" vertical="center"/>
      <protection hidden="1"/>
    </xf>
    <xf numFmtId="0" fontId="105" fillId="39" borderId="69" xfId="0" applyFont="1" applyFill="1" applyBorder="1" applyAlignment="1" applyProtection="1">
      <alignment horizontal="center" vertical="center"/>
      <protection hidden="1"/>
    </xf>
    <xf numFmtId="0" fontId="105" fillId="39" borderId="427" xfId="0" applyFont="1" applyFill="1" applyBorder="1" applyAlignment="1" applyProtection="1">
      <alignment horizontal="center" vertical="center"/>
      <protection hidden="1"/>
    </xf>
    <xf numFmtId="0" fontId="266" fillId="39" borderId="428" xfId="0" applyFont="1" applyFill="1" applyBorder="1" applyAlignment="1" applyProtection="1">
      <alignment horizontal="center" vertical="center"/>
      <protection hidden="1"/>
    </xf>
    <xf numFmtId="0" fontId="266" fillId="39" borderId="429" xfId="0" applyFont="1" applyFill="1" applyBorder="1" applyAlignment="1" applyProtection="1">
      <alignment horizontal="center" vertical="center"/>
      <protection hidden="1"/>
    </xf>
    <xf numFmtId="0" fontId="266" fillId="39" borderId="430" xfId="0" applyFont="1" applyFill="1" applyBorder="1" applyAlignment="1" applyProtection="1">
      <alignment horizontal="center" vertical="center"/>
      <protection hidden="1"/>
    </xf>
    <xf numFmtId="0" fontId="118" fillId="39" borderId="280" xfId="73" applyFont="1" applyFill="1" applyBorder="1" applyAlignment="1" applyProtection="1">
      <alignment horizontal="center" vertical="center" wrapText="1"/>
      <protection hidden="1"/>
    </xf>
    <xf numFmtId="0" fontId="118" fillId="39" borderId="42" xfId="73" applyFont="1" applyFill="1" applyBorder="1" applyAlignment="1" applyProtection="1">
      <alignment horizontal="center" vertical="center" wrapText="1"/>
      <protection hidden="1"/>
    </xf>
    <xf numFmtId="0" fontId="118" fillId="39" borderId="37" xfId="73" applyFont="1" applyFill="1" applyBorder="1" applyAlignment="1" applyProtection="1">
      <alignment horizontal="center" vertical="center" wrapText="1"/>
      <protection hidden="1"/>
    </xf>
    <xf numFmtId="0" fontId="118" fillId="39" borderId="285" xfId="73" applyFont="1" applyFill="1" applyBorder="1" applyAlignment="1" applyProtection="1">
      <alignment horizontal="center" vertical="center" wrapText="1"/>
      <protection hidden="1"/>
    </xf>
    <xf numFmtId="0" fontId="118" fillId="39" borderId="283" xfId="73" applyFont="1" applyFill="1" applyBorder="1" applyAlignment="1" applyProtection="1">
      <alignment horizontal="center" vertical="center" wrapText="1"/>
      <protection hidden="1"/>
    </xf>
    <xf numFmtId="0" fontId="118" fillId="39" borderId="284" xfId="73" applyFont="1" applyFill="1" applyBorder="1" applyAlignment="1" applyProtection="1">
      <alignment horizontal="center" vertical="center" wrapText="1"/>
      <protection hidden="1"/>
    </xf>
    <xf numFmtId="0" fontId="2" fillId="27" borderId="42" xfId="73" applyFont="1" applyFill="1" applyBorder="1" applyAlignment="1" applyProtection="1">
      <alignment horizontal="center" vertical="center" wrapText="1"/>
      <protection hidden="1"/>
    </xf>
    <xf numFmtId="0" fontId="2" fillId="27" borderId="71" xfId="73" applyFont="1" applyFill="1" applyBorder="1" applyAlignment="1" applyProtection="1">
      <alignment horizontal="center" vertical="center" wrapText="1"/>
      <protection hidden="1"/>
    </xf>
    <xf numFmtId="0" fontId="2" fillId="27" borderId="0" xfId="73" applyFont="1" applyFill="1" applyBorder="1" applyAlignment="1" applyProtection="1">
      <alignment horizontal="center" vertical="center" wrapText="1"/>
      <protection hidden="1"/>
    </xf>
    <xf numFmtId="0" fontId="268" fillId="27" borderId="0" xfId="73" applyFont="1" applyFill="1" applyBorder="1" applyAlignment="1" applyProtection="1">
      <alignment horizontal="center" vertical="center" wrapText="1"/>
      <protection hidden="1"/>
    </xf>
    <xf numFmtId="0" fontId="2" fillId="27" borderId="43" xfId="73" applyFont="1" applyFill="1" applyBorder="1" applyAlignment="1" applyProtection="1">
      <alignment horizontal="center" vertical="center" wrapText="1"/>
      <protection hidden="1"/>
    </xf>
    <xf numFmtId="0" fontId="54" fillId="39" borderId="439" xfId="73" applyFont="1" applyFill="1" applyBorder="1" applyAlignment="1" applyProtection="1">
      <alignment horizontal="center" vertical="center" wrapText="1"/>
      <protection hidden="1"/>
    </xf>
    <xf numFmtId="0" fontId="54" fillId="39" borderId="440" xfId="73" applyFont="1" applyFill="1" applyBorder="1" applyAlignment="1" applyProtection="1">
      <alignment horizontal="center" vertical="center" wrapText="1"/>
      <protection hidden="1"/>
    </xf>
    <xf numFmtId="0" fontId="129" fillId="39" borderId="433" xfId="67" applyFont="1" applyFill="1" applyBorder="1" applyAlignment="1" applyProtection="1">
      <alignment horizontal="center" vertical="center" wrapText="1"/>
      <protection hidden="1"/>
    </xf>
    <xf numFmtId="0" fontId="129" fillId="39" borderId="441" xfId="67" applyFont="1" applyFill="1" applyBorder="1" applyAlignment="1" applyProtection="1">
      <alignment horizontal="center" vertical="center" wrapText="1"/>
      <protection hidden="1"/>
    </xf>
    <xf numFmtId="0" fontId="129" fillId="39" borderId="437" xfId="67" applyFont="1" applyFill="1" applyBorder="1" applyAlignment="1" applyProtection="1">
      <alignment horizontal="center" vertical="center" wrapText="1"/>
      <protection hidden="1"/>
    </xf>
    <xf numFmtId="0" fontId="129" fillId="39" borderId="438" xfId="67" applyFont="1" applyFill="1" applyBorder="1" applyAlignment="1" applyProtection="1">
      <alignment horizontal="center" vertical="center" wrapText="1"/>
      <protection hidden="1"/>
    </xf>
    <xf numFmtId="0" fontId="54" fillId="39" borderId="431" xfId="73" applyFont="1" applyFill="1" applyBorder="1" applyAlignment="1" applyProtection="1">
      <alignment horizontal="center" vertical="center" wrapText="1"/>
      <protection hidden="1"/>
    </xf>
    <xf numFmtId="0" fontId="54" fillId="39" borderId="432" xfId="73" applyFont="1" applyFill="1" applyBorder="1" applyAlignment="1" applyProtection="1">
      <alignment horizontal="center" vertical="center" wrapText="1"/>
      <protection hidden="1"/>
    </xf>
    <xf numFmtId="0" fontId="129" fillId="39" borderId="434" xfId="67" applyFont="1" applyFill="1" applyBorder="1" applyAlignment="1" applyProtection="1">
      <alignment horizontal="center" vertical="center" wrapText="1"/>
      <protection hidden="1"/>
    </xf>
    <xf numFmtId="0" fontId="54" fillId="27" borderId="439" xfId="73" applyFont="1" applyFill="1" applyBorder="1" applyAlignment="1" applyProtection="1">
      <alignment horizontal="center" vertical="center" wrapText="1"/>
      <protection hidden="1"/>
    </xf>
    <xf numFmtId="0" fontId="54" fillId="27" borderId="440" xfId="73" applyFont="1" applyFill="1" applyBorder="1" applyAlignment="1" applyProtection="1">
      <alignment horizontal="center" vertical="center" wrapText="1"/>
      <protection hidden="1"/>
    </xf>
    <xf numFmtId="0" fontId="2" fillId="39" borderId="42" xfId="73" applyFont="1" applyFill="1" applyBorder="1" applyAlignment="1" applyProtection="1">
      <alignment horizontal="center" vertical="center" wrapText="1"/>
      <protection hidden="1"/>
    </xf>
    <xf numFmtId="0" fontId="2" fillId="39" borderId="0" xfId="73" applyFont="1" applyFill="1" applyBorder="1" applyAlignment="1" applyProtection="1">
      <alignment horizontal="center" vertical="center" wrapText="1"/>
      <protection hidden="1"/>
    </xf>
    <xf numFmtId="0" fontId="151" fillId="39" borderId="42" xfId="73" applyFont="1" applyFill="1" applyBorder="1" applyAlignment="1" applyProtection="1">
      <alignment horizontal="center" vertical="center" wrapText="1"/>
      <protection hidden="1"/>
    </xf>
    <xf numFmtId="0" fontId="151" fillId="39" borderId="71" xfId="73" applyFont="1" applyFill="1" applyBorder="1" applyAlignment="1" applyProtection="1">
      <alignment horizontal="center" vertical="center" wrapText="1"/>
      <protection hidden="1"/>
    </xf>
    <xf numFmtId="0" fontId="151" fillId="39" borderId="0" xfId="73" applyFont="1" applyFill="1" applyBorder="1" applyAlignment="1" applyProtection="1">
      <alignment horizontal="center" vertical="center" wrapText="1"/>
      <protection hidden="1"/>
    </xf>
    <xf numFmtId="0" fontId="151" fillId="39" borderId="43" xfId="73" applyFont="1" applyFill="1" applyBorder="1" applyAlignment="1" applyProtection="1">
      <alignment horizontal="center" vertical="center" wrapText="1"/>
      <protection hidden="1"/>
    </xf>
    <xf numFmtId="0" fontId="129" fillId="27" borderId="441" xfId="67" applyFont="1" applyFill="1" applyBorder="1" applyAlignment="1" applyProtection="1">
      <alignment horizontal="center" vertical="center" wrapText="1"/>
      <protection hidden="1"/>
    </xf>
    <xf numFmtId="0" fontId="129" fillId="39" borderId="435" xfId="67" applyFont="1" applyFill="1" applyBorder="1" applyAlignment="1" applyProtection="1">
      <alignment horizontal="center" vertical="center" wrapText="1"/>
      <protection hidden="1"/>
    </xf>
    <xf numFmtId="0" fontId="129" fillId="39" borderId="436" xfId="67" applyFont="1" applyFill="1" applyBorder="1" applyAlignment="1" applyProtection="1">
      <alignment horizontal="center" vertical="center" wrapText="1"/>
      <protection hidden="1"/>
    </xf>
    <xf numFmtId="0" fontId="2" fillId="20" borderId="33" xfId="73" applyFont="1" applyFill="1" applyBorder="1" applyAlignment="1" applyProtection="1">
      <alignment horizontal="center" vertical="center" wrapText="1"/>
      <protection hidden="1"/>
    </xf>
    <xf numFmtId="0" fontId="2" fillId="20" borderId="42" xfId="73" applyFont="1" applyFill="1" applyBorder="1" applyAlignment="1" applyProtection="1">
      <alignment horizontal="center" vertical="center" wrapText="1"/>
      <protection hidden="1"/>
    </xf>
    <xf numFmtId="0" fontId="2" fillId="20" borderId="70" xfId="73" applyFont="1" applyFill="1" applyBorder="1" applyAlignment="1" applyProtection="1">
      <alignment horizontal="center" vertical="center" wrapText="1"/>
      <protection hidden="1"/>
    </xf>
    <xf numFmtId="0" fontId="2" fillId="20" borderId="0" xfId="73" applyFont="1" applyFill="1" applyBorder="1" applyAlignment="1" applyProtection="1">
      <alignment horizontal="center" vertical="center" wrapText="1"/>
      <protection hidden="1"/>
    </xf>
    <xf numFmtId="0" fontId="2" fillId="20" borderId="282" xfId="73" applyFont="1" applyFill="1" applyBorder="1" applyAlignment="1" applyProtection="1">
      <alignment horizontal="center" vertical="center" wrapText="1"/>
      <protection hidden="1"/>
    </xf>
    <xf numFmtId="0" fontId="2" fillId="20" borderId="283" xfId="73" applyFont="1" applyFill="1" applyBorder="1" applyAlignment="1" applyProtection="1">
      <alignment horizontal="center" vertical="center" wrapText="1"/>
      <protection hidden="1"/>
    </xf>
    <xf numFmtId="0" fontId="89" fillId="20" borderId="280" xfId="73" applyFont="1" applyFill="1" applyBorder="1" applyAlignment="1" applyProtection="1">
      <alignment horizontal="center" vertical="center" wrapText="1"/>
      <protection hidden="1"/>
    </xf>
    <xf numFmtId="0" fontId="89" fillId="20" borderId="42" xfId="73" applyFont="1" applyFill="1" applyBorder="1" applyAlignment="1" applyProtection="1">
      <alignment horizontal="center" vertical="center" wrapText="1"/>
      <protection hidden="1"/>
    </xf>
    <xf numFmtId="0" fontId="89" fillId="20" borderId="37" xfId="73" applyFont="1" applyFill="1" applyBorder="1" applyAlignment="1" applyProtection="1">
      <alignment horizontal="center" vertical="center" wrapText="1"/>
      <protection hidden="1"/>
    </xf>
    <xf numFmtId="0" fontId="89" fillId="20" borderId="156" xfId="73" applyFont="1" applyFill="1" applyBorder="1" applyAlignment="1" applyProtection="1">
      <alignment horizontal="center" vertical="center" wrapText="1"/>
      <protection hidden="1"/>
    </xf>
    <xf numFmtId="0" fontId="89" fillId="20" borderId="0" xfId="73" applyFont="1" applyFill="1" applyBorder="1" applyAlignment="1" applyProtection="1">
      <alignment horizontal="center" vertical="center" wrapText="1"/>
      <protection hidden="1"/>
    </xf>
    <xf numFmtId="0" fontId="89" fillId="20" borderId="157" xfId="73" applyFont="1" applyFill="1" applyBorder="1" applyAlignment="1" applyProtection="1">
      <alignment horizontal="center" vertical="center" wrapText="1"/>
      <protection hidden="1"/>
    </xf>
    <xf numFmtId="0" fontId="89" fillId="20" borderId="285" xfId="73" applyFont="1" applyFill="1" applyBorder="1" applyAlignment="1" applyProtection="1">
      <alignment horizontal="center" vertical="center" wrapText="1"/>
      <protection hidden="1"/>
    </xf>
    <xf numFmtId="0" fontId="89" fillId="20" borderId="283" xfId="73" applyFont="1" applyFill="1" applyBorder="1" applyAlignment="1" applyProtection="1">
      <alignment horizontal="center" vertical="center" wrapText="1"/>
      <protection hidden="1"/>
    </xf>
    <xf numFmtId="0" fontId="89" fillId="20" borderId="284" xfId="73" applyFont="1" applyFill="1" applyBorder="1" applyAlignment="1" applyProtection="1">
      <alignment horizontal="center" vertical="center" wrapText="1"/>
      <protection hidden="1"/>
    </xf>
    <xf numFmtId="0" fontId="2" fillId="20" borderId="280" xfId="73" applyFont="1" applyFill="1" applyBorder="1" applyAlignment="1" applyProtection="1">
      <alignment horizontal="center" vertical="center" wrapText="1"/>
      <protection hidden="1"/>
    </xf>
    <xf numFmtId="0" fontId="2" fillId="20" borderId="37" xfId="73" applyFont="1" applyFill="1" applyBorder="1" applyAlignment="1" applyProtection="1">
      <alignment horizontal="center" vertical="center" wrapText="1"/>
      <protection hidden="1"/>
    </xf>
    <xf numFmtId="0" fontId="2" fillId="20" borderId="156" xfId="73" applyFont="1" applyFill="1" applyBorder="1" applyAlignment="1" applyProtection="1">
      <alignment horizontal="center" vertical="center" wrapText="1"/>
      <protection hidden="1"/>
    </xf>
    <xf numFmtId="0" fontId="2" fillId="20" borderId="157" xfId="73" applyFont="1" applyFill="1" applyBorder="1" applyAlignment="1" applyProtection="1">
      <alignment horizontal="center" vertical="center" wrapText="1"/>
      <protection hidden="1"/>
    </xf>
    <xf numFmtId="0" fontId="2" fillId="20" borderId="285" xfId="73" applyFont="1" applyFill="1" applyBorder="1" applyAlignment="1" applyProtection="1">
      <alignment horizontal="center" vertical="center" wrapText="1"/>
      <protection hidden="1"/>
    </xf>
    <xf numFmtId="0" fontId="2" fillId="20" borderId="284" xfId="73" applyFont="1" applyFill="1" applyBorder="1" applyAlignment="1" applyProtection="1">
      <alignment horizontal="center" vertical="center" wrapText="1"/>
      <protection hidden="1"/>
    </xf>
    <xf numFmtId="0" fontId="151" fillId="20" borderId="42" xfId="73" applyFont="1" applyFill="1" applyBorder="1" applyAlignment="1" applyProtection="1">
      <alignment horizontal="center" vertical="center" wrapText="1"/>
      <protection hidden="1"/>
    </xf>
    <xf numFmtId="0" fontId="151" fillId="20" borderId="71" xfId="73" applyFont="1" applyFill="1" applyBorder="1" applyAlignment="1" applyProtection="1">
      <alignment horizontal="center" vertical="center" wrapText="1"/>
      <protection hidden="1"/>
    </xf>
    <xf numFmtId="0" fontId="151" fillId="20" borderId="0" xfId="73" applyFont="1" applyFill="1" applyBorder="1" applyAlignment="1" applyProtection="1">
      <alignment horizontal="center" vertical="center" wrapText="1"/>
      <protection hidden="1"/>
    </xf>
    <xf numFmtId="0" fontId="151" fillId="20" borderId="43" xfId="73" applyFont="1" applyFill="1" applyBorder="1" applyAlignment="1" applyProtection="1">
      <alignment horizontal="center" vertical="center" wrapText="1"/>
      <protection hidden="1"/>
    </xf>
    <xf numFmtId="0" fontId="110" fillId="20" borderId="283" xfId="0" applyFont="1" applyFill="1" applyBorder="1" applyAlignment="1" applyProtection="1">
      <alignment horizontal="center" vertical="center" wrapText="1"/>
      <protection hidden="1"/>
    </xf>
    <xf numFmtId="0" fontId="110" fillId="20" borderId="286" xfId="0" applyFont="1" applyFill="1" applyBorder="1" applyAlignment="1" applyProtection="1">
      <alignment horizontal="center" vertical="center" wrapText="1"/>
      <protection hidden="1"/>
    </xf>
    <xf numFmtId="0" fontId="266" fillId="20" borderId="428" xfId="0" applyFont="1" applyFill="1" applyBorder="1" applyAlignment="1" applyProtection="1">
      <alignment horizontal="center" vertical="center"/>
      <protection hidden="1"/>
    </xf>
    <xf numFmtId="0" fontId="266" fillId="20" borderId="429" xfId="0" applyFont="1" applyFill="1" applyBorder="1" applyAlignment="1" applyProtection="1">
      <alignment horizontal="center" vertical="center"/>
      <protection hidden="1"/>
    </xf>
    <xf numFmtId="0" fontId="266" fillId="20" borderId="430" xfId="0" applyFont="1" applyFill="1" applyBorder="1" applyAlignment="1" applyProtection="1">
      <alignment horizontal="center" vertical="center"/>
      <protection hidden="1"/>
    </xf>
    <xf numFmtId="0" fontId="105" fillId="27" borderId="426" xfId="0" applyFont="1" applyFill="1" applyBorder="1" applyAlignment="1" applyProtection="1">
      <alignment horizontal="center" vertical="center"/>
      <protection hidden="1"/>
    </xf>
    <xf numFmtId="0" fontId="105" fillId="27" borderId="69" xfId="0" applyFont="1" applyFill="1" applyBorder="1" applyAlignment="1" applyProtection="1">
      <alignment horizontal="center" vertical="center"/>
      <protection hidden="1"/>
    </xf>
    <xf numFmtId="0" fontId="105" fillId="27" borderId="427" xfId="0" applyFont="1" applyFill="1" applyBorder="1" applyAlignment="1" applyProtection="1">
      <alignment horizontal="center" vertical="center"/>
      <protection hidden="1"/>
    </xf>
    <xf numFmtId="0" fontId="266" fillId="27" borderId="428" xfId="0" applyFont="1" applyFill="1" applyBorder="1" applyAlignment="1" applyProtection="1">
      <alignment horizontal="center" vertical="center"/>
      <protection hidden="1"/>
    </xf>
    <xf numFmtId="0" fontId="266" fillId="27" borderId="429" xfId="0" applyFont="1" applyFill="1" applyBorder="1" applyAlignment="1" applyProtection="1">
      <alignment horizontal="center" vertical="center"/>
      <protection hidden="1"/>
    </xf>
    <xf numFmtId="0" fontId="266" fillId="27" borderId="430" xfId="0" applyFont="1" applyFill="1" applyBorder="1" applyAlignment="1" applyProtection="1">
      <alignment horizontal="center" vertical="center"/>
      <protection hidden="1"/>
    </xf>
    <xf numFmtId="0" fontId="129" fillId="20" borderId="437" xfId="67" applyFont="1" applyFill="1" applyBorder="1" applyAlignment="1" applyProtection="1">
      <alignment horizontal="center" vertical="center" wrapText="1"/>
      <protection hidden="1"/>
    </xf>
    <xf numFmtId="0" fontId="129" fillId="20" borderId="438" xfId="67" applyFont="1" applyFill="1" applyBorder="1" applyAlignment="1" applyProtection="1">
      <alignment horizontal="center" vertical="center" wrapText="1"/>
      <protection hidden="1"/>
    </xf>
    <xf numFmtId="0" fontId="2" fillId="20" borderId="71" xfId="73" applyFont="1" applyFill="1" applyBorder="1" applyAlignment="1" applyProtection="1">
      <alignment horizontal="center" vertical="center" wrapText="1"/>
      <protection hidden="1"/>
    </xf>
    <xf numFmtId="0" fontId="2" fillId="20" borderId="43" xfId="73" applyFont="1" applyFill="1" applyBorder="1" applyAlignment="1" applyProtection="1">
      <alignment horizontal="center" vertical="center" wrapText="1"/>
      <protection hidden="1"/>
    </xf>
    <xf numFmtId="0" fontId="269" fillId="20" borderId="33" xfId="0" applyFont="1" applyFill="1" applyBorder="1" applyAlignment="1" applyProtection="1">
      <alignment horizontal="center" vertical="center" wrapText="1"/>
      <protection hidden="1"/>
    </xf>
    <xf numFmtId="0" fontId="269" fillId="20" borderId="42" xfId="0" applyFont="1" applyFill="1" applyBorder="1" applyAlignment="1" applyProtection="1">
      <alignment horizontal="center" vertical="center" wrapText="1"/>
      <protection hidden="1"/>
    </xf>
    <xf numFmtId="0" fontId="269" fillId="20" borderId="70" xfId="0" applyFont="1" applyFill="1" applyBorder="1" applyAlignment="1" applyProtection="1">
      <alignment horizontal="center" vertical="center" wrapText="1"/>
      <protection hidden="1"/>
    </xf>
    <xf numFmtId="0" fontId="269" fillId="20" borderId="0" xfId="0" applyFont="1" applyFill="1" applyBorder="1" applyAlignment="1" applyProtection="1">
      <alignment horizontal="center" vertical="center" wrapText="1"/>
      <protection hidden="1"/>
    </xf>
    <xf numFmtId="0" fontId="118" fillId="20" borderId="280" xfId="73" applyFont="1" applyFill="1" applyBorder="1" applyAlignment="1" applyProtection="1">
      <alignment horizontal="center" vertical="center" wrapText="1"/>
      <protection hidden="1"/>
    </xf>
    <xf numFmtId="0" fontId="118" fillId="20" borderId="42" xfId="73" applyFont="1" applyFill="1" applyBorder="1" applyAlignment="1" applyProtection="1">
      <alignment horizontal="center" vertical="center" wrapText="1"/>
      <protection hidden="1"/>
    </xf>
    <xf numFmtId="0" fontId="118" fillId="20" borderId="37" xfId="73" applyFont="1" applyFill="1" applyBorder="1" applyAlignment="1" applyProtection="1">
      <alignment horizontal="center" vertical="center" wrapText="1"/>
      <protection hidden="1"/>
    </xf>
    <xf numFmtId="0" fontId="118" fillId="20" borderId="285" xfId="73" applyFont="1" applyFill="1" applyBorder="1" applyAlignment="1" applyProtection="1">
      <alignment horizontal="center" vertical="center" wrapText="1"/>
      <protection hidden="1"/>
    </xf>
    <xf numFmtId="0" fontId="118" fillId="20" borderId="283" xfId="73" applyFont="1" applyFill="1" applyBorder="1" applyAlignment="1" applyProtection="1">
      <alignment horizontal="center" vertical="center" wrapText="1"/>
      <protection hidden="1"/>
    </xf>
    <xf numFmtId="0" fontId="118" fillId="20" borderId="284" xfId="73" applyFont="1" applyFill="1" applyBorder="1" applyAlignment="1" applyProtection="1">
      <alignment horizontal="center" vertical="center" wrapText="1"/>
      <protection hidden="1"/>
    </xf>
    <xf numFmtId="0" fontId="0" fillId="0" borderId="46" xfId="0" applyBorder="1" applyProtection="1"/>
    <xf numFmtId="0" fontId="54" fillId="20" borderId="431" xfId="73" applyFont="1" applyFill="1" applyBorder="1" applyAlignment="1" applyProtection="1">
      <alignment horizontal="center" vertical="center" wrapText="1"/>
      <protection hidden="1"/>
    </xf>
    <xf numFmtId="0" fontId="54" fillId="20" borderId="432" xfId="73" applyFont="1" applyFill="1" applyBorder="1" applyAlignment="1" applyProtection="1">
      <alignment horizontal="center" vertical="center" wrapText="1"/>
      <protection hidden="1"/>
    </xf>
    <xf numFmtId="0" fontId="129" fillId="20" borderId="433" xfId="67" applyFont="1" applyFill="1" applyBorder="1" applyAlignment="1" applyProtection="1">
      <alignment horizontal="center" vertical="center" wrapText="1"/>
      <protection hidden="1"/>
    </xf>
    <xf numFmtId="0" fontId="129" fillId="20" borderId="434" xfId="67" applyFont="1" applyFill="1" applyBorder="1" applyAlignment="1" applyProtection="1">
      <alignment horizontal="center" vertical="center" wrapText="1"/>
      <protection hidden="1"/>
    </xf>
    <xf numFmtId="0" fontId="54" fillId="38" borderId="96" xfId="73" applyFont="1" applyFill="1" applyBorder="1" applyAlignment="1" applyProtection="1">
      <alignment horizontal="center" vertical="center" wrapText="1"/>
      <protection hidden="1"/>
    </xf>
    <xf numFmtId="0" fontId="105" fillId="20" borderId="426" xfId="0" applyFont="1" applyFill="1" applyBorder="1" applyAlignment="1" applyProtection="1">
      <alignment horizontal="center" vertical="center"/>
      <protection hidden="1"/>
    </xf>
    <xf numFmtId="0" fontId="105" fillId="20" borderId="69" xfId="0" applyFont="1" applyFill="1" applyBorder="1" applyAlignment="1" applyProtection="1">
      <alignment horizontal="center" vertical="center"/>
      <protection hidden="1"/>
    </xf>
    <xf numFmtId="0" fontId="105" fillId="20" borderId="427" xfId="0" applyFont="1" applyFill="1" applyBorder="1" applyAlignment="1" applyProtection="1">
      <alignment horizontal="center" vertical="center"/>
      <protection hidden="1"/>
    </xf>
    <xf numFmtId="0" fontId="105" fillId="38" borderId="426" xfId="0" applyFont="1" applyFill="1" applyBorder="1" applyAlignment="1" applyProtection="1">
      <alignment horizontal="center" vertical="center"/>
      <protection hidden="1"/>
    </xf>
    <xf numFmtId="0" fontId="105" fillId="38" borderId="69" xfId="0" applyFont="1" applyFill="1" applyBorder="1" applyAlignment="1" applyProtection="1">
      <alignment horizontal="center" vertical="center"/>
      <protection hidden="1"/>
    </xf>
    <xf numFmtId="0" fontId="105" fillId="38" borderId="427" xfId="0" applyFont="1" applyFill="1" applyBorder="1" applyAlignment="1" applyProtection="1">
      <alignment horizontal="center" vertical="center"/>
      <protection hidden="1"/>
    </xf>
    <xf numFmtId="0" fontId="129" fillId="20" borderId="435" xfId="67" applyFont="1" applyFill="1" applyBorder="1" applyAlignment="1" applyProtection="1">
      <alignment horizontal="center" vertical="center" wrapText="1"/>
      <protection hidden="1"/>
    </xf>
    <xf numFmtId="0" fontId="129" fillId="20" borderId="436" xfId="67" applyFont="1" applyFill="1" applyBorder="1" applyAlignment="1" applyProtection="1">
      <alignment horizontal="center" vertical="center" wrapText="1"/>
      <protection hidden="1"/>
    </xf>
    <xf numFmtId="0" fontId="54" fillId="20" borderId="439" xfId="73" applyFont="1" applyFill="1" applyBorder="1" applyAlignment="1" applyProtection="1">
      <alignment horizontal="center" vertical="center" wrapText="1"/>
      <protection hidden="1"/>
    </xf>
    <xf numFmtId="0" fontId="54" fillId="20" borderId="440" xfId="73" applyFont="1" applyFill="1" applyBorder="1" applyAlignment="1" applyProtection="1">
      <alignment horizontal="center" vertical="center" wrapText="1"/>
      <protection hidden="1"/>
    </xf>
    <xf numFmtId="0" fontId="129" fillId="20" borderId="441" xfId="67" applyFont="1" applyFill="1" applyBorder="1" applyAlignment="1" applyProtection="1">
      <alignment horizontal="center" vertical="center" wrapText="1"/>
      <protection hidden="1"/>
    </xf>
    <xf numFmtId="0" fontId="141" fillId="39" borderId="33" xfId="73" applyFont="1" applyFill="1" applyBorder="1" applyAlignment="1" applyProtection="1">
      <alignment horizontal="center" vertical="center" wrapText="1"/>
      <protection hidden="1"/>
    </xf>
    <xf numFmtId="0" fontId="141" fillId="39" borderId="42" xfId="73" applyFont="1" applyFill="1" applyBorder="1" applyAlignment="1" applyProtection="1">
      <alignment horizontal="center" vertical="center" wrapText="1"/>
      <protection hidden="1"/>
    </xf>
    <xf numFmtId="0" fontId="141" fillId="39" borderId="71" xfId="73" applyFont="1" applyFill="1" applyBorder="1" applyAlignment="1" applyProtection="1">
      <alignment horizontal="center" vertical="center" wrapText="1"/>
      <protection hidden="1"/>
    </xf>
    <xf numFmtId="0" fontId="141" fillId="39" borderId="70" xfId="73" applyFont="1" applyFill="1" applyBorder="1" applyAlignment="1" applyProtection="1">
      <alignment horizontal="center" vertical="center" wrapText="1"/>
      <protection hidden="1"/>
    </xf>
    <xf numFmtId="0" fontId="141" fillId="39" borderId="0" xfId="73" applyFont="1" applyFill="1" applyBorder="1" applyAlignment="1" applyProtection="1">
      <alignment horizontal="center" vertical="center" wrapText="1"/>
      <protection hidden="1"/>
    </xf>
    <xf numFmtId="0" fontId="141" fillId="39" borderId="43" xfId="73" applyFont="1" applyFill="1" applyBorder="1" applyAlignment="1" applyProtection="1">
      <alignment horizontal="center" vertical="center" wrapText="1"/>
      <protection hidden="1"/>
    </xf>
    <xf numFmtId="0" fontId="110" fillId="39" borderId="282" xfId="0" applyFont="1" applyFill="1" applyBorder="1" applyAlignment="1" applyProtection="1">
      <alignment horizontal="center" vertical="center" wrapText="1"/>
      <protection hidden="1"/>
    </xf>
    <xf numFmtId="0" fontId="110" fillId="39" borderId="283" xfId="0" applyFont="1" applyFill="1" applyBorder="1" applyAlignment="1" applyProtection="1">
      <alignment horizontal="center" vertical="center" wrapText="1"/>
      <protection hidden="1"/>
    </xf>
    <xf numFmtId="0" fontId="110" fillId="39" borderId="286" xfId="0" applyFont="1" applyFill="1" applyBorder="1" applyAlignment="1" applyProtection="1">
      <alignment horizontal="center" vertical="center" wrapText="1"/>
      <protection hidden="1"/>
    </xf>
    <xf numFmtId="0" fontId="266" fillId="37" borderId="446" xfId="0" applyFont="1" applyFill="1" applyBorder="1" applyAlignment="1" applyProtection="1">
      <alignment horizontal="right" vertical="center"/>
      <protection hidden="1"/>
    </xf>
    <xf numFmtId="0" fontId="266" fillId="37" borderId="429" xfId="0" applyFont="1" applyFill="1" applyBorder="1" applyAlignment="1" applyProtection="1">
      <alignment horizontal="right" vertical="center"/>
      <protection hidden="1"/>
    </xf>
    <xf numFmtId="0" fontId="266" fillId="37" borderId="447" xfId="0" applyFont="1" applyFill="1" applyBorder="1" applyAlignment="1" applyProtection="1">
      <alignment horizontal="right" vertical="center"/>
      <protection hidden="1"/>
    </xf>
    <xf numFmtId="0" fontId="269" fillId="20" borderId="37" xfId="0" applyFont="1" applyFill="1" applyBorder="1" applyAlignment="1" applyProtection="1">
      <alignment horizontal="center" vertical="center" wrapText="1"/>
      <protection hidden="1"/>
    </xf>
    <xf numFmtId="0" fontId="269" fillId="20" borderId="282" xfId="0" applyFont="1" applyFill="1" applyBorder="1" applyAlignment="1" applyProtection="1">
      <alignment horizontal="center" vertical="center" wrapText="1"/>
      <protection hidden="1"/>
    </xf>
    <xf numFmtId="0" fontId="269" fillId="20" borderId="283" xfId="0" applyFont="1" applyFill="1" applyBorder="1" applyAlignment="1" applyProtection="1">
      <alignment horizontal="center" vertical="center" wrapText="1"/>
      <protection hidden="1"/>
    </xf>
    <xf numFmtId="0" fontId="269" fillId="20" borderId="284" xfId="0" applyFont="1" applyFill="1" applyBorder="1" applyAlignment="1" applyProtection="1">
      <alignment horizontal="center" vertical="center" wrapText="1"/>
      <protection hidden="1"/>
    </xf>
    <xf numFmtId="0" fontId="2" fillId="20" borderId="286" xfId="73" applyFont="1" applyFill="1" applyBorder="1" applyAlignment="1" applyProtection="1">
      <alignment horizontal="center" vertical="center" wrapText="1"/>
      <protection hidden="1"/>
    </xf>
    <xf numFmtId="0" fontId="2" fillId="40" borderId="42" xfId="73" applyFont="1" applyFill="1" applyBorder="1" applyAlignment="1" applyProtection="1">
      <alignment horizontal="center" vertical="center" wrapText="1"/>
      <protection hidden="1"/>
    </xf>
    <xf numFmtId="0" fontId="2" fillId="40" borderId="71" xfId="73" applyFont="1" applyFill="1" applyBorder="1" applyAlignment="1" applyProtection="1">
      <alignment horizontal="center" vertical="center" wrapText="1"/>
      <protection hidden="1"/>
    </xf>
    <xf numFmtId="0" fontId="2" fillId="40" borderId="0" xfId="73" applyFont="1" applyFill="1" applyBorder="1" applyAlignment="1" applyProtection="1">
      <alignment horizontal="center" vertical="center" wrapText="1"/>
      <protection hidden="1"/>
    </xf>
    <xf numFmtId="0" fontId="268" fillId="40" borderId="0" xfId="73" applyFont="1" applyFill="1" applyBorder="1" applyAlignment="1" applyProtection="1">
      <alignment horizontal="center" vertical="center" wrapText="1"/>
      <protection hidden="1"/>
    </xf>
    <xf numFmtId="0" fontId="2" fillId="40" borderId="43" xfId="73" applyFont="1" applyFill="1" applyBorder="1" applyAlignment="1" applyProtection="1">
      <alignment horizontal="center" vertical="center" wrapText="1"/>
      <protection hidden="1"/>
    </xf>
    <xf numFmtId="0" fontId="151" fillId="20" borderId="280" xfId="73" applyFont="1" applyFill="1" applyBorder="1" applyAlignment="1" applyProtection="1">
      <alignment horizontal="center" vertical="center" wrapText="1"/>
      <protection hidden="1"/>
    </xf>
    <xf numFmtId="0" fontId="151" fillId="20" borderId="156" xfId="73" applyFont="1" applyFill="1" applyBorder="1" applyAlignment="1" applyProtection="1">
      <alignment horizontal="center" vertical="center" wrapText="1"/>
      <protection hidden="1"/>
    </xf>
    <xf numFmtId="0" fontId="151" fillId="20" borderId="285" xfId="73" applyFont="1" applyFill="1" applyBorder="1" applyAlignment="1" applyProtection="1">
      <alignment horizontal="center" vertical="center" wrapText="1"/>
      <protection hidden="1"/>
    </xf>
    <xf numFmtId="0" fontId="151" fillId="20" borderId="283" xfId="73" applyFont="1" applyFill="1" applyBorder="1" applyAlignment="1" applyProtection="1">
      <alignment horizontal="center" vertical="center" wrapText="1"/>
      <protection hidden="1"/>
    </xf>
    <xf numFmtId="0" fontId="151" fillId="20" borderId="286" xfId="73" applyFont="1" applyFill="1" applyBorder="1" applyAlignment="1" applyProtection="1">
      <alignment horizontal="center" vertical="center" wrapText="1"/>
      <protection hidden="1"/>
    </xf>
    <xf numFmtId="0" fontId="105" fillId="20" borderId="452" xfId="0" applyFont="1" applyFill="1" applyBorder="1" applyAlignment="1" applyProtection="1">
      <alignment horizontal="center" vertical="center"/>
      <protection hidden="1"/>
    </xf>
    <xf numFmtId="0" fontId="105" fillId="20" borderId="453" xfId="0" applyFont="1" applyFill="1" applyBorder="1" applyAlignment="1" applyProtection="1">
      <alignment horizontal="center" vertical="center"/>
      <protection hidden="1"/>
    </xf>
    <xf numFmtId="0" fontId="266" fillId="20" borderId="446" xfId="0" applyFont="1" applyFill="1" applyBorder="1" applyAlignment="1" applyProtection="1">
      <alignment horizontal="center" vertical="center"/>
      <protection hidden="1"/>
    </xf>
    <xf numFmtId="0" fontId="266" fillId="20" borderId="447" xfId="0" applyFont="1" applyFill="1" applyBorder="1" applyAlignment="1" applyProtection="1">
      <alignment horizontal="center" vertical="center"/>
      <protection hidden="1"/>
    </xf>
    <xf numFmtId="0" fontId="129" fillId="20" borderId="448" xfId="67" applyFont="1" applyFill="1" applyBorder="1" applyAlignment="1" applyProtection="1">
      <alignment horizontal="center" vertical="center" wrapText="1"/>
      <protection hidden="1"/>
    </xf>
    <xf numFmtId="0" fontId="54" fillId="20" borderId="449" xfId="73" applyFont="1" applyFill="1" applyBorder="1" applyAlignment="1" applyProtection="1">
      <alignment horizontal="center" vertical="center" wrapText="1"/>
      <protection hidden="1"/>
    </xf>
    <xf numFmtId="0" fontId="129" fillId="20" borderId="450" xfId="67" applyFont="1" applyFill="1" applyBorder="1" applyAlignment="1" applyProtection="1">
      <alignment horizontal="center" vertical="center" wrapText="1"/>
      <protection hidden="1"/>
    </xf>
    <xf numFmtId="0" fontId="129" fillId="20" borderId="451" xfId="67" applyFont="1" applyFill="1" applyBorder="1" applyAlignment="1" applyProtection="1">
      <alignment horizontal="center" vertical="center" wrapText="1"/>
      <protection hidden="1"/>
    </xf>
    <xf numFmtId="0" fontId="129" fillId="40" borderId="437" xfId="67" applyFont="1" applyFill="1" applyBorder="1" applyAlignment="1" applyProtection="1">
      <alignment horizontal="center" vertical="center" wrapText="1"/>
      <protection hidden="1"/>
    </xf>
    <xf numFmtId="0" fontId="129" fillId="40" borderId="438" xfId="67" applyFont="1" applyFill="1" applyBorder="1" applyAlignment="1" applyProtection="1">
      <alignment horizontal="center" vertical="center" wrapText="1"/>
      <protection hidden="1"/>
    </xf>
    <xf numFmtId="0" fontId="54" fillId="40" borderId="431" xfId="73" applyFont="1" applyFill="1" applyBorder="1" applyAlignment="1" applyProtection="1">
      <alignment horizontal="center" vertical="center" wrapText="1"/>
      <protection hidden="1"/>
    </xf>
    <xf numFmtId="0" fontId="54" fillId="40" borderId="432" xfId="73" applyFont="1" applyFill="1" applyBorder="1" applyAlignment="1" applyProtection="1">
      <alignment horizontal="center" vertical="center" wrapText="1"/>
      <protection hidden="1"/>
    </xf>
    <xf numFmtId="0" fontId="129" fillId="40" borderId="433" xfId="67" applyFont="1" applyFill="1" applyBorder="1" applyAlignment="1" applyProtection="1">
      <alignment horizontal="center" vertical="center" wrapText="1"/>
      <protection hidden="1"/>
    </xf>
    <xf numFmtId="0" fontId="129" fillId="40" borderId="434" xfId="67" applyFont="1" applyFill="1" applyBorder="1" applyAlignment="1" applyProtection="1">
      <alignment horizontal="center" vertical="center" wrapText="1"/>
      <protection hidden="1"/>
    </xf>
    <xf numFmtId="0" fontId="129" fillId="40" borderId="435" xfId="67" applyFont="1" applyFill="1" applyBorder="1" applyAlignment="1" applyProtection="1">
      <alignment horizontal="center" vertical="center" wrapText="1"/>
      <protection hidden="1"/>
    </xf>
    <xf numFmtId="0" fontId="129" fillId="40" borderId="436" xfId="67" applyFont="1" applyFill="1" applyBorder="1" applyAlignment="1" applyProtection="1">
      <alignment horizontal="center" vertical="center" wrapText="1"/>
      <protection hidden="1"/>
    </xf>
    <xf numFmtId="0" fontId="269" fillId="40" borderId="33" xfId="0" applyFont="1" applyFill="1" applyBorder="1" applyAlignment="1" applyProtection="1">
      <alignment horizontal="center" vertical="center" wrapText="1"/>
      <protection hidden="1"/>
    </xf>
    <xf numFmtId="0" fontId="269" fillId="40" borderId="42" xfId="0" applyFont="1" applyFill="1" applyBorder="1" applyAlignment="1" applyProtection="1">
      <alignment horizontal="center" vertical="center" wrapText="1"/>
      <protection hidden="1"/>
    </xf>
    <xf numFmtId="0" fontId="269" fillId="40" borderId="70" xfId="0" applyFont="1" applyFill="1" applyBorder="1" applyAlignment="1" applyProtection="1">
      <alignment horizontal="center" vertical="center" wrapText="1"/>
      <protection hidden="1"/>
    </xf>
    <xf numFmtId="0" fontId="269" fillId="40" borderId="0" xfId="0" applyFont="1" applyFill="1" applyBorder="1" applyAlignment="1" applyProtection="1">
      <alignment horizontal="center" vertical="center" wrapText="1"/>
      <protection hidden="1"/>
    </xf>
    <xf numFmtId="0" fontId="118" fillId="40" borderId="280" xfId="73" applyFont="1" applyFill="1" applyBorder="1" applyAlignment="1" applyProtection="1">
      <alignment horizontal="center" vertical="center" wrapText="1"/>
      <protection hidden="1"/>
    </xf>
    <xf numFmtId="0" fontId="118" fillId="40" borderId="42" xfId="73" applyFont="1" applyFill="1" applyBorder="1" applyAlignment="1" applyProtection="1">
      <alignment horizontal="center" vertical="center" wrapText="1"/>
      <protection hidden="1"/>
    </xf>
    <xf numFmtId="0" fontId="118" fillId="40" borderId="37" xfId="73" applyFont="1" applyFill="1" applyBorder="1" applyAlignment="1" applyProtection="1">
      <alignment horizontal="center" vertical="center" wrapText="1"/>
      <protection hidden="1"/>
    </xf>
    <xf numFmtId="0" fontId="118" fillId="40" borderId="285" xfId="73" applyFont="1" applyFill="1" applyBorder="1" applyAlignment="1" applyProtection="1">
      <alignment horizontal="center" vertical="center" wrapText="1"/>
      <protection hidden="1"/>
    </xf>
    <xf numFmtId="0" fontId="118" fillId="40" borderId="283" xfId="73" applyFont="1" applyFill="1" applyBorder="1" applyAlignment="1" applyProtection="1">
      <alignment horizontal="center" vertical="center" wrapText="1"/>
      <protection hidden="1"/>
    </xf>
    <xf numFmtId="0" fontId="118" fillId="40" borderId="284" xfId="73" applyFont="1" applyFill="1" applyBorder="1" applyAlignment="1" applyProtection="1">
      <alignment horizontal="center" vertical="center" wrapText="1"/>
      <protection hidden="1"/>
    </xf>
    <xf numFmtId="0" fontId="54" fillId="40" borderId="439" xfId="73" applyFont="1" applyFill="1" applyBorder="1" applyAlignment="1" applyProtection="1">
      <alignment horizontal="center" vertical="center" wrapText="1"/>
      <protection hidden="1"/>
    </xf>
    <xf numFmtId="0" fontId="54" fillId="40" borderId="440" xfId="73" applyFont="1" applyFill="1" applyBorder="1" applyAlignment="1" applyProtection="1">
      <alignment horizontal="center" vertical="center" wrapText="1"/>
      <protection hidden="1"/>
    </xf>
    <xf numFmtId="0" fontId="129" fillId="40" borderId="441" xfId="67" applyFont="1" applyFill="1" applyBorder="1" applyAlignment="1" applyProtection="1">
      <alignment horizontal="center" vertical="center" wrapText="1"/>
      <protection hidden="1"/>
    </xf>
    <xf numFmtId="0" fontId="89" fillId="40" borderId="33" xfId="73" applyFont="1" applyFill="1" applyBorder="1" applyAlignment="1" applyProtection="1">
      <alignment horizontal="center" vertical="center" wrapText="1"/>
      <protection hidden="1"/>
    </xf>
    <xf numFmtId="0" fontId="89" fillId="40" borderId="42" xfId="73" applyFont="1" applyFill="1" applyBorder="1" applyAlignment="1" applyProtection="1">
      <alignment horizontal="center" vertical="center" wrapText="1"/>
      <protection hidden="1"/>
    </xf>
    <xf numFmtId="0" fontId="89" fillId="40" borderId="71" xfId="73" applyFont="1" applyFill="1" applyBorder="1" applyAlignment="1" applyProtection="1">
      <alignment horizontal="center" vertical="center" wrapText="1"/>
      <protection hidden="1"/>
    </xf>
    <xf numFmtId="0" fontId="89" fillId="40" borderId="70" xfId="73" applyFont="1" applyFill="1" applyBorder="1" applyAlignment="1" applyProtection="1">
      <alignment horizontal="center" vertical="center" wrapText="1"/>
      <protection hidden="1"/>
    </xf>
    <xf numFmtId="0" fontId="89" fillId="40" borderId="0" xfId="73" applyFont="1" applyFill="1" applyBorder="1" applyAlignment="1" applyProtection="1">
      <alignment horizontal="center" vertical="center" wrapText="1"/>
      <protection hidden="1"/>
    </xf>
    <xf numFmtId="0" fontId="89" fillId="40" borderId="43" xfId="73" applyFont="1" applyFill="1" applyBorder="1" applyAlignment="1" applyProtection="1">
      <alignment horizontal="center" vertical="center" wrapText="1"/>
      <protection hidden="1"/>
    </xf>
    <xf numFmtId="0" fontId="89" fillId="40" borderId="282" xfId="73" applyFont="1" applyFill="1" applyBorder="1" applyAlignment="1" applyProtection="1">
      <alignment horizontal="center" vertical="center" wrapText="1"/>
      <protection hidden="1"/>
    </xf>
    <xf numFmtId="0" fontId="89" fillId="40" borderId="283" xfId="73" applyFont="1" applyFill="1" applyBorder="1" applyAlignment="1" applyProtection="1">
      <alignment horizontal="center" vertical="center" wrapText="1"/>
      <protection hidden="1"/>
    </xf>
    <xf numFmtId="0" fontId="89" fillId="40" borderId="286" xfId="73" applyFont="1" applyFill="1" applyBorder="1" applyAlignment="1" applyProtection="1">
      <alignment horizontal="center" vertical="center" wrapText="1"/>
      <protection hidden="1"/>
    </xf>
    <xf numFmtId="0" fontId="2" fillId="40" borderId="33" xfId="73" applyFont="1" applyFill="1" applyBorder="1" applyAlignment="1" applyProtection="1">
      <alignment horizontal="center" vertical="center" wrapText="1"/>
      <protection hidden="1"/>
    </xf>
    <xf numFmtId="0" fontId="2" fillId="40" borderId="70" xfId="73" applyFont="1" applyFill="1" applyBorder="1" applyAlignment="1" applyProtection="1">
      <alignment horizontal="center" vertical="center" wrapText="1"/>
      <protection hidden="1"/>
    </xf>
    <xf numFmtId="0" fontId="2" fillId="40" borderId="282" xfId="73" applyFont="1" applyFill="1" applyBorder="1" applyAlignment="1" applyProtection="1">
      <alignment horizontal="center" vertical="center" wrapText="1"/>
      <protection hidden="1"/>
    </xf>
    <xf numFmtId="0" fontId="2" fillId="40" borderId="283" xfId="73" applyFont="1" applyFill="1" applyBorder="1" applyAlignment="1" applyProtection="1">
      <alignment horizontal="center" vertical="center" wrapText="1"/>
      <protection hidden="1"/>
    </xf>
    <xf numFmtId="0" fontId="2" fillId="40" borderId="286" xfId="73" applyFont="1" applyFill="1" applyBorder="1" applyAlignment="1" applyProtection="1">
      <alignment horizontal="center" vertical="center" wrapText="1"/>
      <protection hidden="1"/>
    </xf>
    <xf numFmtId="0" fontId="266" fillId="38" borderId="446" xfId="0" applyFont="1" applyFill="1" applyBorder="1" applyAlignment="1" applyProtection="1">
      <alignment horizontal="right" vertical="center"/>
      <protection hidden="1"/>
    </xf>
    <xf numFmtId="0" fontId="266" fillId="38" borderId="429" xfId="0" applyFont="1" applyFill="1" applyBorder="1" applyAlignment="1" applyProtection="1">
      <alignment horizontal="right" vertical="center"/>
      <protection hidden="1"/>
    </xf>
    <xf numFmtId="0" fontId="266" fillId="38" borderId="447" xfId="0" applyFont="1" applyFill="1" applyBorder="1" applyAlignment="1" applyProtection="1">
      <alignment horizontal="right" vertical="center"/>
      <protection hidden="1"/>
    </xf>
    <xf numFmtId="0" fontId="270" fillId="38" borderId="42" xfId="0" applyFont="1" applyFill="1" applyBorder="1" applyAlignment="1" applyProtection="1">
      <alignment horizontal="right" vertical="center" wrapText="1"/>
      <protection hidden="1"/>
    </xf>
    <xf numFmtId="0" fontId="0" fillId="38" borderId="42" xfId="0" applyFill="1" applyBorder="1" applyAlignment="1" applyProtection="1">
      <alignment horizontal="right"/>
      <protection hidden="1"/>
    </xf>
    <xf numFmtId="0" fontId="0" fillId="38" borderId="67" xfId="0" applyFill="1" applyBorder="1" applyAlignment="1" applyProtection="1">
      <alignment horizontal="right"/>
      <protection hidden="1"/>
    </xf>
    <xf numFmtId="0" fontId="151" fillId="40" borderId="33" xfId="73" applyFont="1" applyFill="1" applyBorder="1" applyAlignment="1" applyProtection="1">
      <alignment horizontal="center" vertical="center" wrapText="1"/>
      <protection hidden="1"/>
    </xf>
    <xf numFmtId="0" fontId="151" fillId="40" borderId="42" xfId="73" applyFont="1" applyFill="1" applyBorder="1" applyAlignment="1" applyProtection="1">
      <alignment horizontal="center" vertical="center" wrapText="1"/>
      <protection hidden="1"/>
    </xf>
    <xf numFmtId="0" fontId="151" fillId="40" borderId="71" xfId="73" applyFont="1" applyFill="1" applyBorder="1" applyAlignment="1" applyProtection="1">
      <alignment horizontal="center" vertical="center" wrapText="1"/>
      <protection hidden="1"/>
    </xf>
    <xf numFmtId="0" fontId="151" fillId="40" borderId="70" xfId="73" applyFont="1" applyFill="1" applyBorder="1" applyAlignment="1" applyProtection="1">
      <alignment horizontal="center" vertical="center" wrapText="1"/>
      <protection hidden="1"/>
    </xf>
    <xf numFmtId="0" fontId="151" fillId="40" borderId="0" xfId="73" applyFont="1" applyFill="1" applyBorder="1" applyAlignment="1" applyProtection="1">
      <alignment horizontal="center" vertical="center" wrapText="1"/>
      <protection hidden="1"/>
    </xf>
    <xf numFmtId="0" fontId="151" fillId="40" borderId="43" xfId="73" applyFont="1" applyFill="1" applyBorder="1" applyAlignment="1" applyProtection="1">
      <alignment horizontal="center" vertical="center" wrapText="1"/>
      <protection hidden="1"/>
    </xf>
    <xf numFmtId="0" fontId="110" fillId="40" borderId="282" xfId="0" applyFont="1" applyFill="1" applyBorder="1" applyAlignment="1" applyProtection="1">
      <alignment horizontal="center" vertical="center" wrapText="1"/>
      <protection hidden="1"/>
    </xf>
    <xf numFmtId="0" fontId="110" fillId="40" borderId="283" xfId="0" applyFont="1" applyFill="1" applyBorder="1" applyAlignment="1" applyProtection="1">
      <alignment horizontal="center" vertical="center" wrapText="1"/>
      <protection hidden="1"/>
    </xf>
    <xf numFmtId="0" fontId="110" fillId="40" borderId="286" xfId="0" applyFont="1" applyFill="1" applyBorder="1" applyAlignment="1" applyProtection="1">
      <alignment horizontal="center" vertical="center" wrapText="1"/>
      <protection hidden="1"/>
    </xf>
    <xf numFmtId="0" fontId="105" fillId="40" borderId="426" xfId="0" applyFont="1" applyFill="1" applyBorder="1" applyAlignment="1" applyProtection="1">
      <alignment horizontal="center" vertical="center"/>
      <protection hidden="1"/>
    </xf>
    <xf numFmtId="0" fontId="105" fillId="40" borderId="69" xfId="0" applyFont="1" applyFill="1" applyBorder="1" applyAlignment="1" applyProtection="1">
      <alignment horizontal="center" vertical="center"/>
      <protection hidden="1"/>
    </xf>
    <xf numFmtId="0" fontId="105" fillId="40" borderId="427" xfId="0" applyFont="1" applyFill="1" applyBorder="1" applyAlignment="1" applyProtection="1">
      <alignment horizontal="center" vertical="center"/>
      <protection hidden="1"/>
    </xf>
    <xf numFmtId="0" fontId="266" fillId="40" borderId="428" xfId="0" applyFont="1" applyFill="1" applyBorder="1" applyAlignment="1" applyProtection="1">
      <alignment horizontal="center" vertical="center"/>
      <protection hidden="1"/>
    </xf>
    <xf numFmtId="0" fontId="266" fillId="40" borderId="429" xfId="0" applyFont="1" applyFill="1" applyBorder="1" applyAlignment="1" applyProtection="1">
      <alignment horizontal="center" vertical="center"/>
      <protection hidden="1"/>
    </xf>
    <xf numFmtId="0" fontId="266" fillId="40" borderId="430" xfId="0" applyFont="1" applyFill="1" applyBorder="1" applyAlignment="1" applyProtection="1">
      <alignment horizontal="center" vertical="center"/>
      <protection hidden="1"/>
    </xf>
    <xf numFmtId="0" fontId="504" fillId="0" borderId="0" xfId="54" applyFont="1" applyFill="1" applyAlignment="1" applyProtection="1">
      <alignment horizontal="center" vertical="center"/>
    </xf>
    <xf numFmtId="0" fontId="270" fillId="38" borderId="67" xfId="0" applyFont="1" applyFill="1" applyBorder="1" applyAlignment="1" applyProtection="1">
      <alignment horizontal="center" vertical="center" wrapText="1"/>
      <protection hidden="1"/>
    </xf>
    <xf numFmtId="0" fontId="81" fillId="38" borderId="282" xfId="73" applyFont="1" applyFill="1" applyBorder="1" applyAlignment="1" applyProtection="1">
      <alignment horizontal="center" vertical="center" wrapText="1"/>
      <protection hidden="1"/>
    </xf>
    <xf numFmtId="0" fontId="81" fillId="38" borderId="283" xfId="73" applyFont="1" applyFill="1" applyBorder="1" applyAlignment="1" applyProtection="1">
      <alignment horizontal="center" vertical="center" wrapText="1"/>
      <protection hidden="1"/>
    </xf>
    <xf numFmtId="0" fontId="81" fillId="38" borderId="286" xfId="73" applyFont="1" applyFill="1" applyBorder="1" applyAlignment="1" applyProtection="1">
      <alignment horizontal="center" vertical="center" wrapText="1"/>
      <protection hidden="1"/>
    </xf>
    <xf numFmtId="0" fontId="141" fillId="39" borderId="282" xfId="73" applyFont="1" applyFill="1" applyBorder="1" applyAlignment="1" applyProtection="1">
      <alignment horizontal="center" vertical="center" wrapText="1"/>
      <protection hidden="1"/>
    </xf>
    <xf numFmtId="0" fontId="141" fillId="39" borderId="283" xfId="73" applyFont="1" applyFill="1" applyBorder="1" applyAlignment="1" applyProtection="1">
      <alignment horizontal="center" vertical="center" wrapText="1"/>
      <protection hidden="1"/>
    </xf>
    <xf numFmtId="0" fontId="141" fillId="39" borderId="286" xfId="73" applyFont="1" applyFill="1" applyBorder="1" applyAlignment="1" applyProtection="1">
      <alignment horizontal="center" vertical="center" wrapText="1"/>
      <protection hidden="1"/>
    </xf>
    <xf numFmtId="0" fontId="54" fillId="38" borderId="114" xfId="73" applyFont="1" applyFill="1" applyBorder="1" applyAlignment="1" applyProtection="1">
      <alignment horizontal="center" vertical="center" wrapText="1"/>
      <protection hidden="1"/>
    </xf>
    <xf numFmtId="0" fontId="129" fillId="38" borderId="113" xfId="67" applyFont="1" applyFill="1" applyBorder="1" applyAlignment="1" applyProtection="1">
      <alignment horizontal="center" vertical="center" wrapText="1"/>
      <protection hidden="1"/>
    </xf>
    <xf numFmtId="0" fontId="129" fillId="38" borderId="114" xfId="67" applyFont="1" applyFill="1" applyBorder="1" applyAlignment="1" applyProtection="1">
      <alignment horizontal="center" vertical="center" wrapText="1"/>
      <protection hidden="1"/>
    </xf>
    <xf numFmtId="2" fontId="304" fillId="0" borderId="403" xfId="55" applyNumberFormat="1" applyFont="1" applyFill="1" applyBorder="1" applyAlignment="1" applyProtection="1">
      <alignment horizontal="center" vertical="center"/>
    </xf>
    <xf numFmtId="2" fontId="304" fillId="0" borderId="404" xfId="55" applyNumberFormat="1" applyFont="1" applyFill="1" applyBorder="1" applyAlignment="1" applyProtection="1">
      <alignment horizontal="center" vertical="center"/>
    </xf>
    <xf numFmtId="2" fontId="304" fillId="0" borderId="414" xfId="55" applyNumberFormat="1" applyFont="1" applyFill="1" applyBorder="1" applyAlignment="1" applyProtection="1">
      <alignment horizontal="center" vertical="center"/>
    </xf>
    <xf numFmtId="2" fontId="304" fillId="0" borderId="415" xfId="55" applyNumberFormat="1" applyFont="1" applyFill="1" applyBorder="1" applyAlignment="1" applyProtection="1">
      <alignment horizontal="center" vertical="center"/>
    </xf>
    <xf numFmtId="0" fontId="291" fillId="47" borderId="392" xfId="55" applyFont="1" applyFill="1" applyBorder="1" applyAlignment="1" applyProtection="1">
      <alignment horizontal="center"/>
    </xf>
    <xf numFmtId="0" fontId="76" fillId="29" borderId="0" xfId="67" applyFont="1" applyFill="1" applyBorder="1" applyAlignment="1" applyProtection="1">
      <alignment horizontal="center" vertical="center" readingOrder="2"/>
    </xf>
    <xf numFmtId="0" fontId="115" fillId="0" borderId="65" xfId="67" applyFont="1" applyFill="1" applyBorder="1" applyAlignment="1" applyProtection="1">
      <alignment horizontal="center" vertical="center" wrapText="1"/>
    </xf>
    <xf numFmtId="0" fontId="115" fillId="0" borderId="62" xfId="67" applyFont="1" applyFill="1" applyBorder="1" applyAlignment="1" applyProtection="1">
      <alignment horizontal="center" vertical="center" wrapText="1"/>
    </xf>
    <xf numFmtId="0" fontId="115" fillId="0" borderId="64" xfId="67" applyFont="1" applyFill="1" applyBorder="1" applyAlignment="1" applyProtection="1">
      <alignment horizontal="center" vertical="center" wrapText="1"/>
    </xf>
    <xf numFmtId="0" fontId="220" fillId="35" borderId="0" xfId="66" applyFont="1" applyFill="1" applyBorder="1" applyAlignment="1" applyProtection="1">
      <alignment horizontal="center"/>
    </xf>
    <xf numFmtId="0" fontId="44" fillId="29" borderId="0" xfId="66" applyFont="1" applyFill="1" applyBorder="1" applyAlignment="1" applyProtection="1">
      <alignment horizontal="center"/>
    </xf>
    <xf numFmtId="3" fontId="78" fillId="0" borderId="32" xfId="62" applyNumberFormat="1" applyFont="1" applyFill="1" applyBorder="1" applyAlignment="1" applyProtection="1">
      <alignment horizontal="center"/>
    </xf>
    <xf numFmtId="3" fontId="78" fillId="0" borderId="44" xfId="62" applyNumberFormat="1" applyFont="1" applyFill="1" applyBorder="1" applyAlignment="1" applyProtection="1">
      <alignment horizontal="center"/>
    </xf>
    <xf numFmtId="3" fontId="78" fillId="0" borderId="38" xfId="62" applyNumberFormat="1" applyFont="1" applyFill="1" applyBorder="1" applyAlignment="1" applyProtection="1">
      <alignment horizontal="center"/>
    </xf>
    <xf numFmtId="0" fontId="76" fillId="29" borderId="0" xfId="67" applyFont="1" applyFill="1" applyBorder="1" applyAlignment="1" applyProtection="1">
      <alignment horizontal="center" vertical="center"/>
    </xf>
    <xf numFmtId="0" fontId="199" fillId="35" borderId="0" xfId="67" applyFont="1" applyFill="1" applyBorder="1" applyAlignment="1" applyProtection="1">
      <alignment horizontal="center" vertical="center"/>
    </xf>
    <xf numFmtId="0" fontId="86" fillId="29" borderId="0" xfId="66" applyFont="1" applyFill="1" applyBorder="1" applyAlignment="1" applyProtection="1">
      <alignment horizontal="center"/>
    </xf>
    <xf numFmtId="0" fontId="80" fillId="28" borderId="0" xfId="67" applyFont="1" applyFill="1" applyBorder="1" applyAlignment="1" applyProtection="1">
      <alignment horizontal="center" vertical="center" readingOrder="2"/>
    </xf>
    <xf numFmtId="0" fontId="86" fillId="29" borderId="0" xfId="62" applyFont="1" applyFill="1" applyBorder="1" applyAlignment="1" applyProtection="1">
      <alignment horizontal="center"/>
    </xf>
    <xf numFmtId="0" fontId="44" fillId="29" borderId="0" xfId="62" applyFont="1" applyFill="1" applyBorder="1" applyAlignment="1" applyProtection="1">
      <alignment horizontal="center"/>
    </xf>
    <xf numFmtId="0" fontId="115" fillId="0" borderId="63" xfId="67" applyFont="1" applyFill="1" applyBorder="1" applyAlignment="1" applyProtection="1">
      <alignment horizontal="center" vertical="center" wrapText="1"/>
    </xf>
    <xf numFmtId="0" fontId="115" fillId="0" borderId="61" xfId="67" applyFont="1" applyFill="1" applyBorder="1" applyAlignment="1" applyProtection="1">
      <alignment horizontal="center" vertical="center" wrapText="1"/>
    </xf>
    <xf numFmtId="0" fontId="116" fillId="31" borderId="33" xfId="62" applyFont="1" applyFill="1" applyBorder="1" applyAlignment="1" applyProtection="1">
      <alignment horizontal="center" vertical="center" wrapText="1"/>
    </xf>
    <xf numFmtId="0" fontId="116" fillId="31" borderId="42" xfId="62" applyFont="1" applyFill="1" applyBorder="1" applyAlignment="1" applyProtection="1">
      <alignment horizontal="center" vertical="center" wrapText="1"/>
    </xf>
    <xf numFmtId="0" fontId="116" fillId="31" borderId="71" xfId="62" applyFont="1" applyFill="1" applyBorder="1" applyAlignment="1" applyProtection="1">
      <alignment horizontal="center" vertical="center" wrapText="1"/>
    </xf>
    <xf numFmtId="0" fontId="116" fillId="31" borderId="68" xfId="62" applyFont="1" applyFill="1" applyBorder="1" applyAlignment="1" applyProtection="1">
      <alignment horizontal="center" vertical="center" wrapText="1"/>
    </xf>
    <xf numFmtId="0" fontId="116" fillId="31" borderId="67" xfId="62" applyFont="1" applyFill="1" applyBorder="1" applyAlignment="1" applyProtection="1">
      <alignment horizontal="center" vertical="center" wrapText="1"/>
    </xf>
    <xf numFmtId="0" fontId="116" fillId="31" borderId="66" xfId="62" applyFont="1" applyFill="1" applyBorder="1" applyAlignment="1" applyProtection="1">
      <alignment horizontal="center" vertical="center" wrapText="1"/>
    </xf>
    <xf numFmtId="0" fontId="115" fillId="0" borderId="68" xfId="67" applyFont="1" applyFill="1" applyBorder="1" applyAlignment="1" applyProtection="1">
      <alignment horizontal="center" vertical="center" wrapText="1"/>
    </xf>
    <xf numFmtId="0" fontId="115" fillId="0" borderId="67" xfId="67" applyFont="1" applyFill="1" applyBorder="1" applyAlignment="1" applyProtection="1">
      <alignment horizontal="center" vertical="center" wrapText="1"/>
    </xf>
    <xf numFmtId="0" fontId="115" fillId="0" borderId="66" xfId="67" applyFont="1" applyFill="1" applyBorder="1" applyAlignment="1" applyProtection="1">
      <alignment horizontal="center" vertical="center" wrapText="1"/>
    </xf>
    <xf numFmtId="0" fontId="122" fillId="36" borderId="33" xfId="73" applyFont="1" applyFill="1" applyBorder="1" applyAlignment="1" applyProtection="1">
      <alignment horizontal="center" vertical="center"/>
    </xf>
    <xf numFmtId="0" fontId="122" fillId="36" borderId="42" xfId="73" applyFont="1" applyFill="1" applyBorder="1" applyAlignment="1" applyProtection="1">
      <alignment horizontal="center" vertical="center"/>
    </xf>
    <xf numFmtId="0" fontId="122" fillId="36" borderId="71" xfId="73" applyFont="1" applyFill="1" applyBorder="1" applyAlignment="1" applyProtection="1">
      <alignment horizontal="center" vertical="center"/>
    </xf>
    <xf numFmtId="0" fontId="122" fillId="36" borderId="68" xfId="73" applyFont="1" applyFill="1" applyBorder="1" applyAlignment="1" applyProtection="1">
      <alignment horizontal="center" vertical="center"/>
    </xf>
    <xf numFmtId="0" fontId="122" fillId="36" borderId="67" xfId="73" applyFont="1" applyFill="1" applyBorder="1" applyAlignment="1" applyProtection="1">
      <alignment horizontal="center" vertical="center"/>
    </xf>
    <xf numFmtId="0" fontId="122" fillId="36" borderId="66" xfId="73" applyFont="1" applyFill="1" applyBorder="1" applyAlignment="1" applyProtection="1">
      <alignment horizontal="center" vertical="center"/>
    </xf>
    <xf numFmtId="0" fontId="121" fillId="0" borderId="65" xfId="73" applyFont="1" applyFill="1" applyBorder="1" applyAlignment="1" applyProtection="1">
      <alignment horizontal="center" vertical="center" wrapText="1"/>
    </xf>
    <xf numFmtId="0" fontId="121" fillId="0" borderId="62" xfId="73" applyFont="1" applyFill="1" applyBorder="1" applyAlignment="1" applyProtection="1">
      <alignment horizontal="center" vertical="center" wrapText="1"/>
    </xf>
    <xf numFmtId="0" fontId="121" fillId="0" borderId="61" xfId="73" applyFont="1" applyFill="1" applyBorder="1" applyAlignment="1" applyProtection="1">
      <alignment horizontal="center" vertical="center" wrapText="1"/>
    </xf>
    <xf numFmtId="0" fontId="117" fillId="0" borderId="481" xfId="67" applyFont="1" applyFill="1" applyBorder="1" applyAlignment="1" applyProtection="1">
      <alignment horizontal="center" vertical="center" wrapText="1"/>
    </xf>
    <xf numFmtId="0" fontId="117" fillId="0" borderId="328" xfId="67" applyFont="1" applyFill="1" applyBorder="1" applyAlignment="1" applyProtection="1">
      <alignment horizontal="center" vertical="center" wrapText="1"/>
    </xf>
    <xf numFmtId="0" fontId="117" fillId="0" borderId="482" xfId="67" applyFont="1" applyFill="1" applyBorder="1" applyAlignment="1" applyProtection="1">
      <alignment horizontal="center" vertical="center" wrapText="1"/>
    </xf>
    <xf numFmtId="0" fontId="117" fillId="0" borderId="68" xfId="67" applyFont="1" applyFill="1" applyBorder="1" applyAlignment="1" applyProtection="1">
      <alignment horizontal="center" vertical="center" wrapText="1"/>
    </xf>
    <xf numFmtId="0" fontId="117" fillId="0" borderId="67" xfId="67" applyFont="1" applyFill="1" applyBorder="1" applyAlignment="1" applyProtection="1">
      <alignment horizontal="center" vertical="center" wrapText="1"/>
    </xf>
    <xf numFmtId="0" fontId="117" fillId="0" borderId="66" xfId="67" applyFont="1" applyFill="1" applyBorder="1" applyAlignment="1" applyProtection="1">
      <alignment horizontal="center" vertical="center" wrapText="1"/>
    </xf>
    <xf numFmtId="0" fontId="89" fillId="38" borderId="33" xfId="73" applyFont="1" applyFill="1" applyBorder="1" applyAlignment="1" applyProtection="1">
      <alignment horizontal="center" vertical="center" wrapText="1"/>
    </xf>
    <xf numFmtId="0" fontId="89" fillId="38" borderId="42" xfId="73" applyFont="1" applyFill="1" applyBorder="1" applyAlignment="1" applyProtection="1">
      <alignment horizontal="center" vertical="center" wrapText="1"/>
    </xf>
    <xf numFmtId="0" fontId="89" fillId="38" borderId="71" xfId="73" applyFont="1" applyFill="1" applyBorder="1" applyAlignment="1" applyProtection="1">
      <alignment horizontal="center" vertical="center" wrapText="1"/>
    </xf>
    <xf numFmtId="0" fontId="89" fillId="38" borderId="70" xfId="73" applyFont="1" applyFill="1" applyBorder="1" applyAlignment="1" applyProtection="1">
      <alignment horizontal="center" vertical="center" wrapText="1"/>
    </xf>
    <xf numFmtId="0" fontId="89" fillId="38" borderId="0" xfId="73" applyFont="1" applyFill="1" applyBorder="1" applyAlignment="1" applyProtection="1">
      <alignment horizontal="center" vertical="center" wrapText="1"/>
    </xf>
    <xf numFmtId="0" fontId="89" fillId="38" borderId="43" xfId="73" applyFont="1" applyFill="1" applyBorder="1" applyAlignment="1" applyProtection="1">
      <alignment horizontal="center" vertical="center" wrapText="1"/>
    </xf>
    <xf numFmtId="0" fontId="89" fillId="38" borderId="282" xfId="73" applyFont="1" applyFill="1" applyBorder="1" applyAlignment="1" applyProtection="1">
      <alignment horizontal="center" vertical="center" wrapText="1"/>
    </xf>
    <xf numFmtId="0" fontId="89" fillId="38" borderId="283" xfId="73" applyFont="1" applyFill="1" applyBorder="1" applyAlignment="1" applyProtection="1">
      <alignment horizontal="center" vertical="center" wrapText="1"/>
    </xf>
    <xf numFmtId="0" fontId="89" fillId="38" borderId="286" xfId="73" applyFont="1" applyFill="1" applyBorder="1" applyAlignment="1" applyProtection="1">
      <alignment horizontal="center" vertical="center" wrapText="1"/>
    </xf>
    <xf numFmtId="0" fontId="2" fillId="39" borderId="33" xfId="73" applyFont="1" applyFill="1" applyBorder="1" applyAlignment="1" applyProtection="1">
      <alignment horizontal="center" vertical="center" wrapText="1"/>
    </xf>
    <xf numFmtId="0" fontId="2" fillId="39" borderId="42" xfId="73" applyFont="1" applyFill="1" applyBorder="1" applyAlignment="1" applyProtection="1">
      <alignment horizontal="center" vertical="center" wrapText="1"/>
    </xf>
    <xf numFmtId="0" fontId="2" fillId="39" borderId="71" xfId="73" applyFont="1" applyFill="1" applyBorder="1" applyAlignment="1" applyProtection="1">
      <alignment horizontal="center" vertical="center" wrapText="1"/>
    </xf>
    <xf numFmtId="0" fontId="2" fillId="39" borderId="70" xfId="73" applyFont="1" applyFill="1" applyBorder="1" applyAlignment="1" applyProtection="1">
      <alignment horizontal="center" vertical="center" wrapText="1"/>
    </xf>
    <xf numFmtId="0" fontId="2" fillId="39" borderId="0" xfId="73" applyFont="1" applyFill="1" applyBorder="1" applyAlignment="1" applyProtection="1">
      <alignment horizontal="center" vertical="center" wrapText="1"/>
    </xf>
    <xf numFmtId="0" fontId="2" fillId="39" borderId="43" xfId="73" applyFont="1" applyFill="1" applyBorder="1" applyAlignment="1" applyProtection="1">
      <alignment horizontal="center" vertical="center" wrapText="1"/>
    </xf>
    <xf numFmtId="0" fontId="2" fillId="39" borderId="282" xfId="73" applyFont="1" applyFill="1" applyBorder="1" applyAlignment="1" applyProtection="1">
      <alignment horizontal="center" vertical="center" wrapText="1"/>
    </xf>
    <xf numFmtId="0" fontId="2" fillId="39" borderId="283" xfId="73" applyFont="1" applyFill="1" applyBorder="1" applyAlignment="1" applyProtection="1">
      <alignment horizontal="center" vertical="center" wrapText="1"/>
    </xf>
    <xf numFmtId="0" fontId="2" fillId="39" borderId="286" xfId="73" applyFont="1" applyFill="1" applyBorder="1" applyAlignment="1" applyProtection="1">
      <alignment horizontal="center" vertical="center" wrapText="1"/>
    </xf>
    <xf numFmtId="0" fontId="4" fillId="38" borderId="33" xfId="73" applyFont="1" applyFill="1" applyBorder="1" applyAlignment="1" applyProtection="1">
      <alignment horizontal="center" vertical="center"/>
    </xf>
    <xf numFmtId="0" fontId="4" fillId="38" borderId="42" xfId="73" applyFont="1" applyFill="1" applyBorder="1" applyAlignment="1" applyProtection="1">
      <alignment horizontal="center" vertical="center"/>
    </xf>
    <xf numFmtId="0" fontId="4" fillId="38" borderId="71" xfId="73" applyFont="1" applyFill="1" applyBorder="1" applyAlignment="1" applyProtection="1">
      <alignment horizontal="center" vertical="center"/>
    </xf>
    <xf numFmtId="0" fontId="4" fillId="38" borderId="70" xfId="73" applyFont="1" applyFill="1" applyBorder="1" applyAlignment="1" applyProtection="1">
      <alignment horizontal="center" vertical="center"/>
    </xf>
    <xf numFmtId="0" fontId="4" fillId="38" borderId="0" xfId="73" applyFont="1" applyFill="1" applyBorder="1" applyAlignment="1" applyProtection="1">
      <alignment horizontal="center" vertical="center"/>
    </xf>
    <xf numFmtId="0" fontId="4" fillId="38" borderId="43" xfId="73" applyFont="1" applyFill="1" applyBorder="1" applyAlignment="1" applyProtection="1">
      <alignment horizontal="center" vertical="center"/>
    </xf>
    <xf numFmtId="0" fontId="82" fillId="0" borderId="54" xfId="67" applyFont="1" applyFill="1" applyBorder="1" applyAlignment="1" applyProtection="1">
      <alignment horizontal="center" vertical="center" wrapText="1"/>
    </xf>
    <xf numFmtId="0" fontId="82" fillId="0" borderId="59" xfId="67" applyFont="1" applyFill="1" applyBorder="1" applyAlignment="1" applyProtection="1">
      <alignment horizontal="center" vertical="center" wrapText="1"/>
    </xf>
    <xf numFmtId="0" fontId="82" fillId="0" borderId="53" xfId="67" applyFont="1" applyFill="1" applyBorder="1" applyAlignment="1" applyProtection="1">
      <alignment horizontal="center" vertical="center" wrapText="1"/>
    </xf>
    <xf numFmtId="0" fontId="82" fillId="0" borderId="58" xfId="67" applyFont="1" applyFill="1" applyBorder="1" applyAlignment="1" applyProtection="1">
      <alignment horizontal="center" vertical="center" wrapText="1"/>
    </xf>
    <xf numFmtId="0" fontId="141" fillId="38" borderId="33" xfId="73" applyFont="1" applyFill="1" applyBorder="1" applyAlignment="1" applyProtection="1">
      <alignment horizontal="center" vertical="center" wrapText="1"/>
    </xf>
    <xf numFmtId="0" fontId="141" fillId="38" borderId="42" xfId="73" applyFont="1" applyFill="1" applyBorder="1" applyAlignment="1" applyProtection="1">
      <alignment horizontal="center" vertical="center" wrapText="1"/>
    </xf>
    <xf numFmtId="0" fontId="141" fillId="38" borderId="71" xfId="73" applyFont="1" applyFill="1" applyBorder="1" applyAlignment="1" applyProtection="1">
      <alignment horizontal="center" vertical="center" wrapText="1"/>
    </xf>
    <xf numFmtId="0" fontId="141" fillId="38" borderId="70" xfId="73" applyFont="1" applyFill="1" applyBorder="1" applyAlignment="1" applyProtection="1">
      <alignment horizontal="center" vertical="center" wrapText="1"/>
    </xf>
    <xf numFmtId="0" fontId="141" fillId="38" borderId="0" xfId="73" applyFont="1" applyFill="1" applyBorder="1" applyAlignment="1" applyProtection="1">
      <alignment horizontal="center" vertical="center" wrapText="1"/>
    </xf>
    <xf numFmtId="0" fontId="141" fillId="38" borderId="43" xfId="73" applyFont="1" applyFill="1" applyBorder="1" applyAlignment="1" applyProtection="1">
      <alignment horizontal="center" vertical="center" wrapText="1"/>
    </xf>
    <xf numFmtId="0" fontId="110" fillId="38" borderId="282" xfId="62" applyFont="1" applyFill="1" applyBorder="1" applyAlignment="1" applyProtection="1">
      <alignment horizontal="center" vertical="center" wrapText="1"/>
    </xf>
    <xf numFmtId="0" fontId="110" fillId="38" borderId="283" xfId="62" applyFont="1" applyFill="1" applyBorder="1" applyAlignment="1" applyProtection="1">
      <alignment horizontal="center" vertical="center" wrapText="1"/>
    </xf>
    <xf numFmtId="0" fontId="110" fillId="38" borderId="286" xfId="62" applyFont="1" applyFill="1" applyBorder="1" applyAlignment="1" applyProtection="1">
      <alignment horizontal="center" vertical="center" wrapText="1"/>
    </xf>
    <xf numFmtId="0" fontId="4" fillId="38" borderId="33" xfId="73" applyFont="1" applyFill="1" applyBorder="1" applyAlignment="1" applyProtection="1">
      <alignment horizontal="center" vertical="center" wrapText="1"/>
    </xf>
    <xf numFmtId="0" fontId="4" fillId="38" borderId="42" xfId="73" applyFont="1" applyFill="1" applyBorder="1" applyAlignment="1" applyProtection="1">
      <alignment horizontal="center" vertical="center" wrapText="1"/>
    </xf>
    <xf numFmtId="0" fontId="4" fillId="38" borderId="71" xfId="73" applyFont="1" applyFill="1" applyBorder="1" applyAlignment="1" applyProtection="1">
      <alignment horizontal="center" vertical="center" wrapText="1"/>
    </xf>
    <xf numFmtId="0" fontId="4" fillId="38" borderId="70" xfId="73" applyFont="1" applyFill="1" applyBorder="1" applyAlignment="1" applyProtection="1">
      <alignment horizontal="center" vertical="center" wrapText="1"/>
    </xf>
    <xf numFmtId="0" fontId="4" fillId="38" borderId="0" xfId="73" applyFont="1" applyFill="1" applyBorder="1" applyAlignment="1" applyProtection="1">
      <alignment horizontal="center" vertical="center" wrapText="1"/>
    </xf>
    <xf numFmtId="0" fontId="4" fillId="38" borderId="43" xfId="73" applyFont="1" applyFill="1" applyBorder="1" applyAlignment="1" applyProtection="1">
      <alignment horizontal="center" vertical="center" wrapText="1"/>
    </xf>
    <xf numFmtId="0" fontId="4" fillId="38" borderId="282" xfId="73" applyFont="1" applyFill="1" applyBorder="1" applyAlignment="1" applyProtection="1">
      <alignment horizontal="center" vertical="center" wrapText="1"/>
    </xf>
    <xf numFmtId="0" fontId="4" fillId="38" borderId="283" xfId="73" applyFont="1" applyFill="1" applyBorder="1" applyAlignment="1" applyProtection="1">
      <alignment horizontal="center" vertical="center" wrapText="1"/>
    </xf>
    <xf numFmtId="0" fontId="4" fillId="38" borderId="286" xfId="73" applyFont="1" applyFill="1" applyBorder="1" applyAlignment="1" applyProtection="1">
      <alignment horizontal="center" vertical="center" wrapText="1"/>
    </xf>
    <xf numFmtId="0" fontId="98" fillId="0" borderId="54" xfId="67" applyFont="1" applyFill="1" applyBorder="1" applyAlignment="1" applyProtection="1">
      <alignment horizontal="center" vertical="center" wrapText="1"/>
    </xf>
    <xf numFmtId="0" fontId="98" fillId="0" borderId="59" xfId="67" applyFont="1" applyFill="1" applyBorder="1" applyAlignment="1" applyProtection="1">
      <alignment horizontal="center" vertical="center" wrapText="1"/>
    </xf>
    <xf numFmtId="0" fontId="127" fillId="40" borderId="33" xfId="73" applyFont="1" applyFill="1" applyBorder="1" applyAlignment="1" applyProtection="1">
      <alignment horizontal="center" vertical="center" readingOrder="2"/>
    </xf>
    <xf numFmtId="0" fontId="127" fillId="40" borderId="42" xfId="73" applyFont="1" applyFill="1" applyBorder="1" applyAlignment="1" applyProtection="1">
      <alignment horizontal="center" vertical="center" readingOrder="2"/>
    </xf>
    <xf numFmtId="0" fontId="127" fillId="40" borderId="71" xfId="73" applyFont="1" applyFill="1" applyBorder="1" applyAlignment="1" applyProtection="1">
      <alignment horizontal="center" vertical="center" readingOrder="2"/>
    </xf>
    <xf numFmtId="0" fontId="127" fillId="40" borderId="70" xfId="73" applyFont="1" applyFill="1" applyBorder="1" applyAlignment="1" applyProtection="1">
      <alignment horizontal="center" vertical="center" readingOrder="2"/>
    </xf>
    <xf numFmtId="0" fontId="127" fillId="40" borderId="0" xfId="73" applyFont="1" applyFill="1" applyBorder="1" applyAlignment="1" applyProtection="1">
      <alignment horizontal="center" vertical="center" readingOrder="2"/>
    </xf>
    <xf numFmtId="0" fontId="127" fillId="40" borderId="43" xfId="73" applyFont="1" applyFill="1" applyBorder="1" applyAlignment="1" applyProtection="1">
      <alignment horizontal="center" vertical="center" readingOrder="2"/>
    </xf>
    <xf numFmtId="0" fontId="91" fillId="45" borderId="33" xfId="73" applyFont="1" applyFill="1" applyBorder="1" applyAlignment="1" applyProtection="1">
      <alignment horizontal="center" vertical="center" wrapText="1"/>
    </xf>
    <xf numFmtId="0" fontId="91" fillId="45" borderId="42" xfId="73" applyFont="1" applyFill="1" applyBorder="1" applyAlignment="1" applyProtection="1">
      <alignment horizontal="center" vertical="center" wrapText="1"/>
    </xf>
    <xf numFmtId="0" fontId="91" fillId="45" borderId="71" xfId="73" applyFont="1" applyFill="1" applyBorder="1" applyAlignment="1" applyProtection="1">
      <alignment horizontal="center" vertical="center" wrapText="1"/>
    </xf>
    <xf numFmtId="0" fontId="91" fillId="45" borderId="70" xfId="73" applyFont="1" applyFill="1" applyBorder="1" applyAlignment="1" applyProtection="1">
      <alignment horizontal="center" vertical="center" wrapText="1"/>
    </xf>
    <xf numFmtId="0" fontId="91" fillId="45" borderId="0" xfId="73" applyFont="1" applyFill="1" applyBorder="1" applyAlignment="1" applyProtection="1">
      <alignment horizontal="center" vertical="center" wrapText="1"/>
    </xf>
    <xf numFmtId="0" fontId="91" fillId="45" borderId="43" xfId="73" applyFont="1" applyFill="1" applyBorder="1" applyAlignment="1" applyProtection="1">
      <alignment horizontal="center" vertical="center" wrapText="1"/>
    </xf>
    <xf numFmtId="0" fontId="91" fillId="45" borderId="282" xfId="73" applyFont="1" applyFill="1" applyBorder="1" applyAlignment="1" applyProtection="1">
      <alignment horizontal="center" vertical="center" wrapText="1"/>
    </xf>
    <xf numFmtId="0" fontId="91" fillId="45" borderId="283" xfId="73" applyFont="1" applyFill="1" applyBorder="1" applyAlignment="1" applyProtection="1">
      <alignment horizontal="center" vertical="center" wrapText="1"/>
    </xf>
    <xf numFmtId="0" fontId="91" fillId="45" borderId="286" xfId="73" applyFont="1" applyFill="1" applyBorder="1" applyAlignment="1" applyProtection="1">
      <alignment horizontal="center" vertical="center" wrapText="1"/>
    </xf>
    <xf numFmtId="0" fontId="89" fillId="44" borderId="33" xfId="73" applyFont="1" applyFill="1" applyBorder="1" applyAlignment="1" applyProtection="1">
      <alignment horizontal="center" vertical="center" wrapText="1"/>
    </xf>
    <xf numFmtId="0" fontId="89" fillId="44" borderId="42" xfId="73" applyFont="1" applyFill="1" applyBorder="1" applyAlignment="1" applyProtection="1">
      <alignment horizontal="center" vertical="center" wrapText="1"/>
    </xf>
    <xf numFmtId="0" fontId="89" fillId="44" borderId="71" xfId="73" applyFont="1" applyFill="1" applyBorder="1" applyAlignment="1" applyProtection="1">
      <alignment horizontal="center" vertical="center" wrapText="1"/>
    </xf>
    <xf numFmtId="0" fontId="89" fillId="44" borderId="70" xfId="73" applyFont="1" applyFill="1" applyBorder="1" applyAlignment="1" applyProtection="1">
      <alignment horizontal="center" vertical="center" wrapText="1"/>
    </xf>
    <xf numFmtId="0" fontId="89" fillId="44" borderId="0" xfId="73" applyFont="1" applyFill="1" applyBorder="1" applyAlignment="1" applyProtection="1">
      <alignment horizontal="center" vertical="center" wrapText="1"/>
    </xf>
    <xf numFmtId="0" fontId="89" fillId="44" borderId="43" xfId="73" applyFont="1" applyFill="1" applyBorder="1" applyAlignment="1" applyProtection="1">
      <alignment horizontal="center" vertical="center" wrapText="1"/>
    </xf>
    <xf numFmtId="0" fontId="89" fillId="44" borderId="282" xfId="73" applyFont="1" applyFill="1" applyBorder="1" applyAlignment="1" applyProtection="1">
      <alignment horizontal="center" vertical="center" wrapText="1"/>
    </xf>
    <xf numFmtId="0" fontId="89" fillId="44" borderId="283" xfId="73" applyFont="1" applyFill="1" applyBorder="1" applyAlignment="1" applyProtection="1">
      <alignment horizontal="center" vertical="center" wrapText="1"/>
    </xf>
    <xf numFmtId="0" fontId="89" fillId="44" borderId="286" xfId="73" applyFont="1" applyFill="1" applyBorder="1" applyAlignment="1" applyProtection="1">
      <alignment horizontal="center" vertical="center" wrapText="1"/>
    </xf>
    <xf numFmtId="0" fontId="124" fillId="42" borderId="33" xfId="73" applyFont="1" applyFill="1" applyBorder="1" applyAlignment="1" applyProtection="1">
      <alignment horizontal="center" vertical="center"/>
    </xf>
    <xf numFmtId="0" fontId="124" fillId="42" borderId="42" xfId="73" applyFont="1" applyFill="1" applyBorder="1" applyAlignment="1" applyProtection="1">
      <alignment horizontal="center" vertical="center"/>
    </xf>
    <xf numFmtId="0" fontId="124" fillId="42" borderId="71" xfId="73" applyFont="1" applyFill="1" applyBorder="1" applyAlignment="1" applyProtection="1">
      <alignment horizontal="center" vertical="center"/>
    </xf>
    <xf numFmtId="0" fontId="124" fillId="42" borderId="68" xfId="73" applyFont="1" applyFill="1" applyBorder="1" applyAlignment="1" applyProtection="1">
      <alignment horizontal="center" vertical="center"/>
    </xf>
    <xf numFmtId="0" fontId="124" fillId="42" borderId="67" xfId="73" applyFont="1" applyFill="1" applyBorder="1" applyAlignment="1" applyProtection="1">
      <alignment horizontal="center" vertical="center"/>
    </xf>
    <xf numFmtId="0" fontId="124" fillId="42" borderId="66" xfId="73" applyFont="1" applyFill="1" applyBorder="1" applyAlignment="1" applyProtection="1">
      <alignment horizontal="center" vertical="center"/>
    </xf>
    <xf numFmtId="0" fontId="150" fillId="26" borderId="33" xfId="73" applyFont="1" applyFill="1" applyBorder="1" applyAlignment="1" applyProtection="1">
      <alignment horizontal="center" vertical="center" wrapText="1"/>
    </xf>
    <xf numFmtId="0" fontId="150" fillId="26" borderId="42" xfId="73" applyFont="1" applyFill="1" applyBorder="1" applyAlignment="1" applyProtection="1">
      <alignment horizontal="center" vertical="center" wrapText="1"/>
    </xf>
    <xf numFmtId="0" fontId="150" fillId="26" borderId="71" xfId="73" applyFont="1" applyFill="1" applyBorder="1" applyAlignment="1" applyProtection="1">
      <alignment horizontal="center" vertical="center" wrapText="1"/>
    </xf>
    <xf numFmtId="0" fontId="150" fillId="26" borderId="70" xfId="73" applyFont="1" applyFill="1" applyBorder="1" applyAlignment="1" applyProtection="1">
      <alignment horizontal="center" vertical="center" wrapText="1"/>
    </xf>
    <xf numFmtId="0" fontId="150" fillId="26" borderId="0" xfId="73" applyFont="1" applyFill="1" applyBorder="1" applyAlignment="1" applyProtection="1">
      <alignment horizontal="center" vertical="center" wrapText="1"/>
    </xf>
    <xf numFmtId="0" fontId="150" fillId="26" borderId="43" xfId="73" applyFont="1" applyFill="1" applyBorder="1" applyAlignment="1" applyProtection="1">
      <alignment horizontal="center" vertical="center" wrapText="1"/>
    </xf>
    <xf numFmtId="0" fontId="148" fillId="26" borderId="282" xfId="62" applyFont="1" applyFill="1" applyBorder="1" applyAlignment="1" applyProtection="1">
      <alignment horizontal="center" vertical="center" wrapText="1"/>
    </xf>
    <xf numFmtId="0" fontId="148" fillId="26" borderId="283" xfId="62" applyFont="1" applyFill="1" applyBorder="1" applyAlignment="1" applyProtection="1">
      <alignment horizontal="center" vertical="center" wrapText="1"/>
    </xf>
    <xf numFmtId="0" fontId="148" fillId="26" borderId="286" xfId="62" applyFont="1" applyFill="1" applyBorder="1" applyAlignment="1" applyProtection="1">
      <alignment horizontal="center" vertical="center" wrapText="1"/>
    </xf>
    <xf numFmtId="0" fontId="93" fillId="36" borderId="33" xfId="62" applyFont="1" applyFill="1" applyBorder="1" applyAlignment="1" applyProtection="1">
      <alignment horizontal="center" vertical="center" wrapText="1"/>
    </xf>
    <xf numFmtId="0" fontId="93" fillId="36" borderId="42" xfId="62" applyFont="1" applyFill="1" applyBorder="1" applyAlignment="1" applyProtection="1">
      <alignment horizontal="center" vertical="center" wrapText="1"/>
    </xf>
    <xf numFmtId="0" fontId="93" fillId="36" borderId="71" xfId="62" applyFont="1" applyFill="1" applyBorder="1" applyAlignment="1" applyProtection="1">
      <alignment horizontal="center" vertical="center" wrapText="1"/>
    </xf>
    <xf numFmtId="0" fontId="93" fillId="36" borderId="68" xfId="62" applyFont="1" applyFill="1" applyBorder="1" applyAlignment="1" applyProtection="1">
      <alignment horizontal="center" vertical="center" wrapText="1"/>
    </xf>
    <xf numFmtId="0" fontId="93" fillId="36" borderId="67" xfId="62" applyFont="1" applyFill="1" applyBorder="1" applyAlignment="1" applyProtection="1">
      <alignment horizontal="center" vertical="center" wrapText="1"/>
    </xf>
    <xf numFmtId="0" fontId="93" fillId="36" borderId="66" xfId="62" applyFont="1" applyFill="1" applyBorder="1" applyAlignment="1" applyProtection="1">
      <alignment horizontal="center" vertical="center" wrapText="1"/>
    </xf>
    <xf numFmtId="0" fontId="93" fillId="42" borderId="33" xfId="62" applyFont="1" applyFill="1" applyBorder="1" applyAlignment="1" applyProtection="1">
      <alignment horizontal="center" vertical="center" wrapText="1"/>
    </xf>
    <xf numFmtId="0" fontId="93" fillId="42" borderId="42" xfId="62" applyFont="1" applyFill="1" applyBorder="1" applyAlignment="1" applyProtection="1">
      <alignment horizontal="center" vertical="center" wrapText="1"/>
    </xf>
    <xf numFmtId="0" fontId="93" fillId="42" borderId="71" xfId="62" applyFont="1" applyFill="1" applyBorder="1" applyAlignment="1" applyProtection="1">
      <alignment horizontal="center" vertical="center" wrapText="1"/>
    </xf>
    <xf numFmtId="0" fontId="93" fillId="42" borderId="68" xfId="62" applyFont="1" applyFill="1" applyBorder="1" applyAlignment="1" applyProtection="1">
      <alignment horizontal="center" vertical="center" wrapText="1"/>
    </xf>
    <xf numFmtId="0" fontId="93" fillId="42" borderId="67" xfId="62" applyFont="1" applyFill="1" applyBorder="1" applyAlignment="1" applyProtection="1">
      <alignment horizontal="center" vertical="center" wrapText="1"/>
    </xf>
    <xf numFmtId="0" fontId="93" fillId="42" borderId="66" xfId="62" applyFont="1" applyFill="1" applyBorder="1" applyAlignment="1" applyProtection="1">
      <alignment horizontal="center" vertical="center" wrapText="1"/>
    </xf>
    <xf numFmtId="0" fontId="4" fillId="32" borderId="33" xfId="73" applyFont="1" applyFill="1" applyBorder="1" applyAlignment="1" applyProtection="1">
      <alignment horizontal="center" vertical="center"/>
    </xf>
    <xf numFmtId="0" fontId="4" fillId="32" borderId="42" xfId="73" applyFont="1" applyFill="1" applyBorder="1" applyAlignment="1" applyProtection="1">
      <alignment horizontal="center" vertical="center"/>
    </xf>
    <xf numFmtId="0" fontId="4" fillId="32" borderId="71" xfId="73" applyFont="1" applyFill="1" applyBorder="1" applyAlignment="1" applyProtection="1">
      <alignment horizontal="center" vertical="center"/>
    </xf>
    <xf numFmtId="0" fontId="4" fillId="32" borderId="70" xfId="73" applyFont="1" applyFill="1" applyBorder="1" applyAlignment="1" applyProtection="1">
      <alignment horizontal="center" vertical="center"/>
    </xf>
    <xf numFmtId="0" fontId="4" fillId="32" borderId="0" xfId="73" applyFont="1" applyFill="1" applyBorder="1" applyAlignment="1" applyProtection="1">
      <alignment horizontal="center" vertical="center"/>
    </xf>
    <xf numFmtId="0" fontId="4" fillId="32" borderId="43" xfId="73" applyFont="1" applyFill="1" applyBorder="1" applyAlignment="1" applyProtection="1">
      <alignment horizontal="center" vertical="center"/>
    </xf>
    <xf numFmtId="0" fontId="158" fillId="0" borderId="461" xfId="67" applyFont="1" applyFill="1" applyBorder="1" applyAlignment="1" applyProtection="1">
      <alignment horizontal="center" vertical="center" wrapText="1"/>
    </xf>
    <xf numFmtId="0" fontId="158" fillId="0" borderId="462" xfId="67" applyFont="1" applyFill="1" applyBorder="1" applyAlignment="1" applyProtection="1">
      <alignment horizontal="center" vertical="center" wrapText="1"/>
    </xf>
    <xf numFmtId="0" fontId="121" fillId="0" borderId="56" xfId="73" applyFont="1" applyFill="1" applyBorder="1" applyAlignment="1" applyProtection="1">
      <alignment horizontal="center" vertical="center" wrapText="1"/>
    </xf>
    <xf numFmtId="0" fontId="121" fillId="0" borderId="60" xfId="73" applyFont="1" applyFill="1" applyBorder="1" applyAlignment="1" applyProtection="1">
      <alignment horizontal="center" vertical="center" wrapText="1"/>
    </xf>
    <xf numFmtId="0" fontId="121" fillId="0" borderId="463" xfId="73" applyFont="1" applyFill="1" applyBorder="1" applyAlignment="1" applyProtection="1">
      <alignment horizontal="center" vertical="center" wrapText="1"/>
    </xf>
    <xf numFmtId="0" fontId="121" fillId="0" borderId="464" xfId="73" applyFont="1" applyFill="1" applyBorder="1" applyAlignment="1" applyProtection="1">
      <alignment horizontal="center" vertical="center" wrapText="1"/>
    </xf>
    <xf numFmtId="0" fontId="127" fillId="35" borderId="33" xfId="73" applyFont="1" applyFill="1" applyBorder="1" applyAlignment="1" applyProtection="1">
      <alignment horizontal="center" vertical="center" wrapText="1"/>
    </xf>
    <xf numFmtId="0" fontId="127" fillId="35" borderId="42" xfId="73" applyFont="1" applyFill="1" applyBorder="1" applyAlignment="1" applyProtection="1">
      <alignment horizontal="center" vertical="center" wrapText="1"/>
    </xf>
    <xf numFmtId="0" fontId="127" fillId="35" borderId="71" xfId="73" applyFont="1" applyFill="1" applyBorder="1" applyAlignment="1" applyProtection="1">
      <alignment horizontal="center" vertical="center" wrapText="1"/>
    </xf>
    <xf numFmtId="0" fontId="127" fillId="35" borderId="70" xfId="73" applyFont="1" applyFill="1" applyBorder="1" applyAlignment="1" applyProtection="1">
      <alignment horizontal="center" vertical="center" wrapText="1"/>
    </xf>
    <xf numFmtId="0" fontId="127" fillId="35" borderId="0" xfId="73" applyFont="1" applyFill="1" applyBorder="1" applyAlignment="1" applyProtection="1">
      <alignment horizontal="center" vertical="center" wrapText="1"/>
    </xf>
    <xf numFmtId="0" fontId="127" fillId="35" borderId="43" xfId="73" applyFont="1" applyFill="1" applyBorder="1" applyAlignment="1" applyProtection="1">
      <alignment horizontal="center" vertical="center" wrapText="1"/>
    </xf>
    <xf numFmtId="0" fontId="109" fillId="35" borderId="282" xfId="62" applyFont="1" applyFill="1" applyBorder="1" applyAlignment="1" applyProtection="1">
      <alignment horizontal="center" vertical="center" wrapText="1"/>
    </xf>
    <xf numFmtId="0" fontId="109" fillId="35" borderId="283" xfId="62" applyFont="1" applyFill="1" applyBorder="1" applyAlignment="1" applyProtection="1">
      <alignment horizontal="center" vertical="center" wrapText="1"/>
    </xf>
    <xf numFmtId="0" fontId="109" fillId="35" borderId="286" xfId="62" applyFont="1" applyFill="1" applyBorder="1" applyAlignment="1" applyProtection="1">
      <alignment horizontal="center" vertical="center" wrapText="1"/>
    </xf>
    <xf numFmtId="0" fontId="91" fillId="35" borderId="33" xfId="73" applyFont="1" applyFill="1" applyBorder="1" applyAlignment="1" applyProtection="1">
      <alignment horizontal="center" vertical="center" wrapText="1"/>
    </xf>
    <xf numFmtId="0" fontId="91" fillId="35" borderId="42" xfId="73" applyFont="1" applyFill="1" applyBorder="1" applyAlignment="1" applyProtection="1">
      <alignment horizontal="center" vertical="center" wrapText="1"/>
    </xf>
    <xf numFmtId="0" fontId="91" fillId="35" borderId="71" xfId="73" applyFont="1" applyFill="1" applyBorder="1" applyAlignment="1" applyProtection="1">
      <alignment horizontal="center" vertical="center" wrapText="1"/>
    </xf>
    <xf numFmtId="0" fontId="91" fillId="35" borderId="70" xfId="73" applyFont="1" applyFill="1" applyBorder="1" applyAlignment="1" applyProtection="1">
      <alignment horizontal="center" vertical="center" wrapText="1"/>
    </xf>
    <xf numFmtId="0" fontId="91" fillId="35" borderId="0" xfId="73" applyFont="1" applyFill="1" applyBorder="1" applyAlignment="1" applyProtection="1">
      <alignment horizontal="center" vertical="center" wrapText="1"/>
    </xf>
    <xf numFmtId="0" fontId="91" fillId="35" borderId="43" xfId="73" applyFont="1" applyFill="1" applyBorder="1" applyAlignment="1" applyProtection="1">
      <alignment horizontal="center" vertical="center" wrapText="1"/>
    </xf>
    <xf numFmtId="0" fontId="126" fillId="35" borderId="282" xfId="62" applyFont="1" applyFill="1" applyBorder="1" applyAlignment="1" applyProtection="1">
      <alignment horizontal="center" vertical="center" wrapText="1"/>
    </xf>
    <xf numFmtId="0" fontId="126" fillId="35" borderId="283" xfId="62" applyFont="1" applyFill="1" applyBorder="1" applyAlignment="1" applyProtection="1">
      <alignment horizontal="center" vertical="center" wrapText="1"/>
    </xf>
    <xf numFmtId="0" fontId="126" fillId="35" borderId="286" xfId="62" applyFont="1" applyFill="1" applyBorder="1" applyAlignment="1" applyProtection="1">
      <alignment horizontal="center" vertical="center" wrapText="1"/>
    </xf>
    <xf numFmtId="0" fontId="91" fillId="26" borderId="33" xfId="73" applyFont="1" applyFill="1" applyBorder="1" applyAlignment="1" applyProtection="1">
      <alignment horizontal="center" vertical="center" wrapText="1"/>
    </xf>
    <xf numFmtId="0" fontId="91" fillId="26" borderId="42" xfId="73" applyFont="1" applyFill="1" applyBorder="1" applyAlignment="1" applyProtection="1">
      <alignment horizontal="center" vertical="center" wrapText="1"/>
    </xf>
    <xf numFmtId="0" fontId="91" fillId="26" borderId="71" xfId="73" applyFont="1" applyFill="1" applyBorder="1" applyAlignment="1" applyProtection="1">
      <alignment horizontal="center" vertical="center" wrapText="1"/>
    </xf>
    <xf numFmtId="0" fontId="91" fillId="26" borderId="70" xfId="73" applyFont="1" applyFill="1" applyBorder="1" applyAlignment="1" applyProtection="1">
      <alignment horizontal="center" vertical="center" wrapText="1"/>
    </xf>
    <xf numFmtId="0" fontId="91" fillId="26" borderId="0" xfId="73" applyFont="1" applyFill="1" applyBorder="1" applyAlignment="1" applyProtection="1">
      <alignment horizontal="center" vertical="center" wrapText="1"/>
    </xf>
    <xf numFmtId="0" fontId="91" fillId="26" borderId="43" xfId="73" applyFont="1" applyFill="1" applyBorder="1" applyAlignment="1" applyProtection="1">
      <alignment horizontal="center" vertical="center" wrapText="1"/>
    </xf>
    <xf numFmtId="0" fontId="126" fillId="26" borderId="282" xfId="62" applyFont="1" applyFill="1" applyBorder="1" applyAlignment="1" applyProtection="1">
      <alignment horizontal="center" vertical="center" wrapText="1"/>
    </xf>
    <xf numFmtId="0" fontId="126" fillId="26" borderId="283" xfId="62" applyFont="1" applyFill="1" applyBorder="1" applyAlignment="1" applyProtection="1">
      <alignment horizontal="center" vertical="center" wrapText="1"/>
    </xf>
    <xf numFmtId="0" fontId="126" fillId="26" borderId="286" xfId="62" applyFont="1" applyFill="1" applyBorder="1" applyAlignment="1" applyProtection="1">
      <alignment horizontal="center" vertical="center" wrapText="1"/>
    </xf>
    <xf numFmtId="0" fontId="164" fillId="26" borderId="65" xfId="62" applyFont="1" applyFill="1" applyBorder="1" applyAlignment="1" applyProtection="1">
      <alignment horizontal="center" vertical="center"/>
    </xf>
    <xf numFmtId="0" fontId="164" fillId="26" borderId="62" xfId="62" applyFont="1" applyFill="1" applyBorder="1" applyAlignment="1" applyProtection="1">
      <alignment horizontal="center" vertical="center"/>
    </xf>
    <xf numFmtId="0" fontId="164" fillId="26" borderId="61" xfId="62" applyFont="1" applyFill="1" applyBorder="1" applyAlignment="1" applyProtection="1">
      <alignment horizontal="center" vertical="center"/>
    </xf>
    <xf numFmtId="0" fontId="154" fillId="26" borderId="113" xfId="62" applyFont="1" applyFill="1" applyBorder="1" applyAlignment="1" applyProtection="1">
      <alignment horizontal="center" vertical="center"/>
    </xf>
    <xf numFmtId="0" fontId="154" fillId="26" borderId="96" xfId="62" applyFont="1" applyFill="1" applyBorder="1" applyAlignment="1" applyProtection="1">
      <alignment horizontal="center" vertical="center"/>
    </xf>
    <xf numFmtId="0" fontId="154" fillId="26" borderId="95" xfId="62" applyFont="1" applyFill="1" applyBorder="1" applyAlignment="1" applyProtection="1">
      <alignment horizontal="center" vertical="center"/>
    </xf>
    <xf numFmtId="0" fontId="4" fillId="20" borderId="465" xfId="73" applyFont="1" applyFill="1" applyBorder="1" applyAlignment="1" applyProtection="1">
      <alignment horizontal="center" vertical="center"/>
    </xf>
    <xf numFmtId="0" fontId="4" fillId="20" borderId="466" xfId="73" applyFont="1" applyFill="1" applyBorder="1" applyAlignment="1" applyProtection="1">
      <alignment horizontal="center" vertical="center"/>
    </xf>
    <xf numFmtId="0" fontId="4" fillId="20" borderId="467" xfId="73" applyFont="1" applyFill="1" applyBorder="1" applyAlignment="1" applyProtection="1">
      <alignment horizontal="center" vertical="center"/>
    </xf>
    <xf numFmtId="0" fontId="4" fillId="20" borderId="70" xfId="73" applyFont="1" applyFill="1" applyBorder="1" applyAlignment="1" applyProtection="1">
      <alignment horizontal="center" vertical="center"/>
    </xf>
    <xf numFmtId="0" fontId="4" fillId="20" borderId="0" xfId="73" applyFont="1" applyFill="1" applyBorder="1" applyAlignment="1" applyProtection="1">
      <alignment horizontal="center" vertical="center"/>
    </xf>
    <xf numFmtId="0" fontId="4" fillId="20" borderId="468" xfId="73" applyFont="1" applyFill="1" applyBorder="1" applyAlignment="1" applyProtection="1">
      <alignment horizontal="center" vertical="center"/>
    </xf>
    <xf numFmtId="0" fontId="4" fillId="20" borderId="469" xfId="73" applyFont="1" applyFill="1" applyBorder="1" applyAlignment="1" applyProtection="1">
      <alignment horizontal="center" vertical="center"/>
    </xf>
    <xf numFmtId="0" fontId="4" fillId="20" borderId="470" xfId="73" applyFont="1" applyFill="1" applyBorder="1" applyAlignment="1" applyProtection="1">
      <alignment horizontal="center" vertical="center"/>
    </xf>
    <xf numFmtId="0" fontId="4" fillId="20" borderId="471" xfId="73" applyFont="1" applyFill="1" applyBorder="1" applyAlignment="1" applyProtection="1">
      <alignment horizontal="center" vertical="center"/>
    </xf>
    <xf numFmtId="0" fontId="4" fillId="20" borderId="43" xfId="73" applyFont="1" applyFill="1" applyBorder="1" applyAlignment="1" applyProtection="1">
      <alignment horizontal="center" vertical="center"/>
    </xf>
    <xf numFmtId="0" fontId="141" fillId="39" borderId="33" xfId="73" applyFont="1" applyFill="1" applyBorder="1" applyAlignment="1" applyProtection="1">
      <alignment horizontal="center" vertical="center" wrapText="1"/>
    </xf>
    <xf numFmtId="0" fontId="141" fillId="39" borderId="42" xfId="73" applyFont="1" applyFill="1" applyBorder="1" applyAlignment="1" applyProtection="1">
      <alignment horizontal="center" vertical="center" wrapText="1"/>
    </xf>
    <xf numFmtId="0" fontId="141" fillId="39" borderId="71" xfId="73" applyFont="1" applyFill="1" applyBorder="1" applyAlignment="1" applyProtection="1">
      <alignment horizontal="center" vertical="center" wrapText="1"/>
    </xf>
    <xf numFmtId="0" fontId="141" fillId="39" borderId="70" xfId="73" applyFont="1" applyFill="1" applyBorder="1" applyAlignment="1" applyProtection="1">
      <alignment horizontal="center" vertical="center" wrapText="1"/>
    </xf>
    <xf numFmtId="0" fontId="141" fillId="39" borderId="0" xfId="73" applyFont="1" applyFill="1" applyBorder="1" applyAlignment="1" applyProtection="1">
      <alignment horizontal="center" vertical="center" wrapText="1"/>
    </xf>
    <xf numFmtId="0" fontId="141" fillId="39" borderId="43" xfId="73" applyFont="1" applyFill="1" applyBorder="1" applyAlignment="1" applyProtection="1">
      <alignment horizontal="center" vertical="center" wrapText="1"/>
    </xf>
    <xf numFmtId="0" fontId="110" fillId="39" borderId="282" xfId="62" applyFont="1" applyFill="1" applyBorder="1" applyAlignment="1" applyProtection="1">
      <alignment horizontal="center" vertical="center" wrapText="1"/>
    </xf>
    <xf numFmtId="0" fontId="110" fillId="39" borderId="283" xfId="62" applyFont="1" applyFill="1" applyBorder="1" applyAlignment="1" applyProtection="1">
      <alignment horizontal="center" vertical="center" wrapText="1"/>
    </xf>
    <xf numFmtId="0" fontId="110" fillId="39" borderId="286" xfId="62" applyFont="1" applyFill="1" applyBorder="1" applyAlignment="1" applyProtection="1">
      <alignment horizontal="center" vertical="center" wrapText="1"/>
    </xf>
    <xf numFmtId="0" fontId="82" fillId="0" borderId="459" xfId="67" applyFont="1" applyFill="1" applyBorder="1" applyAlignment="1" applyProtection="1">
      <alignment horizontal="center" vertical="center" wrapText="1"/>
    </xf>
    <xf numFmtId="0" fontId="82" fillId="0" borderId="460" xfId="67" applyFont="1" applyFill="1" applyBorder="1" applyAlignment="1" applyProtection="1">
      <alignment horizontal="center" vertical="center" wrapText="1"/>
    </xf>
    <xf numFmtId="0" fontId="163" fillId="42" borderId="33" xfId="73" applyFont="1" applyFill="1" applyBorder="1" applyAlignment="1" applyProtection="1">
      <alignment horizontal="center" vertical="center"/>
    </xf>
    <xf numFmtId="0" fontId="163" fillId="42" borderId="42" xfId="73" applyFont="1" applyFill="1" applyBorder="1" applyAlignment="1" applyProtection="1">
      <alignment horizontal="center" vertical="center"/>
    </xf>
    <xf numFmtId="0" fontId="163" fillId="42" borderId="71" xfId="73" applyFont="1" applyFill="1" applyBorder="1" applyAlignment="1" applyProtection="1">
      <alignment horizontal="center" vertical="center"/>
    </xf>
    <xf numFmtId="0" fontId="163" fillId="42" borderId="68" xfId="73" applyFont="1" applyFill="1" applyBorder="1" applyAlignment="1" applyProtection="1">
      <alignment horizontal="center" vertical="center"/>
    </xf>
    <xf numFmtId="0" fontId="163" fillId="42" borderId="67" xfId="73" applyFont="1" applyFill="1" applyBorder="1" applyAlignment="1" applyProtection="1">
      <alignment horizontal="center" vertical="center"/>
    </xf>
    <xf numFmtId="0" fontId="163" fillId="42" borderId="66" xfId="73" applyFont="1" applyFill="1" applyBorder="1" applyAlignment="1" applyProtection="1">
      <alignment horizontal="center" vertical="center"/>
    </xf>
    <xf numFmtId="0" fontId="164" fillId="26" borderId="33" xfId="62" applyFont="1" applyFill="1" applyBorder="1" applyAlignment="1" applyProtection="1">
      <alignment horizontal="center" vertical="center"/>
    </xf>
    <xf numFmtId="0" fontId="164" fillId="26" borderId="42" xfId="62" applyFont="1" applyFill="1" applyBorder="1" applyAlignment="1" applyProtection="1">
      <alignment horizontal="center" vertical="center"/>
    </xf>
    <xf numFmtId="0" fontId="164" fillId="26" borderId="71" xfId="62" applyFont="1" applyFill="1" applyBorder="1" applyAlignment="1" applyProtection="1">
      <alignment horizontal="center" vertical="center"/>
    </xf>
    <xf numFmtId="0" fontId="154" fillId="0" borderId="53" xfId="67" applyFont="1" applyFill="1" applyBorder="1" applyAlignment="1" applyProtection="1">
      <alignment horizontal="center" vertical="center" wrapText="1"/>
    </xf>
    <xf numFmtId="0" fontId="154" fillId="0" borderId="58" xfId="67" applyFont="1" applyFill="1" applyBorder="1" applyAlignment="1" applyProtection="1">
      <alignment horizontal="center" vertical="center" wrapText="1"/>
    </xf>
    <xf numFmtId="0" fontId="154" fillId="26" borderId="97" xfId="62" applyFont="1" applyFill="1" applyBorder="1" applyAlignment="1" applyProtection="1">
      <alignment horizontal="center" vertical="center"/>
    </xf>
    <xf numFmtId="0" fontId="154" fillId="26" borderId="114" xfId="62" applyFont="1" applyFill="1" applyBorder="1" applyAlignment="1" applyProtection="1">
      <alignment horizontal="center" vertical="center"/>
    </xf>
    <xf numFmtId="0" fontId="4" fillId="33" borderId="33" xfId="73" applyFont="1" applyFill="1" applyBorder="1" applyAlignment="1" applyProtection="1">
      <alignment horizontal="center" vertical="center"/>
    </xf>
    <xf numFmtId="0" fontId="4" fillId="33" borderId="42" xfId="73" applyFont="1" applyFill="1" applyBorder="1" applyAlignment="1" applyProtection="1">
      <alignment horizontal="center" vertical="center"/>
    </xf>
    <xf numFmtId="0" fontId="4" fillId="33" borderId="71" xfId="73" applyFont="1" applyFill="1" applyBorder="1" applyAlignment="1" applyProtection="1">
      <alignment horizontal="center" vertical="center"/>
    </xf>
    <xf numFmtId="0" fontId="4" fillId="33" borderId="70" xfId="73" applyFont="1" applyFill="1" applyBorder="1" applyAlignment="1" applyProtection="1">
      <alignment horizontal="center" vertical="center"/>
    </xf>
    <xf numFmtId="0" fontId="4" fillId="33" borderId="0" xfId="73" applyFont="1" applyFill="1" applyBorder="1" applyAlignment="1" applyProtection="1">
      <alignment horizontal="center" vertical="center"/>
    </xf>
    <xf numFmtId="0" fontId="4" fillId="33" borderId="43" xfId="73" applyFont="1" applyFill="1" applyBorder="1" applyAlignment="1" applyProtection="1">
      <alignment horizontal="center" vertical="center"/>
    </xf>
    <xf numFmtId="0" fontId="139" fillId="40" borderId="33" xfId="73" applyFont="1" applyFill="1" applyBorder="1" applyAlignment="1" applyProtection="1">
      <alignment horizontal="center" vertical="center" wrapText="1"/>
    </xf>
    <xf numFmtId="0" fontId="139" fillId="40" borderId="42" xfId="73" applyFont="1" applyFill="1" applyBorder="1" applyAlignment="1" applyProtection="1">
      <alignment horizontal="center" vertical="center" wrapText="1"/>
    </xf>
    <xf numFmtId="0" fontId="139" fillId="40" borderId="71" xfId="73" applyFont="1" applyFill="1" applyBorder="1" applyAlignment="1" applyProtection="1">
      <alignment horizontal="center" vertical="center" wrapText="1"/>
    </xf>
    <xf numFmtId="0" fontId="139" fillId="40" borderId="70" xfId="73" applyFont="1" applyFill="1" applyBorder="1" applyAlignment="1" applyProtection="1">
      <alignment horizontal="center" vertical="center" wrapText="1"/>
    </xf>
    <xf numFmtId="0" fontId="139" fillId="40" borderId="0" xfId="73" applyFont="1" applyFill="1" applyBorder="1" applyAlignment="1" applyProtection="1">
      <alignment horizontal="center" vertical="center" wrapText="1"/>
    </xf>
    <xf numFmtId="0" fontId="139" fillId="40" borderId="43" xfId="73" applyFont="1" applyFill="1" applyBorder="1" applyAlignment="1" applyProtection="1">
      <alignment horizontal="center" vertical="center" wrapText="1"/>
    </xf>
    <xf numFmtId="0" fontId="51" fillId="40" borderId="282" xfId="62" applyFont="1" applyFill="1" applyBorder="1" applyAlignment="1" applyProtection="1">
      <alignment horizontal="center" vertical="center" wrapText="1"/>
    </xf>
    <xf numFmtId="0" fontId="51" fillId="40" borderId="283" xfId="62" applyFont="1" applyFill="1" applyBorder="1" applyAlignment="1" applyProtection="1">
      <alignment horizontal="center" vertical="center" wrapText="1"/>
    </xf>
    <xf numFmtId="0" fontId="51" fillId="40" borderId="286" xfId="62" applyFont="1" applyFill="1" applyBorder="1" applyAlignment="1" applyProtection="1">
      <alignment horizontal="center" vertical="center" wrapText="1"/>
    </xf>
    <xf numFmtId="0" fontId="155" fillId="0" borderId="56" xfId="73" applyFont="1" applyFill="1" applyBorder="1" applyAlignment="1" applyProtection="1">
      <alignment horizontal="center" vertical="center" wrapText="1"/>
    </xf>
    <xf numFmtId="0" fontId="155" fillId="0" borderId="60" xfId="73" applyFont="1" applyFill="1" applyBorder="1" applyAlignment="1" applyProtection="1">
      <alignment horizontal="center" vertical="center" wrapText="1"/>
    </xf>
    <xf numFmtId="0" fontId="154" fillId="0" borderId="54" xfId="67" applyFont="1" applyFill="1" applyBorder="1" applyAlignment="1" applyProtection="1">
      <alignment horizontal="center" vertical="center" wrapText="1"/>
    </xf>
    <xf numFmtId="0" fontId="154" fillId="0" borderId="59" xfId="67" applyFont="1" applyFill="1" applyBorder="1" applyAlignment="1" applyProtection="1">
      <alignment horizontal="center" vertical="center" wrapText="1"/>
    </xf>
    <xf numFmtId="0" fontId="114" fillId="0" borderId="56" xfId="73" applyFont="1" applyFill="1" applyBorder="1" applyAlignment="1" applyProtection="1">
      <alignment horizontal="center" vertical="center" wrapText="1"/>
    </xf>
    <xf numFmtId="0" fontId="114" fillId="0" borderId="60" xfId="73" applyFont="1" applyFill="1" applyBorder="1" applyAlignment="1" applyProtection="1">
      <alignment horizontal="center" vertical="center" wrapText="1"/>
    </xf>
    <xf numFmtId="0" fontId="161" fillId="20" borderId="33" xfId="73" applyFont="1" applyFill="1" applyBorder="1" applyAlignment="1" applyProtection="1">
      <alignment horizontal="center" vertical="center"/>
    </xf>
    <xf numFmtId="0" fontId="161" fillId="20" borderId="42" xfId="73" applyFont="1" applyFill="1" applyBorder="1" applyAlignment="1" applyProtection="1">
      <alignment horizontal="center" vertical="center"/>
    </xf>
    <xf numFmtId="0" fontId="161" fillId="20" borderId="71" xfId="73" applyFont="1" applyFill="1" applyBorder="1" applyAlignment="1" applyProtection="1">
      <alignment horizontal="center" vertical="center"/>
    </xf>
    <xf numFmtId="0" fontId="161" fillId="20" borderId="70" xfId="73" applyFont="1" applyFill="1" applyBorder="1" applyAlignment="1" applyProtection="1">
      <alignment horizontal="center" vertical="center"/>
    </xf>
    <xf numFmtId="0" fontId="161" fillId="20" borderId="0" xfId="73" applyFont="1" applyFill="1" applyBorder="1" applyAlignment="1" applyProtection="1">
      <alignment horizontal="center" vertical="center"/>
    </xf>
    <xf numFmtId="0" fontId="161" fillId="20" borderId="43" xfId="73" applyFont="1" applyFill="1" applyBorder="1" applyAlignment="1" applyProtection="1">
      <alignment horizontal="center" vertical="center"/>
    </xf>
    <xf numFmtId="0" fontId="82" fillId="26" borderId="280" xfId="62" applyFont="1" applyFill="1" applyBorder="1" applyAlignment="1" applyProtection="1">
      <alignment horizontal="center" vertical="center" wrapText="1"/>
    </xf>
    <xf numFmtId="0" fontId="82" fillId="26" borderId="42" xfId="62" applyFont="1" applyFill="1" applyBorder="1" applyAlignment="1" applyProtection="1">
      <alignment horizontal="center" vertical="center" wrapText="1"/>
    </xf>
    <xf numFmtId="0" fontId="82" fillId="26" borderId="37" xfId="62" applyFont="1" applyFill="1" applyBorder="1" applyAlignment="1" applyProtection="1">
      <alignment horizontal="center" vertical="center" wrapText="1"/>
    </xf>
    <xf numFmtId="0" fontId="82" fillId="26" borderId="156" xfId="62" applyFont="1" applyFill="1" applyBorder="1" applyAlignment="1" applyProtection="1">
      <alignment horizontal="center" vertical="center" wrapText="1"/>
    </xf>
    <xf numFmtId="0" fontId="82" fillId="26" borderId="0" xfId="62" applyFont="1" applyFill="1" applyBorder="1" applyAlignment="1" applyProtection="1">
      <alignment horizontal="center" vertical="center" wrapText="1"/>
    </xf>
    <xf numFmtId="0" fontId="82" fillId="26" borderId="157" xfId="62" applyFont="1" applyFill="1" applyBorder="1" applyAlignment="1" applyProtection="1">
      <alignment horizontal="center" vertical="center" wrapText="1"/>
    </xf>
    <xf numFmtId="0" fontId="82" fillId="26" borderId="158" xfId="62" applyFont="1" applyFill="1" applyBorder="1" applyAlignment="1" applyProtection="1">
      <alignment horizontal="center" vertical="center" wrapText="1"/>
    </xf>
    <xf numFmtId="0" fontId="82" fillId="26" borderId="67" xfId="62" applyFont="1" applyFill="1" applyBorder="1" applyAlignment="1" applyProtection="1">
      <alignment horizontal="center" vertical="center" wrapText="1"/>
    </xf>
    <xf numFmtId="0" fontId="82" fillId="26" borderId="159" xfId="62" applyFont="1" applyFill="1" applyBorder="1" applyAlignment="1" applyProtection="1">
      <alignment horizontal="center" vertical="center" wrapText="1"/>
    </xf>
    <xf numFmtId="0" fontId="82" fillId="26" borderId="446" xfId="62" applyFont="1" applyFill="1" applyBorder="1" applyAlignment="1" applyProtection="1">
      <alignment horizontal="center" vertical="center" wrapText="1"/>
    </xf>
    <xf numFmtId="0" fontId="82" fillId="26" borderId="429" xfId="62" applyFont="1" applyFill="1" applyBorder="1" applyAlignment="1" applyProtection="1">
      <alignment horizontal="center" vertical="center" wrapText="1"/>
    </xf>
    <xf numFmtId="0" fontId="82" fillId="26" borderId="58" xfId="62" applyFont="1" applyFill="1" applyBorder="1" applyAlignment="1" applyProtection="1">
      <alignment horizontal="center" vertical="center" wrapText="1"/>
    </xf>
    <xf numFmtId="0" fontId="82" fillId="26" borderId="472" xfId="62" applyFont="1" applyFill="1" applyBorder="1" applyAlignment="1" applyProtection="1">
      <alignment horizontal="center" vertical="center" wrapText="1"/>
    </xf>
    <xf numFmtId="0" fontId="82" fillId="26" borderId="108" xfId="62" applyFont="1" applyFill="1" applyBorder="1" applyAlignment="1" applyProtection="1">
      <alignment horizontal="center" vertical="center" wrapText="1"/>
    </xf>
    <xf numFmtId="0" fontId="82" fillId="26" borderId="59" xfId="62" applyFont="1" applyFill="1" applyBorder="1" applyAlignment="1" applyProtection="1">
      <alignment horizontal="center" vertical="center" wrapText="1"/>
    </xf>
    <xf numFmtId="0" fontId="82" fillId="26" borderId="452" xfId="62" applyFont="1" applyFill="1" applyBorder="1" applyAlignment="1" applyProtection="1">
      <alignment horizontal="center" vertical="center" wrapText="1"/>
    </xf>
    <xf numFmtId="0" fontId="82" fillId="26" borderId="69" xfId="62" applyFont="1" applyFill="1" applyBorder="1" applyAlignment="1" applyProtection="1">
      <alignment horizontal="center" vertical="center" wrapText="1"/>
    </xf>
    <xf numFmtId="0" fontId="82" fillId="26" borderId="60" xfId="62" applyFont="1" applyFill="1" applyBorder="1" applyAlignment="1" applyProtection="1">
      <alignment horizontal="center" vertical="center" wrapText="1"/>
    </xf>
    <xf numFmtId="0" fontId="153" fillId="0" borderId="53" xfId="67" applyFont="1" applyFill="1" applyBorder="1" applyAlignment="1" applyProtection="1">
      <alignment horizontal="center" vertical="center" wrapText="1"/>
    </xf>
    <xf numFmtId="0" fontId="153" fillId="0" borderId="58" xfId="67" applyFont="1" applyFill="1" applyBorder="1" applyAlignment="1" applyProtection="1">
      <alignment horizontal="center" vertical="center" wrapText="1"/>
    </xf>
    <xf numFmtId="0" fontId="153" fillId="0" borderId="54" xfId="67" applyFont="1" applyFill="1" applyBorder="1" applyAlignment="1" applyProtection="1">
      <alignment horizontal="center" vertical="center" wrapText="1"/>
    </xf>
    <xf numFmtId="0" fontId="153" fillId="0" borderId="59" xfId="67" applyFont="1" applyFill="1" applyBorder="1" applyAlignment="1" applyProtection="1">
      <alignment horizontal="center" vertical="center" wrapText="1"/>
    </xf>
    <xf numFmtId="0" fontId="98" fillId="0" borderId="53" xfId="67" applyFont="1" applyFill="1" applyBorder="1" applyAlignment="1" applyProtection="1">
      <alignment horizontal="center" vertical="center" wrapText="1"/>
    </xf>
    <xf numFmtId="0" fontId="98" fillId="0" borderId="58" xfId="67" applyFont="1" applyFill="1" applyBorder="1" applyAlignment="1" applyProtection="1">
      <alignment horizontal="center" vertical="center" wrapText="1"/>
    </xf>
    <xf numFmtId="0" fontId="133" fillId="0" borderId="56" xfId="73" applyFont="1" applyFill="1" applyBorder="1" applyAlignment="1" applyProtection="1">
      <alignment horizontal="center" vertical="center" wrapText="1"/>
    </xf>
    <xf numFmtId="0" fontId="133" fillId="0" borderId="60" xfId="73" applyFont="1" applyFill="1" applyBorder="1" applyAlignment="1" applyProtection="1">
      <alignment horizontal="center" vertical="center" wrapText="1"/>
    </xf>
    <xf numFmtId="0" fontId="4" fillId="39" borderId="33" xfId="73" applyFont="1" applyFill="1" applyBorder="1" applyAlignment="1" applyProtection="1">
      <alignment horizontal="center" vertical="center"/>
    </xf>
    <xf numFmtId="0" fontId="4" fillId="39" borderId="42" xfId="73" applyFont="1" applyFill="1" applyBorder="1" applyAlignment="1" applyProtection="1">
      <alignment horizontal="center" vertical="center"/>
    </xf>
    <xf numFmtId="0" fontId="4" fillId="39" borderId="71" xfId="73" applyFont="1" applyFill="1" applyBorder="1" applyAlignment="1" applyProtection="1">
      <alignment horizontal="center" vertical="center"/>
    </xf>
    <xf numFmtId="0" fontId="4" fillId="39" borderId="70" xfId="73" applyFont="1" applyFill="1" applyBorder="1" applyAlignment="1" applyProtection="1">
      <alignment horizontal="center" vertical="center"/>
    </xf>
    <xf numFmtId="0" fontId="4" fillId="39" borderId="0" xfId="73" applyFont="1" applyFill="1" applyBorder="1" applyAlignment="1" applyProtection="1">
      <alignment horizontal="center" vertical="center"/>
    </xf>
    <xf numFmtId="0" fontId="4" fillId="39" borderId="43" xfId="73" applyFont="1" applyFill="1" applyBorder="1" applyAlignment="1" applyProtection="1">
      <alignment horizontal="center" vertical="center"/>
    </xf>
    <xf numFmtId="0" fontId="140" fillId="37" borderId="33" xfId="73" applyFont="1" applyFill="1" applyBorder="1" applyAlignment="1" applyProtection="1">
      <alignment horizontal="center" vertical="center" wrapText="1"/>
    </xf>
    <xf numFmtId="0" fontId="140" fillId="37" borderId="42" xfId="73" applyFont="1" applyFill="1" applyBorder="1" applyAlignment="1" applyProtection="1">
      <alignment horizontal="center" vertical="center" wrapText="1"/>
    </xf>
    <xf numFmtId="0" fontId="140" fillId="37" borderId="71" xfId="73" applyFont="1" applyFill="1" applyBorder="1" applyAlignment="1" applyProtection="1">
      <alignment horizontal="center" vertical="center" wrapText="1"/>
    </xf>
    <xf numFmtId="0" fontId="140" fillId="37" borderId="70" xfId="73" applyFont="1" applyFill="1" applyBorder="1" applyAlignment="1" applyProtection="1">
      <alignment horizontal="center" vertical="center" wrapText="1"/>
    </xf>
    <xf numFmtId="0" fontId="140" fillId="37" borderId="0" xfId="73" applyFont="1" applyFill="1" applyBorder="1" applyAlignment="1" applyProtection="1">
      <alignment horizontal="center" vertical="center" wrapText="1"/>
    </xf>
    <xf numFmtId="0" fontId="140" fillId="37" borderId="43" xfId="73" applyFont="1" applyFill="1" applyBorder="1" applyAlignment="1" applyProtection="1">
      <alignment horizontal="center" vertical="center" wrapText="1"/>
    </xf>
    <xf numFmtId="0" fontId="136" fillId="37" borderId="282" xfId="62" applyFont="1" applyFill="1" applyBorder="1" applyAlignment="1" applyProtection="1">
      <alignment horizontal="center" vertical="center" wrapText="1"/>
    </xf>
    <xf numFmtId="0" fontId="136" fillId="37" borderId="283" xfId="62" applyFont="1" applyFill="1" applyBorder="1" applyAlignment="1" applyProtection="1">
      <alignment horizontal="center" vertical="center" wrapText="1"/>
    </xf>
    <xf numFmtId="0" fontId="136" fillId="37" borderId="286" xfId="62" applyFont="1" applyFill="1" applyBorder="1" applyAlignment="1" applyProtection="1">
      <alignment horizontal="center" vertical="center" wrapText="1"/>
    </xf>
    <xf numFmtId="0" fontId="4" fillId="44" borderId="33" xfId="73" applyFont="1" applyFill="1" applyBorder="1" applyAlignment="1" applyProtection="1">
      <alignment horizontal="center" vertical="center" wrapText="1"/>
    </xf>
    <xf numFmtId="0" fontId="4" fillId="44" borderId="42" xfId="73" applyFont="1" applyFill="1" applyBorder="1" applyAlignment="1" applyProtection="1">
      <alignment horizontal="center" vertical="center" wrapText="1"/>
    </xf>
    <xf numFmtId="0" fontId="4" fillId="44" borderId="71" xfId="73" applyFont="1" applyFill="1" applyBorder="1" applyAlignment="1" applyProtection="1">
      <alignment horizontal="center" vertical="center" wrapText="1"/>
    </xf>
    <xf numFmtId="0" fontId="4" fillId="44" borderId="70" xfId="73" applyFont="1" applyFill="1" applyBorder="1" applyAlignment="1" applyProtection="1">
      <alignment horizontal="center" vertical="center" wrapText="1"/>
    </xf>
    <xf numFmtId="0" fontId="4" fillId="44" borderId="0" xfId="73" applyFont="1" applyFill="1" applyBorder="1" applyAlignment="1" applyProtection="1">
      <alignment horizontal="center" vertical="center" wrapText="1"/>
    </xf>
    <xf numFmtId="0" fontId="4" fillId="44" borderId="43" xfId="73" applyFont="1" applyFill="1" applyBorder="1" applyAlignment="1" applyProtection="1">
      <alignment horizontal="center" vertical="center" wrapText="1"/>
    </xf>
    <xf numFmtId="0" fontId="4" fillId="44" borderId="282" xfId="73" applyFont="1" applyFill="1" applyBorder="1" applyAlignment="1" applyProtection="1">
      <alignment horizontal="center" vertical="center" wrapText="1"/>
    </xf>
    <xf numFmtId="0" fontId="4" fillId="44" borderId="283" xfId="73" applyFont="1" applyFill="1" applyBorder="1" applyAlignment="1" applyProtection="1">
      <alignment horizontal="center" vertical="center" wrapText="1"/>
    </xf>
    <xf numFmtId="0" fontId="4" fillId="44" borderId="286" xfId="73" applyFont="1" applyFill="1" applyBorder="1" applyAlignment="1" applyProtection="1">
      <alignment horizontal="center" vertical="center" wrapText="1"/>
    </xf>
    <xf numFmtId="0" fontId="4" fillId="40" borderId="33" xfId="73" applyFont="1" applyFill="1" applyBorder="1" applyAlignment="1" applyProtection="1">
      <alignment horizontal="center" vertical="center" wrapText="1"/>
    </xf>
    <xf numFmtId="0" fontId="4" fillId="40" borderId="42" xfId="73" applyFont="1" applyFill="1" applyBorder="1" applyAlignment="1" applyProtection="1">
      <alignment horizontal="center" vertical="center" wrapText="1"/>
    </xf>
    <xf numFmtId="0" fontId="4" fillId="40" borderId="71" xfId="73" applyFont="1" applyFill="1" applyBorder="1" applyAlignment="1" applyProtection="1">
      <alignment horizontal="center" vertical="center" wrapText="1"/>
    </xf>
    <xf numFmtId="0" fontId="4" fillId="40" borderId="70" xfId="73" applyFont="1" applyFill="1" applyBorder="1" applyAlignment="1" applyProtection="1">
      <alignment horizontal="center" vertical="center" wrapText="1"/>
    </xf>
    <xf numFmtId="0" fontId="4" fillId="40" borderId="0" xfId="73" applyFont="1" applyFill="1" applyBorder="1" applyAlignment="1" applyProtection="1">
      <alignment horizontal="center" vertical="center" wrapText="1"/>
    </xf>
    <xf numFmtId="0" fontId="4" fillId="40" borderId="43" xfId="73" applyFont="1" applyFill="1" applyBorder="1" applyAlignment="1" applyProtection="1">
      <alignment horizontal="center" vertical="center" wrapText="1"/>
    </xf>
    <xf numFmtId="0" fontId="1" fillId="40" borderId="282" xfId="62" applyFont="1" applyFill="1" applyBorder="1" applyAlignment="1" applyProtection="1">
      <alignment horizontal="center" vertical="center" wrapText="1"/>
    </xf>
    <xf numFmtId="0" fontId="1" fillId="40" borderId="283" xfId="62" applyFont="1" applyFill="1" applyBorder="1" applyAlignment="1" applyProtection="1">
      <alignment horizontal="center" vertical="center" wrapText="1"/>
    </xf>
    <xf numFmtId="0" fontId="1" fillId="40" borderId="286" xfId="62" applyFont="1" applyFill="1" applyBorder="1" applyAlignment="1" applyProtection="1">
      <alignment horizontal="center" vertical="center" wrapText="1"/>
    </xf>
    <xf numFmtId="0" fontId="131" fillId="31" borderId="34" xfId="62" applyFont="1" applyFill="1" applyBorder="1" applyAlignment="1" applyProtection="1">
      <alignment horizontal="center" vertical="center" wrapText="1"/>
    </xf>
    <xf numFmtId="0" fontId="131" fillId="31" borderId="456" xfId="62" applyFont="1" applyFill="1" applyBorder="1" applyAlignment="1" applyProtection="1">
      <alignment horizontal="center" vertical="center" wrapText="1"/>
    </xf>
    <xf numFmtId="0" fontId="131" fillId="31" borderId="473" xfId="62" applyFont="1" applyFill="1" applyBorder="1" applyAlignment="1" applyProtection="1">
      <alignment horizontal="center" vertical="center" wrapText="1"/>
    </xf>
    <xf numFmtId="0" fontId="130" fillId="31" borderId="34" xfId="62" applyFont="1" applyFill="1" applyBorder="1" applyAlignment="1" applyProtection="1">
      <alignment horizontal="center" vertical="center" wrapText="1"/>
    </xf>
    <xf numFmtId="0" fontId="130" fillId="31" borderId="456" xfId="62" applyFont="1" applyFill="1" applyBorder="1" applyAlignment="1" applyProtection="1">
      <alignment horizontal="center" vertical="center" wrapText="1"/>
    </xf>
    <xf numFmtId="0" fontId="130" fillId="31" borderId="473" xfId="62" applyFont="1" applyFill="1" applyBorder="1" applyAlignment="1" applyProtection="1">
      <alignment horizontal="center" vertical="center" wrapText="1"/>
    </xf>
    <xf numFmtId="0" fontId="141" fillId="31" borderId="33" xfId="73" applyFont="1" applyFill="1" applyBorder="1" applyAlignment="1" applyProtection="1">
      <alignment horizontal="center" vertical="center" wrapText="1"/>
    </xf>
    <xf numFmtId="0" fontId="141" fillId="31" borderId="42" xfId="73" applyFont="1" applyFill="1" applyBorder="1" applyAlignment="1" applyProtection="1">
      <alignment horizontal="center" vertical="center" wrapText="1"/>
    </xf>
    <xf numFmtId="0" fontId="141" fillId="31" borderId="71" xfId="73" applyFont="1" applyFill="1" applyBorder="1" applyAlignment="1" applyProtection="1">
      <alignment horizontal="center" vertical="center" wrapText="1"/>
    </xf>
    <xf numFmtId="0" fontId="141" fillId="31" borderId="70" xfId="73" applyFont="1" applyFill="1" applyBorder="1" applyAlignment="1" applyProtection="1">
      <alignment horizontal="center" vertical="center" wrapText="1"/>
    </xf>
    <xf numFmtId="0" fontId="141" fillId="31" borderId="0" xfId="73" applyFont="1" applyFill="1" applyBorder="1" applyAlignment="1" applyProtection="1">
      <alignment horizontal="center" vertical="center" wrapText="1"/>
    </xf>
    <xf numFmtId="0" fontId="141" fillId="31" borderId="43" xfId="73" applyFont="1" applyFill="1" applyBorder="1" applyAlignment="1" applyProtection="1">
      <alignment horizontal="center" vertical="center" wrapText="1"/>
    </xf>
    <xf numFmtId="0" fontId="110" fillId="31" borderId="282" xfId="62" applyFont="1" applyFill="1" applyBorder="1" applyAlignment="1" applyProtection="1">
      <alignment horizontal="center" vertical="center" wrapText="1"/>
    </xf>
    <xf numFmtId="0" fontId="110" fillId="31" borderId="283" xfId="62" applyFont="1" applyFill="1" applyBorder="1" applyAlignment="1" applyProtection="1">
      <alignment horizontal="center" vertical="center" wrapText="1"/>
    </xf>
    <xf numFmtId="0" fontId="110" fillId="31" borderId="286" xfId="62" applyFont="1" applyFill="1" applyBorder="1" applyAlignment="1" applyProtection="1">
      <alignment horizontal="center" vertical="center" wrapText="1"/>
    </xf>
    <xf numFmtId="0" fontId="149" fillId="44" borderId="33" xfId="73" applyFont="1" applyFill="1" applyBorder="1" applyAlignment="1" applyProtection="1">
      <alignment horizontal="center" vertical="center" wrapText="1"/>
    </xf>
    <xf numFmtId="0" fontId="149" fillId="44" borderId="42" xfId="73" applyFont="1" applyFill="1" applyBorder="1" applyAlignment="1" applyProtection="1">
      <alignment horizontal="center" vertical="center" wrapText="1"/>
    </xf>
    <xf numFmtId="0" fontId="149" fillId="44" borderId="71" xfId="73" applyFont="1" applyFill="1" applyBorder="1" applyAlignment="1" applyProtection="1">
      <alignment horizontal="center" vertical="center" wrapText="1"/>
    </xf>
    <xf numFmtId="0" fontId="149" fillId="44" borderId="70" xfId="73" applyFont="1" applyFill="1" applyBorder="1" applyAlignment="1" applyProtection="1">
      <alignment horizontal="center" vertical="center" wrapText="1"/>
    </xf>
    <xf numFmtId="0" fontId="149" fillId="44" borderId="0" xfId="73" applyFont="1" applyFill="1" applyBorder="1" applyAlignment="1" applyProtection="1">
      <alignment horizontal="center" vertical="center" wrapText="1"/>
    </xf>
    <xf numFmtId="0" fontId="149" fillId="44" borderId="43" xfId="73" applyFont="1" applyFill="1" applyBorder="1" applyAlignment="1" applyProtection="1">
      <alignment horizontal="center" vertical="center" wrapText="1"/>
    </xf>
    <xf numFmtId="0" fontId="42" fillId="44" borderId="282" xfId="62" applyFont="1" applyFill="1" applyBorder="1" applyAlignment="1" applyProtection="1">
      <alignment horizontal="center" vertical="center" wrapText="1"/>
    </xf>
    <xf numFmtId="0" fontId="42" fillId="44" borderId="283" xfId="62" applyFont="1" applyFill="1" applyBorder="1" applyAlignment="1" applyProtection="1">
      <alignment horizontal="center" vertical="center" wrapText="1"/>
    </xf>
    <xf numFmtId="0" fontId="42" fillId="44" borderId="286" xfId="62" applyFont="1" applyFill="1" applyBorder="1" applyAlignment="1" applyProtection="1">
      <alignment horizontal="center" vertical="center" wrapText="1"/>
    </xf>
    <xf numFmtId="0" fontId="2" fillId="40" borderId="33" xfId="73" applyFont="1" applyFill="1" applyBorder="1" applyAlignment="1" applyProtection="1">
      <alignment horizontal="center" vertical="center" wrapText="1"/>
    </xf>
    <xf numFmtId="0" fontId="2" fillId="40" borderId="42" xfId="73" applyFont="1" applyFill="1" applyBorder="1" applyAlignment="1" applyProtection="1">
      <alignment horizontal="center" vertical="center" wrapText="1"/>
    </xf>
    <xf numFmtId="0" fontId="2" fillId="40" borderId="71" xfId="73" applyFont="1" applyFill="1" applyBorder="1" applyAlignment="1" applyProtection="1">
      <alignment horizontal="center" vertical="center" wrapText="1"/>
    </xf>
    <xf numFmtId="0" fontId="2" fillId="40" borderId="70" xfId="73" applyFont="1" applyFill="1" applyBorder="1" applyAlignment="1" applyProtection="1">
      <alignment horizontal="center" vertical="center" wrapText="1"/>
    </xf>
    <xf numFmtId="0" fontId="2" fillId="40" borderId="0" xfId="73" applyFont="1" applyFill="1" applyBorder="1" applyAlignment="1" applyProtection="1">
      <alignment horizontal="center" vertical="center" wrapText="1"/>
    </xf>
    <xf numFmtId="0" fontId="2" fillId="40" borderId="43" xfId="73" applyFont="1" applyFill="1" applyBorder="1" applyAlignment="1" applyProtection="1">
      <alignment horizontal="center" vertical="center" wrapText="1"/>
    </xf>
    <xf numFmtId="0" fontId="2" fillId="40" borderId="282" xfId="73" applyFont="1" applyFill="1" applyBorder="1" applyAlignment="1" applyProtection="1">
      <alignment horizontal="center" vertical="center" wrapText="1"/>
    </xf>
    <xf numFmtId="0" fontId="2" fillId="40" borderId="283" xfId="73" applyFont="1" applyFill="1" applyBorder="1" applyAlignment="1" applyProtection="1">
      <alignment horizontal="center" vertical="center" wrapText="1"/>
    </xf>
    <xf numFmtId="0" fontId="2" fillId="40" borderId="286" xfId="73" applyFont="1" applyFill="1" applyBorder="1" applyAlignment="1" applyProtection="1">
      <alignment horizontal="center" vertical="center" wrapText="1"/>
    </xf>
    <xf numFmtId="0" fontId="141" fillId="40" borderId="33" xfId="73" applyFont="1" applyFill="1" applyBorder="1" applyAlignment="1" applyProtection="1">
      <alignment horizontal="center" vertical="center" wrapText="1"/>
    </xf>
    <xf numFmtId="0" fontId="141" fillId="40" borderId="42" xfId="73" applyFont="1" applyFill="1" applyBorder="1" applyAlignment="1" applyProtection="1">
      <alignment horizontal="center" vertical="center" wrapText="1"/>
    </xf>
    <xf numFmtId="0" fontId="141" fillId="40" borderId="71" xfId="73" applyFont="1" applyFill="1" applyBorder="1" applyAlignment="1" applyProtection="1">
      <alignment horizontal="center" vertical="center" wrapText="1"/>
    </xf>
    <xf numFmtId="0" fontId="141" fillId="40" borderId="70" xfId="73" applyFont="1" applyFill="1" applyBorder="1" applyAlignment="1" applyProtection="1">
      <alignment horizontal="center" vertical="center" wrapText="1"/>
    </xf>
    <xf numFmtId="0" fontId="141" fillId="40" borderId="0" xfId="73" applyFont="1" applyFill="1" applyBorder="1" applyAlignment="1" applyProtection="1">
      <alignment horizontal="center" vertical="center" wrapText="1"/>
    </xf>
    <xf numFmtId="0" fontId="141" fillId="40" borderId="43" xfId="73" applyFont="1" applyFill="1" applyBorder="1" applyAlignment="1" applyProtection="1">
      <alignment horizontal="center" vertical="center" wrapText="1"/>
    </xf>
    <xf numFmtId="0" fontId="110" fillId="40" borderId="282" xfId="62" applyFont="1" applyFill="1" applyBorder="1" applyAlignment="1" applyProtection="1">
      <alignment horizontal="center" vertical="center" wrapText="1"/>
    </xf>
    <xf numFmtId="0" fontId="110" fillId="40" borderId="283" xfId="62" applyFont="1" applyFill="1" applyBorder="1" applyAlignment="1" applyProtection="1">
      <alignment horizontal="center" vertical="center" wrapText="1"/>
    </xf>
    <xf numFmtId="0" fontId="110" fillId="40" borderId="286" xfId="62" applyFont="1" applyFill="1" applyBorder="1" applyAlignment="1" applyProtection="1">
      <alignment horizontal="center" vertical="center" wrapText="1"/>
    </xf>
    <xf numFmtId="0" fontId="141" fillId="44" borderId="33" xfId="73" applyFont="1" applyFill="1" applyBorder="1" applyAlignment="1" applyProtection="1">
      <alignment horizontal="center" vertical="center" wrapText="1"/>
    </xf>
    <xf numFmtId="0" fontId="141" fillId="44" borderId="42" xfId="73" applyFont="1" applyFill="1" applyBorder="1" applyAlignment="1" applyProtection="1">
      <alignment horizontal="center" vertical="center" wrapText="1"/>
    </xf>
    <xf numFmtId="0" fontId="141" fillId="44" borderId="71" xfId="73" applyFont="1" applyFill="1" applyBorder="1" applyAlignment="1" applyProtection="1">
      <alignment horizontal="center" vertical="center" wrapText="1"/>
    </xf>
    <xf numFmtId="0" fontId="141" fillId="44" borderId="70" xfId="73" applyFont="1" applyFill="1" applyBorder="1" applyAlignment="1" applyProtection="1">
      <alignment horizontal="center" vertical="center" wrapText="1"/>
    </xf>
    <xf numFmtId="0" fontId="141" fillId="44" borderId="0" xfId="73" applyFont="1" applyFill="1" applyBorder="1" applyAlignment="1" applyProtection="1">
      <alignment horizontal="center" vertical="center" wrapText="1"/>
    </xf>
    <xf numFmtId="0" fontId="141" fillId="44" borderId="43" xfId="73" applyFont="1" applyFill="1" applyBorder="1" applyAlignment="1" applyProtection="1">
      <alignment horizontal="center" vertical="center" wrapText="1"/>
    </xf>
    <xf numFmtId="0" fontId="110" fillId="44" borderId="282" xfId="62" applyFont="1" applyFill="1" applyBorder="1" applyAlignment="1" applyProtection="1">
      <alignment horizontal="center" vertical="center" wrapText="1"/>
    </xf>
    <xf numFmtId="0" fontId="110" fillId="44" borderId="283" xfId="62" applyFont="1" applyFill="1" applyBorder="1" applyAlignment="1" applyProtection="1">
      <alignment horizontal="center" vertical="center" wrapText="1"/>
    </xf>
    <xf numFmtId="0" fontId="110" fillId="44" borderId="286" xfId="62" applyFont="1" applyFill="1" applyBorder="1" applyAlignment="1" applyProtection="1">
      <alignment horizontal="center" vertical="center" wrapText="1"/>
    </xf>
    <xf numFmtId="0" fontId="137" fillId="37" borderId="33" xfId="73" applyFont="1" applyFill="1" applyBorder="1" applyAlignment="1" applyProtection="1">
      <alignment horizontal="center" vertical="center" wrapText="1"/>
    </xf>
    <xf numFmtId="0" fontId="137" fillId="37" borderId="42" xfId="73" applyFont="1" applyFill="1" applyBorder="1" applyAlignment="1" applyProtection="1">
      <alignment horizontal="center" vertical="center" wrapText="1"/>
    </xf>
    <xf numFmtId="0" fontId="137" fillId="37" borderId="71" xfId="73" applyFont="1" applyFill="1" applyBorder="1" applyAlignment="1" applyProtection="1">
      <alignment horizontal="center" vertical="center" wrapText="1"/>
    </xf>
    <xf numFmtId="0" fontId="137" fillId="37" borderId="70" xfId="73" applyFont="1" applyFill="1" applyBorder="1" applyAlignment="1" applyProtection="1">
      <alignment horizontal="center" vertical="center" wrapText="1"/>
    </xf>
    <xf numFmtId="0" fontId="137" fillId="37" borderId="0" xfId="73" applyFont="1" applyFill="1" applyBorder="1" applyAlignment="1" applyProtection="1">
      <alignment horizontal="center" vertical="center" wrapText="1"/>
    </xf>
    <xf numFmtId="0" fontId="137" fillId="37" borderId="43" xfId="73" applyFont="1" applyFill="1" applyBorder="1" applyAlignment="1" applyProtection="1">
      <alignment horizontal="center" vertical="center" wrapText="1"/>
    </xf>
    <xf numFmtId="0" fontId="137" fillId="37" borderId="282" xfId="73" applyFont="1" applyFill="1" applyBorder="1" applyAlignment="1" applyProtection="1">
      <alignment horizontal="center" vertical="center" wrapText="1"/>
    </xf>
    <xf numFmtId="0" fontId="137" fillId="37" borderId="283" xfId="73" applyFont="1" applyFill="1" applyBorder="1" applyAlignment="1" applyProtection="1">
      <alignment horizontal="center" vertical="center" wrapText="1"/>
    </xf>
    <xf numFmtId="0" fontId="137" fillId="37" borderId="286" xfId="73" applyFont="1" applyFill="1" applyBorder="1" applyAlignment="1" applyProtection="1">
      <alignment horizontal="center" vertical="center" wrapText="1"/>
    </xf>
    <xf numFmtId="0" fontId="2" fillId="44" borderId="33" xfId="73" applyFont="1" applyFill="1" applyBorder="1" applyAlignment="1" applyProtection="1">
      <alignment horizontal="center" vertical="center" wrapText="1"/>
    </xf>
    <xf numFmtId="0" fontId="2" fillId="44" borderId="42" xfId="73" applyFont="1" applyFill="1" applyBorder="1" applyAlignment="1" applyProtection="1">
      <alignment horizontal="center" vertical="center" wrapText="1"/>
    </xf>
    <xf numFmtId="0" fontId="2" fillId="44" borderId="71" xfId="73" applyFont="1" applyFill="1" applyBorder="1" applyAlignment="1" applyProtection="1">
      <alignment horizontal="center" vertical="center" wrapText="1"/>
    </xf>
    <xf numFmtId="0" fontId="2" fillId="44" borderId="70" xfId="73" applyFont="1" applyFill="1" applyBorder="1" applyAlignment="1" applyProtection="1">
      <alignment horizontal="center" vertical="center" wrapText="1"/>
    </xf>
    <xf numFmtId="0" fontId="2" fillId="44" borderId="0" xfId="73" applyFont="1" applyFill="1" applyBorder="1" applyAlignment="1" applyProtection="1">
      <alignment horizontal="center" vertical="center" wrapText="1"/>
    </xf>
    <xf numFmtId="0" fontId="2" fillId="44" borderId="43" xfId="73" applyFont="1" applyFill="1" applyBorder="1" applyAlignment="1" applyProtection="1">
      <alignment horizontal="center" vertical="center" wrapText="1"/>
    </xf>
    <xf numFmtId="0" fontId="2" fillId="44" borderId="282" xfId="73" applyFont="1" applyFill="1" applyBorder="1" applyAlignment="1" applyProtection="1">
      <alignment horizontal="center" vertical="center" wrapText="1"/>
    </xf>
    <xf numFmtId="0" fontId="2" fillId="44" borderId="283" xfId="73" applyFont="1" applyFill="1" applyBorder="1" applyAlignment="1" applyProtection="1">
      <alignment horizontal="center" vertical="center" wrapText="1"/>
    </xf>
    <xf numFmtId="0" fontId="2" fillId="44" borderId="286" xfId="73" applyFont="1" applyFill="1" applyBorder="1" applyAlignment="1" applyProtection="1">
      <alignment horizontal="center" vertical="center" wrapText="1"/>
    </xf>
    <xf numFmtId="0" fontId="118" fillId="39" borderId="33" xfId="73" applyFont="1" applyFill="1" applyBorder="1" applyAlignment="1" applyProtection="1">
      <alignment horizontal="center" vertical="center" wrapText="1"/>
    </xf>
    <xf numFmtId="0" fontId="118" fillId="39" borderId="42" xfId="73" applyFont="1" applyFill="1" applyBorder="1" applyAlignment="1" applyProtection="1">
      <alignment horizontal="center" vertical="center" wrapText="1"/>
    </xf>
    <xf numFmtId="0" fontId="118" fillId="39" borderId="71" xfId="73" applyFont="1" applyFill="1" applyBorder="1" applyAlignment="1" applyProtection="1">
      <alignment horizontal="center" vertical="center" wrapText="1"/>
    </xf>
    <xf numFmtId="0" fontId="118" fillId="39" borderId="70" xfId="73" applyFont="1" applyFill="1" applyBorder="1" applyAlignment="1" applyProtection="1">
      <alignment horizontal="center" vertical="center" wrapText="1"/>
    </xf>
    <xf numFmtId="0" fontId="118" fillId="39" borderId="0" xfId="73" applyFont="1" applyFill="1" applyBorder="1" applyAlignment="1" applyProtection="1">
      <alignment horizontal="center" vertical="center" wrapText="1"/>
    </xf>
    <xf numFmtId="0" fontId="118" fillId="39" borderId="43" xfId="73" applyFont="1" applyFill="1" applyBorder="1" applyAlignment="1" applyProtection="1">
      <alignment horizontal="center" vertical="center" wrapText="1"/>
    </xf>
    <xf numFmtId="0" fontId="59" fillId="39" borderId="282" xfId="62" applyFont="1" applyFill="1" applyBorder="1" applyAlignment="1" applyProtection="1">
      <alignment horizontal="center" vertical="center" wrapText="1"/>
    </xf>
    <xf numFmtId="0" fontId="59" fillId="39" borderId="283" xfId="62" applyFont="1" applyFill="1" applyBorder="1" applyAlignment="1" applyProtection="1">
      <alignment horizontal="center" vertical="center" wrapText="1"/>
    </xf>
    <xf numFmtId="0" fontId="59" fillId="39" borderId="286" xfId="62" applyFont="1" applyFill="1" applyBorder="1" applyAlignment="1" applyProtection="1">
      <alignment horizontal="center" vertical="center" wrapText="1"/>
    </xf>
    <xf numFmtId="0" fontId="127" fillId="32" borderId="33" xfId="73" applyFont="1" applyFill="1" applyBorder="1" applyAlignment="1" applyProtection="1">
      <alignment horizontal="center" vertical="center" wrapText="1"/>
    </xf>
    <xf numFmtId="0" fontId="127" fillId="32" borderId="42" xfId="73" applyFont="1" applyFill="1" applyBorder="1" applyAlignment="1" applyProtection="1">
      <alignment horizontal="center" vertical="center" wrapText="1"/>
    </xf>
    <xf numFmtId="0" fontId="127" fillId="32" borderId="71" xfId="73" applyFont="1" applyFill="1" applyBorder="1" applyAlignment="1" applyProtection="1">
      <alignment horizontal="center" vertical="center" wrapText="1"/>
    </xf>
    <xf numFmtId="0" fontId="127" fillId="32" borderId="70" xfId="73" applyFont="1" applyFill="1" applyBorder="1" applyAlignment="1" applyProtection="1">
      <alignment horizontal="center" vertical="center" wrapText="1"/>
    </xf>
    <xf numFmtId="0" fontId="127" fillId="32" borderId="0" xfId="73" applyFont="1" applyFill="1" applyBorder="1" applyAlignment="1" applyProtection="1">
      <alignment horizontal="center" vertical="center" wrapText="1"/>
    </xf>
    <xf numFmtId="0" fontId="127" fillId="32" borderId="43" xfId="73" applyFont="1" applyFill="1" applyBorder="1" applyAlignment="1" applyProtection="1">
      <alignment horizontal="center" vertical="center" wrapText="1"/>
    </xf>
    <xf numFmtId="0" fontId="109" fillId="32" borderId="282" xfId="62" applyFont="1" applyFill="1" applyBorder="1" applyAlignment="1" applyProtection="1">
      <alignment horizontal="center" vertical="center" wrapText="1"/>
    </xf>
    <xf numFmtId="0" fontId="109" fillId="32" borderId="283" xfId="62" applyFont="1" applyFill="1" applyBorder="1" applyAlignment="1" applyProtection="1">
      <alignment horizontal="center" vertical="center" wrapText="1"/>
    </xf>
    <xf numFmtId="0" fontId="109" fillId="32" borderId="286" xfId="62" applyFont="1" applyFill="1" applyBorder="1" applyAlignment="1" applyProtection="1">
      <alignment horizontal="center" vertical="center" wrapText="1"/>
    </xf>
    <xf numFmtId="0" fontId="89" fillId="40" borderId="33" xfId="73" applyFont="1" applyFill="1" applyBorder="1" applyAlignment="1" applyProtection="1">
      <alignment horizontal="center" vertical="center" wrapText="1"/>
    </xf>
    <xf numFmtId="0" fontId="89" fillId="40" borderId="42" xfId="73" applyFont="1" applyFill="1" applyBorder="1" applyAlignment="1" applyProtection="1">
      <alignment horizontal="center" vertical="center" wrapText="1"/>
    </xf>
    <xf numFmtId="0" fontId="89" fillId="40" borderId="71" xfId="73" applyFont="1" applyFill="1" applyBorder="1" applyAlignment="1" applyProtection="1">
      <alignment horizontal="center" vertical="center" wrapText="1"/>
    </xf>
    <xf numFmtId="0" fontId="89" fillId="40" borderId="70" xfId="73" applyFont="1" applyFill="1" applyBorder="1" applyAlignment="1" applyProtection="1">
      <alignment horizontal="center" vertical="center" wrapText="1"/>
    </xf>
    <xf numFmtId="0" fontId="89" fillId="40" borderId="0" xfId="73" applyFont="1" applyFill="1" applyBorder="1" applyAlignment="1" applyProtection="1">
      <alignment horizontal="center" vertical="center" wrapText="1"/>
    </xf>
    <xf numFmtId="0" fontId="89" fillId="40" borderId="43" xfId="73" applyFont="1" applyFill="1" applyBorder="1" applyAlignment="1" applyProtection="1">
      <alignment horizontal="center" vertical="center" wrapText="1"/>
    </xf>
    <xf numFmtId="0" fontId="89" fillId="40" borderId="282" xfId="73" applyFont="1" applyFill="1" applyBorder="1" applyAlignment="1" applyProtection="1">
      <alignment horizontal="center" vertical="center" wrapText="1"/>
    </xf>
    <xf numFmtId="0" fontId="89" fillId="40" borderId="283" xfId="73" applyFont="1" applyFill="1" applyBorder="1" applyAlignment="1" applyProtection="1">
      <alignment horizontal="center" vertical="center" wrapText="1"/>
    </xf>
    <xf numFmtId="0" fontId="89" fillId="40" borderId="286" xfId="73" applyFont="1" applyFill="1" applyBorder="1" applyAlignment="1" applyProtection="1">
      <alignment horizontal="center" vertical="center" wrapText="1"/>
    </xf>
    <xf numFmtId="0" fontId="91" fillId="32" borderId="33" xfId="73" applyFont="1" applyFill="1" applyBorder="1" applyAlignment="1" applyProtection="1">
      <alignment horizontal="center" vertical="center" wrapText="1"/>
    </xf>
    <xf numFmtId="0" fontId="91" fillId="32" borderId="42" xfId="73" applyFont="1" applyFill="1" applyBorder="1" applyAlignment="1" applyProtection="1">
      <alignment horizontal="center" vertical="center" wrapText="1"/>
    </xf>
    <xf numFmtId="0" fontId="91" fillId="32" borderId="71" xfId="73" applyFont="1" applyFill="1" applyBorder="1" applyAlignment="1" applyProtection="1">
      <alignment horizontal="center" vertical="center" wrapText="1"/>
    </xf>
    <xf numFmtId="0" fontId="91" fillId="32" borderId="70" xfId="73" applyFont="1" applyFill="1" applyBorder="1" applyAlignment="1" applyProtection="1">
      <alignment horizontal="center" vertical="center" wrapText="1"/>
    </xf>
    <xf numFmtId="0" fontId="91" fillId="32" borderId="0" xfId="73" applyFont="1" applyFill="1" applyBorder="1" applyAlignment="1" applyProtection="1">
      <alignment horizontal="center" vertical="center" wrapText="1"/>
    </xf>
    <xf numFmtId="0" fontId="91" fillId="32" borderId="43" xfId="73" applyFont="1" applyFill="1" applyBorder="1" applyAlignment="1" applyProtection="1">
      <alignment horizontal="center" vertical="center" wrapText="1"/>
    </xf>
    <xf numFmtId="0" fontId="126" fillId="32" borderId="282" xfId="62" applyFont="1" applyFill="1" applyBorder="1" applyAlignment="1" applyProtection="1">
      <alignment horizontal="center" vertical="center" wrapText="1"/>
    </xf>
    <xf numFmtId="0" fontId="126" fillId="32" borderId="283" xfId="62" applyFont="1" applyFill="1" applyBorder="1" applyAlignment="1" applyProtection="1">
      <alignment horizontal="center" vertical="center" wrapText="1"/>
    </xf>
    <xf numFmtId="0" fontId="126" fillId="32" borderId="286" xfId="62" applyFont="1" applyFill="1" applyBorder="1" applyAlignment="1" applyProtection="1">
      <alignment horizontal="center" vertical="center" wrapText="1"/>
    </xf>
    <xf numFmtId="0" fontId="91" fillId="39" borderId="33" xfId="73" applyFont="1" applyFill="1" applyBorder="1" applyAlignment="1" applyProtection="1">
      <alignment horizontal="center" vertical="center" wrapText="1"/>
    </xf>
    <xf numFmtId="0" fontId="91" fillId="39" borderId="42" xfId="73" applyFont="1" applyFill="1" applyBorder="1" applyAlignment="1" applyProtection="1">
      <alignment horizontal="center" vertical="center" wrapText="1"/>
    </xf>
    <xf numFmtId="0" fontId="91" fillId="39" borderId="71" xfId="73" applyFont="1" applyFill="1" applyBorder="1" applyAlignment="1" applyProtection="1">
      <alignment horizontal="center" vertical="center" wrapText="1"/>
    </xf>
    <xf numFmtId="0" fontId="91" fillId="39" borderId="70" xfId="73" applyFont="1" applyFill="1" applyBorder="1" applyAlignment="1" applyProtection="1">
      <alignment horizontal="center" vertical="center" wrapText="1"/>
    </xf>
    <xf numFmtId="0" fontId="91" fillId="39" borderId="0" xfId="73" applyFont="1" applyFill="1" applyBorder="1" applyAlignment="1" applyProtection="1">
      <alignment horizontal="center" vertical="center" wrapText="1"/>
    </xf>
    <xf numFmtId="0" fontId="91" fillId="39" borderId="43" xfId="73" applyFont="1" applyFill="1" applyBorder="1" applyAlignment="1" applyProtection="1">
      <alignment horizontal="center" vertical="center" wrapText="1"/>
    </xf>
    <xf numFmtId="0" fontId="126" fillId="39" borderId="282" xfId="62" applyFont="1" applyFill="1" applyBorder="1" applyAlignment="1" applyProtection="1">
      <alignment horizontal="center" vertical="center" wrapText="1"/>
    </xf>
    <xf numFmtId="0" fontId="126" fillId="39" borderId="283" xfId="62" applyFont="1" applyFill="1" applyBorder="1" applyAlignment="1" applyProtection="1">
      <alignment horizontal="center" vertical="center" wrapText="1"/>
    </xf>
    <xf numFmtId="0" fontId="126" fillId="39" borderId="286" xfId="62" applyFont="1" applyFill="1" applyBorder="1" applyAlignment="1" applyProtection="1">
      <alignment horizontal="center" vertical="center" wrapText="1"/>
    </xf>
    <xf numFmtId="0" fontId="124" fillId="43" borderId="33" xfId="73" applyFont="1" applyFill="1" applyBorder="1" applyAlignment="1" applyProtection="1">
      <alignment horizontal="center" vertical="center"/>
    </xf>
    <xf numFmtId="0" fontId="124" fillId="43" borderId="42" xfId="73" applyFont="1" applyFill="1" applyBorder="1" applyAlignment="1" applyProtection="1">
      <alignment horizontal="center" vertical="center"/>
    </xf>
    <xf numFmtId="0" fontId="124" fillId="43" borderId="71" xfId="73" applyFont="1" applyFill="1" applyBorder="1" applyAlignment="1" applyProtection="1">
      <alignment horizontal="center" vertical="center"/>
    </xf>
    <xf numFmtId="0" fontId="124" fillId="43" borderId="68" xfId="73" applyFont="1" applyFill="1" applyBorder="1" applyAlignment="1" applyProtection="1">
      <alignment horizontal="center" vertical="center"/>
    </xf>
    <xf numFmtId="0" fontId="124" fillId="43" borderId="67" xfId="73" applyFont="1" applyFill="1" applyBorder="1" applyAlignment="1" applyProtection="1">
      <alignment horizontal="center" vertical="center"/>
    </xf>
    <xf numFmtId="0" fontId="124" fillId="43" borderId="66" xfId="73" applyFont="1" applyFill="1" applyBorder="1" applyAlignment="1" applyProtection="1">
      <alignment horizontal="center" vertical="center"/>
    </xf>
    <xf numFmtId="0" fontId="142" fillId="39" borderId="33" xfId="73" applyFont="1" applyFill="1" applyBorder="1" applyAlignment="1" applyProtection="1">
      <alignment horizontal="center" vertical="center" wrapText="1"/>
    </xf>
    <xf numFmtId="0" fontId="142" fillId="39" borderId="42" xfId="73" applyFont="1" applyFill="1" applyBorder="1" applyAlignment="1" applyProtection="1">
      <alignment horizontal="center" vertical="center" wrapText="1"/>
    </xf>
    <xf numFmtId="0" fontId="142" fillId="39" borderId="71" xfId="73" applyFont="1" applyFill="1" applyBorder="1" applyAlignment="1" applyProtection="1">
      <alignment horizontal="center" vertical="center" wrapText="1"/>
    </xf>
    <xf numFmtId="0" fontId="142" fillId="39" borderId="70" xfId="73" applyFont="1" applyFill="1" applyBorder="1" applyAlignment="1" applyProtection="1">
      <alignment horizontal="center" vertical="center" wrapText="1"/>
    </xf>
    <xf numFmtId="0" fontId="142" fillId="39" borderId="0" xfId="73" applyFont="1" applyFill="1" applyBorder="1" applyAlignment="1" applyProtection="1">
      <alignment horizontal="center" vertical="center" wrapText="1"/>
    </xf>
    <xf numFmtId="0" fontId="142" fillId="39" borderId="43" xfId="73" applyFont="1" applyFill="1" applyBorder="1" applyAlignment="1" applyProtection="1">
      <alignment horizontal="center" vertical="center" wrapText="1"/>
    </xf>
    <xf numFmtId="0" fontId="138" fillId="39" borderId="282" xfId="62" applyFont="1" applyFill="1" applyBorder="1" applyAlignment="1" applyProtection="1">
      <alignment horizontal="center" vertical="center" wrapText="1"/>
    </xf>
    <xf numFmtId="0" fontId="138" fillId="39" borderId="283" xfId="62" applyFont="1" applyFill="1" applyBorder="1" applyAlignment="1" applyProtection="1">
      <alignment horizontal="center" vertical="center" wrapText="1"/>
    </xf>
    <xf numFmtId="0" fontId="138" fillId="39" borderId="286" xfId="62" applyFont="1" applyFill="1" applyBorder="1" applyAlignment="1" applyProtection="1">
      <alignment horizontal="center" vertical="center" wrapText="1"/>
    </xf>
    <xf numFmtId="0" fontId="163" fillId="42" borderId="70" xfId="73" applyFont="1" applyFill="1" applyBorder="1" applyAlignment="1" applyProtection="1">
      <alignment horizontal="center" vertical="center"/>
    </xf>
    <xf numFmtId="0" fontId="163" fillId="42" borderId="0" xfId="73" applyFont="1" applyFill="1" applyBorder="1" applyAlignment="1" applyProtection="1">
      <alignment horizontal="center" vertical="center"/>
    </xf>
    <xf numFmtId="0" fontId="163" fillId="42" borderId="43" xfId="73" applyFont="1" applyFill="1" applyBorder="1" applyAlignment="1" applyProtection="1">
      <alignment horizontal="center" vertical="center"/>
    </xf>
    <xf numFmtId="0" fontId="162" fillId="36" borderId="33" xfId="73" applyFont="1" applyFill="1" applyBorder="1" applyAlignment="1" applyProtection="1">
      <alignment horizontal="center" vertical="center"/>
    </xf>
    <xf numFmtId="0" fontId="162" fillId="36" borderId="42" xfId="73" applyFont="1" applyFill="1" applyBorder="1" applyAlignment="1" applyProtection="1">
      <alignment horizontal="center" vertical="center"/>
    </xf>
    <xf numFmtId="0" fontId="162" fillId="36" borderId="71" xfId="73" applyFont="1" applyFill="1" applyBorder="1" applyAlignment="1" applyProtection="1">
      <alignment horizontal="center" vertical="center"/>
    </xf>
    <xf numFmtId="0" fontId="162" fillId="36" borderId="68" xfId="73" applyFont="1" applyFill="1" applyBorder="1" applyAlignment="1" applyProtection="1">
      <alignment horizontal="center" vertical="center"/>
    </xf>
    <xf numFmtId="0" fontId="162" fillId="36" borderId="67" xfId="73" applyFont="1" applyFill="1" applyBorder="1" applyAlignment="1" applyProtection="1">
      <alignment horizontal="center" vertical="center"/>
    </xf>
    <xf numFmtId="0" fontId="162" fillId="36" borderId="66" xfId="73" applyFont="1" applyFill="1" applyBorder="1" applyAlignment="1" applyProtection="1">
      <alignment horizontal="center" vertical="center"/>
    </xf>
    <xf numFmtId="0" fontId="135" fillId="31" borderId="33" xfId="73" applyFont="1" applyFill="1" applyBorder="1" applyAlignment="1" applyProtection="1">
      <alignment horizontal="center" vertical="center" wrapText="1"/>
    </xf>
    <xf numFmtId="0" fontId="135" fillId="31" borderId="42" xfId="73" applyFont="1" applyFill="1" applyBorder="1" applyAlignment="1" applyProtection="1">
      <alignment horizontal="center" vertical="center" wrapText="1"/>
    </xf>
    <xf numFmtId="0" fontId="135" fillId="31" borderId="71" xfId="73" applyFont="1" applyFill="1" applyBorder="1" applyAlignment="1" applyProtection="1">
      <alignment horizontal="center" vertical="center" wrapText="1"/>
    </xf>
    <xf numFmtId="0" fontId="135" fillId="31" borderId="70" xfId="73" applyFont="1" applyFill="1" applyBorder="1" applyAlignment="1" applyProtection="1">
      <alignment horizontal="center" vertical="center" wrapText="1"/>
    </xf>
    <xf numFmtId="0" fontId="135" fillId="31" borderId="0" xfId="73" applyFont="1" applyFill="1" applyBorder="1" applyAlignment="1" applyProtection="1">
      <alignment horizontal="center" vertical="center" wrapText="1"/>
    </xf>
    <xf numFmtId="0" fontId="135" fillId="31" borderId="43" xfId="73" applyFont="1" applyFill="1" applyBorder="1" applyAlignment="1" applyProtection="1">
      <alignment horizontal="center" vertical="center" wrapText="1"/>
    </xf>
    <xf numFmtId="0" fontId="135" fillId="31" borderId="282" xfId="73" applyFont="1" applyFill="1" applyBorder="1" applyAlignment="1" applyProtection="1">
      <alignment horizontal="center" vertical="center" wrapText="1"/>
    </xf>
    <xf numFmtId="0" fontId="135" fillId="31" borderId="283" xfId="73" applyFont="1" applyFill="1" applyBorder="1" applyAlignment="1" applyProtection="1">
      <alignment horizontal="center" vertical="center" wrapText="1"/>
    </xf>
    <xf numFmtId="0" fontId="135" fillId="31" borderId="286" xfId="73" applyFont="1" applyFill="1" applyBorder="1" applyAlignment="1" applyProtection="1">
      <alignment horizontal="center" vertical="center" wrapText="1"/>
    </xf>
    <xf numFmtId="0" fontId="139" fillId="31" borderId="33" xfId="73" applyFont="1" applyFill="1" applyBorder="1" applyAlignment="1" applyProtection="1">
      <alignment horizontal="center" vertical="center" wrapText="1"/>
    </xf>
    <xf numFmtId="0" fontId="139" fillId="31" borderId="42" xfId="73" applyFont="1" applyFill="1" applyBorder="1" applyAlignment="1" applyProtection="1">
      <alignment horizontal="center" vertical="center" wrapText="1"/>
    </xf>
    <xf numFmtId="0" fontId="139" fillId="31" borderId="71" xfId="73" applyFont="1" applyFill="1" applyBorder="1" applyAlignment="1" applyProtection="1">
      <alignment horizontal="center" vertical="center" wrapText="1"/>
    </xf>
    <xf numFmtId="0" fontId="139" fillId="31" borderId="70" xfId="73" applyFont="1" applyFill="1" applyBorder="1" applyAlignment="1" applyProtection="1">
      <alignment horizontal="center" vertical="center" wrapText="1"/>
    </xf>
    <xf numFmtId="0" fontId="139" fillId="31" borderId="0" xfId="73" applyFont="1" applyFill="1" applyBorder="1" applyAlignment="1" applyProtection="1">
      <alignment horizontal="center" vertical="center" wrapText="1"/>
    </xf>
    <xf numFmtId="0" fontId="139" fillId="31" borderId="43" xfId="73" applyFont="1" applyFill="1" applyBorder="1" applyAlignment="1" applyProtection="1">
      <alignment horizontal="center" vertical="center" wrapText="1"/>
    </xf>
    <xf numFmtId="0" fontId="51" fillId="31" borderId="282" xfId="62" applyFont="1" applyFill="1" applyBorder="1" applyAlignment="1" applyProtection="1">
      <alignment horizontal="center" vertical="center" wrapText="1"/>
    </xf>
    <xf numFmtId="0" fontId="51" fillId="31" borderId="283" xfId="62" applyFont="1" applyFill="1" applyBorder="1" applyAlignment="1" applyProtection="1">
      <alignment horizontal="center" vertical="center" wrapText="1"/>
    </xf>
    <xf numFmtId="0" fontId="51" fillId="31" borderId="286" xfId="62" applyFont="1" applyFill="1" applyBorder="1" applyAlignment="1" applyProtection="1">
      <alignment horizontal="center" vertical="center" wrapText="1"/>
    </xf>
    <xf numFmtId="0" fontId="134" fillId="26" borderId="97" xfId="62" applyFont="1" applyFill="1" applyBorder="1" applyAlignment="1" applyProtection="1">
      <alignment horizontal="center" vertical="center"/>
    </xf>
    <xf numFmtId="0" fontId="134" fillId="26" borderId="96" xfId="62" applyFont="1" applyFill="1" applyBorder="1" applyAlignment="1" applyProtection="1">
      <alignment horizontal="center" vertical="center"/>
    </xf>
    <xf numFmtId="0" fontId="134" fillId="26" borderId="95" xfId="62" applyFont="1" applyFill="1" applyBorder="1" applyAlignment="1" applyProtection="1">
      <alignment horizontal="center" vertical="center"/>
    </xf>
    <xf numFmtId="0" fontId="90" fillId="27" borderId="33" xfId="73" applyFont="1" applyFill="1" applyBorder="1" applyAlignment="1" applyProtection="1">
      <alignment horizontal="center" vertical="center"/>
    </xf>
    <xf numFmtId="0" fontId="90" fillId="27" borderId="42" xfId="73" applyFont="1" applyFill="1" applyBorder="1" applyAlignment="1" applyProtection="1">
      <alignment horizontal="center" vertical="center"/>
    </xf>
    <xf numFmtId="0" fontId="90" fillId="27" borderId="71" xfId="73" applyFont="1" applyFill="1" applyBorder="1" applyAlignment="1" applyProtection="1">
      <alignment horizontal="center" vertical="center"/>
    </xf>
    <xf numFmtId="0" fontId="90" fillId="27" borderId="68" xfId="73" applyFont="1" applyFill="1" applyBorder="1" applyAlignment="1" applyProtection="1">
      <alignment horizontal="center" vertical="center"/>
    </xf>
    <xf numFmtId="0" fontId="90" fillId="27" borderId="67" xfId="73" applyFont="1" applyFill="1" applyBorder="1" applyAlignment="1" applyProtection="1">
      <alignment horizontal="center" vertical="center"/>
    </xf>
    <xf numFmtId="0" fontId="90" fillId="27" borderId="66" xfId="73" applyFont="1" applyFill="1" applyBorder="1" applyAlignment="1" applyProtection="1">
      <alignment horizontal="center" vertical="center"/>
    </xf>
    <xf numFmtId="0" fontId="82" fillId="26" borderId="56" xfId="62" applyFont="1" applyFill="1" applyBorder="1" applyAlignment="1" applyProtection="1">
      <alignment horizontal="center" vertical="center" wrapText="1"/>
    </xf>
    <xf numFmtId="0" fontId="114" fillId="0" borderId="65" xfId="73" applyFont="1" applyFill="1" applyBorder="1" applyAlignment="1" applyProtection="1">
      <alignment horizontal="center" vertical="center" wrapText="1"/>
    </xf>
    <xf numFmtId="0" fontId="114" fillId="0" borderId="62" xfId="73" applyFont="1" applyFill="1" applyBorder="1" applyAlignment="1" applyProtection="1">
      <alignment horizontal="center" vertical="center" wrapText="1"/>
    </xf>
    <xf numFmtId="0" fontId="114" fillId="0" borderId="61" xfId="73" applyFont="1" applyFill="1" applyBorder="1" applyAlignment="1" applyProtection="1">
      <alignment horizontal="center" vertical="center" wrapText="1"/>
    </xf>
    <xf numFmtId="0" fontId="135" fillId="40" borderId="33" xfId="73" applyFont="1" applyFill="1" applyBorder="1" applyAlignment="1" applyProtection="1">
      <alignment horizontal="center" vertical="center" wrapText="1"/>
    </xf>
    <xf numFmtId="0" fontId="135" fillId="40" borderId="42" xfId="73" applyFont="1" applyFill="1" applyBorder="1" applyAlignment="1" applyProtection="1">
      <alignment horizontal="center" vertical="center" wrapText="1"/>
    </xf>
    <xf numFmtId="0" fontId="135" fillId="40" borderId="71" xfId="73" applyFont="1" applyFill="1" applyBorder="1" applyAlignment="1" applyProtection="1">
      <alignment horizontal="center" vertical="center" wrapText="1"/>
    </xf>
    <xf numFmtId="0" fontId="135" fillId="40" borderId="70" xfId="73" applyFont="1" applyFill="1" applyBorder="1" applyAlignment="1" applyProtection="1">
      <alignment horizontal="center" vertical="center" wrapText="1"/>
    </xf>
    <xf numFmtId="0" fontId="135" fillId="40" borderId="0" xfId="73" applyFont="1" applyFill="1" applyBorder="1" applyAlignment="1" applyProtection="1">
      <alignment horizontal="center" vertical="center" wrapText="1"/>
    </xf>
    <xf numFmtId="0" fontId="135" fillId="40" borderId="43" xfId="73" applyFont="1" applyFill="1" applyBorder="1" applyAlignment="1" applyProtection="1">
      <alignment horizontal="center" vertical="center" wrapText="1"/>
    </xf>
    <xf numFmtId="0" fontId="135" fillId="40" borderId="282" xfId="73" applyFont="1" applyFill="1" applyBorder="1" applyAlignment="1" applyProtection="1">
      <alignment horizontal="center" vertical="center" wrapText="1"/>
    </xf>
    <xf numFmtId="0" fontId="135" fillId="40" borderId="283" xfId="73" applyFont="1" applyFill="1" applyBorder="1" applyAlignment="1" applyProtection="1">
      <alignment horizontal="center" vertical="center" wrapText="1"/>
    </xf>
    <xf numFmtId="0" fontId="135" fillId="40" borderId="286" xfId="73" applyFont="1" applyFill="1" applyBorder="1" applyAlignment="1" applyProtection="1">
      <alignment horizontal="center" vertical="center" wrapText="1"/>
    </xf>
    <xf numFmtId="0" fontId="89" fillId="31" borderId="33" xfId="73" applyFont="1" applyFill="1" applyBorder="1" applyAlignment="1" applyProtection="1">
      <alignment horizontal="center" vertical="center" wrapText="1"/>
    </xf>
    <xf numFmtId="0" fontId="89" fillId="31" borderId="42" xfId="73" applyFont="1" applyFill="1" applyBorder="1" applyAlignment="1" applyProtection="1">
      <alignment horizontal="center" vertical="center" wrapText="1"/>
    </xf>
    <xf numFmtId="0" fontId="89" fillId="31" borderId="71" xfId="73" applyFont="1" applyFill="1" applyBorder="1" applyAlignment="1" applyProtection="1">
      <alignment horizontal="center" vertical="center" wrapText="1"/>
    </xf>
    <xf numFmtId="0" fontId="89" fillId="31" borderId="70" xfId="73" applyFont="1" applyFill="1" applyBorder="1" applyAlignment="1" applyProtection="1">
      <alignment horizontal="center" vertical="center" wrapText="1"/>
    </xf>
    <xf numFmtId="0" fontId="89" fillId="31" borderId="0" xfId="73" applyFont="1" applyFill="1" applyBorder="1" applyAlignment="1" applyProtection="1">
      <alignment horizontal="center" vertical="center" wrapText="1"/>
    </xf>
    <xf numFmtId="0" fontId="89" fillId="31" borderId="43" xfId="73" applyFont="1" applyFill="1" applyBorder="1" applyAlignment="1" applyProtection="1">
      <alignment horizontal="center" vertical="center" wrapText="1"/>
    </xf>
    <xf numFmtId="0" fontId="126" fillId="31" borderId="282" xfId="62" applyFont="1" applyFill="1" applyBorder="1" applyAlignment="1" applyProtection="1">
      <alignment horizontal="center" vertical="center" wrapText="1"/>
    </xf>
    <xf numFmtId="0" fontId="126" fillId="31" borderId="283" xfId="62" applyFont="1" applyFill="1" applyBorder="1" applyAlignment="1" applyProtection="1">
      <alignment horizontal="center" vertical="center" wrapText="1"/>
    </xf>
    <xf numFmtId="0" fontId="126" fillId="31" borderId="286" xfId="62" applyFont="1" applyFill="1" applyBorder="1" applyAlignment="1" applyProtection="1">
      <alignment horizontal="center" vertical="center" wrapText="1"/>
    </xf>
    <xf numFmtId="0" fontId="143" fillId="31" borderId="33" xfId="73" applyFont="1" applyFill="1" applyBorder="1" applyAlignment="1" applyProtection="1">
      <alignment horizontal="center" vertical="center" wrapText="1"/>
    </xf>
    <xf numFmtId="0" fontId="143" fillId="31" borderId="42" xfId="73" applyFont="1" applyFill="1" applyBorder="1" applyAlignment="1" applyProtection="1">
      <alignment horizontal="center" vertical="center" wrapText="1"/>
    </xf>
    <xf numFmtId="0" fontId="143" fillId="31" borderId="71" xfId="73" applyFont="1" applyFill="1" applyBorder="1" applyAlignment="1" applyProtection="1">
      <alignment horizontal="center" vertical="center" wrapText="1"/>
    </xf>
    <xf numFmtId="0" fontId="143" fillId="31" borderId="70" xfId="73" applyFont="1" applyFill="1" applyBorder="1" applyAlignment="1" applyProtection="1">
      <alignment horizontal="center" vertical="center" wrapText="1"/>
    </xf>
    <xf numFmtId="0" fontId="143" fillId="31" borderId="0" xfId="73" applyFont="1" applyFill="1" applyBorder="1" applyAlignment="1" applyProtection="1">
      <alignment horizontal="center" vertical="center" wrapText="1"/>
    </xf>
    <xf numFmtId="0" fontId="143" fillId="31" borderId="43" xfId="73" applyFont="1" applyFill="1" applyBorder="1" applyAlignment="1" applyProtection="1">
      <alignment horizontal="center" vertical="center" wrapText="1"/>
    </xf>
    <xf numFmtId="0" fontId="138" fillId="31" borderId="282" xfId="62" applyFont="1" applyFill="1" applyBorder="1" applyAlignment="1" applyProtection="1">
      <alignment horizontal="center" vertical="center" wrapText="1"/>
    </xf>
    <xf numFmtId="0" fontId="138" fillId="31" borderId="283" xfId="62" applyFont="1" applyFill="1" applyBorder="1" applyAlignment="1" applyProtection="1">
      <alignment horizontal="center" vertical="center" wrapText="1"/>
    </xf>
    <xf numFmtId="0" fontId="138" fillId="31" borderId="286" xfId="62" applyFont="1" applyFill="1" applyBorder="1" applyAlignment="1" applyProtection="1">
      <alignment horizontal="center" vertical="center" wrapText="1"/>
    </xf>
    <xf numFmtId="0" fontId="4" fillId="40" borderId="282" xfId="73" applyFont="1" applyFill="1" applyBorder="1" applyAlignment="1" applyProtection="1">
      <alignment horizontal="center" vertical="center" wrapText="1"/>
    </xf>
    <xf numFmtId="0" fontId="4" fillId="40" borderId="283" xfId="73" applyFont="1" applyFill="1" applyBorder="1" applyAlignment="1" applyProtection="1">
      <alignment horizontal="center" vertical="center" wrapText="1"/>
    </xf>
    <xf numFmtId="0" fontId="4" fillId="40" borderId="286" xfId="73" applyFont="1" applyFill="1" applyBorder="1" applyAlignment="1" applyProtection="1">
      <alignment horizontal="center" vertical="center" wrapText="1"/>
    </xf>
    <xf numFmtId="0" fontId="142" fillId="45" borderId="33" xfId="73" applyFont="1" applyFill="1" applyBorder="1" applyAlignment="1" applyProtection="1">
      <alignment horizontal="center" vertical="center" wrapText="1"/>
    </xf>
    <xf numFmtId="0" fontId="142" fillId="45" borderId="42" xfId="73" applyFont="1" applyFill="1" applyBorder="1" applyAlignment="1" applyProtection="1">
      <alignment horizontal="center" vertical="center" wrapText="1"/>
    </xf>
    <xf numFmtId="0" fontId="142" fillId="45" borderId="71" xfId="73" applyFont="1" applyFill="1" applyBorder="1" applyAlignment="1" applyProtection="1">
      <alignment horizontal="center" vertical="center" wrapText="1"/>
    </xf>
    <xf numFmtId="0" fontId="142" fillId="45" borderId="70" xfId="73" applyFont="1" applyFill="1" applyBorder="1" applyAlignment="1" applyProtection="1">
      <alignment horizontal="center" vertical="center" wrapText="1"/>
    </xf>
    <xf numFmtId="0" fontId="142" fillId="45" borderId="0" xfId="73" applyFont="1" applyFill="1" applyBorder="1" applyAlignment="1" applyProtection="1">
      <alignment horizontal="center" vertical="center" wrapText="1"/>
    </xf>
    <xf numFmtId="0" fontId="142" fillId="45" borderId="43" xfId="73" applyFont="1" applyFill="1" applyBorder="1" applyAlignment="1" applyProtection="1">
      <alignment horizontal="center" vertical="center" wrapText="1"/>
    </xf>
    <xf numFmtId="0" fontId="138" fillId="45" borderId="282" xfId="62" applyFont="1" applyFill="1" applyBorder="1" applyAlignment="1" applyProtection="1">
      <alignment horizontal="center" vertical="center" wrapText="1"/>
    </xf>
    <xf numFmtId="0" fontId="138" fillId="45" borderId="283" xfId="62" applyFont="1" applyFill="1" applyBorder="1" applyAlignment="1" applyProtection="1">
      <alignment horizontal="center" vertical="center" wrapText="1"/>
    </xf>
    <xf numFmtId="0" fontId="138" fillId="45" borderId="286" xfId="62" applyFont="1" applyFill="1" applyBorder="1" applyAlignment="1" applyProtection="1">
      <alignment horizontal="center" vertical="center" wrapText="1"/>
    </xf>
    <xf numFmtId="0" fontId="91" fillId="39" borderId="282" xfId="73" applyFont="1" applyFill="1" applyBorder="1" applyAlignment="1" applyProtection="1">
      <alignment horizontal="center" vertical="center" wrapText="1"/>
    </xf>
    <xf numFmtId="0" fontId="91" fillId="39" borderId="283" xfId="73" applyFont="1" applyFill="1" applyBorder="1" applyAlignment="1" applyProtection="1">
      <alignment horizontal="center" vertical="center" wrapText="1"/>
    </xf>
    <xf numFmtId="0" fontId="91" fillId="39" borderId="286" xfId="73" applyFont="1" applyFill="1" applyBorder="1" applyAlignment="1" applyProtection="1">
      <alignment horizontal="center" vertical="center" wrapText="1"/>
    </xf>
    <xf numFmtId="0" fontId="2" fillId="44" borderId="333" xfId="73" applyFont="1" applyFill="1" applyBorder="1" applyAlignment="1" applyProtection="1">
      <alignment horizontal="center" vertical="center" wrapText="1"/>
    </xf>
    <xf numFmtId="0" fontId="2" fillId="44" borderId="72" xfId="73" applyFont="1" applyFill="1" applyBorder="1" applyAlignment="1" applyProtection="1">
      <alignment horizontal="center" vertical="center" wrapText="1"/>
    </xf>
    <xf numFmtId="0" fontId="2" fillId="38" borderId="33" xfId="73" applyFont="1" applyFill="1" applyBorder="1" applyAlignment="1" applyProtection="1">
      <alignment horizontal="center" vertical="center" wrapText="1"/>
    </xf>
    <xf numFmtId="0" fontId="2" fillId="38" borderId="42" xfId="73" applyFont="1" applyFill="1" applyBorder="1" applyAlignment="1" applyProtection="1">
      <alignment horizontal="center" vertical="center" wrapText="1"/>
    </xf>
    <xf numFmtId="0" fontId="2" fillId="38" borderId="71" xfId="73" applyFont="1" applyFill="1" applyBorder="1" applyAlignment="1" applyProtection="1">
      <alignment horizontal="center" vertical="center" wrapText="1"/>
    </xf>
    <xf numFmtId="0" fontId="2" fillId="38" borderId="70" xfId="73" applyFont="1" applyFill="1" applyBorder="1" applyAlignment="1" applyProtection="1">
      <alignment horizontal="center" vertical="center" wrapText="1"/>
    </xf>
    <xf numFmtId="0" fontId="2" fillId="38" borderId="0" xfId="73" applyFont="1" applyFill="1" applyBorder="1" applyAlignment="1" applyProtection="1">
      <alignment horizontal="center" vertical="center" wrapText="1"/>
    </xf>
    <xf numFmtId="0" fontId="2" fillId="38" borderId="43" xfId="73" applyFont="1" applyFill="1" applyBorder="1" applyAlignment="1" applyProtection="1">
      <alignment horizontal="center" vertical="center" wrapText="1"/>
    </xf>
    <xf numFmtId="0" fontId="2" fillId="38" borderId="282" xfId="73" applyFont="1" applyFill="1" applyBorder="1" applyAlignment="1" applyProtection="1">
      <alignment horizontal="center" vertical="center" wrapText="1"/>
    </xf>
    <xf numFmtId="0" fontId="2" fillId="38" borderId="283" xfId="73" applyFont="1" applyFill="1" applyBorder="1" applyAlignment="1" applyProtection="1">
      <alignment horizontal="center" vertical="center" wrapText="1"/>
    </xf>
    <xf numFmtId="0" fontId="2" fillId="38" borderId="286" xfId="73" applyFont="1" applyFill="1" applyBorder="1" applyAlignment="1" applyProtection="1">
      <alignment horizontal="center" vertical="center" wrapText="1"/>
    </xf>
    <xf numFmtId="0" fontId="89" fillId="39" borderId="33" xfId="73" applyFont="1" applyFill="1" applyBorder="1" applyAlignment="1" applyProtection="1">
      <alignment horizontal="center" vertical="center" wrapText="1"/>
    </xf>
    <xf numFmtId="0" fontId="89" fillId="39" borderId="42" xfId="73" applyFont="1" applyFill="1" applyBorder="1" applyAlignment="1" applyProtection="1">
      <alignment horizontal="center" vertical="center" wrapText="1"/>
    </xf>
    <xf numFmtId="0" fontId="89" fillId="39" borderId="71" xfId="73" applyFont="1" applyFill="1" applyBorder="1" applyAlignment="1" applyProtection="1">
      <alignment horizontal="center" vertical="center" wrapText="1"/>
    </xf>
    <xf numFmtId="0" fontId="89" fillId="39" borderId="70" xfId="73" applyFont="1" applyFill="1" applyBorder="1" applyAlignment="1" applyProtection="1">
      <alignment horizontal="center" vertical="center" wrapText="1"/>
    </xf>
    <xf numFmtId="0" fontId="89" fillId="39" borderId="0" xfId="73" applyFont="1" applyFill="1" applyBorder="1" applyAlignment="1" applyProtection="1">
      <alignment horizontal="center" vertical="center" wrapText="1"/>
    </xf>
    <xf numFmtId="0" fontId="89" fillId="39" borderId="43" xfId="73" applyFont="1" applyFill="1" applyBorder="1" applyAlignment="1" applyProtection="1">
      <alignment horizontal="center" vertical="center" wrapText="1"/>
    </xf>
    <xf numFmtId="0" fontId="89" fillId="39" borderId="282" xfId="73" applyFont="1" applyFill="1" applyBorder="1" applyAlignment="1" applyProtection="1">
      <alignment horizontal="center" vertical="center" wrapText="1"/>
    </xf>
    <xf numFmtId="0" fontId="89" fillId="39" borderId="283" xfId="73" applyFont="1" applyFill="1" applyBorder="1" applyAlignment="1" applyProtection="1">
      <alignment horizontal="center" vertical="center" wrapText="1"/>
    </xf>
    <xf numFmtId="0" fontId="89" fillId="39" borderId="286" xfId="73" applyFont="1" applyFill="1" applyBorder="1" applyAlignment="1" applyProtection="1">
      <alignment horizontal="center" vertical="center" wrapText="1"/>
    </xf>
    <xf numFmtId="0" fontId="4" fillId="39" borderId="33" xfId="73" applyFont="1" applyFill="1" applyBorder="1" applyAlignment="1" applyProtection="1">
      <alignment horizontal="center" vertical="center" wrapText="1"/>
    </xf>
    <xf numFmtId="0" fontId="4" fillId="39" borderId="42" xfId="73" applyFont="1" applyFill="1" applyBorder="1" applyAlignment="1" applyProtection="1">
      <alignment horizontal="center" vertical="center" wrapText="1"/>
    </xf>
    <xf numFmtId="0" fontId="4" fillId="39" borderId="71" xfId="73" applyFont="1" applyFill="1" applyBorder="1" applyAlignment="1" applyProtection="1">
      <alignment horizontal="center" vertical="center" wrapText="1"/>
    </xf>
    <xf numFmtId="0" fontId="4" fillId="39" borderId="70" xfId="73" applyFont="1" applyFill="1" applyBorder="1" applyAlignment="1" applyProtection="1">
      <alignment horizontal="center" vertical="center" wrapText="1"/>
    </xf>
    <xf numFmtId="0" fontId="4" fillId="39" borderId="0" xfId="73" applyFont="1" applyFill="1" applyBorder="1" applyAlignment="1" applyProtection="1">
      <alignment horizontal="center" vertical="center" wrapText="1"/>
    </xf>
    <xf numFmtId="0" fontId="4" fillId="39" borderId="43" xfId="73" applyFont="1" applyFill="1" applyBorder="1" applyAlignment="1" applyProtection="1">
      <alignment horizontal="center" vertical="center" wrapText="1"/>
    </xf>
    <xf numFmtId="0" fontId="4" fillId="39" borderId="282" xfId="73" applyFont="1" applyFill="1" applyBorder="1" applyAlignment="1" applyProtection="1">
      <alignment horizontal="center" vertical="center" wrapText="1"/>
    </xf>
    <xf numFmtId="0" fontId="4" fillId="39" borderId="283" xfId="73" applyFont="1" applyFill="1" applyBorder="1" applyAlignment="1" applyProtection="1">
      <alignment horizontal="center" vertical="center" wrapText="1"/>
    </xf>
    <xf numFmtId="0" fontId="4" fillId="39" borderId="286" xfId="73" applyFont="1" applyFill="1" applyBorder="1" applyAlignment="1" applyProtection="1">
      <alignment horizontal="center" vertical="center" wrapText="1"/>
    </xf>
    <xf numFmtId="0" fontId="2" fillId="44" borderId="334" xfId="73" applyFont="1" applyFill="1" applyBorder="1" applyAlignment="1" applyProtection="1">
      <alignment horizontal="center" vertical="center" wrapText="1"/>
    </xf>
    <xf numFmtId="0" fontId="2" fillId="40" borderId="74" xfId="73" applyFont="1" applyFill="1" applyBorder="1" applyAlignment="1" applyProtection="1">
      <alignment horizontal="center" vertical="center" wrapText="1"/>
    </xf>
    <xf numFmtId="0" fontId="2" fillId="40" borderId="334" xfId="73" applyFont="1" applyFill="1" applyBorder="1" applyAlignment="1" applyProtection="1">
      <alignment horizontal="center" vertical="center" wrapText="1"/>
    </xf>
    <xf numFmtId="0" fontId="2" fillId="40" borderId="333" xfId="73" applyFont="1" applyFill="1" applyBorder="1" applyAlignment="1" applyProtection="1">
      <alignment horizontal="center" vertical="center" wrapText="1"/>
    </xf>
    <xf numFmtId="0" fontId="2" fillId="44" borderId="74" xfId="73" applyFont="1" applyFill="1" applyBorder="1" applyAlignment="1" applyProtection="1">
      <alignment horizontal="center" vertical="center" wrapText="1"/>
    </xf>
    <xf numFmtId="0" fontId="2" fillId="40" borderId="164" xfId="73" applyFont="1" applyFill="1" applyBorder="1" applyAlignment="1" applyProtection="1">
      <alignment horizontal="center" vertical="center" wrapText="1"/>
    </xf>
    <xf numFmtId="0" fontId="2" fillId="40" borderId="41" xfId="73" applyFont="1" applyFill="1" applyBorder="1" applyAlignment="1" applyProtection="1">
      <alignment horizontal="center" vertical="center" wrapText="1"/>
    </xf>
    <xf numFmtId="0" fontId="2" fillId="40" borderId="216" xfId="73" applyFont="1" applyFill="1" applyBorder="1" applyAlignment="1" applyProtection="1">
      <alignment horizontal="center" vertical="center" wrapText="1"/>
    </xf>
    <xf numFmtId="0" fontId="2" fillId="40" borderId="72" xfId="73" applyFont="1" applyFill="1" applyBorder="1" applyAlignment="1" applyProtection="1">
      <alignment horizontal="center" vertical="center" wrapText="1"/>
    </xf>
    <xf numFmtId="0" fontId="2" fillId="44" borderId="164" xfId="73" applyFont="1" applyFill="1" applyBorder="1" applyAlignment="1" applyProtection="1">
      <alignment horizontal="center" vertical="center" wrapText="1"/>
    </xf>
    <xf numFmtId="0" fontId="2" fillId="44" borderId="41" xfId="73" applyFont="1" applyFill="1" applyBorder="1" applyAlignment="1" applyProtection="1">
      <alignment horizontal="center" vertical="center" wrapText="1"/>
    </xf>
    <xf numFmtId="0" fontId="2" fillId="44" borderId="216" xfId="73" applyFont="1" applyFill="1" applyBorder="1" applyAlignment="1" applyProtection="1">
      <alignment horizontal="center" vertical="center" wrapText="1"/>
    </xf>
    <xf numFmtId="0" fontId="120" fillId="27" borderId="0" xfId="73" applyFont="1" applyFill="1" applyAlignment="1">
      <alignment horizontal="center" vertical="center"/>
    </xf>
    <xf numFmtId="0" fontId="159" fillId="0" borderId="34" xfId="67" applyFont="1" applyFill="1" applyBorder="1" applyAlignment="1" applyProtection="1">
      <alignment horizontal="center" wrapText="1"/>
    </xf>
    <xf numFmtId="0" fontId="159" fillId="0" borderId="456" xfId="67" applyFont="1" applyFill="1" applyBorder="1" applyAlignment="1" applyProtection="1">
      <alignment horizontal="center" wrapText="1"/>
    </xf>
    <xf numFmtId="0" fontId="159" fillId="0" borderId="457" xfId="67" applyFont="1" applyFill="1" applyBorder="1" applyAlignment="1" applyProtection="1">
      <alignment horizontal="center" wrapText="1"/>
    </xf>
    <xf numFmtId="0" fontId="142" fillId="28" borderId="33" xfId="73" applyFont="1" applyFill="1" applyBorder="1" applyAlignment="1" applyProtection="1">
      <alignment horizontal="center" vertical="center" wrapText="1"/>
    </xf>
    <xf numFmtId="0" fontId="142" fillId="28" borderId="42" xfId="73" applyFont="1" applyFill="1" applyBorder="1" applyAlignment="1" applyProtection="1">
      <alignment horizontal="center" vertical="center" wrapText="1"/>
    </xf>
    <xf numFmtId="0" fontId="142" fillId="28" borderId="71" xfId="73" applyFont="1" applyFill="1" applyBorder="1" applyAlignment="1" applyProtection="1">
      <alignment horizontal="center" vertical="center" wrapText="1"/>
    </xf>
    <xf numFmtId="0" fontId="142" fillId="28" borderId="70" xfId="73" applyFont="1" applyFill="1" applyBorder="1" applyAlignment="1" applyProtection="1">
      <alignment horizontal="center" vertical="center" wrapText="1"/>
    </xf>
    <xf numFmtId="0" fontId="142" fillId="28" borderId="0" xfId="73" applyFont="1" applyFill="1" applyBorder="1" applyAlignment="1" applyProtection="1">
      <alignment horizontal="center" vertical="center" wrapText="1"/>
    </xf>
    <xf numFmtId="0" fontId="142" fillId="28" borderId="43" xfId="73" applyFont="1" applyFill="1" applyBorder="1" applyAlignment="1" applyProtection="1">
      <alignment horizontal="center" vertical="center" wrapText="1"/>
    </xf>
    <xf numFmtId="0" fontId="138" fillId="28" borderId="282" xfId="62" applyFont="1" applyFill="1" applyBorder="1" applyAlignment="1" applyProtection="1">
      <alignment horizontal="center" vertical="center" wrapText="1"/>
    </xf>
    <xf numFmtId="0" fontId="138" fillId="28" borderId="283" xfId="62" applyFont="1" applyFill="1" applyBorder="1" applyAlignment="1" applyProtection="1">
      <alignment horizontal="center" vertical="center" wrapText="1"/>
    </xf>
    <xf numFmtId="0" fontId="138" fillId="28" borderId="286" xfId="62" applyFont="1" applyFill="1" applyBorder="1" applyAlignment="1" applyProtection="1">
      <alignment horizontal="center" vertical="center" wrapText="1"/>
    </xf>
    <xf numFmtId="0" fontId="157" fillId="0" borderId="446" xfId="67" applyFont="1" applyFill="1" applyBorder="1" applyAlignment="1" applyProtection="1">
      <alignment horizontal="center" vertical="center" wrapText="1"/>
    </xf>
    <xf numFmtId="0" fontId="157" fillId="0" borderId="429" xfId="67" applyFont="1" applyFill="1" applyBorder="1" applyAlignment="1" applyProtection="1">
      <alignment horizontal="center" vertical="center" wrapText="1"/>
    </xf>
    <xf numFmtId="0" fontId="157" fillId="0" borderId="447" xfId="67" applyFont="1" applyFill="1" applyBorder="1" applyAlignment="1" applyProtection="1">
      <alignment horizontal="center" vertical="center" wrapText="1"/>
    </xf>
    <xf numFmtId="0" fontId="154" fillId="0" borderId="474" xfId="67" applyFont="1" applyFill="1" applyBorder="1" applyAlignment="1" applyProtection="1">
      <alignment horizontal="center" vertical="center" wrapText="1"/>
    </xf>
    <xf numFmtId="0" fontId="154" fillId="0" borderId="475" xfId="67" applyFont="1" applyFill="1" applyBorder="1" applyAlignment="1" applyProtection="1">
      <alignment horizontal="center" vertical="center" wrapText="1"/>
    </xf>
    <xf numFmtId="0" fontId="154" fillId="0" borderId="461" xfId="67" applyFont="1" applyFill="1" applyBorder="1" applyAlignment="1" applyProtection="1">
      <alignment horizontal="center" vertical="center" wrapText="1"/>
    </xf>
    <xf numFmtId="0" fontId="154" fillId="0" borderId="454" xfId="67" applyFont="1" applyFill="1" applyBorder="1" applyAlignment="1" applyProtection="1">
      <alignment horizontal="center" vertical="center" wrapText="1"/>
    </xf>
    <xf numFmtId="0" fontId="158" fillId="0" borderId="280" xfId="67" applyFont="1" applyFill="1" applyBorder="1" applyAlignment="1" applyProtection="1">
      <alignment horizontal="center" wrapText="1"/>
    </xf>
    <xf numFmtId="0" fontId="158" fillId="0" borderId="156" xfId="67" applyFont="1" applyFill="1" applyBorder="1" applyAlignment="1" applyProtection="1">
      <alignment horizontal="center" wrapText="1"/>
    </xf>
    <xf numFmtId="0" fontId="158" fillId="0" borderId="476" xfId="67" applyFont="1" applyFill="1" applyBorder="1" applyAlignment="1" applyProtection="1">
      <alignment horizontal="center" wrapText="1"/>
    </xf>
    <xf numFmtId="0" fontId="158" fillId="0" borderId="454" xfId="67" applyFont="1" applyFill="1" applyBorder="1" applyAlignment="1" applyProtection="1">
      <alignment horizontal="center" vertical="center" wrapText="1"/>
    </xf>
    <xf numFmtId="0" fontId="158" fillId="0" borderId="455" xfId="67" applyFont="1" applyFill="1" applyBorder="1" applyAlignment="1" applyProtection="1">
      <alignment horizontal="center" vertical="center" wrapText="1"/>
    </xf>
    <xf numFmtId="0" fontId="169" fillId="46" borderId="0" xfId="73" applyFont="1" applyFill="1" applyBorder="1" applyAlignment="1" applyProtection="1">
      <alignment horizontal="center"/>
    </xf>
    <xf numFmtId="0" fontId="157" fillId="0" borderId="34" xfId="67" applyFont="1" applyFill="1" applyBorder="1" applyAlignment="1" applyProtection="1">
      <alignment horizontal="center" wrapText="1"/>
    </xf>
    <xf numFmtId="0" fontId="157" fillId="0" borderId="456" xfId="67" applyFont="1" applyFill="1" applyBorder="1" applyAlignment="1" applyProtection="1">
      <alignment horizontal="center" wrapText="1"/>
    </xf>
    <xf numFmtId="0" fontId="157" fillId="0" borderId="457" xfId="67" applyFont="1" applyFill="1" applyBorder="1" applyAlignment="1" applyProtection="1">
      <alignment horizontal="center" wrapText="1"/>
    </xf>
    <xf numFmtId="0" fontId="2" fillId="38" borderId="462" xfId="73" applyFont="1" applyFill="1" applyBorder="1" applyAlignment="1" applyProtection="1">
      <alignment horizontal="center" vertical="center" wrapText="1"/>
    </xf>
    <xf numFmtId="0" fontId="2" fillId="38" borderId="455" xfId="73" applyFont="1" applyFill="1" applyBorder="1" applyAlignment="1" applyProtection="1">
      <alignment horizontal="center" vertical="center" wrapText="1"/>
    </xf>
    <xf numFmtId="0" fontId="2" fillId="39" borderId="334" xfId="73" applyFont="1" applyFill="1" applyBorder="1" applyAlignment="1" applyProtection="1">
      <alignment horizontal="center" vertical="center" wrapText="1"/>
    </xf>
    <xf numFmtId="0" fontId="2" fillId="39" borderId="477" xfId="73" applyFont="1" applyFill="1" applyBorder="1" applyAlignment="1" applyProtection="1">
      <alignment horizontal="center" vertical="center" wrapText="1"/>
    </xf>
    <xf numFmtId="0" fontId="2" fillId="38" borderId="478" xfId="73" applyFont="1" applyFill="1" applyBorder="1" applyAlignment="1" applyProtection="1">
      <alignment horizontal="center" vertical="center" wrapText="1"/>
    </xf>
    <xf numFmtId="0" fontId="91" fillId="28" borderId="33" xfId="73" applyFont="1" applyFill="1" applyBorder="1" applyAlignment="1" applyProtection="1">
      <alignment horizontal="center" vertical="center" wrapText="1"/>
    </xf>
    <xf numFmtId="0" fontId="91" fillId="28" borderId="42" xfId="73" applyFont="1" applyFill="1" applyBorder="1" applyAlignment="1" applyProtection="1">
      <alignment horizontal="center" vertical="center" wrapText="1"/>
    </xf>
    <xf numFmtId="0" fontId="91" fillId="28" borderId="71" xfId="73" applyFont="1" applyFill="1" applyBorder="1" applyAlignment="1" applyProtection="1">
      <alignment horizontal="center" vertical="center" wrapText="1"/>
    </xf>
    <xf numFmtId="0" fontId="91" fillId="28" borderId="70" xfId="73" applyFont="1" applyFill="1" applyBorder="1" applyAlignment="1" applyProtection="1">
      <alignment horizontal="center" vertical="center" wrapText="1"/>
    </xf>
    <xf numFmtId="0" fontId="91" fillId="28" borderId="0" xfId="73" applyFont="1" applyFill="1" applyBorder="1" applyAlignment="1" applyProtection="1">
      <alignment horizontal="center" vertical="center" wrapText="1"/>
    </xf>
    <xf numFmtId="0" fontId="91" fillId="28" borderId="43" xfId="73" applyFont="1" applyFill="1" applyBorder="1" applyAlignment="1" applyProtection="1">
      <alignment horizontal="center" vertical="center" wrapText="1"/>
    </xf>
    <xf numFmtId="0" fontId="91" fillId="28" borderId="282" xfId="73" applyFont="1" applyFill="1" applyBorder="1" applyAlignment="1" applyProtection="1">
      <alignment horizontal="center" vertical="center" wrapText="1"/>
    </xf>
    <xf numFmtId="0" fontId="91" fillId="28" borderId="283" xfId="73" applyFont="1" applyFill="1" applyBorder="1" applyAlignment="1" applyProtection="1">
      <alignment horizontal="center" vertical="center" wrapText="1"/>
    </xf>
    <xf numFmtId="0" fontId="91" fillId="28" borderId="286" xfId="73" applyFont="1" applyFill="1" applyBorder="1" applyAlignment="1" applyProtection="1">
      <alignment horizontal="center" vertical="center" wrapText="1"/>
    </xf>
    <xf numFmtId="0" fontId="111" fillId="27" borderId="0" xfId="73" applyFont="1" applyFill="1" applyAlignment="1">
      <alignment horizontal="center" vertical="center"/>
    </xf>
    <xf numFmtId="0" fontId="157" fillId="0" borderId="452" xfId="67" applyFont="1" applyFill="1" applyBorder="1" applyAlignment="1" applyProtection="1">
      <alignment horizontal="center" wrapText="1"/>
    </xf>
    <xf numFmtId="0" fontId="157" fillId="0" borderId="69" xfId="67" applyFont="1" applyFill="1" applyBorder="1" applyAlignment="1" applyProtection="1">
      <alignment horizontal="center" wrapText="1"/>
    </xf>
    <xf numFmtId="0" fontId="157" fillId="0" borderId="453" xfId="67" applyFont="1" applyFill="1" applyBorder="1" applyAlignment="1" applyProtection="1">
      <alignment horizontal="center" wrapText="1"/>
    </xf>
    <xf numFmtId="0" fontId="2" fillId="38" borderId="479" xfId="73" applyFont="1" applyFill="1" applyBorder="1" applyAlignment="1" applyProtection="1">
      <alignment horizontal="center" vertical="center" wrapText="1"/>
    </xf>
    <xf numFmtId="0" fontId="2" fillId="39" borderId="480" xfId="73" applyFont="1" applyFill="1" applyBorder="1" applyAlignment="1" applyProtection="1">
      <alignment horizontal="center" vertical="center" wrapText="1"/>
    </xf>
    <xf numFmtId="0" fontId="2" fillId="39" borderId="333" xfId="73" applyFont="1" applyFill="1" applyBorder="1" applyAlignment="1" applyProtection="1">
      <alignment horizontal="center" vertical="center" wrapText="1"/>
    </xf>
    <xf numFmtId="0" fontId="2" fillId="39" borderId="164" xfId="73" applyFont="1" applyFill="1" applyBorder="1" applyAlignment="1" applyProtection="1">
      <alignment horizontal="center" vertical="center" wrapText="1"/>
    </xf>
    <xf numFmtId="0" fontId="2" fillId="39" borderId="41" xfId="73" applyFont="1" applyFill="1" applyBorder="1" applyAlignment="1" applyProtection="1">
      <alignment horizontal="center" vertical="center" wrapText="1"/>
    </xf>
    <xf numFmtId="0" fontId="2" fillId="39" borderId="216" xfId="73" applyFont="1" applyFill="1" applyBorder="1" applyAlignment="1" applyProtection="1">
      <alignment horizontal="center" vertical="center" wrapText="1"/>
    </xf>
    <xf numFmtId="0" fontId="154" fillId="0" borderId="32" xfId="67" applyFont="1" applyFill="1" applyBorder="1" applyAlignment="1" applyProtection="1">
      <alignment horizontal="center" vertical="center" wrapText="1"/>
    </xf>
    <xf numFmtId="0" fontId="154" fillId="0" borderId="44" xfId="67" applyFont="1" applyFill="1" applyBorder="1" applyAlignment="1" applyProtection="1">
      <alignment horizontal="center" vertical="center" wrapText="1"/>
    </xf>
    <xf numFmtId="0" fontId="154" fillId="0" borderId="46" xfId="67" applyFont="1" applyFill="1" applyBorder="1" applyAlignment="1" applyProtection="1">
      <alignment horizontal="center" vertical="center" wrapText="1"/>
    </xf>
    <xf numFmtId="0" fontId="2" fillId="39" borderId="458" xfId="73" applyFont="1" applyFill="1" applyBorder="1" applyAlignment="1" applyProtection="1">
      <alignment horizontal="center" vertical="center" wrapText="1"/>
    </xf>
    <xf numFmtId="0" fontId="92" fillId="32" borderId="33" xfId="62" applyFont="1" applyFill="1" applyBorder="1" applyAlignment="1" applyProtection="1">
      <alignment horizontal="center" vertical="center" wrapText="1"/>
    </xf>
    <xf numFmtId="0" fontId="92" fillId="32" borderId="42" xfId="62" applyFont="1" applyFill="1" applyBorder="1" applyAlignment="1" applyProtection="1">
      <alignment horizontal="center" vertical="center" wrapText="1"/>
    </xf>
    <xf numFmtId="0" fontId="92" fillId="32" borderId="71" xfId="62" applyFont="1" applyFill="1" applyBorder="1" applyAlignment="1" applyProtection="1">
      <alignment horizontal="center" vertical="center" wrapText="1"/>
    </xf>
    <xf numFmtId="0" fontId="92" fillId="32" borderId="70" xfId="62" applyFont="1" applyFill="1" applyBorder="1" applyAlignment="1" applyProtection="1">
      <alignment horizontal="center" vertical="center" wrapText="1"/>
    </xf>
    <xf numFmtId="0" fontId="92" fillId="32" borderId="0" xfId="62" applyFont="1" applyFill="1" applyBorder="1" applyAlignment="1" applyProtection="1">
      <alignment horizontal="center" vertical="center" wrapText="1"/>
    </xf>
    <xf numFmtId="0" fontId="92" fillId="32" borderId="43" xfId="62" applyFont="1" applyFill="1" applyBorder="1" applyAlignment="1" applyProtection="1">
      <alignment horizontal="center" vertical="center" wrapText="1"/>
    </xf>
    <xf numFmtId="0" fontId="92" fillId="32" borderId="68" xfId="62" applyFont="1" applyFill="1" applyBorder="1" applyAlignment="1" applyProtection="1">
      <alignment horizontal="center" vertical="center" wrapText="1"/>
    </xf>
    <xf numFmtId="0" fontId="92" fillId="32" borderId="67" xfId="62" applyFont="1" applyFill="1" applyBorder="1" applyAlignment="1" applyProtection="1">
      <alignment horizontal="center" vertical="center" wrapText="1"/>
    </xf>
    <xf numFmtId="0" fontId="92" fillId="32" borderId="66" xfId="62" applyFont="1" applyFill="1" applyBorder="1" applyAlignment="1" applyProtection="1">
      <alignment horizontal="center" vertical="center" wrapText="1"/>
    </xf>
    <xf numFmtId="0" fontId="116" fillId="32" borderId="74" xfId="62" applyFont="1" applyFill="1" applyBorder="1" applyAlignment="1" applyProtection="1">
      <alignment horizontal="center" vertical="center" wrapText="1"/>
    </xf>
    <xf numFmtId="0" fontId="117" fillId="32" borderId="73" xfId="62" applyFont="1" applyFill="1" applyBorder="1" applyAlignment="1" applyProtection="1">
      <alignment horizontal="center" vertical="center" wrapText="1"/>
    </xf>
    <xf numFmtId="0" fontId="117" fillId="32" borderId="72" xfId="62" applyFont="1" applyFill="1" applyBorder="1" applyAlignment="1" applyProtection="1">
      <alignment horizontal="center" vertical="center" wrapText="1"/>
    </xf>
    <xf numFmtId="0" fontId="117" fillId="26" borderId="74" xfId="62" applyFont="1" applyFill="1" applyBorder="1" applyAlignment="1" applyProtection="1">
      <alignment horizontal="center" vertical="center" wrapText="1"/>
    </xf>
    <xf numFmtId="0" fontId="117" fillId="26" borderId="73" xfId="62" applyFont="1" applyFill="1" applyBorder="1" applyAlignment="1" applyProtection="1">
      <alignment horizontal="center" vertical="center" wrapText="1"/>
    </xf>
    <xf numFmtId="0" fontId="117" fillId="26" borderId="72" xfId="62" applyFont="1" applyFill="1" applyBorder="1" applyAlignment="1" applyProtection="1">
      <alignment horizontal="center" vertical="center" wrapText="1"/>
    </xf>
    <xf numFmtId="0" fontId="117" fillId="35" borderId="33" xfId="62" applyFont="1" applyFill="1" applyBorder="1" applyAlignment="1" applyProtection="1">
      <alignment horizontal="center" vertical="center" wrapText="1"/>
    </xf>
    <xf numFmtId="0" fontId="117" fillId="35" borderId="42" xfId="62" applyFont="1" applyFill="1" applyBorder="1" applyAlignment="1" applyProtection="1">
      <alignment horizontal="center" vertical="center" wrapText="1"/>
    </xf>
    <xf numFmtId="0" fontId="117" fillId="35" borderId="71" xfId="62" applyFont="1" applyFill="1" applyBorder="1" applyAlignment="1" applyProtection="1">
      <alignment horizontal="center" vertical="center" wrapText="1"/>
    </xf>
    <xf numFmtId="0" fontId="117" fillId="35" borderId="68" xfId="62" applyFont="1" applyFill="1" applyBorder="1" applyAlignment="1" applyProtection="1">
      <alignment horizontal="center" vertical="center" wrapText="1"/>
    </xf>
    <xf numFmtId="0" fontId="117" fillId="35" borderId="67" xfId="62" applyFont="1" applyFill="1" applyBorder="1" applyAlignment="1" applyProtection="1">
      <alignment horizontal="center" vertical="center" wrapText="1"/>
    </xf>
    <xf numFmtId="0" fontId="117" fillId="35" borderId="66" xfId="62" applyFont="1" applyFill="1" applyBorder="1" applyAlignment="1" applyProtection="1">
      <alignment horizontal="center" vertical="center" wrapText="1"/>
    </xf>
    <xf numFmtId="0" fontId="211" fillId="28" borderId="0" xfId="73" applyFont="1" applyFill="1" applyAlignment="1" applyProtection="1">
      <alignment horizontal="center" vertical="center" textRotation="90" wrapText="1"/>
    </xf>
    <xf numFmtId="0" fontId="96" fillId="28" borderId="0" xfId="67" applyFont="1" applyFill="1" applyBorder="1" applyAlignment="1" applyProtection="1">
      <alignment horizontal="center" vertical="center" readingOrder="2"/>
    </xf>
    <xf numFmtId="0" fontId="100" fillId="29" borderId="0" xfId="66" applyFont="1" applyFill="1" applyBorder="1" applyAlignment="1" applyProtection="1">
      <alignment horizontal="center"/>
    </xf>
    <xf numFmtId="0" fontId="219" fillId="26" borderId="41" xfId="67" applyFont="1" applyFill="1" applyBorder="1" applyAlignment="1" applyProtection="1">
      <alignment horizontal="right" vertical="center" readingOrder="2"/>
    </xf>
    <xf numFmtId="0" fontId="219" fillId="26" borderId="42" xfId="67" applyFont="1" applyFill="1" applyBorder="1" applyAlignment="1" applyProtection="1">
      <alignment horizontal="right" vertical="center" readingOrder="2"/>
    </xf>
    <xf numFmtId="0" fontId="82" fillId="26" borderId="54" xfId="62" applyFont="1" applyFill="1" applyBorder="1" applyAlignment="1" applyProtection="1">
      <alignment horizontal="center" vertical="center" wrapText="1"/>
    </xf>
    <xf numFmtId="0" fontId="82" fillId="26" borderId="53" xfId="62" applyFont="1" applyFill="1" applyBorder="1" applyAlignment="1" applyProtection="1">
      <alignment horizontal="center" vertical="center" wrapText="1"/>
    </xf>
    <xf numFmtId="0" fontId="116" fillId="31" borderId="164" xfId="62" applyFont="1" applyFill="1" applyBorder="1" applyAlignment="1" applyProtection="1">
      <alignment horizontal="center" vertical="center" wrapText="1"/>
    </xf>
    <xf numFmtId="0" fontId="116" fillId="31" borderId="41" xfId="62" applyFont="1" applyFill="1" applyBorder="1" applyAlignment="1" applyProtection="1">
      <alignment horizontal="center" vertical="center" wrapText="1"/>
    </xf>
    <xf numFmtId="0" fontId="116" fillId="31" borderId="216" xfId="62" applyFont="1" applyFill="1" applyBorder="1" applyAlignment="1" applyProtection="1">
      <alignment horizontal="center" vertical="center" wrapText="1"/>
    </xf>
    <xf numFmtId="0" fontId="219" fillId="26" borderId="42" xfId="73" applyFont="1" applyFill="1" applyBorder="1" applyAlignment="1">
      <alignment horizontal="right" vertical="center" wrapText="1" readingOrder="2"/>
    </xf>
    <xf numFmtId="0" fontId="219" fillId="26" borderId="42" xfId="64" applyFont="1" applyFill="1" applyBorder="1" applyAlignment="1">
      <alignment horizontal="right" vertical="center" wrapText="1" readingOrder="2"/>
    </xf>
    <xf numFmtId="1" fontId="65" fillId="0" borderId="42" xfId="73" applyNumberFormat="1" applyFont="1" applyBorder="1" applyAlignment="1" applyProtection="1">
      <alignment horizontal="center"/>
    </xf>
    <xf numFmtId="0" fontId="197" fillId="32" borderId="74" xfId="62" applyFont="1" applyFill="1" applyBorder="1" applyAlignment="1" applyProtection="1">
      <alignment horizontal="center" vertical="center" wrapText="1"/>
    </xf>
    <xf numFmtId="0" fontId="197" fillId="32" borderId="73" xfId="62" applyFont="1" applyFill="1" applyBorder="1" applyAlignment="1" applyProtection="1">
      <alignment horizontal="center" vertical="center" wrapText="1"/>
    </xf>
    <xf numFmtId="0" fontId="197" fillId="32" borderId="72" xfId="62" applyFont="1" applyFill="1" applyBorder="1" applyAlignment="1" applyProtection="1">
      <alignment horizontal="center" vertical="center" wrapText="1"/>
    </xf>
  </cellXfs>
  <cellStyles count="112">
    <cellStyle name="20% - Accent1" xfId="1"/>
    <cellStyle name="20% - Accent2" xfId="2"/>
    <cellStyle name="20% - Accent3" xfId="3"/>
    <cellStyle name="20% - Accent4" xfId="4"/>
    <cellStyle name="20% - Accent5" xfId="5"/>
    <cellStyle name="20% - Accent6" xfId="6"/>
    <cellStyle name="20% - تمييز1" xfId="7"/>
    <cellStyle name="20% - تمييز2" xfId="8"/>
    <cellStyle name="20% - تمييز3" xfId="9"/>
    <cellStyle name="20% - تمييز4" xfId="10"/>
    <cellStyle name="20% - تمييز5" xfId="11"/>
    <cellStyle name="20% - تمييز6" xfId="12"/>
    <cellStyle name="40% - Accent1" xfId="13"/>
    <cellStyle name="40% - Accent2" xfId="14"/>
    <cellStyle name="40% - Accent3" xfId="15"/>
    <cellStyle name="40% - Accent4" xfId="16"/>
    <cellStyle name="40% - Accent5" xfId="17"/>
    <cellStyle name="40% - Accent6" xfId="18"/>
    <cellStyle name="40% - تمييز1" xfId="19"/>
    <cellStyle name="40% - تمييز2" xfId="20"/>
    <cellStyle name="40% - تمييز3" xfId="21"/>
    <cellStyle name="40% - تمييز4" xfId="22"/>
    <cellStyle name="40% - تمييز5" xfId="23"/>
    <cellStyle name="40% - تمييز6" xfId="24"/>
    <cellStyle name="60% - Accent1" xfId="25"/>
    <cellStyle name="60% - Accent2" xfId="26"/>
    <cellStyle name="60% - Accent3" xfId="27"/>
    <cellStyle name="60% - Accent4" xfId="28"/>
    <cellStyle name="60% - Accent5" xfId="29"/>
    <cellStyle name="60% - Accent6" xfId="30"/>
    <cellStyle name="60% - تمييز1" xfId="31"/>
    <cellStyle name="60% - تمييز2" xfId="32"/>
    <cellStyle name="60% - تمييز3" xfId="33"/>
    <cellStyle name="60% - تمييز4" xfId="34"/>
    <cellStyle name="60% - تمييز5" xfId="35"/>
    <cellStyle name="60% - تمييز6" xfId="36"/>
    <cellStyle name="Année" xfId="37"/>
    <cellStyle name="Bad" xfId="38"/>
    <cellStyle name="Calculation" xfId="39"/>
    <cellStyle name="Check Cell" xfId="40"/>
    <cellStyle name="Date" xfId="41"/>
    <cellStyle name="Euro" xfId="42"/>
    <cellStyle name="Explanatory Text" xfId="43"/>
    <cellStyle name="Extérieur" xfId="44"/>
    <cellStyle name="Good" xfId="45"/>
    <cellStyle name="Heading 1" xfId="46"/>
    <cellStyle name="Heading 2" xfId="47"/>
    <cellStyle name="Heading 3" xfId="48"/>
    <cellStyle name="Heading 4" xfId="49"/>
    <cellStyle name="Input" xfId="50"/>
    <cellStyle name="Intérieur" xfId="51"/>
    <cellStyle name="Linked Cell" xfId="52"/>
    <cellStyle name="Neutral" xfId="53"/>
    <cellStyle name="Normal" xfId="0" builtinId="0"/>
    <cellStyle name="Normal 2" xfId="54"/>
    <cellStyle name="Normal 2 2" xfId="55"/>
    <cellStyle name="Normal 2 2 2" xfId="56"/>
    <cellStyle name="Normal 2 2 2 2 2" xfId="57"/>
    <cellStyle name="Normal 2 2 2 3" xfId="58"/>
    <cellStyle name="Normal 2 3" xfId="59"/>
    <cellStyle name="Normal 3" xfId="60"/>
    <cellStyle name="Normal 3 2" xfId="61"/>
    <cellStyle name="Normal 4" xfId="62"/>
    <cellStyle name="Normal 4 2" xfId="111"/>
    <cellStyle name="Normal 5" xfId="63"/>
    <cellStyle name="Normal_Questionnaire-Primaire" xfId="64"/>
    <cellStyle name="Normal_Questionnaire-Primaire_Annuaire Cne 01" xfId="65"/>
    <cellStyle name="Normal_Questionnaire-Primaire_Annuaire-Secondaire" xfId="66"/>
    <cellStyle name="Normal_Questionnaire-Primaire_Annuaire-Tindouf" xfId="67"/>
    <cellStyle name="Normal_Questionnaire-Primaire_Lycée 01" xfId="68"/>
    <cellStyle name="Normal_Questionnaire-Primaire_Lycée 02" xfId="69"/>
    <cellStyle name="Normal_Questionnaire-Primaire_Questionnaire-Moyen" xfId="70"/>
    <cellStyle name="Normal_Questionnaire-Primaire_Questionnaire-Moyen_1" xfId="71"/>
    <cellStyle name="Normal_Questionnaire-Primaire_Questionnaire-Primaire" xfId="72"/>
    <cellStyle name="Normal_Questionnaire-Primaire_Questionnaire-Secondaire" xfId="73"/>
    <cellStyle name="Normal_Questionnaire-Primaire_Questionnaire-Secondaire 2" xfId="74"/>
    <cellStyle name="Normal_Questionnaire-Primaire_Recap-Moyen" xfId="75"/>
    <cellStyle name="Normal_Questionnaire-Primaire_Recap-Primaire" xfId="76"/>
    <cellStyle name="Normal_Questionnaire-Primaire_المؤسسات" xfId="77"/>
    <cellStyle name="Normal_Questionnaire-Primaire_مديرية التربية" xfId="78"/>
    <cellStyle name="Note" xfId="79"/>
    <cellStyle name="Ombré" xfId="80"/>
    <cellStyle name="Output" xfId="81"/>
    <cellStyle name="Projection" xfId="82"/>
    <cellStyle name="Réduit" xfId="83"/>
    <cellStyle name="Saisie" xfId="84"/>
    <cellStyle name="Title" xfId="85"/>
    <cellStyle name="Warning Text" xfId="86"/>
    <cellStyle name="إخراج" xfId="87"/>
    <cellStyle name="إدخال" xfId="88"/>
    <cellStyle name="الإجمالي" xfId="89"/>
    <cellStyle name="تمييز1" xfId="90"/>
    <cellStyle name="تمييز2" xfId="91"/>
    <cellStyle name="تمييز3" xfId="92"/>
    <cellStyle name="تمييز4" xfId="93"/>
    <cellStyle name="تمييز5" xfId="94"/>
    <cellStyle name="تمييز6" xfId="95"/>
    <cellStyle name="جيد" xfId="96"/>
    <cellStyle name="حساب" xfId="97"/>
    <cellStyle name="خلية تدقيق" xfId="98"/>
    <cellStyle name="خلية مرتبطة" xfId="99"/>
    <cellStyle name="سيئ" xfId="100"/>
    <cellStyle name="عادي_جداول" xfId="101"/>
    <cellStyle name="عنوان" xfId="102"/>
    <cellStyle name="عنوان 1" xfId="103"/>
    <cellStyle name="عنوان 2" xfId="104"/>
    <cellStyle name="عنوان 3" xfId="105"/>
    <cellStyle name="عنوان 4" xfId="106"/>
    <cellStyle name="محايد" xfId="107"/>
    <cellStyle name="ملاحظة" xfId="108"/>
    <cellStyle name="نص تحذير" xfId="109"/>
    <cellStyle name="نص توضيحي" xfId="110"/>
  </cellStyles>
  <dxfs count="22111">
    <dxf>
      <font>
        <b/>
        <i val="0"/>
        <condense val="0"/>
        <extend val="0"/>
        <color indexed="10"/>
      </font>
      <fill>
        <patternFill>
          <bgColor indexed="43"/>
        </patternFill>
      </fill>
    </dxf>
    <dxf>
      <font>
        <color theme="0"/>
      </font>
    </dxf>
    <dxf>
      <font>
        <color theme="0"/>
      </font>
    </dxf>
    <dxf>
      <font>
        <color theme="2"/>
        <name val="Cambria"/>
        <scheme val="none"/>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rgb="FFCCFFCC"/>
      </font>
    </dxf>
    <dxf>
      <font>
        <b/>
        <i val="0"/>
        <color rgb="FFFF0000"/>
      </font>
      <fill>
        <patternFill>
          <bgColor rgb="FFFFFFCC"/>
        </patternFill>
      </fill>
    </dxf>
    <dxf>
      <font>
        <color rgb="FFCCFFCC"/>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CCFFCC"/>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C00000"/>
      </font>
      <fill>
        <patternFill>
          <bgColor theme="9" tint="0.59996337778862885"/>
        </patternFill>
      </fill>
    </dxf>
    <dxf>
      <font>
        <b/>
        <i val="0"/>
        <color rgb="FFC00000"/>
      </font>
      <fill>
        <patternFill>
          <bgColor theme="9" tint="0.59996337778862885"/>
        </patternFill>
      </fill>
    </dxf>
    <dxf>
      <font>
        <b/>
        <i val="0"/>
        <color theme="9" tint="-0.499984740745262"/>
      </font>
      <fill>
        <patternFill>
          <bgColor theme="9" tint="0.59996337778862885"/>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b/>
        <i val="0"/>
        <color theme="9" tint="-0.499984740745262"/>
      </font>
      <fill>
        <patternFill>
          <bgColor theme="9" tint="0.59996337778862885"/>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b/>
        <i val="0"/>
        <color theme="9" tint="-0.499984740745262"/>
      </font>
      <fill>
        <patternFill>
          <bgColor theme="9" tint="0.59996337778862885"/>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b/>
        <i val="0"/>
        <color theme="9" tint="-0.499984740745262"/>
      </font>
      <fill>
        <patternFill>
          <bgColor theme="9" tint="0.59996337778862885"/>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theme="9" tint="-0.499984740745262"/>
      </font>
      <fill>
        <patternFill>
          <bgColor theme="9" tint="0.59996337778862885"/>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7030A0"/>
      </font>
      <fill>
        <patternFill>
          <bgColor theme="9" tint="0.79998168889431442"/>
        </patternFill>
      </fill>
    </dxf>
    <dxf>
      <font>
        <b/>
        <i val="0"/>
        <color rgb="FF7030A0"/>
      </font>
      <fill>
        <patternFill>
          <bgColor theme="9" tint="0.79998168889431442"/>
        </patternFill>
      </fill>
    </dxf>
    <dxf>
      <font>
        <color theme="0"/>
      </font>
      <fill>
        <patternFill>
          <bgColor theme="0"/>
        </patternFill>
      </fill>
    </dxf>
    <dxf>
      <font>
        <b/>
        <i val="0"/>
        <color rgb="FFC00000"/>
      </font>
      <fill>
        <patternFill>
          <bgColor rgb="FFFFFF00"/>
        </patternFill>
      </fill>
    </dxf>
    <dxf>
      <font>
        <b/>
        <i val="0"/>
        <color rgb="FFC00000"/>
      </font>
      <fill>
        <patternFill>
          <bgColor theme="9" tint="0.59996337778862885"/>
        </patternFill>
      </fill>
    </dxf>
    <dxf>
      <font>
        <color theme="0"/>
      </font>
    </dxf>
    <dxf>
      <font>
        <b/>
        <i val="0"/>
        <color rgb="FFC00000"/>
      </font>
      <fill>
        <patternFill>
          <bgColor theme="9" tint="0.59996337778862885"/>
        </patternFill>
      </fill>
    </dxf>
    <dxf>
      <font>
        <color theme="0" tint="-4.9989318521683403E-2"/>
      </font>
    </dxf>
    <dxf>
      <font>
        <b/>
        <i val="0"/>
        <color rgb="FFFF0000"/>
      </font>
      <fill>
        <patternFill>
          <bgColor rgb="FFFFFF00"/>
        </patternFill>
      </fill>
    </dxf>
    <dxf>
      <font>
        <b/>
        <i val="0"/>
        <color rgb="FFC00000"/>
      </font>
      <fill>
        <patternFill>
          <bgColor theme="9" tint="0.59996337778862885"/>
        </patternFill>
      </fill>
    </dxf>
    <dxf>
      <font>
        <color theme="0" tint="-4.9989318521683403E-2"/>
      </font>
    </dxf>
    <dxf>
      <font>
        <b/>
        <i val="0"/>
        <color rgb="FFC00000"/>
      </font>
      <fill>
        <patternFill>
          <bgColor theme="9" tint="0.59996337778862885"/>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theme="0"/>
      </font>
    </dxf>
    <dxf>
      <font>
        <b/>
        <i val="0"/>
        <color rgb="FF002060"/>
      </font>
      <fill>
        <patternFill>
          <bgColor theme="9" tint="0.59996337778862885"/>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color theme="0"/>
      </font>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FF"/>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7030A0"/>
      </font>
      <fill>
        <patternFill>
          <bgColor theme="9" tint="0.79998168889431442"/>
        </patternFill>
      </fill>
    </dxf>
    <dxf>
      <font>
        <b/>
        <i val="0"/>
        <color rgb="FF7030A0"/>
      </font>
      <fill>
        <patternFill>
          <bgColor theme="9" tint="0.79998168889431442"/>
        </patternFill>
      </fill>
    </dxf>
    <dxf>
      <font>
        <b/>
        <i val="0"/>
        <color theme="9" tint="-0.499984740745262"/>
      </font>
      <fill>
        <patternFill>
          <bgColor theme="9" tint="0.59996337778862885"/>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theme="9" tint="-0.499984740745262"/>
      </font>
      <fill>
        <patternFill>
          <bgColor theme="9" tint="0.59996337778862885"/>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CCFFCC"/>
        <name val="Cambria"/>
        <scheme val="none"/>
      </font>
    </dxf>
    <dxf>
      <font>
        <b/>
        <i val="0"/>
        <color rgb="FFFF0000"/>
      </font>
      <fill>
        <patternFill>
          <bgColor rgb="FFFFFFCC"/>
        </patternFill>
      </fill>
    </dxf>
    <dxf>
      <font>
        <color theme="0"/>
      </font>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theme="9" tint="-0.499984740745262"/>
      </font>
      <fill>
        <patternFill>
          <bgColor theme="9" tint="0.59996337778862885"/>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theme="5" tint="0.79998168889431442"/>
        </patternFill>
      </fill>
    </dxf>
    <dxf>
      <font>
        <color theme="0"/>
      </font>
    </dxf>
    <dxf>
      <font>
        <b/>
        <i val="0"/>
        <color rgb="FFFF0000"/>
      </font>
      <fill>
        <patternFill>
          <bgColor rgb="FFFFFFCC"/>
        </patternFill>
      </fill>
    </dxf>
    <dxf>
      <font>
        <color theme="0"/>
      </font>
    </dxf>
    <dxf>
      <font>
        <b/>
        <i val="0"/>
        <color rgb="FFFF0000"/>
      </font>
      <fill>
        <patternFill>
          <bgColor theme="5" tint="0.79998168889431442"/>
        </patternFill>
      </fill>
    </dxf>
    <dxf>
      <font>
        <color theme="0"/>
      </font>
    </dxf>
    <dxf>
      <font>
        <b/>
        <i val="0"/>
        <color rgb="FFFF0000"/>
      </font>
      <fill>
        <patternFill>
          <bgColor rgb="FFFFFFCC"/>
        </patternFill>
      </fill>
    </dxf>
    <dxf>
      <font>
        <color theme="0"/>
      </font>
    </dxf>
    <dxf>
      <font>
        <b/>
        <i val="0"/>
        <color rgb="FFFF0000"/>
      </font>
      <fill>
        <patternFill>
          <bgColor rgb="FFFFC000"/>
        </patternFill>
      </fill>
    </dxf>
    <dxf>
      <font>
        <b/>
        <i val="0"/>
        <color rgb="FFFF0000"/>
      </font>
      <fill>
        <patternFill>
          <bgColor rgb="FFFFC000"/>
        </patternFill>
      </fill>
    </dxf>
    <dxf>
      <font>
        <color theme="0"/>
        <name val="Cambria"/>
        <scheme val="none"/>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5" tint="0.79998168889431442"/>
        </patternFill>
      </fill>
    </dxf>
    <dxf>
      <font>
        <color theme="0"/>
      </font>
    </dxf>
    <dxf>
      <font>
        <b/>
        <i val="0"/>
        <color rgb="FFFF0000"/>
      </font>
      <fill>
        <patternFill>
          <bgColor rgb="FFFFFFCC"/>
        </patternFill>
      </fill>
    </dxf>
    <dxf>
      <font>
        <color theme="0"/>
      </font>
    </dxf>
    <dxf>
      <font>
        <color theme="0"/>
      </font>
    </dxf>
    <dxf>
      <font>
        <color theme="0"/>
      </font>
    </dxf>
    <dxf>
      <font>
        <b/>
        <i val="0"/>
        <color theme="0"/>
      </font>
    </dxf>
    <dxf>
      <font>
        <b/>
        <i val="0"/>
        <color theme="0"/>
      </font>
    </dxf>
    <dxf>
      <font>
        <b/>
        <i val="0"/>
        <color theme="0"/>
      </font>
    </dxf>
    <dxf>
      <font>
        <b/>
        <i val="0"/>
        <color theme="0" tint="-4.9989318521683403E-2"/>
      </font>
    </dxf>
    <dxf>
      <font>
        <color theme="0"/>
      </font>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color rgb="FFCCFFFF"/>
      </font>
    </dxf>
    <dxf>
      <font>
        <b/>
        <i val="0"/>
        <color rgb="FFFF0000"/>
      </font>
      <fill>
        <patternFill>
          <bgColor rgb="FFFFFFCC"/>
        </patternFill>
      </fill>
    </dxf>
    <dxf>
      <font>
        <b/>
        <i val="0"/>
        <color rgb="FFFF0000"/>
      </font>
      <fill>
        <patternFill>
          <bgColor rgb="FFFFFFCC"/>
        </patternFill>
      </fill>
    </dxf>
    <dxf>
      <font>
        <color theme="0"/>
      </font>
    </dxf>
    <dxf>
      <font>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FF0000"/>
      </font>
      <fill>
        <patternFill>
          <bgColor theme="3" tint="0.39994506668294322"/>
        </patternFill>
      </fill>
    </dxf>
    <dxf>
      <font>
        <color theme="0"/>
        <name val="Cambria"/>
        <scheme val="none"/>
      </font>
    </dxf>
    <dxf>
      <font>
        <b/>
        <i val="0"/>
        <color rgb="FFFF0000"/>
      </font>
      <fill>
        <patternFill>
          <bgColor rgb="FFFFFFCC"/>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3" tint="0.59996337778862885"/>
        </patternFill>
      </fill>
    </dxf>
    <dxf>
      <font>
        <b/>
        <i val="0"/>
        <color rgb="FFFF0000"/>
      </font>
      <fill>
        <patternFill>
          <bgColor theme="3" tint="0.39994506668294322"/>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FFFF"/>
      </font>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C00000"/>
      </font>
      <fill>
        <patternFill>
          <bgColor rgb="FFFFFF00"/>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C00000"/>
      </font>
      <fill>
        <patternFill>
          <bgColor rgb="FFFFFF00"/>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C00000"/>
      </font>
      <fill>
        <patternFill>
          <bgColor rgb="FFFFFF00"/>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3" tint="0.59996337778862885"/>
        </patternFill>
      </fill>
    </dxf>
    <dxf>
      <font>
        <color theme="0"/>
      </font>
    </dxf>
    <dxf>
      <font>
        <b/>
        <i val="0"/>
        <color rgb="FFFF0000"/>
      </font>
      <fill>
        <patternFill>
          <bgColor rgb="FFFFFFCC"/>
        </patternFill>
      </fill>
    </dxf>
    <dxf>
      <font>
        <color theme="0"/>
      </font>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color theme="0"/>
      </font>
    </dxf>
    <dxf>
      <font>
        <color theme="0"/>
        <name val="Cambria"/>
        <scheme val="none"/>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rgb="FFCCECFF"/>
      </font>
    </dxf>
    <dxf>
      <font>
        <b/>
        <i val="0"/>
        <color rgb="FFFF0000"/>
      </font>
      <fill>
        <patternFill>
          <bgColor rgb="FFFFFFCC"/>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ill>
        <patternFill>
          <bgColor theme="0"/>
        </patternFill>
      </fill>
    </dxf>
    <dxf>
      <fill>
        <patternFill>
          <bgColor theme="0"/>
        </patternFill>
      </fill>
    </dxf>
    <dxf>
      <font>
        <color theme="0"/>
      </font>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color theme="0"/>
      </font>
    </dxf>
    <dxf>
      <font>
        <b/>
        <i val="0"/>
        <color rgb="FFFF0000"/>
      </font>
      <fill>
        <patternFill>
          <bgColor theme="5" tint="0.59996337778862885"/>
        </patternFill>
      </fill>
    </dxf>
    <dxf>
      <font>
        <b/>
        <i val="0"/>
        <color rgb="FFFF0000"/>
      </font>
      <fill>
        <patternFill>
          <bgColor rgb="FFFFFF00"/>
        </patternFill>
      </fill>
    </dxf>
    <dxf>
      <font>
        <color theme="0"/>
      </font>
    </dxf>
    <dxf>
      <font>
        <b/>
        <i val="0"/>
        <color rgb="FFFF0000"/>
      </font>
      <fill>
        <patternFill>
          <bgColor theme="5" tint="0.59996337778862885"/>
        </patternFill>
      </fill>
    </dxf>
    <dxf>
      <font>
        <color theme="0"/>
      </font>
    </dxf>
    <dxf>
      <font>
        <b/>
        <i val="0"/>
        <color rgb="FFFF0000"/>
      </font>
      <fill>
        <patternFill>
          <bgColor theme="5" tint="0.59996337778862885"/>
        </patternFill>
      </fill>
    </dxf>
    <dxf>
      <font>
        <b/>
        <i val="0"/>
        <color rgb="FFFF0000"/>
      </font>
      <fill>
        <patternFill>
          <bgColor rgb="FFFFFF00"/>
        </patternFill>
      </fill>
    </dxf>
    <dxf>
      <font>
        <b/>
        <i val="0"/>
        <color rgb="FFFF0000"/>
      </font>
      <fill>
        <patternFill>
          <bgColor theme="6" tint="0.59996337778862885"/>
        </patternFill>
      </fill>
    </dxf>
    <dxf>
      <font>
        <color theme="0"/>
      </font>
    </dxf>
    <dxf>
      <font>
        <b/>
        <i val="0"/>
        <color rgb="FFFF0000"/>
      </font>
      <fill>
        <patternFill>
          <bgColor theme="5" tint="0.59996337778862885"/>
        </patternFill>
      </fill>
    </dxf>
    <dxf>
      <font>
        <b/>
        <i val="0"/>
        <color rgb="FFFF0000"/>
      </font>
      <fill>
        <patternFill>
          <bgColor theme="6" tint="0.59996337778862885"/>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ill>
        <patternFill>
          <bgColor theme="0"/>
        </patternFill>
      </fill>
    </dxf>
    <dxf>
      <fill>
        <patternFill>
          <bgColor theme="0"/>
        </patternFill>
      </fill>
    </dxf>
    <dxf>
      <font>
        <color theme="0"/>
      </font>
    </dxf>
    <dxf>
      <font>
        <color theme="0"/>
      </font>
    </dxf>
    <dxf>
      <font>
        <color theme="0"/>
      </font>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color theme="0"/>
      </font>
    </dxf>
    <dxf>
      <font>
        <b/>
        <i val="0"/>
        <color rgb="FFFF0000"/>
      </font>
      <fill>
        <patternFill>
          <bgColor theme="5" tint="0.59996337778862885"/>
        </patternFill>
      </fill>
    </dxf>
    <dxf>
      <font>
        <b/>
        <i val="0"/>
        <color rgb="FFFF0000"/>
      </font>
      <fill>
        <patternFill>
          <bgColor rgb="FFFFFF00"/>
        </patternFill>
      </fill>
    </dxf>
    <dxf>
      <font>
        <color theme="0"/>
      </font>
    </dxf>
    <dxf>
      <font>
        <b/>
        <i val="0"/>
        <color rgb="FFFF0000"/>
      </font>
      <fill>
        <patternFill>
          <bgColor theme="5" tint="0.59996337778862885"/>
        </patternFill>
      </fill>
    </dxf>
    <dxf>
      <font>
        <color theme="0"/>
      </font>
    </dxf>
    <dxf>
      <font>
        <b/>
        <i val="0"/>
        <color rgb="FFFF0000"/>
      </font>
      <fill>
        <patternFill>
          <bgColor theme="5" tint="0.59996337778862885"/>
        </patternFill>
      </fill>
    </dxf>
    <dxf>
      <font>
        <b/>
        <i val="0"/>
        <color rgb="FFFF0000"/>
      </font>
      <fill>
        <patternFill>
          <bgColor rgb="FFFFFF00"/>
        </patternFill>
      </fill>
    </dxf>
    <dxf>
      <font>
        <b/>
        <i val="0"/>
        <color rgb="FFFF0000"/>
      </font>
      <fill>
        <patternFill>
          <bgColor theme="6" tint="0.59996337778862885"/>
        </patternFill>
      </fill>
    </dxf>
    <dxf>
      <font>
        <color theme="0"/>
      </font>
    </dxf>
    <dxf>
      <font>
        <b/>
        <i val="0"/>
        <color rgb="FFFF0000"/>
      </font>
      <fill>
        <patternFill>
          <bgColor theme="5" tint="0.59996337778862885"/>
        </patternFill>
      </fill>
    </dxf>
    <dxf>
      <font>
        <b/>
        <i val="0"/>
        <color rgb="FFFF0000"/>
      </font>
      <fill>
        <patternFill>
          <bgColor theme="6" tint="0.59996337778862885"/>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ill>
        <patternFill>
          <bgColor theme="0"/>
        </patternFill>
      </fill>
    </dxf>
    <dxf>
      <fill>
        <patternFill>
          <bgColor theme="0"/>
        </patternFill>
      </fill>
    </dxf>
    <dxf>
      <font>
        <color theme="0"/>
      </font>
    </dxf>
    <dxf>
      <font>
        <color theme="0" tint="-4.9989318521683403E-2"/>
        <name val="Cambria"/>
        <scheme val="none"/>
      </font>
    </dxf>
    <dxf>
      <font>
        <b/>
        <i val="0"/>
        <color rgb="FFFF0000"/>
      </font>
      <fill>
        <patternFill>
          <bgColor theme="9" tint="0.79998168889431442"/>
        </patternFill>
      </fill>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color theme="0"/>
      </font>
    </dxf>
    <dxf>
      <font>
        <b/>
        <i val="0"/>
        <color rgb="FFFF0000"/>
      </font>
      <fill>
        <patternFill>
          <bgColor theme="5" tint="0.59996337778862885"/>
        </patternFill>
      </fill>
    </dxf>
    <dxf>
      <font>
        <b/>
        <i val="0"/>
        <color rgb="FFFF0000"/>
      </font>
      <fill>
        <patternFill>
          <bgColor rgb="FFFFFF00"/>
        </patternFill>
      </fill>
    </dxf>
    <dxf>
      <font>
        <color theme="0"/>
      </font>
    </dxf>
    <dxf>
      <font>
        <b/>
        <i val="0"/>
        <color rgb="FFFF0000"/>
      </font>
      <fill>
        <patternFill>
          <bgColor theme="5" tint="0.59996337778862885"/>
        </patternFill>
      </fill>
    </dxf>
    <dxf>
      <font>
        <color theme="0"/>
      </font>
    </dxf>
    <dxf>
      <font>
        <b/>
        <i val="0"/>
        <color rgb="FFFF0000"/>
      </font>
      <fill>
        <patternFill>
          <bgColor theme="5" tint="0.59996337778862885"/>
        </patternFill>
      </fill>
    </dxf>
    <dxf>
      <font>
        <b/>
        <i val="0"/>
        <color rgb="FFFF0000"/>
      </font>
      <fill>
        <patternFill>
          <bgColor rgb="FFFFFF00"/>
        </patternFill>
      </fill>
    </dxf>
    <dxf>
      <font>
        <b/>
        <i val="0"/>
        <color rgb="FFFF0000"/>
      </font>
      <fill>
        <patternFill>
          <bgColor theme="6" tint="0.59996337778862885"/>
        </patternFill>
      </fill>
    </dxf>
    <dxf>
      <font>
        <color theme="0"/>
      </font>
    </dxf>
    <dxf>
      <font>
        <b/>
        <i val="0"/>
        <color rgb="FFFF0000"/>
      </font>
      <fill>
        <patternFill>
          <bgColor theme="5" tint="0.59996337778862885"/>
        </patternFill>
      </fill>
    </dxf>
    <dxf>
      <font>
        <b/>
        <i val="0"/>
        <color rgb="FFFF0000"/>
      </font>
      <fill>
        <patternFill>
          <bgColor theme="6" tint="0.59996337778862885"/>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theme="5" tint="0.59996337778862885"/>
        </patternFill>
      </fill>
    </dxf>
    <dxf>
      <font>
        <b/>
        <i val="0"/>
        <color rgb="FFFF0000"/>
      </font>
      <fill>
        <patternFill>
          <bgColor rgb="FFFFFF00"/>
        </patternFill>
      </fill>
    </dxf>
    <dxf>
      <font>
        <b/>
        <i val="0"/>
        <color rgb="FFFF0000"/>
      </font>
      <fill>
        <patternFill>
          <bgColor theme="6" tint="0.59996337778862885"/>
        </patternFill>
      </fill>
    </dxf>
    <dxf>
      <font>
        <color theme="0"/>
      </font>
    </dxf>
    <dxf>
      <font>
        <b/>
        <i val="0"/>
        <color rgb="FFFF0000"/>
      </font>
      <fill>
        <patternFill>
          <bgColor theme="5" tint="0.59996337778862885"/>
        </patternFill>
      </fill>
    </dxf>
    <dxf>
      <font>
        <b/>
        <i val="0"/>
        <color rgb="FFFF0000"/>
      </font>
      <fill>
        <patternFill>
          <bgColor theme="6" tint="0.59996337778862885"/>
        </patternFill>
      </fill>
    </dxf>
    <dxf>
      <font>
        <color theme="0"/>
      </font>
    </dxf>
    <dxf>
      <font>
        <b/>
        <i val="0"/>
        <color rgb="FFFF0000"/>
      </font>
      <fill>
        <patternFill>
          <bgColor theme="5" tint="0.59996337778862885"/>
        </patternFill>
      </fill>
    </dxf>
    <dxf>
      <font>
        <b/>
        <i val="0"/>
        <color rgb="FFFF0000"/>
      </font>
      <fill>
        <patternFill>
          <bgColor rgb="FFFFFF00"/>
        </patternFill>
      </fill>
    </dxf>
    <dxf>
      <font>
        <color theme="0"/>
      </font>
    </dxf>
    <dxf>
      <font>
        <b/>
        <i val="0"/>
        <color rgb="FFFF0000"/>
      </font>
      <fill>
        <patternFill>
          <bgColor theme="5" tint="0.59996337778862885"/>
        </patternFill>
      </fill>
    </dxf>
    <dxf>
      <font>
        <color theme="0" tint="-4.9989318521683403E-2"/>
        <name val="Cambria"/>
        <scheme val="none"/>
      </font>
    </dxf>
    <dxf>
      <font>
        <b/>
        <i val="0"/>
        <color rgb="FFFF0000"/>
      </font>
      <fill>
        <patternFill>
          <bgColor theme="9" tint="0.79998168889431442"/>
        </patternFill>
      </fill>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C00000"/>
      </font>
      <fill>
        <patternFill>
          <bgColor theme="9" tint="0.39994506668294322"/>
        </patternFill>
      </fill>
    </dxf>
    <dxf>
      <font>
        <b/>
        <i val="0"/>
        <color rgb="FFFF0000"/>
      </font>
      <fill>
        <patternFill>
          <bgColor theme="9" tint="0.59996337778862885"/>
        </patternFill>
      </fill>
    </dxf>
    <dxf>
      <font>
        <b/>
        <i val="0"/>
        <color rgb="FFFF0000"/>
      </font>
      <fill>
        <patternFill>
          <bgColor rgb="FFFFFF00"/>
        </patternFill>
      </fill>
    </dxf>
    <dxf>
      <font>
        <color theme="0"/>
      </font>
    </dxf>
    <dxf>
      <font>
        <color theme="0" tint="-0.34998626667073579"/>
      </font>
    </dxf>
    <dxf>
      <font>
        <b/>
        <i val="0"/>
        <color theme="1"/>
      </font>
    </dxf>
    <dxf>
      <font>
        <color theme="0"/>
      </font>
    </dxf>
    <dxf>
      <font>
        <color theme="0"/>
      </font>
    </dxf>
    <dxf>
      <font>
        <color theme="0"/>
      </font>
    </dxf>
    <dxf>
      <font>
        <color theme="0"/>
      </font>
    </dxf>
    <dxf>
      <font>
        <color theme="0"/>
      </font>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rgb="FFFFFF00"/>
        </patternFill>
      </fill>
    </dxf>
    <dxf>
      <font>
        <b/>
        <i val="0"/>
        <color rgb="FFFF0000"/>
      </font>
      <fill>
        <patternFill>
          <bgColor theme="5" tint="0.39994506668294322"/>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theme="1"/>
      </font>
      <fill>
        <patternFill>
          <bgColor rgb="FFFF0000"/>
        </patternFill>
      </fill>
    </dxf>
    <dxf>
      <font>
        <b/>
        <i val="0"/>
        <color rgb="FF002060"/>
      </font>
      <fill>
        <patternFill>
          <bgColor theme="9" tint="-0.24994659260841701"/>
        </patternFill>
      </fill>
    </dxf>
    <dxf>
      <font>
        <b/>
        <i val="0"/>
        <color theme="1"/>
      </font>
      <fill>
        <patternFill>
          <bgColor rgb="FFFF0000"/>
        </patternFill>
      </fill>
    </dxf>
    <dxf>
      <font>
        <b/>
        <i val="0"/>
        <color theme="1"/>
      </font>
    </dxf>
    <dxf>
      <font>
        <b/>
        <i val="0"/>
        <color rgb="FF002060"/>
      </font>
      <fill>
        <patternFill>
          <bgColor theme="9" tint="-0.24994659260841701"/>
        </patternFill>
      </fill>
    </dxf>
    <dxf>
      <font>
        <b/>
        <i val="0"/>
        <color theme="1"/>
      </font>
      <fill>
        <patternFill>
          <bgColor rgb="FFFF0000"/>
        </patternFill>
      </fill>
    </dxf>
    <dxf>
      <font>
        <b/>
        <i val="0"/>
        <color rgb="FF002060"/>
      </font>
      <fill>
        <patternFill>
          <bgColor theme="9" tint="-0.24994659260841701"/>
        </patternFill>
      </fill>
    </dxf>
    <dxf>
      <font>
        <b/>
        <i val="0"/>
        <color theme="1"/>
      </font>
      <fill>
        <patternFill>
          <bgColor rgb="FFFF0000"/>
        </patternFill>
      </fill>
    </dxf>
    <dxf>
      <font>
        <b/>
        <i val="0"/>
        <color theme="1"/>
      </font>
    </dxf>
    <dxf>
      <font>
        <b/>
        <i val="0"/>
        <color rgb="FF002060"/>
      </font>
      <fill>
        <patternFill>
          <bgColor theme="9" tint="-0.24994659260841701"/>
        </patternFill>
      </fill>
    </dxf>
    <dxf>
      <font>
        <color rgb="FFFF0000"/>
      </font>
      <fill>
        <patternFill>
          <bgColor rgb="FFFFFF00"/>
        </patternFill>
      </fill>
    </dxf>
    <dxf>
      <font>
        <color theme="0" tint="-4.9989318521683403E-2"/>
      </font>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rgb="FFFF0000"/>
      </font>
      <fill>
        <patternFill>
          <bgColor rgb="FFFFFF00"/>
        </patternFill>
      </fill>
    </dxf>
    <dxf>
      <font>
        <color theme="0"/>
      </font>
    </dxf>
    <dxf>
      <font>
        <color theme="1"/>
      </font>
    </dxf>
    <dxf>
      <font>
        <b/>
        <i val="0"/>
        <color rgb="FFFF0000"/>
      </font>
      <fill>
        <patternFill>
          <bgColor rgb="FFFFFF00"/>
        </patternFill>
      </fill>
    </dxf>
    <dxf>
      <font>
        <b/>
        <i val="0"/>
        <color rgb="FFFF0000"/>
      </font>
      <fill>
        <patternFill>
          <bgColor theme="8" tint="0.79998168889431442"/>
        </patternFill>
      </fill>
    </dxf>
    <dxf>
      <font>
        <b/>
        <i val="0"/>
        <color rgb="FFFF0000"/>
      </font>
      <fill>
        <patternFill>
          <bgColor rgb="FFFFFF00"/>
        </patternFill>
      </fill>
    </dxf>
    <dxf>
      <font>
        <b/>
        <i val="0"/>
        <color theme="1"/>
        <name val="Cambria"/>
        <scheme val="none"/>
      </font>
      <fill>
        <patternFill>
          <bgColor theme="0"/>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8" tint="0.79998168889431442"/>
        </patternFill>
      </fill>
    </dxf>
    <dxf>
      <font>
        <b/>
        <i val="0"/>
        <color rgb="FFFF0000"/>
      </font>
      <fill>
        <patternFill>
          <bgColor theme="8" tint="0.7999816888943144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FF00"/>
        </patternFill>
      </fill>
    </dxf>
    <dxf>
      <font>
        <b/>
        <i val="0"/>
        <color theme="1"/>
        <name val="Cambria"/>
        <scheme val="none"/>
      </font>
      <fill>
        <patternFill>
          <bgColor theme="0"/>
        </patternFill>
      </fill>
    </dxf>
    <dxf>
      <font>
        <color rgb="FFFF0000"/>
      </font>
      <fill>
        <patternFill>
          <bgColor rgb="FFFFFF00"/>
        </patternFill>
      </fill>
    </dxf>
    <dxf>
      <font>
        <color theme="1"/>
      </font>
    </dxf>
    <dxf>
      <font>
        <color theme="1"/>
      </font>
    </dxf>
    <dxf>
      <font>
        <b/>
        <i val="0"/>
        <color theme="1"/>
      </font>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color theme="0"/>
      </font>
    </dxf>
    <dxf>
      <font>
        <color theme="2"/>
        <name val="Cambria"/>
        <scheme val="none"/>
      </font>
    </dxf>
    <dxf>
      <font>
        <b/>
        <i val="0"/>
        <color rgb="FFFF0000"/>
      </font>
      <fill>
        <patternFill>
          <bgColor theme="0"/>
        </patternFill>
      </fill>
    </dxf>
    <dxf>
      <font>
        <b/>
        <i val="0"/>
        <color rgb="FFFF0000"/>
      </font>
      <fill>
        <patternFill>
          <bgColor theme="0"/>
        </patternFill>
      </fill>
    </dxf>
    <dxf>
      <font>
        <b/>
        <i val="0"/>
        <color theme="1"/>
      </font>
      <fill>
        <patternFill>
          <bgColor rgb="FFFF0000"/>
        </patternFill>
      </fill>
    </dxf>
    <dxf>
      <font>
        <b/>
        <i val="0"/>
        <color rgb="FF002060"/>
      </font>
      <fill>
        <patternFill>
          <bgColor theme="9" tint="-0.24994659260841701"/>
        </patternFill>
      </fill>
    </dxf>
    <dxf>
      <font>
        <b/>
        <i val="0"/>
        <color theme="1"/>
      </font>
      <fill>
        <patternFill>
          <bgColor rgb="FFFF0000"/>
        </patternFill>
      </fill>
    </dxf>
    <dxf>
      <font>
        <b/>
        <i val="0"/>
        <color theme="1"/>
      </font>
    </dxf>
    <dxf>
      <font>
        <b/>
        <i val="0"/>
        <color rgb="FF002060"/>
      </font>
      <fill>
        <patternFill>
          <bgColor theme="9" tint="-0.24994659260841701"/>
        </patternFill>
      </fill>
    </dxf>
    <dxf>
      <font>
        <b/>
        <i val="0"/>
        <color rgb="FFFF0000"/>
      </font>
      <fill>
        <patternFill>
          <bgColor theme="8" tint="0.79998168889431442"/>
        </patternFill>
      </fill>
    </dxf>
    <dxf>
      <font>
        <color theme="0" tint="-0.34998626667073579"/>
      </font>
    </dxf>
    <dxf>
      <font>
        <b/>
        <i val="0"/>
        <color theme="1"/>
      </font>
    </dxf>
    <dxf>
      <font>
        <color theme="0" tint="-0.34998626667073579"/>
      </font>
      <fill>
        <patternFill>
          <bgColor theme="0"/>
        </patternFill>
      </fill>
    </dxf>
    <dxf>
      <font>
        <b/>
        <i val="0"/>
        <color theme="1"/>
        <name val="Cambria"/>
        <scheme val="none"/>
      </font>
      <fill>
        <patternFill>
          <bgColor theme="0"/>
        </patternFill>
      </fill>
    </dxf>
    <dxf>
      <font>
        <color theme="0" tint="-4.9989318521683403E-2"/>
      </font>
    </dxf>
    <dxf>
      <font>
        <b/>
        <i val="0"/>
        <color rgb="FFFF0000"/>
      </font>
      <fill>
        <patternFill>
          <bgColor theme="9" tint="0.59996337778862885"/>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rgb="FFFF0000"/>
      </font>
      <fill>
        <patternFill>
          <bgColor rgb="FFFFFF00"/>
        </patternFill>
      </fill>
    </dxf>
    <dxf>
      <font>
        <b/>
        <i val="0"/>
        <color theme="1"/>
        <name val="Cambria"/>
        <scheme val="none"/>
      </font>
      <fill>
        <patternFill>
          <bgColor theme="0"/>
        </patternFill>
      </fill>
    </dxf>
    <dxf>
      <font>
        <color theme="0"/>
      </font>
    </dxf>
    <dxf>
      <font>
        <b/>
        <i val="0"/>
        <color rgb="FFFF0000"/>
      </font>
      <fill>
        <patternFill>
          <bgColor rgb="FFFFFFCC"/>
        </patternFill>
      </fill>
    </dxf>
    <dxf>
      <font>
        <b/>
        <i val="0"/>
        <color rgb="FFFF0000"/>
      </font>
      <fill>
        <patternFill>
          <bgColor rgb="FFFFFFCC"/>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color theme="0"/>
      </font>
    </dxf>
    <dxf>
      <font>
        <color theme="1"/>
      </font>
    </dxf>
    <dxf>
      <font>
        <color theme="2"/>
        <name val="Cambria"/>
        <scheme val="none"/>
      </font>
    </dxf>
    <dxf>
      <font>
        <b/>
        <i val="0"/>
        <color rgb="FFFF0000"/>
      </font>
      <fill>
        <patternFill>
          <bgColor rgb="FFFFC000"/>
        </patternFill>
      </fill>
    </dxf>
    <dxf>
      <font>
        <color rgb="FFFF0000"/>
      </font>
      <fill>
        <patternFill>
          <bgColor rgb="FFFFFF00"/>
        </patternFill>
      </fill>
    </dxf>
    <dxf>
      <font>
        <b/>
        <i val="0"/>
        <color theme="3" tint="-0.24994659260841701"/>
      </font>
      <fill>
        <patternFill>
          <bgColor rgb="FFFF0000"/>
        </patternFill>
      </fill>
    </dxf>
    <dxf>
      <font>
        <color theme="1"/>
        <name val="Cambria"/>
        <scheme val="none"/>
      </font>
    </dxf>
    <dxf>
      <font>
        <b/>
        <i val="0"/>
        <color theme="1"/>
      </font>
    </dxf>
    <dxf>
      <font>
        <b/>
        <i val="0"/>
        <color rgb="FFFF0000"/>
      </font>
      <fill>
        <patternFill>
          <bgColor rgb="FFFFFF00"/>
        </patternFill>
      </fill>
    </dxf>
    <dxf>
      <font>
        <b/>
        <i val="0"/>
        <color theme="3" tint="-0.24994659260841701"/>
      </font>
      <fill>
        <patternFill>
          <bgColor rgb="FFFF0000"/>
        </patternFill>
      </fill>
    </dxf>
    <dxf>
      <font>
        <color theme="1"/>
        <name val="Cambria"/>
        <scheme val="none"/>
      </font>
    </dxf>
    <dxf>
      <font>
        <b/>
        <i val="0"/>
        <color theme="1"/>
      </font>
    </dxf>
    <dxf>
      <font>
        <b/>
        <i val="0"/>
        <color rgb="FFFF0000"/>
      </font>
      <fill>
        <patternFill>
          <bgColor theme="9" tint="0.59996337778862885"/>
        </patternFill>
      </fill>
    </dxf>
    <dxf>
      <font>
        <b/>
        <i val="0"/>
        <color rgb="FFFF0000"/>
      </font>
      <fill>
        <patternFill>
          <bgColor rgb="FFFFFF00"/>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rgb="FFFFFF00"/>
        </patternFill>
      </fill>
    </dxf>
    <dxf>
      <font>
        <b/>
        <i val="0"/>
        <color rgb="FFFF0000"/>
      </font>
      <fill>
        <patternFill>
          <bgColor theme="9" tint="0.59996337778862885"/>
        </patternFill>
      </fill>
    </dxf>
    <dxf>
      <font>
        <b/>
        <i val="0"/>
        <color rgb="FFFF0000"/>
      </font>
      <fill>
        <patternFill>
          <bgColor rgb="FFFFFF00"/>
        </patternFill>
      </fill>
    </dxf>
    <dxf>
      <font>
        <b/>
        <i val="0"/>
        <color rgb="FFFF0000"/>
      </font>
      <fill>
        <patternFill>
          <bgColor rgb="FFFFFF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theme="3" tint="-0.24994659260841701"/>
      </font>
      <fill>
        <patternFill>
          <bgColor rgb="FFFF0000"/>
        </patternFill>
      </fill>
    </dxf>
    <dxf>
      <font>
        <b/>
        <i val="0"/>
        <color rgb="FF002060"/>
      </font>
      <fill>
        <patternFill>
          <bgColor rgb="FFFFC000"/>
        </patternFill>
      </fill>
    </dxf>
    <dxf>
      <font>
        <b/>
        <i val="0"/>
        <color theme="3" tint="-0.24994659260841701"/>
      </font>
      <fill>
        <patternFill>
          <bgColor rgb="FFFF0000"/>
        </patternFill>
      </fill>
    </dxf>
    <dxf>
      <font>
        <b/>
        <i val="0"/>
        <color rgb="FF002060"/>
      </font>
      <fill>
        <patternFill>
          <bgColor rgb="FFFFC000"/>
        </patternFill>
      </fill>
    </dxf>
    <dxf>
      <font>
        <b/>
        <i val="0"/>
        <color theme="3" tint="-0.24994659260841701"/>
      </font>
      <fill>
        <patternFill>
          <bgColor rgb="FFFF0000"/>
        </patternFill>
      </fill>
    </dxf>
    <dxf>
      <font>
        <b/>
        <i val="0"/>
        <color rgb="FF002060"/>
      </font>
      <fill>
        <patternFill>
          <bgColor rgb="FFFFC0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auto="1"/>
      </font>
      <fill>
        <patternFill>
          <bgColor rgb="FFFF0000"/>
        </patternFill>
      </fill>
    </dxf>
    <dxf>
      <font>
        <color theme="0"/>
        <name val="Cambria"/>
        <scheme val="none"/>
      </font>
    </dxf>
    <dxf>
      <font>
        <b/>
        <i val="0"/>
        <color theme="1"/>
      </font>
    </dxf>
    <dxf>
      <font>
        <b/>
        <i val="0"/>
        <color rgb="FFFF0000"/>
      </font>
      <fill>
        <patternFill>
          <bgColor rgb="FFFFFF00"/>
        </patternFill>
      </fill>
    </dxf>
    <dxf>
      <font>
        <b/>
        <i val="0"/>
        <color theme="1"/>
        <name val="Cambria"/>
        <scheme val="none"/>
      </font>
      <fill>
        <patternFill>
          <bgColor theme="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theme="0"/>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1"/>
        <name val="Cambria"/>
        <scheme val="none"/>
      </font>
      <fill>
        <patternFill>
          <bgColor rgb="FFFF0000"/>
        </patternFill>
      </fill>
    </dxf>
    <dxf>
      <font>
        <color theme="0"/>
      </font>
    </dxf>
    <dxf>
      <font>
        <b/>
        <i val="0"/>
        <color rgb="FFFF0000"/>
      </font>
      <fill>
        <patternFill>
          <bgColor rgb="FFFFFFCC"/>
        </patternFill>
      </fill>
    </dxf>
    <dxf>
      <font>
        <b/>
        <i val="0"/>
        <color rgb="FFFF0000"/>
      </font>
      <fill>
        <patternFill>
          <bgColor rgb="FFFFFF00"/>
        </patternFill>
      </fill>
    </dxf>
    <dxf>
      <font>
        <b/>
        <i val="0"/>
        <color rgb="FFFF0000"/>
      </font>
      <fill>
        <patternFill>
          <bgColor theme="5" tint="0.79998168889431442"/>
        </patternFill>
      </fill>
    </dxf>
    <dxf>
      <font>
        <b/>
        <i val="0"/>
        <color rgb="FFFF0000"/>
      </font>
      <fill>
        <patternFill>
          <bgColor rgb="FFFFFF00"/>
        </patternFill>
      </fill>
    </dxf>
    <dxf>
      <font>
        <b/>
        <i val="0"/>
        <color rgb="FFFF0000"/>
      </font>
      <fill>
        <patternFill>
          <bgColor rgb="FFFFFFCC"/>
        </patternFill>
      </fill>
    </dxf>
    <dxf>
      <font>
        <color rgb="FFCCFFFF"/>
        <name val="Cambria"/>
        <scheme val="none"/>
      </font>
    </dxf>
    <dxf>
      <font>
        <color theme="0"/>
      </font>
    </dxf>
    <dxf>
      <font>
        <color theme="1"/>
      </font>
    </dxf>
    <dxf>
      <font>
        <color theme="2"/>
        <name val="Cambria"/>
        <scheme val="none"/>
      </font>
    </dxf>
    <dxf>
      <font>
        <color theme="0"/>
        <name val="Cambria"/>
        <scheme val="none"/>
      </font>
    </dxf>
    <dxf>
      <font>
        <color theme="0"/>
        <name val="Cambria"/>
        <scheme val="none"/>
      </font>
    </dxf>
    <dxf>
      <font>
        <color theme="0"/>
      </font>
    </dxf>
  </dxfs>
  <tableStyles count="0" defaultTableStyle="TableStyleMedium9" defaultPivotStyle="PivotStyleLight16"/>
  <colors>
    <mruColors>
      <color rgb="FF99CCFF"/>
      <color rgb="FFCCFFCC"/>
      <color rgb="FF008000"/>
      <color rgb="FF66FF99"/>
      <color rgb="FFFFFF99"/>
      <color rgb="FFFF33CC"/>
      <color rgb="FFFF66FF"/>
      <color rgb="FF31849B"/>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5.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8" Type="http://schemas.openxmlformats.org/officeDocument/2006/relationships/worksheet" Target="worksheets/sheet8.xml"/><Relationship Id="rId5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152400</xdr:colOff>
      <xdr:row>3</xdr:row>
      <xdr:rowOff>142875</xdr:rowOff>
    </xdr:from>
    <xdr:to>
      <xdr:col>9</xdr:col>
      <xdr:colOff>152400</xdr:colOff>
      <xdr:row>7</xdr:row>
      <xdr:rowOff>95250</xdr:rowOff>
    </xdr:to>
    <xdr:pic>
      <xdr:nvPicPr>
        <xdr:cNvPr id="15606" name="Picture 114" descr="ag-flag[1]"/>
        <xdr:cNvPicPr>
          <a:picLocks noChangeAspect="1" noChangeArrowheads="1"/>
        </xdr:cNvPicPr>
      </xdr:nvPicPr>
      <xdr:blipFill>
        <a:blip xmlns:r="http://schemas.openxmlformats.org/officeDocument/2006/relationships" r:embed="rId1" cstate="print"/>
        <a:srcRect/>
        <a:stretch>
          <a:fillRect/>
        </a:stretch>
      </xdr:blipFill>
      <xdr:spPr bwMode="auto">
        <a:xfrm>
          <a:off x="3276600" y="581025"/>
          <a:ext cx="762000" cy="714375"/>
        </a:xfrm>
        <a:prstGeom prst="rect">
          <a:avLst/>
        </a:prstGeom>
        <a:noFill/>
        <a:ln w="9525">
          <a:solidFill>
            <a:srgbClr val="000000"/>
          </a:solid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xdr:colOff>
      <xdr:row>23</xdr:row>
      <xdr:rowOff>66675</xdr:rowOff>
    </xdr:from>
    <xdr:to>
      <xdr:col>14</xdr:col>
      <xdr:colOff>95250</xdr:colOff>
      <xdr:row>56</xdr:row>
      <xdr:rowOff>114300</xdr:rowOff>
    </xdr:to>
    <xdr:pic>
      <xdr:nvPicPr>
        <xdr:cNvPr id="3" name="Imag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4029075"/>
          <a:ext cx="6534150" cy="539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161925</xdr:colOff>
      <xdr:row>2</xdr:row>
      <xdr:rowOff>38100</xdr:rowOff>
    </xdr:from>
    <xdr:to>
      <xdr:col>13</xdr:col>
      <xdr:colOff>47625</xdr:colOff>
      <xdr:row>6</xdr:row>
      <xdr:rowOff>47625</xdr:rowOff>
    </xdr:to>
    <xdr:pic>
      <xdr:nvPicPr>
        <xdr:cNvPr id="2403" name="Picture 114" descr="ag-flag[1]"/>
        <xdr:cNvPicPr>
          <a:picLocks noChangeAspect="1" noChangeArrowheads="1"/>
        </xdr:cNvPicPr>
      </xdr:nvPicPr>
      <xdr:blipFill>
        <a:blip xmlns:r="http://schemas.openxmlformats.org/officeDocument/2006/relationships" r:embed="rId1" cstate="print"/>
        <a:srcRect/>
        <a:stretch>
          <a:fillRect/>
        </a:stretch>
      </xdr:blipFill>
      <xdr:spPr bwMode="auto">
        <a:xfrm>
          <a:off x="10210800" y="457200"/>
          <a:ext cx="828675" cy="600075"/>
        </a:xfrm>
        <a:prstGeom prst="rect">
          <a:avLst/>
        </a:prstGeom>
        <a:noFill/>
        <a:ln w="9525">
          <a:solidFill>
            <a:srgbClr val="000000"/>
          </a:solid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03-Projection%202010%20-%202032/01-Hyp-Probables/A0RECAP-AL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00000-Annee%20scolaire%202021-2022/0000-000-Livrets%2022%20Septembre%202022/M03-Projection%202010%20-%202032/01-Hyp-Probables/A0RECAP-AL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000-0000-Dossier%20Enqu&#234;te%20Stats%202015-2016/00-Chan%20Prog%2015-16/03-Synth&#232;se%20Secondaire-Wilaya/Cnes-Lyc&#233;es/Cne-01/indicateur%20de%20wilaya/DJAM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ADMINI~1/LOCALS~1/Temp/indicateur%20de%20wilaya/DJAME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00000-Annee%20scolaire%202021-2022/0000-000-Livrets%2022%20Septembre%202022/Ecole-01%20INITI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YCEE-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0000-0000-A-C%20H%20A%20N%20T%20I%20E%20R%20%20LIVRETS%202018-2019\0000-0000-Documents%20Enqu&#234;te%20Exhaustive%202018%2012%20Septembre%202018\02-Moyen%20-%20Questionnaire%20Enqu&#234;te%202018-2019\CEM-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5 - PROJECTION"/>
      <sheetName val="SYNTHESE Nle Projection"/>
      <sheetName val="SYNTHESE Nle-D.BASE&amp;PROJECTION"/>
      <sheetName val="COMPARATIF"/>
      <sheetName val="SYNTHESE - PROJ - DIV.P"/>
      <sheetName val="Synthèse Nle Ens. Base &amp; Moyen "/>
      <sheetName val="Synthèse Elèves Sec"/>
      <sheetName val="Synthèse Elèves 1° A S"/>
      <sheetName val="Synthèse Elèves 2° A S"/>
      <sheetName val="Synthèse Elèves 3° A S"/>
      <sheetName val="Synthèse Redoublants 3° A S"/>
      <sheetName val="Synthèse Bacheliers"/>
      <sheetName val="Synthèse Déperditions"/>
      <sheetName val="9 AF 2005-2006"/>
      <sheetName val="Estimation Déperditions 4 °A.M"/>
      <sheetName val="Estimation Déperditions 1° A.S"/>
      <sheetName val="Estimation Déperditions 2° A.S"/>
      <sheetName val="Déperditions"/>
      <sheetName val="Synthèse elèves 4 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5 - PROJECTION"/>
      <sheetName val="SYNTHESE Nle Projection"/>
      <sheetName val="SYNTHESE Nle-D.BASE&amp;PROJECTION"/>
      <sheetName val="COMPARATIF"/>
      <sheetName val="SYNTHESE - PROJ - DIV.P"/>
      <sheetName val="Synthèse Nle Ens. Base &amp; Moyen "/>
      <sheetName val="Synthèse Elèves Sec"/>
      <sheetName val="Synthèse Elèves 1° A S"/>
      <sheetName val="Synthèse Elèves 2° A S"/>
      <sheetName val="Synthèse Elèves 3° A S"/>
      <sheetName val="Synthèse Redoublants 3° A S"/>
      <sheetName val="Synthèse Bacheliers"/>
      <sheetName val="Synthèse Déperditions"/>
      <sheetName val="9 AF 2005-2006"/>
      <sheetName val="Estimation Déperditions 4 °A.M"/>
      <sheetName val="Estimation Déperditions 1° A.S"/>
      <sheetName val="Estimation Déperditions 2° A.S"/>
      <sheetName val="Déperditions"/>
      <sheetName val="Synthèse elèves 4 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Base"/>
      <sheetName val="Effectif"/>
      <sheetName val="Dépenses"/>
      <sheetName val="Finances"/>
      <sheetName val="Graphiques"/>
      <sheetName val="Module1"/>
      <sheetName val="DJAMEL"/>
      <sheetName val="صفحة الدفتـر"/>
      <sheetName val="الفهرس"/>
      <sheetName val="معطيات السنة الماضية"/>
      <sheetName val="الصفحة 1"/>
      <sheetName val="الصفحة 2"/>
      <sheetName val="الصفحة 3"/>
      <sheetName val="الصفحة 4"/>
      <sheetName val="الصفحة 5"/>
      <sheetName val="الصفحة 6"/>
      <sheetName val="الصفحة 7"/>
      <sheetName val="الصفحة 8"/>
      <sheetName val="الصفحة 9"/>
      <sheetName val="الصفحة 10"/>
      <sheetName val="الصفحة 11"/>
      <sheetName val="الصفحة 12"/>
      <sheetName val="الصفحة 13"/>
      <sheetName val="الصفحة 14"/>
      <sheetName val="الصفحة 15"/>
      <sheetName val="الحوصلة"/>
      <sheetName val="Feuil1"/>
      <sheetName val="Feuil2"/>
      <sheetName val="Feuil3"/>
    </sheetNames>
    <sheetDataSet>
      <sheetData sheetId="0"/>
      <sheetData sheetId="1"/>
      <sheetData sheetId="2" refreshError="1"/>
      <sheetData sheetId="3" refreshError="1"/>
      <sheetData sheetId="4"/>
      <sheetData sheetId="5"/>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Base"/>
      <sheetName val="Effectif"/>
      <sheetName val="Dépenses"/>
      <sheetName val="Finances"/>
      <sheetName val="Graphiques"/>
      <sheetName val="Module1"/>
      <sheetName val="DJAMEL"/>
      <sheetName val="Feuil1"/>
      <sheetName val="Feuil2"/>
      <sheetName val="Feuil3"/>
      <sheetName val="صفحة الدفتـر"/>
      <sheetName val="الفهرس"/>
      <sheetName val="معطيات السنة الماضية"/>
      <sheetName val="الصفحة 1"/>
      <sheetName val="الصفحة 2"/>
      <sheetName val="الصفحة 3"/>
      <sheetName val="الصفحة 4"/>
      <sheetName val="الصفحة 5"/>
      <sheetName val="الصفحة 6"/>
      <sheetName val="الصفحة 7"/>
      <sheetName val="الصفحة 8"/>
      <sheetName val="الصفحة 9"/>
      <sheetName val="الصفحة 10"/>
      <sheetName val="الصفحة 11"/>
      <sheetName val="الصفحة 12"/>
      <sheetName val="الصفحة 13"/>
      <sheetName val="الصفحة 14"/>
      <sheetName val="الصفحة 15"/>
      <sheetName val="الحوصلة"/>
    </sheetNames>
    <sheetDataSet>
      <sheetData sheetId="0"/>
      <sheetData sheetId="1"/>
      <sheetData sheetId="2" refreshError="1"/>
      <sheetData sheetId="3" refreshError="1"/>
      <sheetData sheetId="4"/>
      <sheetData sheetId="5"/>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فهرس"/>
      <sheetName val="صفحة الدفتر"/>
      <sheetName val="دليل"/>
      <sheetName val="الصفحة 1"/>
      <sheetName val="الصفحة 2"/>
      <sheetName val="الصفحة 3"/>
      <sheetName val="الصفحة 3-1"/>
      <sheetName val="الصفحة 4"/>
      <sheetName val="الصفحة 5"/>
      <sheetName val="الصفحة 6"/>
      <sheetName val="الصفحة 7"/>
      <sheetName val="الصفحة 8"/>
      <sheetName val="الصفحة 9"/>
      <sheetName val="الصفحة 10"/>
      <sheetName val="الصفحة 11"/>
      <sheetName val="الصفحة 12"/>
      <sheetName val="الصفحة 13"/>
      <sheetName val="الصفحة 14"/>
      <sheetName val="الصفحة 15"/>
      <sheetName val="الصفحة 16"/>
      <sheetName val="الصفحة 17"/>
      <sheetName val="الصفحة 18"/>
      <sheetName val="الصفحة 19"/>
      <sheetName val="الصفحة 20"/>
      <sheetName val="الصفحة 21"/>
      <sheetName val="الصفحة 22"/>
      <sheetName val="الصفحة 23"/>
      <sheetName val="الصفحة 24"/>
      <sheetName val="الصفحة 25"/>
      <sheetName val="الصفحة 25-2"/>
      <sheetName val="الصفحة 26"/>
      <sheetName val="الصفحة 27"/>
      <sheetName val="حوصلة الانتقال والتسر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فهرس "/>
      <sheetName val="صفحة الدفتـر"/>
      <sheetName val="دليل"/>
      <sheetName val="الصفحة 1"/>
      <sheetName val="الصفحة 2"/>
      <sheetName val="الصفحة 3"/>
      <sheetName val="الصفحة 3-1"/>
      <sheetName val="الصفحة 4"/>
      <sheetName val="الصفحة 5"/>
      <sheetName val="الصفحة 6"/>
      <sheetName val="الصفحة 7"/>
      <sheetName val="الصفحة 8"/>
      <sheetName val="الصفحة 9"/>
      <sheetName val="الصفحة 10"/>
      <sheetName val="الصفحة 11"/>
      <sheetName val="الصفحة 12"/>
      <sheetName val="الصفحة 13"/>
      <sheetName val="الصفحة 14"/>
      <sheetName val="الصفحة 15"/>
      <sheetName val="الصفحة 16"/>
      <sheetName val="الصفحة 17"/>
      <sheetName val="الصفحة 18"/>
      <sheetName val="الصفحة 19"/>
      <sheetName val="الصفحة 20"/>
      <sheetName val="الصفحة 21"/>
      <sheetName val="الصفحة 22"/>
      <sheetName val="الصفحة 23"/>
      <sheetName val="الصفحة 24"/>
      <sheetName val="الصفحة 25"/>
      <sheetName val="الصفحة 26"/>
      <sheetName val="الصفحة 27"/>
      <sheetName val="الصفحة 28"/>
      <sheetName val="الصفحة 29"/>
      <sheetName val="الصفحة 30"/>
      <sheetName val="الصفحة 31"/>
      <sheetName val="الصفحة 32"/>
      <sheetName val="الصفحة 33"/>
      <sheetName val="الصفحة 34"/>
      <sheetName val="الصفحة 35"/>
      <sheetName val="الصفحة 36"/>
      <sheetName val="الصفحة 37"/>
      <sheetName val="الصفحة 38"/>
      <sheetName val="الصفحة 39"/>
      <sheetName val="الصفحة 40"/>
      <sheetName val="الصفحة 41"/>
      <sheetName val="الصفحة 42"/>
      <sheetName val="الصفحة 43"/>
      <sheetName val="الصفحة 44"/>
      <sheetName val="الصفحة 45"/>
      <sheetName val="الصفحة 46"/>
      <sheetName val="الصفحة 47"/>
      <sheetName val="الصفحة 48"/>
      <sheetName val="الصفحة 49"/>
      <sheetName val="الصفحة 50"/>
      <sheetName val="الصفحة 50-2"/>
      <sheetName val="الصفحة 51"/>
      <sheetName val="الصفحة 52"/>
      <sheetName val="الصفحة 53"/>
      <sheetName val="الصفحة 53-2"/>
      <sheetName val="الصفحة 54"/>
      <sheetName val="الصفحة 55"/>
      <sheetName val="الصفحة 56"/>
      <sheetName val="الصفحة 57"/>
      <sheetName val="الصفحة 58"/>
      <sheetName val="الصفحة 59"/>
      <sheetName val="الصفحة 60"/>
      <sheetName val="الصفحة 61"/>
      <sheetName val="الصفحة 62"/>
      <sheetName val="الصفحة 63"/>
      <sheetName val="حوصلة الانتقال والتسرب"/>
      <sheetName val="الحوصلة"/>
    </sheetNames>
    <sheetDataSet>
      <sheetData sheetId="0" refreshError="1"/>
      <sheetData sheetId="1" refreshError="1"/>
      <sheetData sheetId="2" refreshError="1"/>
      <sheetData sheetId="3">
        <row r="14">
          <cell r="O14">
            <v>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صفحة 3-1"/>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008000"/>
  </sheetPr>
  <dimension ref="A1:G41"/>
  <sheetViews>
    <sheetView showGridLines="0" rightToLeft="1" zoomScale="120" zoomScaleNormal="120" workbookViewId="0">
      <selection activeCell="C14" sqref="C14"/>
    </sheetView>
  </sheetViews>
  <sheetFormatPr baseColWidth="10" defaultColWidth="0" defaultRowHeight="14.4" zeroHeight="1"/>
  <cols>
    <col min="1" max="1" width="1" customWidth="1"/>
    <col min="2" max="2" width="2.6640625" customWidth="1"/>
    <col min="3" max="3" width="49.109375" customWidth="1"/>
    <col min="4" max="4" width="3.5546875" customWidth="1"/>
    <col min="5" max="5" width="47.6640625" customWidth="1"/>
    <col min="6" max="6" width="3.109375" customWidth="1"/>
    <col min="7" max="7" width="2.6640625" customWidth="1"/>
  </cols>
  <sheetData>
    <row r="1" spans="1:7" ht="18" customHeight="1" thickBot="1">
      <c r="A1" s="740"/>
      <c r="B1" s="741"/>
      <c r="C1" s="741"/>
      <c r="D1" s="741"/>
      <c r="E1" s="741"/>
      <c r="F1" s="741"/>
      <c r="G1" s="741"/>
    </row>
    <row r="2" spans="1:7" ht="27.9" customHeight="1">
      <c r="A2" s="740"/>
      <c r="B2" s="740"/>
      <c r="C2" s="3798" t="s">
        <v>628</v>
      </c>
      <c r="D2" s="3799"/>
      <c r="E2" s="3799"/>
      <c r="F2" s="3800"/>
      <c r="G2" s="741"/>
    </row>
    <row r="3" spans="1:7" ht="27.9" customHeight="1" thickBot="1">
      <c r="A3" s="740"/>
      <c r="B3" s="740"/>
      <c r="C3" s="3801"/>
      <c r="D3" s="3802"/>
      <c r="E3" s="3802"/>
      <c r="F3" s="3803"/>
      <c r="G3" s="741"/>
    </row>
    <row r="4" spans="1:7" ht="33.9" customHeight="1" thickBot="1">
      <c r="A4" s="740"/>
      <c r="B4" s="740"/>
      <c r="C4" s="2256" t="s">
        <v>557</v>
      </c>
      <c r="D4" s="748" t="s">
        <v>556</v>
      </c>
      <c r="E4" s="2257" t="s">
        <v>557</v>
      </c>
      <c r="F4" s="749" t="s">
        <v>556</v>
      </c>
      <c r="G4" s="741"/>
    </row>
    <row r="5" spans="1:7" ht="18" customHeight="1">
      <c r="A5" s="740"/>
      <c r="B5" s="740"/>
      <c r="C5" s="745"/>
      <c r="D5" s="746"/>
      <c r="E5" s="462"/>
      <c r="F5" s="747"/>
      <c r="G5" s="741"/>
    </row>
    <row r="6" spans="1:7" ht="27.9" customHeight="1">
      <c r="A6" s="740"/>
      <c r="B6" s="740"/>
      <c r="C6" s="2258" t="s">
        <v>1268</v>
      </c>
      <c r="D6" s="2259"/>
      <c r="E6" s="2260" t="s">
        <v>1303</v>
      </c>
      <c r="F6" s="742"/>
      <c r="G6" s="741"/>
    </row>
    <row r="7" spans="1:7" ht="33.75" customHeight="1">
      <c r="A7" s="740"/>
      <c r="B7" s="740"/>
      <c r="C7" s="2215" t="s">
        <v>626</v>
      </c>
      <c r="D7" s="3804">
        <v>1</v>
      </c>
      <c r="E7" s="2249" t="s">
        <v>1304</v>
      </c>
      <c r="F7" s="2250">
        <v>14</v>
      </c>
      <c r="G7" s="741"/>
    </row>
    <row r="8" spans="1:7" ht="25.5" customHeight="1">
      <c r="A8" s="740"/>
      <c r="B8" s="740"/>
      <c r="C8" s="2242" t="s">
        <v>1285</v>
      </c>
      <c r="D8" s="3805"/>
      <c r="E8" s="2249" t="s">
        <v>1305</v>
      </c>
      <c r="F8" s="2250">
        <v>15</v>
      </c>
      <c r="G8" s="741"/>
    </row>
    <row r="9" spans="1:7" ht="18" customHeight="1">
      <c r="A9" s="740"/>
      <c r="B9" s="740"/>
      <c r="C9" s="743" t="s">
        <v>1287</v>
      </c>
      <c r="D9" s="2240">
        <v>2</v>
      </c>
      <c r="E9" s="2249" t="s">
        <v>1306</v>
      </c>
      <c r="F9" s="2250">
        <v>16</v>
      </c>
      <c r="G9" s="741"/>
    </row>
    <row r="10" spans="1:7" ht="18" customHeight="1">
      <c r="A10" s="740"/>
      <c r="B10" s="740"/>
      <c r="C10" s="743" t="s">
        <v>1286</v>
      </c>
      <c r="D10" s="2240">
        <v>3</v>
      </c>
      <c r="E10" s="2249" t="s">
        <v>1307</v>
      </c>
      <c r="F10" s="2250">
        <v>17</v>
      </c>
      <c r="G10" s="741"/>
    </row>
    <row r="11" spans="1:7" ht="18" customHeight="1">
      <c r="A11" s="740"/>
      <c r="B11" s="740"/>
      <c r="C11" s="743" t="s">
        <v>1288</v>
      </c>
      <c r="D11" s="2243">
        <v>4</v>
      </c>
      <c r="E11" s="2249" t="s">
        <v>1308</v>
      </c>
      <c r="F11" s="2250">
        <v>18</v>
      </c>
      <c r="G11" s="741"/>
    </row>
    <row r="12" spans="1:7" ht="18" customHeight="1">
      <c r="A12" s="740"/>
      <c r="B12" s="740"/>
      <c r="C12" s="743" t="s">
        <v>1289</v>
      </c>
      <c r="D12" s="2243">
        <v>5</v>
      </c>
      <c r="E12" s="2249" t="s">
        <v>1309</v>
      </c>
      <c r="F12" s="2250">
        <v>19</v>
      </c>
      <c r="G12" s="741"/>
    </row>
    <row r="13" spans="1:7" ht="22.5" customHeight="1">
      <c r="A13" s="740"/>
      <c r="B13" s="740"/>
      <c r="C13" s="2261" t="s">
        <v>1290</v>
      </c>
      <c r="D13" s="461"/>
      <c r="E13" s="2249" t="s">
        <v>1310</v>
      </c>
      <c r="F13" s="2250">
        <v>20</v>
      </c>
      <c r="G13" s="741"/>
    </row>
    <row r="14" spans="1:7" ht="24.75" customHeight="1">
      <c r="A14" s="740"/>
      <c r="B14" s="740"/>
      <c r="C14" s="744" t="s">
        <v>1291</v>
      </c>
      <c r="D14" s="2243">
        <v>6</v>
      </c>
      <c r="E14" s="2249" t="s">
        <v>1311</v>
      </c>
      <c r="F14" s="2250">
        <v>21</v>
      </c>
      <c r="G14" s="741"/>
    </row>
    <row r="15" spans="1:7" ht="18" customHeight="1">
      <c r="A15" s="740"/>
      <c r="B15" s="740"/>
      <c r="C15" s="744" t="s">
        <v>1292</v>
      </c>
      <c r="D15" s="2243">
        <v>7</v>
      </c>
      <c r="E15" s="2249" t="s">
        <v>1312</v>
      </c>
      <c r="F15" s="2250">
        <v>22</v>
      </c>
      <c r="G15" s="741"/>
    </row>
    <row r="16" spans="1:7" ht="18" customHeight="1">
      <c r="A16" s="740"/>
      <c r="B16" s="740"/>
      <c r="C16" s="744" t="s">
        <v>1293</v>
      </c>
      <c r="D16" s="2243">
        <v>8</v>
      </c>
      <c r="E16" s="2249" t="s">
        <v>1313</v>
      </c>
      <c r="F16" s="2250">
        <v>23</v>
      </c>
      <c r="G16" s="741"/>
    </row>
    <row r="17" spans="1:7" ht="18" customHeight="1">
      <c r="A17" s="740"/>
      <c r="B17" s="740"/>
      <c r="C17" s="744" t="s">
        <v>1294</v>
      </c>
      <c r="D17" s="2243">
        <v>9</v>
      </c>
      <c r="E17" s="2249" t="s">
        <v>1314</v>
      </c>
      <c r="F17" s="2250">
        <v>24</v>
      </c>
      <c r="G17" s="741"/>
    </row>
    <row r="18" spans="1:7" ht="18" customHeight="1">
      <c r="A18" s="740"/>
      <c r="B18" s="740"/>
      <c r="C18" s="3806" t="s">
        <v>1295</v>
      </c>
      <c r="D18" s="3808" t="s">
        <v>553</v>
      </c>
      <c r="E18" s="2249" t="s">
        <v>1315</v>
      </c>
      <c r="F18" s="2250">
        <v>25</v>
      </c>
      <c r="G18" s="741"/>
    </row>
    <row r="19" spans="1:7" ht="18" customHeight="1">
      <c r="A19" s="740"/>
      <c r="B19" s="740"/>
      <c r="C19" s="3807"/>
      <c r="D19" s="3809"/>
      <c r="E19" s="2249" t="s">
        <v>1316</v>
      </c>
      <c r="F19" s="2250">
        <v>26</v>
      </c>
      <c r="G19" s="741"/>
    </row>
    <row r="20" spans="1:7" ht="22.5" customHeight="1">
      <c r="A20" s="740"/>
      <c r="B20" s="740"/>
      <c r="C20" s="3806" t="s">
        <v>550</v>
      </c>
      <c r="D20" s="3808" t="s">
        <v>553</v>
      </c>
      <c r="E20" s="2249" t="s">
        <v>1318</v>
      </c>
      <c r="F20" s="2250">
        <v>27</v>
      </c>
      <c r="G20" s="741"/>
    </row>
    <row r="21" spans="1:7" ht="18" customHeight="1">
      <c r="A21" s="740"/>
      <c r="B21" s="740"/>
      <c r="C21" s="3807"/>
      <c r="D21" s="3809"/>
      <c r="E21" s="2249" t="s">
        <v>1317</v>
      </c>
      <c r="F21" s="2250">
        <v>28</v>
      </c>
      <c r="G21" s="741"/>
    </row>
    <row r="22" spans="1:7" ht="18" customHeight="1">
      <c r="A22" s="740"/>
      <c r="B22" s="740"/>
      <c r="C22" s="3806" t="s">
        <v>549</v>
      </c>
      <c r="D22" s="3808" t="s">
        <v>553</v>
      </c>
      <c r="E22" s="2249" t="s">
        <v>1319</v>
      </c>
      <c r="F22" s="2250">
        <v>29</v>
      </c>
      <c r="G22" s="741"/>
    </row>
    <row r="23" spans="1:7" ht="18" customHeight="1">
      <c r="A23" s="740"/>
      <c r="B23" s="740"/>
      <c r="C23" s="3807"/>
      <c r="D23" s="3809"/>
      <c r="E23" s="2249" t="s">
        <v>1322</v>
      </c>
      <c r="F23" s="2250">
        <v>29</v>
      </c>
      <c r="G23" s="741"/>
    </row>
    <row r="24" spans="1:7" ht="18" customHeight="1">
      <c r="A24" s="740"/>
      <c r="B24" s="740"/>
      <c r="C24" s="3806" t="s">
        <v>548</v>
      </c>
      <c r="D24" s="3808" t="s">
        <v>553</v>
      </c>
      <c r="E24" s="2249" t="s">
        <v>1320</v>
      </c>
      <c r="F24" s="2250">
        <v>30</v>
      </c>
      <c r="G24" s="741"/>
    </row>
    <row r="25" spans="1:7" ht="18" customHeight="1">
      <c r="A25" s="740"/>
      <c r="B25" s="740"/>
      <c r="C25" s="3807"/>
      <c r="D25" s="3809"/>
      <c r="E25" s="2249" t="s">
        <v>1321</v>
      </c>
      <c r="F25" s="2250">
        <v>30</v>
      </c>
      <c r="G25" s="741"/>
    </row>
    <row r="26" spans="1:7" ht="18" customHeight="1">
      <c r="A26" s="740"/>
      <c r="B26" s="740"/>
      <c r="C26" s="744" t="s">
        <v>1296</v>
      </c>
      <c r="D26" s="2243">
        <v>11</v>
      </c>
      <c r="E26" s="2249" t="s">
        <v>1323</v>
      </c>
      <c r="F26" s="2250">
        <v>31</v>
      </c>
      <c r="G26" s="741"/>
    </row>
    <row r="27" spans="1:7" ht="22.5" customHeight="1">
      <c r="A27" s="740"/>
      <c r="B27" s="740"/>
      <c r="C27" s="2261" t="s">
        <v>555</v>
      </c>
      <c r="D27" s="461"/>
      <c r="E27" s="2249" t="s">
        <v>1324</v>
      </c>
      <c r="F27" s="2250">
        <v>31</v>
      </c>
      <c r="G27" s="741"/>
    </row>
    <row r="28" spans="1:7" ht="25.5" customHeight="1">
      <c r="A28" s="740"/>
      <c r="B28" s="740"/>
      <c r="C28" s="744" t="s">
        <v>554</v>
      </c>
      <c r="D28" s="2243">
        <v>12</v>
      </c>
      <c r="E28" s="2249" t="s">
        <v>1325</v>
      </c>
      <c r="F28" s="2250">
        <v>32</v>
      </c>
      <c r="G28" s="741"/>
    </row>
    <row r="29" spans="1:7" ht="21" customHeight="1">
      <c r="A29" s="740"/>
      <c r="B29" s="740"/>
      <c r="C29" s="744" t="s">
        <v>1297</v>
      </c>
      <c r="D29" s="3794">
        <v>12</v>
      </c>
      <c r="E29" s="2249" t="s">
        <v>1326</v>
      </c>
      <c r="F29" s="2250">
        <v>32</v>
      </c>
      <c r="G29" s="741"/>
    </row>
    <row r="30" spans="1:7" ht="21.75" customHeight="1">
      <c r="A30" s="740"/>
      <c r="B30" s="740"/>
      <c r="C30" s="2244" t="s">
        <v>1298</v>
      </c>
      <c r="D30" s="3795"/>
      <c r="E30" s="2249" t="s">
        <v>1327</v>
      </c>
      <c r="F30" s="2250">
        <v>33</v>
      </c>
      <c r="G30" s="741"/>
    </row>
    <row r="31" spans="1:7" ht="18" customHeight="1">
      <c r="A31" s="740"/>
      <c r="B31" s="740"/>
      <c r="C31" s="2245" t="s">
        <v>1299</v>
      </c>
      <c r="D31" s="3796"/>
      <c r="E31" s="3783" t="s">
        <v>1328</v>
      </c>
      <c r="F31" s="3784"/>
      <c r="G31" s="741"/>
    </row>
    <row r="32" spans="1:7" ht="18" customHeight="1">
      <c r="A32" s="740"/>
      <c r="B32" s="740"/>
      <c r="C32" s="2246" t="s">
        <v>1300</v>
      </c>
      <c r="D32" s="2251">
        <v>12</v>
      </c>
      <c r="E32" s="3785"/>
      <c r="F32" s="3786"/>
      <c r="G32" s="741"/>
    </row>
    <row r="33" spans="1:7" ht="20.25" customHeight="1">
      <c r="A33" s="740"/>
      <c r="B33" s="740"/>
      <c r="C33" s="2246" t="s">
        <v>1301</v>
      </c>
      <c r="D33" s="2251">
        <v>12</v>
      </c>
      <c r="E33" s="3789" t="s">
        <v>1329</v>
      </c>
      <c r="F33" s="3791">
        <v>34</v>
      </c>
      <c r="G33" s="741"/>
    </row>
    <row r="34" spans="1:7" ht="22.5" customHeight="1">
      <c r="A34" s="740"/>
      <c r="B34" s="740"/>
      <c r="C34" s="2262" t="s">
        <v>551</v>
      </c>
      <c r="D34" s="2252"/>
      <c r="E34" s="3790"/>
      <c r="F34" s="3793"/>
      <c r="G34" s="741"/>
    </row>
    <row r="35" spans="1:7" ht="22.5" customHeight="1">
      <c r="A35" s="740"/>
      <c r="B35" s="740"/>
      <c r="C35" s="2247" t="s">
        <v>652</v>
      </c>
      <c r="D35" s="3787" t="s">
        <v>552</v>
      </c>
      <c r="E35" s="3789" t="s">
        <v>1331</v>
      </c>
      <c r="F35" s="3791">
        <v>35</v>
      </c>
      <c r="G35" s="741"/>
    </row>
    <row r="36" spans="1:7" ht="26.25" customHeight="1">
      <c r="A36" s="740"/>
      <c r="B36" s="740"/>
      <c r="C36" s="2248" t="s">
        <v>625</v>
      </c>
      <c r="D36" s="3797"/>
      <c r="E36" s="3790"/>
      <c r="F36" s="3793"/>
      <c r="G36" s="741"/>
    </row>
    <row r="37" spans="1:7" ht="18" customHeight="1">
      <c r="A37" s="740"/>
      <c r="B37" s="740"/>
      <c r="C37" s="2262" t="s">
        <v>1302</v>
      </c>
      <c r="D37" s="2253"/>
      <c r="E37" s="3789" t="s">
        <v>1332</v>
      </c>
      <c r="F37" s="3791">
        <v>36</v>
      </c>
      <c r="G37" s="741"/>
    </row>
    <row r="38" spans="1:7" ht="5.25" customHeight="1">
      <c r="A38" s="740"/>
      <c r="B38" s="740"/>
      <c r="C38" s="3781" t="s">
        <v>673</v>
      </c>
      <c r="D38" s="3787" t="s">
        <v>552</v>
      </c>
      <c r="E38" s="3790"/>
      <c r="F38" s="3792"/>
      <c r="G38" s="741"/>
    </row>
    <row r="39" spans="1:7" ht="30.75" customHeight="1" thickBot="1">
      <c r="A39" s="740"/>
      <c r="B39" s="740"/>
      <c r="C39" s="3782"/>
      <c r="D39" s="3788"/>
      <c r="E39" s="2254" t="s">
        <v>1330</v>
      </c>
      <c r="F39" s="2255" t="s">
        <v>1333</v>
      </c>
      <c r="G39" s="741"/>
    </row>
    <row r="40" spans="1:7" ht="18" customHeight="1">
      <c r="A40" s="740"/>
      <c r="B40" s="740"/>
      <c r="C40" s="740"/>
      <c r="D40" s="740"/>
      <c r="E40" s="740"/>
      <c r="F40" s="740"/>
      <c r="G40" s="740"/>
    </row>
    <row r="41" spans="1:7" hidden="1"/>
  </sheetData>
  <sheetProtection password="D8D3" sheet="1" objects="1" scenarios="1"/>
  <mergeCells count="21">
    <mergeCell ref="C2:F3"/>
    <mergeCell ref="D7:D8"/>
    <mergeCell ref="C24:C25"/>
    <mergeCell ref="C22:C23"/>
    <mergeCell ref="E33:E34"/>
    <mergeCell ref="C18:C19"/>
    <mergeCell ref="D18:D19"/>
    <mergeCell ref="C20:C21"/>
    <mergeCell ref="D20:D21"/>
    <mergeCell ref="D22:D23"/>
    <mergeCell ref="D24:D25"/>
    <mergeCell ref="C38:C39"/>
    <mergeCell ref="E31:F32"/>
    <mergeCell ref="D38:D39"/>
    <mergeCell ref="E37:E38"/>
    <mergeCell ref="F37:F38"/>
    <mergeCell ref="F35:F36"/>
    <mergeCell ref="E35:E36"/>
    <mergeCell ref="D29:D31"/>
    <mergeCell ref="D35:D36"/>
    <mergeCell ref="F33:F34"/>
  </mergeCells>
  <printOptions horizontalCentered="1" verticalCentered="1"/>
  <pageMargins left="0.19685039370078741" right="0.19685039370078741" top="0.19685039370078741" bottom="0.19685039370078741" header="0.19685039370078741" footer="0.11811023622047245"/>
  <pageSetup paperSize="9" scale="95" orientation="portrait" r:id="rId1"/>
  <headerFooter>
    <oddFooter xml:space="preserve">&amp;R&amp;"-,Gras"&amp;8&amp;K00-024Echamil V.08   &amp;F     &amp;A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2">
    <tabColor rgb="FF002060"/>
  </sheetPr>
  <dimension ref="A1:AH50"/>
  <sheetViews>
    <sheetView showGridLines="0" rightToLeft="1" topLeftCell="A4" zoomScale="81" zoomScaleNormal="81" workbookViewId="0">
      <selection activeCell="G30" sqref="G30"/>
    </sheetView>
  </sheetViews>
  <sheetFormatPr baseColWidth="10" defaultColWidth="0" defaultRowHeight="14.4" zeroHeight="1"/>
  <cols>
    <col min="1" max="1" width="2.6640625" customWidth="1"/>
    <col min="2" max="2" width="1.109375" customWidth="1"/>
    <col min="3" max="3" width="0.88671875" customWidth="1"/>
    <col min="4" max="4" width="9" customWidth="1"/>
    <col min="5" max="12" width="8.6640625" customWidth="1"/>
    <col min="13" max="14" width="8.33203125" customWidth="1"/>
    <col min="15" max="15" width="10.109375" customWidth="1"/>
    <col min="16" max="16" width="1.44140625" customWidth="1"/>
    <col min="17" max="17" width="3.109375" customWidth="1"/>
    <col min="18" max="18" width="1.109375" customWidth="1"/>
    <col min="19" max="19" width="2.6640625" customWidth="1"/>
    <col min="20" max="20" width="2.88671875" customWidth="1"/>
    <col min="21" max="21" width="9" customWidth="1"/>
    <col min="22" max="22" width="9.6640625" customWidth="1"/>
    <col min="23" max="30" width="7.6640625" customWidth="1"/>
    <col min="31" max="31" width="7.88671875" customWidth="1"/>
    <col min="32" max="33" width="1.6640625" customWidth="1"/>
    <col min="34" max="34" width="2.6640625" customWidth="1"/>
    <col min="35" max="16384" width="11.44140625" hidden="1"/>
  </cols>
  <sheetData>
    <row r="1" spans="1:34" ht="15.75" customHeight="1" thickBot="1">
      <c r="A1" s="1415"/>
      <c r="B1" s="1416"/>
      <c r="C1" s="1417"/>
      <c r="D1" s="1417"/>
      <c r="E1" s="1417"/>
      <c r="F1" s="1417"/>
      <c r="G1" s="1417"/>
      <c r="H1" s="1417"/>
      <c r="I1" s="1417"/>
      <c r="J1" s="1417"/>
      <c r="K1" s="1417"/>
      <c r="L1" s="1417"/>
      <c r="M1" s="1417"/>
      <c r="N1" s="1417"/>
      <c r="O1" s="1417"/>
      <c r="P1" s="1417"/>
      <c r="Q1" s="1417"/>
      <c r="R1" s="1416"/>
      <c r="S1" s="1418"/>
      <c r="T1" s="1419"/>
      <c r="U1" s="1419"/>
      <c r="V1" s="1419"/>
      <c r="W1" s="1419"/>
      <c r="X1" s="1419"/>
      <c r="Y1" s="1419"/>
      <c r="Z1" s="1419"/>
      <c r="AA1" s="1419"/>
      <c r="AB1" s="1419"/>
      <c r="AC1" s="1419"/>
      <c r="AD1" s="1419"/>
      <c r="AE1" s="1419"/>
      <c r="AF1" s="1419"/>
      <c r="AG1" s="1419"/>
      <c r="AH1" s="1420"/>
    </row>
    <row r="2" spans="1:34" ht="6" customHeight="1" thickBot="1">
      <c r="A2" s="1418"/>
      <c r="B2" s="1421"/>
      <c r="C2" s="1422"/>
      <c r="D2" s="1422"/>
      <c r="E2" s="1422"/>
      <c r="F2" s="1422"/>
      <c r="G2" s="1422"/>
      <c r="H2" s="1422"/>
      <c r="I2" s="1422"/>
      <c r="J2" s="1422"/>
      <c r="K2" s="1422"/>
      <c r="L2" s="1422"/>
      <c r="M2" s="1422"/>
      <c r="N2" s="1422"/>
      <c r="O2" s="1422"/>
      <c r="P2" s="1422"/>
      <c r="Q2" s="1422"/>
      <c r="R2" s="1423"/>
      <c r="S2" s="1424"/>
      <c r="T2" s="4032" t="s">
        <v>603</v>
      </c>
      <c r="U2" s="4032"/>
      <c r="V2" s="4032"/>
      <c r="W2" s="4032"/>
      <c r="X2" s="4032"/>
      <c r="Y2" s="4032"/>
      <c r="Z2" s="4032"/>
      <c r="AA2" s="4032"/>
      <c r="AB2" s="4032"/>
      <c r="AC2" s="4032"/>
      <c r="AD2" s="4032"/>
      <c r="AE2" s="4032"/>
      <c r="AF2" s="1041"/>
      <c r="AG2" s="1041"/>
      <c r="AH2" s="1420"/>
    </row>
    <row r="3" spans="1:34" ht="3.9" customHeight="1">
      <c r="A3" s="1418"/>
      <c r="B3" s="1425"/>
      <c r="C3" s="1426"/>
      <c r="D3" s="1427"/>
      <c r="E3" s="1427"/>
      <c r="F3" s="1427"/>
      <c r="G3" s="1428"/>
      <c r="H3" s="1427"/>
      <c r="I3" s="1427"/>
      <c r="J3" s="1427"/>
      <c r="K3" s="1427"/>
      <c r="L3" s="1427"/>
      <c r="M3" s="1427"/>
      <c r="N3" s="1427"/>
      <c r="O3" s="1427"/>
      <c r="P3" s="1427"/>
      <c r="Q3" s="1429"/>
      <c r="R3" s="1430"/>
      <c r="S3" s="1424"/>
      <c r="T3" s="4032"/>
      <c r="U3" s="4032"/>
      <c r="V3" s="4032"/>
      <c r="W3" s="4032"/>
      <c r="X3" s="4032"/>
      <c r="Y3" s="4032"/>
      <c r="Z3" s="4032"/>
      <c r="AA3" s="4032"/>
      <c r="AB3" s="4032"/>
      <c r="AC3" s="4032"/>
      <c r="AD3" s="4032"/>
      <c r="AE3" s="4032"/>
      <c r="AF3" s="1041"/>
      <c r="AG3" s="1041"/>
      <c r="AH3" s="1420"/>
    </row>
    <row r="4" spans="1:34" ht="14.1" customHeight="1">
      <c r="A4" s="1418"/>
      <c r="B4" s="1431"/>
      <c r="C4" s="1432" t="s">
        <v>1457</v>
      </c>
      <c r="D4" s="1433"/>
      <c r="E4" s="1434"/>
      <c r="F4" s="1434"/>
      <c r="G4" s="1435"/>
      <c r="H4" s="1436"/>
      <c r="I4" s="1436"/>
      <c r="J4" s="1436"/>
      <c r="K4" s="1437"/>
      <c r="L4" s="1436"/>
      <c r="M4" s="1438"/>
      <c r="N4" s="1438"/>
      <c r="O4" s="1439" t="s">
        <v>1458</v>
      </c>
      <c r="P4" s="1440"/>
      <c r="Q4" s="1441"/>
      <c r="R4" s="1430"/>
      <c r="S4" s="1424"/>
      <c r="T4" s="4032"/>
      <c r="U4" s="4032"/>
      <c r="V4" s="4032"/>
      <c r="W4" s="4032"/>
      <c r="X4" s="4032"/>
      <c r="Y4" s="4032"/>
      <c r="Z4" s="4032"/>
      <c r="AA4" s="4032"/>
      <c r="AB4" s="4032"/>
      <c r="AC4" s="4032"/>
      <c r="AD4" s="4032"/>
      <c r="AE4" s="4032"/>
      <c r="AF4" s="1041"/>
      <c r="AG4" s="1041"/>
      <c r="AH4" s="1420"/>
    </row>
    <row r="5" spans="1:34" ht="3.9" customHeight="1">
      <c r="A5" s="1418"/>
      <c r="B5" s="1431"/>
      <c r="C5" s="1442"/>
      <c r="D5" s="1434"/>
      <c r="E5" s="1434"/>
      <c r="F5" s="1434"/>
      <c r="G5" s="1435"/>
      <c r="H5" s="1436"/>
      <c r="I5" s="1436"/>
      <c r="J5" s="1436"/>
      <c r="K5" s="1437"/>
      <c r="L5" s="1436"/>
      <c r="M5" s="1438"/>
      <c r="N5" s="1438"/>
      <c r="O5" s="1443"/>
      <c r="P5" s="1440"/>
      <c r="Q5" s="1441"/>
      <c r="R5" s="1430"/>
      <c r="S5" s="1424"/>
      <c r="T5" s="4032"/>
      <c r="U5" s="4032"/>
      <c r="V5" s="4032"/>
      <c r="W5" s="4032"/>
      <c r="X5" s="4032"/>
      <c r="Y5" s="4032"/>
      <c r="Z5" s="4032"/>
      <c r="AA5" s="4032"/>
      <c r="AB5" s="4032"/>
      <c r="AC5" s="4032"/>
      <c r="AD5" s="4032"/>
      <c r="AE5" s="4032"/>
      <c r="AF5" s="1041"/>
      <c r="AG5" s="1041"/>
      <c r="AH5" s="1420"/>
    </row>
    <row r="6" spans="1:34" ht="20.100000000000001" customHeight="1">
      <c r="A6" s="1418"/>
      <c r="B6" s="1431"/>
      <c r="C6" s="1442"/>
      <c r="D6" s="1434"/>
      <c r="E6" s="1434"/>
      <c r="F6" s="1509" t="s">
        <v>793</v>
      </c>
      <c r="G6" s="1510"/>
      <c r="H6" s="1511"/>
      <c r="I6" s="1436"/>
      <c r="J6" s="1511"/>
      <c r="K6" s="1512"/>
      <c r="L6" s="1513"/>
      <c r="M6" s="1514" t="s">
        <v>794</v>
      </c>
      <c r="N6" s="1438"/>
      <c r="O6" s="1463"/>
      <c r="P6" s="1440"/>
      <c r="Q6" s="1441"/>
      <c r="R6" s="1430"/>
      <c r="S6" s="1424"/>
      <c r="T6" s="4032"/>
      <c r="U6" s="4032"/>
      <c r="V6" s="4032"/>
      <c r="W6" s="4032"/>
      <c r="X6" s="4032"/>
      <c r="Y6" s="4032"/>
      <c r="Z6" s="4032"/>
      <c r="AA6" s="4032"/>
      <c r="AB6" s="4032"/>
      <c r="AC6" s="4032"/>
      <c r="AD6" s="4032"/>
      <c r="AE6" s="4032"/>
      <c r="AF6" s="1041"/>
      <c r="AG6" s="1041"/>
      <c r="AH6" s="1420"/>
    </row>
    <row r="7" spans="1:34" ht="3.9" customHeight="1">
      <c r="A7" s="1418"/>
      <c r="B7" s="1431"/>
      <c r="C7" s="1442"/>
      <c r="D7" s="1434"/>
      <c r="E7" s="1434"/>
      <c r="F7" s="1434"/>
      <c r="G7" s="1444"/>
      <c r="H7" s="1445"/>
      <c r="I7" s="1445"/>
      <c r="J7" s="1445"/>
      <c r="K7" s="1446"/>
      <c r="L7" s="1438"/>
      <c r="M7" s="1438"/>
      <c r="N7" s="1438"/>
      <c r="O7" s="1463"/>
      <c r="P7" s="1440"/>
      <c r="Q7" s="1441"/>
      <c r="R7" s="1430"/>
      <c r="S7" s="1424"/>
      <c r="T7" s="4032"/>
      <c r="U7" s="4032"/>
      <c r="V7" s="4032"/>
      <c r="W7" s="4032"/>
      <c r="X7" s="4032"/>
      <c r="Y7" s="4032"/>
      <c r="Z7" s="4032"/>
      <c r="AA7" s="4032"/>
      <c r="AB7" s="4032"/>
      <c r="AC7" s="4032"/>
      <c r="AD7" s="4032"/>
      <c r="AE7" s="4032"/>
      <c r="AF7" s="1041"/>
      <c r="AG7" s="1041"/>
      <c r="AH7" s="1420"/>
    </row>
    <row r="8" spans="1:34" ht="18.75" customHeight="1">
      <c r="A8" s="1418"/>
      <c r="B8" s="1431"/>
      <c r="C8" s="1442"/>
      <c r="D8" s="1447"/>
      <c r="E8" s="2028" t="s">
        <v>787</v>
      </c>
      <c r="F8" s="1448"/>
      <c r="G8" s="1449"/>
      <c r="H8" s="1450"/>
      <c r="I8" s="1448"/>
      <c r="J8" s="1448"/>
      <c r="K8" s="1448"/>
      <c r="L8" s="1448"/>
      <c r="M8" s="1451"/>
      <c r="N8" s="1451"/>
      <c r="O8" s="2273" t="s">
        <v>788</v>
      </c>
      <c r="P8" s="1440"/>
      <c r="Q8" s="1441"/>
      <c r="R8" s="1430"/>
      <c r="S8" s="1424"/>
      <c r="T8" s="4032"/>
      <c r="U8" s="4032"/>
      <c r="V8" s="4032"/>
      <c r="W8" s="4032"/>
      <c r="X8" s="4032"/>
      <c r="Y8" s="4032"/>
      <c r="Z8" s="4032"/>
      <c r="AA8" s="4032"/>
      <c r="AB8" s="4032"/>
      <c r="AC8" s="4032"/>
      <c r="AD8" s="4032"/>
      <c r="AE8" s="4032"/>
      <c r="AF8" s="1041"/>
      <c r="AG8" s="1041"/>
      <c r="AH8" s="1420"/>
    </row>
    <row r="9" spans="1:34" ht="5.0999999999999996" customHeight="1">
      <c r="A9" s="1418"/>
      <c r="B9" s="1431"/>
      <c r="C9" s="1442"/>
      <c r="D9" s="1452"/>
      <c r="E9" s="1453"/>
      <c r="F9" s="1454"/>
      <c r="G9" s="1455"/>
      <c r="H9" s="1456"/>
      <c r="I9" s="1454"/>
      <c r="J9" s="1454"/>
      <c r="K9" s="1454"/>
      <c r="L9" s="1454"/>
      <c r="M9" s="1457"/>
      <c r="N9" s="1457"/>
      <c r="O9" s="2274"/>
      <c r="P9" s="1440"/>
      <c r="Q9" s="1441"/>
      <c r="R9" s="1430"/>
      <c r="S9" s="1424"/>
      <c r="T9" s="3273"/>
      <c r="U9" s="3273"/>
      <c r="V9" s="3273"/>
      <c r="W9" s="3273"/>
      <c r="X9" s="3273"/>
      <c r="Y9" s="3273"/>
      <c r="Z9" s="1041"/>
      <c r="AA9" s="1041"/>
      <c r="AB9" s="1041"/>
      <c r="AC9" s="1041"/>
      <c r="AD9" s="1041"/>
      <c r="AE9" s="1041"/>
      <c r="AF9" s="1041"/>
      <c r="AG9" s="1041"/>
      <c r="AH9" s="1420"/>
    </row>
    <row r="10" spans="1:34" ht="15" customHeight="1">
      <c r="A10" s="1418"/>
      <c r="B10" s="1431"/>
      <c r="C10" s="1442"/>
      <c r="D10" s="2277" t="s">
        <v>1008</v>
      </c>
      <c r="E10" s="1458"/>
      <c r="F10" s="1458"/>
      <c r="G10" s="1459"/>
      <c r="H10" s="1460"/>
      <c r="I10" s="1458"/>
      <c r="J10" s="1458"/>
      <c r="K10" s="1458"/>
      <c r="L10" s="1458"/>
      <c r="M10" s="1458"/>
      <c r="N10" s="1458"/>
      <c r="O10" s="1484" t="s">
        <v>1002</v>
      </c>
      <c r="P10" s="1440"/>
      <c r="Q10" s="1441"/>
      <c r="R10" s="1430"/>
      <c r="S10" s="1424"/>
      <c r="T10" s="1041"/>
      <c r="U10" s="3291" t="s">
        <v>789</v>
      </c>
      <c r="V10" s="3274"/>
      <c r="W10" s="3274"/>
      <c r="X10" s="3275"/>
      <c r="Y10" s="3274"/>
      <c r="Z10" s="3274"/>
      <c r="AA10" s="3274"/>
      <c r="AB10" s="3274"/>
      <c r="AC10" s="3274"/>
      <c r="AD10" s="3274"/>
      <c r="AE10" s="3274"/>
      <c r="AF10" s="1041"/>
      <c r="AG10" s="1041"/>
      <c r="AH10" s="1420"/>
    </row>
    <row r="11" spans="1:34" ht="6.9" customHeight="1">
      <c r="A11" s="1418"/>
      <c r="B11" s="1431"/>
      <c r="C11" s="1442"/>
      <c r="D11" s="649"/>
      <c r="E11" s="1446"/>
      <c r="F11" s="1446"/>
      <c r="G11" s="1446"/>
      <c r="H11" s="1446"/>
      <c r="I11" s="1446"/>
      <c r="J11" s="1446"/>
      <c r="K11" s="1446"/>
      <c r="L11" s="1446"/>
      <c r="M11" s="1446"/>
      <c r="N11" s="1446"/>
      <c r="O11" s="649"/>
      <c r="P11" s="1440"/>
      <c r="Q11" s="1441"/>
      <c r="R11" s="1430"/>
      <c r="S11" s="1424"/>
      <c r="T11" s="1041"/>
      <c r="U11" s="464"/>
      <c r="V11" s="464"/>
      <c r="W11" s="464"/>
      <c r="X11" s="649"/>
      <c r="Y11" s="649"/>
      <c r="Z11" s="649"/>
      <c r="AA11" s="464"/>
      <c r="AB11" s="464"/>
      <c r="AC11" s="464"/>
      <c r="AD11" s="464"/>
      <c r="AE11" s="464"/>
      <c r="AF11" s="1041"/>
      <c r="AG11" s="1041"/>
      <c r="AH11" s="1420"/>
    </row>
    <row r="12" spans="1:34" ht="14.1" customHeight="1">
      <c r="A12" s="1418"/>
      <c r="B12" s="1431"/>
      <c r="C12" s="1442"/>
      <c r="D12" s="2278" t="s">
        <v>790</v>
      </c>
      <c r="E12" s="1461" t="s">
        <v>18</v>
      </c>
      <c r="F12" s="1461" t="s">
        <v>17</v>
      </c>
      <c r="G12" s="1461" t="s">
        <v>16</v>
      </c>
      <c r="H12" s="1461" t="s">
        <v>15</v>
      </c>
      <c r="I12" s="1461" t="s">
        <v>14</v>
      </c>
      <c r="J12" s="1461" t="s">
        <v>13</v>
      </c>
      <c r="K12" s="1461" t="s">
        <v>12</v>
      </c>
      <c r="L12" s="1461" t="s">
        <v>11</v>
      </c>
      <c r="M12" s="1461" t="s">
        <v>10</v>
      </c>
      <c r="N12" s="1461" t="s">
        <v>9</v>
      </c>
      <c r="O12" s="1488" t="s">
        <v>28</v>
      </c>
      <c r="P12" s="1440"/>
      <c r="Q12" s="1441"/>
      <c r="R12" s="1430"/>
      <c r="S12" s="1424"/>
      <c r="T12" s="1041"/>
      <c r="U12" s="2278" t="s">
        <v>790</v>
      </c>
      <c r="V12" s="1488" t="s">
        <v>18</v>
      </c>
      <c r="W12" s="1488" t="s">
        <v>17</v>
      </c>
      <c r="X12" s="1488" t="s">
        <v>16</v>
      </c>
      <c r="Y12" s="1488" t="s">
        <v>15</v>
      </c>
      <c r="Z12" s="1488" t="s">
        <v>14</v>
      </c>
      <c r="AA12" s="1488" t="s">
        <v>13</v>
      </c>
      <c r="AB12" s="1488" t="s">
        <v>12</v>
      </c>
      <c r="AC12" s="1488" t="s">
        <v>11</v>
      </c>
      <c r="AD12" s="1488" t="s">
        <v>10</v>
      </c>
      <c r="AE12" s="1488" t="s">
        <v>9</v>
      </c>
      <c r="AF12" s="1041"/>
      <c r="AG12" s="1041"/>
      <c r="AH12" s="1420"/>
    </row>
    <row r="13" spans="1:34" ht="12.9" customHeight="1">
      <c r="A13" s="1418"/>
      <c r="B13" s="1431"/>
      <c r="C13" s="1442"/>
      <c r="D13" s="2172" t="s">
        <v>20</v>
      </c>
      <c r="E13" s="2285">
        <v>19</v>
      </c>
      <c r="F13" s="1462">
        <v>128</v>
      </c>
      <c r="G13" s="1462">
        <v>22</v>
      </c>
      <c r="H13" s="1462">
        <v>11</v>
      </c>
      <c r="I13" s="1462">
        <v>14</v>
      </c>
      <c r="J13" s="1462">
        <v>1</v>
      </c>
      <c r="K13" s="1462"/>
      <c r="L13" s="1462"/>
      <c r="M13" s="1462"/>
      <c r="N13" s="1462"/>
      <c r="O13" s="1969">
        <f>E13+F13+G13+H13+I13+J13+K13+L13+M13+N13</f>
        <v>195</v>
      </c>
      <c r="P13" s="1440"/>
      <c r="Q13" s="1441"/>
      <c r="R13" s="1430"/>
      <c r="S13" s="1424"/>
      <c r="T13" s="1041"/>
      <c r="U13" s="2172" t="s">
        <v>20</v>
      </c>
      <c r="V13" s="3276" t="str">
        <f>IF(E13&gt;=(E17)," ","خطأ")</f>
        <v xml:space="preserve"> </v>
      </c>
      <c r="W13" s="3276" t="str">
        <f t="shared" ref="W13:AE14" si="0">IF(F13&gt;=(F17)," ","خطأ")</f>
        <v xml:space="preserve"> </v>
      </c>
      <c r="X13" s="3276" t="str">
        <f t="shared" si="0"/>
        <v xml:space="preserve"> </v>
      </c>
      <c r="Y13" s="3276" t="str">
        <f t="shared" si="0"/>
        <v xml:space="preserve"> </v>
      </c>
      <c r="Z13" s="3276" t="str">
        <f t="shared" si="0"/>
        <v xml:space="preserve"> </v>
      </c>
      <c r="AA13" s="3276" t="str">
        <f t="shared" si="0"/>
        <v xml:space="preserve"> </v>
      </c>
      <c r="AB13" s="3276" t="str">
        <f t="shared" si="0"/>
        <v xml:space="preserve"> </v>
      </c>
      <c r="AC13" s="3276" t="str">
        <f t="shared" si="0"/>
        <v xml:space="preserve"> </v>
      </c>
      <c r="AD13" s="3276" t="str">
        <f t="shared" si="0"/>
        <v xml:space="preserve"> </v>
      </c>
      <c r="AE13" s="3276" t="str">
        <f t="shared" si="0"/>
        <v xml:space="preserve"> </v>
      </c>
      <c r="AF13" s="1041"/>
      <c r="AG13" s="1041"/>
      <c r="AH13" s="1420"/>
    </row>
    <row r="14" spans="1:34" ht="12.9" customHeight="1">
      <c r="A14" s="1418"/>
      <c r="B14" s="1431"/>
      <c r="C14" s="1442"/>
      <c r="D14" s="2172" t="s">
        <v>19</v>
      </c>
      <c r="E14" s="2285">
        <v>8</v>
      </c>
      <c r="F14" s="3269">
        <v>73</v>
      </c>
      <c r="G14" s="3269">
        <v>5</v>
      </c>
      <c r="H14" s="3269">
        <v>4</v>
      </c>
      <c r="I14" s="3269">
        <v>0</v>
      </c>
      <c r="J14" s="3269">
        <v>0</v>
      </c>
      <c r="K14" s="3269"/>
      <c r="L14" s="3269"/>
      <c r="M14" s="3269"/>
      <c r="N14" s="3269"/>
      <c r="O14" s="1492">
        <f>E14+F14+G14+H14+I14+J14+K14+L14+M14+N14</f>
        <v>90</v>
      </c>
      <c r="P14" s="1440"/>
      <c r="Q14" s="1441"/>
      <c r="R14" s="1430"/>
      <c r="S14" s="1424"/>
      <c r="T14" s="1041"/>
      <c r="U14" s="2172" t="s">
        <v>19</v>
      </c>
      <c r="V14" s="3276" t="str">
        <f>IF(E14&gt;=(E18)," ","خطأ")</f>
        <v xml:space="preserve"> </v>
      </c>
      <c r="W14" s="3276" t="str">
        <f t="shared" si="0"/>
        <v xml:space="preserve"> </v>
      </c>
      <c r="X14" s="3276" t="str">
        <f t="shared" si="0"/>
        <v xml:space="preserve"> </v>
      </c>
      <c r="Y14" s="3276" t="str">
        <f t="shared" si="0"/>
        <v xml:space="preserve"> </v>
      </c>
      <c r="Z14" s="3276" t="str">
        <f t="shared" si="0"/>
        <v xml:space="preserve"> </v>
      </c>
      <c r="AA14" s="3276" t="str">
        <f t="shared" si="0"/>
        <v xml:space="preserve"> </v>
      </c>
      <c r="AB14" s="3276" t="str">
        <f t="shared" si="0"/>
        <v xml:space="preserve"> </v>
      </c>
      <c r="AC14" s="3276" t="str">
        <f t="shared" si="0"/>
        <v xml:space="preserve"> </v>
      </c>
      <c r="AD14" s="3276" t="str">
        <f t="shared" si="0"/>
        <v xml:space="preserve"> </v>
      </c>
      <c r="AE14" s="3276" t="str">
        <f t="shared" si="0"/>
        <v xml:space="preserve"> </v>
      </c>
      <c r="AF14" s="1041"/>
      <c r="AG14" s="1041"/>
      <c r="AH14" s="1420"/>
    </row>
    <row r="15" spans="1:34" ht="9.9" customHeight="1">
      <c r="A15" s="1418"/>
      <c r="B15" s="1431"/>
      <c r="C15" s="1442"/>
      <c r="D15" s="650"/>
      <c r="E15" s="1434"/>
      <c r="F15" s="1434"/>
      <c r="G15" s="1444"/>
      <c r="H15" s="1445"/>
      <c r="I15" s="1445"/>
      <c r="J15" s="1445"/>
      <c r="K15" s="1446"/>
      <c r="L15" s="1438"/>
      <c r="M15" s="1438"/>
      <c r="N15" s="1438"/>
      <c r="O15" s="1463"/>
      <c r="P15" s="1440"/>
      <c r="Q15" s="1441"/>
      <c r="R15" s="1430"/>
      <c r="S15" s="1424"/>
      <c r="T15" s="1041"/>
      <c r="U15" s="1041"/>
      <c r="V15" s="1041"/>
      <c r="W15" s="1041"/>
      <c r="X15" s="1041"/>
      <c r="Y15" s="1041"/>
      <c r="Z15" s="1041"/>
      <c r="AA15" s="1041"/>
      <c r="AB15" s="1041"/>
      <c r="AC15" s="1041"/>
      <c r="AD15" s="1041"/>
      <c r="AE15" s="1041"/>
      <c r="AF15" s="1041"/>
      <c r="AG15" s="1041"/>
      <c r="AH15" s="1420"/>
    </row>
    <row r="16" spans="1:34" ht="12.9" customHeight="1">
      <c r="A16" s="1418"/>
      <c r="B16" s="1425"/>
      <c r="C16" s="1464"/>
      <c r="D16" s="2279" t="s">
        <v>1393</v>
      </c>
      <c r="E16" s="1465"/>
      <c r="F16" s="1465"/>
      <c r="G16" s="1465"/>
      <c r="H16" s="1465"/>
      <c r="I16" s="1465"/>
      <c r="J16" s="1465"/>
      <c r="K16" s="1465"/>
      <c r="L16" s="1465"/>
      <c r="M16" s="1465"/>
      <c r="N16" s="1466"/>
      <c r="O16" s="1507" t="s">
        <v>1394</v>
      </c>
      <c r="P16" s="1446"/>
      <c r="Q16" s="1467"/>
      <c r="R16" s="1430"/>
      <c r="S16" s="1418"/>
      <c r="T16" s="3277"/>
      <c r="U16" s="3278" t="s">
        <v>1009</v>
      </c>
      <c r="V16" s="1041"/>
      <c r="W16" s="1041"/>
      <c r="X16" s="1041"/>
      <c r="Y16" s="1041"/>
      <c r="Z16" s="1041"/>
      <c r="AA16" s="1041"/>
      <c r="AB16" s="1041"/>
      <c r="AC16" s="1041"/>
      <c r="AD16" s="1041"/>
      <c r="AE16" s="1041"/>
      <c r="AF16" s="1041"/>
      <c r="AG16" s="1041"/>
      <c r="AH16" s="1420"/>
    </row>
    <row r="17" spans="1:34" ht="12.9" customHeight="1">
      <c r="A17" s="1418"/>
      <c r="B17" s="1425"/>
      <c r="C17" s="1464"/>
      <c r="D17" s="2172" t="s">
        <v>20</v>
      </c>
      <c r="E17" s="2285"/>
      <c r="F17" s="1462">
        <v>61</v>
      </c>
      <c r="G17" s="1462"/>
      <c r="H17" s="1462"/>
      <c r="I17" s="1462"/>
      <c r="J17" s="1462"/>
      <c r="K17" s="1462"/>
      <c r="L17" s="1462"/>
      <c r="M17" s="1462"/>
      <c r="N17" s="1462"/>
      <c r="O17" s="1969">
        <f>E17+F17+G17+H17+I17+J17+K17+L17+M17+N17</f>
        <v>61</v>
      </c>
      <c r="P17" s="1446"/>
      <c r="Q17" s="1467"/>
      <c r="R17" s="1430"/>
      <c r="S17" s="1418"/>
      <c r="T17" s="3277"/>
      <c r="U17" s="1041"/>
      <c r="V17" s="1041"/>
      <c r="W17" s="1041"/>
      <c r="X17" s="1041"/>
      <c r="Y17" s="1041"/>
      <c r="Z17" s="1041"/>
      <c r="AA17" s="1041"/>
      <c r="AB17" s="1041"/>
      <c r="AC17" s="1041"/>
      <c r="AD17" s="1041"/>
      <c r="AE17" s="3279" t="s">
        <v>803</v>
      </c>
      <c r="AF17" s="1041"/>
      <c r="AG17" s="1041"/>
      <c r="AH17" s="1420"/>
    </row>
    <row r="18" spans="1:34" ht="12.9" customHeight="1">
      <c r="A18" s="1418"/>
      <c r="B18" s="1425"/>
      <c r="C18" s="1464"/>
      <c r="D18" s="2172" t="s">
        <v>19</v>
      </c>
      <c r="E18" s="2285"/>
      <c r="F18" s="3269">
        <v>31</v>
      </c>
      <c r="G18" s="3269"/>
      <c r="H18" s="3269"/>
      <c r="I18" s="3269"/>
      <c r="J18" s="3269"/>
      <c r="K18" s="3269"/>
      <c r="L18" s="3269"/>
      <c r="M18" s="3269"/>
      <c r="N18" s="3269"/>
      <c r="O18" s="1492">
        <f>E18+F18+G18+H18+I18+J18+K18+L18+M18+N18</f>
        <v>31</v>
      </c>
      <c r="P18" s="1446"/>
      <c r="Q18" s="1467"/>
      <c r="R18" s="1430"/>
      <c r="S18" s="1418"/>
      <c r="T18" s="3277"/>
      <c r="U18" s="1041"/>
      <c r="V18" s="1041"/>
      <c r="W18" s="1041"/>
      <c r="X18" s="1041"/>
      <c r="Y18" s="1041"/>
      <c r="Z18" s="1041"/>
      <c r="AA18" s="1041"/>
      <c r="AB18" s="1041"/>
      <c r="AC18" s="1041"/>
      <c r="AD18" s="1041"/>
      <c r="AE18" s="1041"/>
      <c r="AF18" s="1041"/>
      <c r="AG18" s="1041"/>
      <c r="AH18" s="1420"/>
    </row>
    <row r="19" spans="1:34" ht="9.9" customHeight="1">
      <c r="A19" s="1418"/>
      <c r="B19" s="1425"/>
      <c r="C19" s="1464"/>
      <c r="D19" s="2280"/>
      <c r="E19" s="1468"/>
      <c r="F19" s="1468"/>
      <c r="G19" s="1468"/>
      <c r="H19" s="1468"/>
      <c r="I19" s="1468"/>
      <c r="J19" s="1468"/>
      <c r="K19" s="1468"/>
      <c r="L19" s="1468"/>
      <c r="M19" s="1468"/>
      <c r="N19" s="1468"/>
      <c r="O19" s="1469"/>
      <c r="P19" s="1446"/>
      <c r="Q19" s="1467"/>
      <c r="R19" s="1430"/>
      <c r="S19" s="1418"/>
      <c r="T19" s="3277"/>
      <c r="U19" s="4203" t="s">
        <v>791</v>
      </c>
      <c r="V19" s="4203"/>
      <c r="W19" s="4203"/>
      <c r="X19" s="4203"/>
      <c r="Y19" s="4203"/>
      <c r="Z19" s="4203"/>
      <c r="AA19" s="4203"/>
      <c r="AB19" s="4203"/>
      <c r="AC19" s="4203"/>
      <c r="AD19" s="1041"/>
      <c r="AE19" s="1041"/>
      <c r="AF19" s="1041"/>
      <c r="AG19" s="1041"/>
      <c r="AH19" s="1420"/>
    </row>
    <row r="20" spans="1:34" ht="9.9" customHeight="1">
      <c r="A20" s="1418"/>
      <c r="B20" s="1425"/>
      <c r="C20" s="1464"/>
      <c r="D20" s="1471"/>
      <c r="E20" s="1470"/>
      <c r="F20" s="1470"/>
      <c r="G20" s="1470"/>
      <c r="H20" s="1470"/>
      <c r="I20" s="1470"/>
      <c r="J20" s="1470"/>
      <c r="K20" s="1470"/>
      <c r="L20" s="1470"/>
      <c r="M20" s="1470"/>
      <c r="N20" s="1470"/>
      <c r="O20" s="1471"/>
      <c r="P20" s="1446"/>
      <c r="Q20" s="1467"/>
      <c r="R20" s="1430"/>
      <c r="S20" s="1418"/>
      <c r="T20" s="1041"/>
      <c r="U20" s="4203"/>
      <c r="V20" s="4203"/>
      <c r="W20" s="4203"/>
      <c r="X20" s="4203"/>
      <c r="Y20" s="4203"/>
      <c r="Z20" s="4203"/>
      <c r="AA20" s="4203"/>
      <c r="AB20" s="4203"/>
      <c r="AC20" s="4203"/>
      <c r="AD20" s="1041"/>
      <c r="AE20" s="1041"/>
      <c r="AF20" s="1041"/>
      <c r="AG20" s="1041"/>
      <c r="AH20" s="1420"/>
    </row>
    <row r="21" spans="1:34" ht="18.75" customHeight="1">
      <c r="A21" s="1418"/>
      <c r="B21" s="1425"/>
      <c r="C21" s="1464"/>
      <c r="D21" s="2281"/>
      <c r="E21" s="2028" t="s">
        <v>967</v>
      </c>
      <c r="F21" s="1472"/>
      <c r="G21" s="1473"/>
      <c r="H21" s="1474"/>
      <c r="I21" s="1472"/>
      <c r="J21" s="1472"/>
      <c r="K21" s="1472"/>
      <c r="L21" s="1472"/>
      <c r="M21" s="1475"/>
      <c r="N21" s="1475" t="s">
        <v>792</v>
      </c>
      <c r="O21" s="2275"/>
      <c r="P21" s="1446"/>
      <c r="Q21" s="1467"/>
      <c r="R21" s="1430"/>
      <c r="S21" s="1418"/>
      <c r="T21" s="1041"/>
      <c r="U21" s="1041"/>
      <c r="V21" s="1041"/>
      <c r="W21" s="1041"/>
      <c r="X21" s="1041"/>
      <c r="Y21" s="1041"/>
      <c r="Z21" s="1041"/>
      <c r="AA21" s="1041"/>
      <c r="AB21" s="1041"/>
      <c r="AC21" s="1041"/>
      <c r="AD21" s="1041"/>
      <c r="AE21" s="1041"/>
      <c r="AF21" s="1041"/>
      <c r="AG21" s="1041"/>
      <c r="AH21" s="1420"/>
    </row>
    <row r="22" spans="1:34" ht="3.9" customHeight="1">
      <c r="A22" s="1418"/>
      <c r="B22" s="1425"/>
      <c r="C22" s="1464"/>
      <c r="D22" s="2282"/>
      <c r="E22" s="1476"/>
      <c r="F22" s="1477"/>
      <c r="G22" s="1478"/>
      <c r="H22" s="1479"/>
      <c r="I22" s="1477"/>
      <c r="J22" s="1477"/>
      <c r="K22" s="1477"/>
      <c r="L22" s="1477"/>
      <c r="M22" s="1480"/>
      <c r="N22" s="1480"/>
      <c r="O22" s="2276"/>
      <c r="P22" s="1446"/>
      <c r="Q22" s="1467"/>
      <c r="R22" s="1430"/>
      <c r="S22" s="1418"/>
      <c r="T22" s="1041"/>
      <c r="U22" s="1041"/>
      <c r="V22" s="1041"/>
      <c r="W22" s="1041"/>
      <c r="X22" s="1041"/>
      <c r="Y22" s="1041"/>
      <c r="Z22" s="1041"/>
      <c r="AA22" s="1041"/>
      <c r="AB22" s="1041"/>
      <c r="AC22" s="1041"/>
      <c r="AD22" s="1041"/>
      <c r="AE22" s="1041"/>
      <c r="AF22" s="1041"/>
      <c r="AG22" s="1041"/>
      <c r="AH22" s="1420"/>
    </row>
    <row r="23" spans="1:34" ht="15" customHeight="1">
      <c r="A23" s="1418"/>
      <c r="B23" s="1481"/>
      <c r="C23" s="1482"/>
      <c r="D23" s="2277" t="s">
        <v>997</v>
      </c>
      <c r="E23" s="1458"/>
      <c r="F23" s="1458"/>
      <c r="G23" s="1459"/>
      <c r="H23" s="1483"/>
      <c r="I23" s="1458"/>
      <c r="J23" s="1458"/>
      <c r="K23" s="1458"/>
      <c r="L23" s="1458"/>
      <c r="M23" s="1458"/>
      <c r="N23" s="1458"/>
      <c r="O23" s="1484" t="s">
        <v>1003</v>
      </c>
      <c r="P23" s="1485"/>
      <c r="Q23" s="1486"/>
      <c r="R23" s="1430"/>
      <c r="S23" s="1487"/>
      <c r="T23" s="1041"/>
      <c r="U23" s="2407" t="s">
        <v>790</v>
      </c>
      <c r="V23" s="1488" t="s">
        <v>18</v>
      </c>
      <c r="W23" s="1488" t="s">
        <v>17</v>
      </c>
      <c r="X23" s="1488" t="s">
        <v>16</v>
      </c>
      <c r="Y23" s="1488" t="s">
        <v>15</v>
      </c>
      <c r="Z23" s="1488" t="s">
        <v>14</v>
      </c>
      <c r="AA23" s="1488" t="s">
        <v>13</v>
      </c>
      <c r="AB23" s="1488" t="s">
        <v>12</v>
      </c>
      <c r="AC23" s="1488" t="s">
        <v>11</v>
      </c>
      <c r="AD23" s="1488" t="s">
        <v>10</v>
      </c>
      <c r="AE23" s="1488" t="s">
        <v>9</v>
      </c>
      <c r="AF23" s="1041"/>
      <c r="AG23" s="1041"/>
      <c r="AH23" s="1420"/>
    </row>
    <row r="24" spans="1:34" ht="6.9" customHeight="1">
      <c r="A24" s="1418"/>
      <c r="B24" s="1425"/>
      <c r="C24" s="1464"/>
      <c r="D24" s="649"/>
      <c r="E24" s="1446"/>
      <c r="F24" s="1446"/>
      <c r="G24" s="1446"/>
      <c r="H24" s="1446"/>
      <c r="I24" s="1446"/>
      <c r="J24" s="1446"/>
      <c r="K24" s="1446"/>
      <c r="L24" s="1446"/>
      <c r="M24" s="1446"/>
      <c r="N24" s="1446"/>
      <c r="O24" s="649"/>
      <c r="P24" s="1446"/>
      <c r="Q24" s="1467"/>
      <c r="R24" s="1430"/>
      <c r="S24" s="1418"/>
      <c r="T24" s="1041"/>
      <c r="U24" s="464"/>
      <c r="V24" s="464"/>
      <c r="W24" s="464"/>
      <c r="X24" s="649"/>
      <c r="Y24" s="649"/>
      <c r="Z24" s="649"/>
      <c r="AA24" s="464"/>
      <c r="AB24" s="464"/>
      <c r="AC24" s="464"/>
      <c r="AD24" s="464"/>
      <c r="AE24" s="464"/>
      <c r="AF24" s="464"/>
      <c r="AG24" s="1041"/>
      <c r="AH24" s="1420"/>
    </row>
    <row r="25" spans="1:34" ht="14.1" customHeight="1">
      <c r="A25" s="1418"/>
      <c r="B25" s="1425"/>
      <c r="C25" s="1464"/>
      <c r="D25" s="2278" t="s">
        <v>790</v>
      </c>
      <c r="E25" s="1461" t="s">
        <v>18</v>
      </c>
      <c r="F25" s="1461" t="s">
        <v>17</v>
      </c>
      <c r="G25" s="1461" t="s">
        <v>16</v>
      </c>
      <c r="H25" s="1461" t="s">
        <v>15</v>
      </c>
      <c r="I25" s="1461" t="s">
        <v>14</v>
      </c>
      <c r="J25" s="1461" t="s">
        <v>13</v>
      </c>
      <c r="K25" s="1461" t="s">
        <v>12</v>
      </c>
      <c r="L25" s="1461" t="s">
        <v>11</v>
      </c>
      <c r="M25" s="1461" t="s">
        <v>10</v>
      </c>
      <c r="N25" s="1461" t="s">
        <v>9</v>
      </c>
      <c r="O25" s="1488" t="s">
        <v>28</v>
      </c>
      <c r="P25" s="1489"/>
      <c r="Q25" s="1467"/>
      <c r="R25" s="1430"/>
      <c r="S25" s="1490"/>
      <c r="T25" s="1041"/>
      <c r="U25" s="2172" t="s">
        <v>20</v>
      </c>
      <c r="V25" s="3276" t="str">
        <f>IF(E26&gt;=E42," ","خطأ")</f>
        <v xml:space="preserve"> </v>
      </c>
      <c r="W25" s="3276" t="str">
        <f t="shared" ref="W25:AE26" si="1">IF(F26&gt;=F42," ","خطأ")</f>
        <v xml:space="preserve"> </v>
      </c>
      <c r="X25" s="3276" t="str">
        <f t="shared" si="1"/>
        <v xml:space="preserve"> </v>
      </c>
      <c r="Y25" s="3276" t="str">
        <f t="shared" si="1"/>
        <v xml:space="preserve"> </v>
      </c>
      <c r="Z25" s="3276" t="str">
        <f t="shared" si="1"/>
        <v xml:space="preserve"> </v>
      </c>
      <c r="AA25" s="3276" t="str">
        <f t="shared" si="1"/>
        <v xml:space="preserve"> </v>
      </c>
      <c r="AB25" s="3276" t="str">
        <f t="shared" si="1"/>
        <v xml:space="preserve"> </v>
      </c>
      <c r="AC25" s="3276" t="str">
        <f t="shared" si="1"/>
        <v xml:space="preserve"> </v>
      </c>
      <c r="AD25" s="3276" t="str">
        <f t="shared" si="1"/>
        <v xml:space="preserve"> </v>
      </c>
      <c r="AE25" s="3276" t="str">
        <f t="shared" si="1"/>
        <v xml:space="preserve"> </v>
      </c>
      <c r="AF25" s="1041"/>
      <c r="AG25" s="1041"/>
      <c r="AH25" s="1420"/>
    </row>
    <row r="26" spans="1:34" ht="12.9" customHeight="1">
      <c r="A26" s="1418"/>
      <c r="B26" s="1425"/>
      <c r="C26" s="1464"/>
      <c r="D26" s="2172" t="s">
        <v>20</v>
      </c>
      <c r="E26" s="2285">
        <v>28</v>
      </c>
      <c r="F26" s="1462">
        <v>152</v>
      </c>
      <c r="G26" s="1462">
        <v>27</v>
      </c>
      <c r="H26" s="1462">
        <v>15</v>
      </c>
      <c r="I26" s="1462">
        <v>10</v>
      </c>
      <c r="J26" s="1462">
        <v>5</v>
      </c>
      <c r="K26" s="1462">
        <v>1</v>
      </c>
      <c r="L26" s="1462"/>
      <c r="M26" s="1462">
        <v>0</v>
      </c>
      <c r="N26" s="1462">
        <v>0</v>
      </c>
      <c r="O26" s="1969">
        <f>E26+F26+G26+H26+I26+J26+K26+L26+M26+N26</f>
        <v>238</v>
      </c>
      <c r="Q26" s="1467"/>
      <c r="R26" s="1430"/>
      <c r="S26" s="1491"/>
      <c r="T26" s="1041"/>
      <c r="U26" s="2172" t="s">
        <v>19</v>
      </c>
      <c r="V26" s="3276" t="str">
        <f>IF(E27&gt;=E43," ","خطأ")</f>
        <v xml:space="preserve"> </v>
      </c>
      <c r="W26" s="3276" t="str">
        <f t="shared" si="1"/>
        <v xml:space="preserve"> </v>
      </c>
      <c r="X26" s="3276" t="str">
        <f t="shared" si="1"/>
        <v xml:space="preserve"> </v>
      </c>
      <c r="Y26" s="3276" t="str">
        <f t="shared" si="1"/>
        <v xml:space="preserve"> </v>
      </c>
      <c r="Z26" s="3276" t="str">
        <f t="shared" si="1"/>
        <v xml:space="preserve"> </v>
      </c>
      <c r="AA26" s="3276" t="str">
        <f t="shared" si="1"/>
        <v xml:space="preserve"> </v>
      </c>
      <c r="AB26" s="3276" t="str">
        <f t="shared" si="1"/>
        <v xml:space="preserve"> </v>
      </c>
      <c r="AC26" s="3276" t="str">
        <f t="shared" si="1"/>
        <v xml:space="preserve"> </v>
      </c>
      <c r="AD26" s="3276" t="str">
        <f t="shared" si="1"/>
        <v xml:space="preserve"> </v>
      </c>
      <c r="AE26" s="3276" t="str">
        <f t="shared" si="1"/>
        <v xml:space="preserve"> </v>
      </c>
      <c r="AF26" s="1041"/>
      <c r="AG26" s="1041"/>
      <c r="AH26" s="1420"/>
    </row>
    <row r="27" spans="1:34" ht="12.9" customHeight="1">
      <c r="A27" s="1418"/>
      <c r="B27" s="1425"/>
      <c r="C27" s="1464"/>
      <c r="D27" s="2172" t="s">
        <v>19</v>
      </c>
      <c r="E27" s="2285">
        <v>13</v>
      </c>
      <c r="F27" s="3269">
        <v>73</v>
      </c>
      <c r="G27" s="3269">
        <v>11</v>
      </c>
      <c r="H27" s="3269">
        <v>5</v>
      </c>
      <c r="I27" s="3269">
        <v>1</v>
      </c>
      <c r="J27" s="3269">
        <v>0</v>
      </c>
      <c r="K27" s="3269">
        <v>0</v>
      </c>
      <c r="L27" s="3269">
        <v>0</v>
      </c>
      <c r="M27" s="3269"/>
      <c r="N27" s="3269"/>
      <c r="O27" s="1492">
        <f>E27+F27+G27+H27+I27+J27+K27+L27+M27+N27</f>
        <v>103</v>
      </c>
      <c r="Q27" s="1467"/>
      <c r="R27" s="1430"/>
      <c r="S27" s="1491"/>
      <c r="T27" s="1041"/>
      <c r="U27" s="4201" t="s">
        <v>1010</v>
      </c>
      <c r="V27" s="4201"/>
      <c r="W27" s="4201"/>
      <c r="X27" s="4201"/>
      <c r="Y27" s="4201"/>
      <c r="Z27" s="4201"/>
      <c r="AA27" s="4201"/>
      <c r="AB27" s="1041"/>
      <c r="AC27" s="1041"/>
      <c r="AD27" s="1041"/>
      <c r="AE27" s="1041"/>
      <c r="AF27" s="1041"/>
      <c r="AG27" s="1041"/>
      <c r="AH27" s="1420"/>
    </row>
    <row r="28" spans="1:34" ht="9.9" customHeight="1">
      <c r="A28" s="1418"/>
      <c r="B28" s="1425"/>
      <c r="C28" s="1464"/>
      <c r="D28" s="2280"/>
      <c r="E28" s="1468"/>
      <c r="F28" s="1468"/>
      <c r="G28" s="1468"/>
      <c r="H28" s="1468"/>
      <c r="I28" s="1468"/>
      <c r="J28" s="1468"/>
      <c r="K28" s="1468"/>
      <c r="L28" s="1468"/>
      <c r="M28" s="1468"/>
      <c r="N28" s="1468"/>
      <c r="O28" s="1469"/>
      <c r="P28" s="1468"/>
      <c r="Q28" s="1467"/>
      <c r="R28" s="1430"/>
      <c r="S28" s="1491"/>
      <c r="T28" s="1041"/>
      <c r="U28" s="4202"/>
      <c r="V28" s="4202"/>
      <c r="W28" s="4202"/>
      <c r="X28" s="4202"/>
      <c r="Y28" s="4202"/>
      <c r="Z28" s="4202"/>
      <c r="AA28" s="4202"/>
      <c r="AB28" s="1041"/>
      <c r="AC28" s="1041"/>
      <c r="AD28" s="1041"/>
      <c r="AE28" s="1041"/>
      <c r="AF28" s="1041"/>
      <c r="AG28" s="1041"/>
      <c r="AH28" s="1420"/>
    </row>
    <row r="29" spans="1:34" ht="12.9" customHeight="1">
      <c r="A29" s="1418"/>
      <c r="B29" s="1425"/>
      <c r="C29" s="1464"/>
      <c r="D29" s="2283" t="s">
        <v>998</v>
      </c>
      <c r="E29" s="1465"/>
      <c r="F29" s="1465"/>
      <c r="G29" s="1465"/>
      <c r="H29" s="1465"/>
      <c r="I29" s="1465"/>
      <c r="J29" s="1465"/>
      <c r="K29" s="1465"/>
      <c r="L29" s="1465"/>
      <c r="M29" s="1465"/>
      <c r="N29" s="1466"/>
      <c r="O29" s="1508" t="s">
        <v>1004</v>
      </c>
      <c r="P29" s="1466"/>
      <c r="Q29" s="1467"/>
      <c r="R29" s="1430"/>
      <c r="S29" s="1491"/>
      <c r="T29" s="1041"/>
      <c r="U29" s="1041"/>
      <c r="V29" s="3280"/>
      <c r="W29" s="3280"/>
      <c r="X29" s="3280"/>
      <c r="Y29" s="3280"/>
      <c r="Z29" s="3281"/>
      <c r="AA29" s="3281" t="s">
        <v>1011</v>
      </c>
      <c r="AB29" s="1041"/>
      <c r="AC29" s="1041"/>
      <c r="AD29" s="1041"/>
      <c r="AE29" s="1041"/>
      <c r="AF29" s="1041"/>
      <c r="AG29" s="1041"/>
      <c r="AH29" s="1420"/>
    </row>
    <row r="30" spans="1:34" ht="12.9" customHeight="1">
      <c r="A30" s="1418"/>
      <c r="B30" s="1425"/>
      <c r="C30" s="1464"/>
      <c r="D30" s="2172" t="s">
        <v>20</v>
      </c>
      <c r="E30" s="3209"/>
      <c r="F30" s="3210">
        <v>44</v>
      </c>
      <c r="G30" s="3210"/>
      <c r="H30" s="3210"/>
      <c r="I30" s="3210"/>
      <c r="J30" s="3210"/>
      <c r="K30" s="3210"/>
      <c r="L30" s="3210"/>
      <c r="M30" s="3210"/>
      <c r="N30" s="3210"/>
      <c r="O30" s="3211">
        <f>E30+F30+G30+H30+I30+J30+K30+L30+M30+N30</f>
        <v>44</v>
      </c>
      <c r="P30" s="1468"/>
      <c r="Q30" s="1467"/>
      <c r="R30" s="1430"/>
      <c r="S30" s="1491"/>
      <c r="T30" s="1041"/>
      <c r="U30" s="3280"/>
      <c r="V30" s="3280"/>
      <c r="W30" s="3280"/>
      <c r="X30" s="3280"/>
      <c r="Y30" s="3280"/>
      <c r="Z30" s="1041"/>
      <c r="AA30" s="1041"/>
      <c r="AB30" s="1041"/>
      <c r="AC30" s="1041"/>
      <c r="AD30" s="1041"/>
      <c r="AE30" s="1041"/>
      <c r="AF30" s="1041"/>
      <c r="AG30" s="1041"/>
      <c r="AH30" s="1420"/>
    </row>
    <row r="31" spans="1:34" ht="12.9" customHeight="1">
      <c r="A31" s="1418"/>
      <c r="B31" s="1425"/>
      <c r="C31" s="1464"/>
      <c r="D31" s="2172" t="s">
        <v>19</v>
      </c>
      <c r="E31" s="3209"/>
      <c r="F31" s="3210">
        <v>20</v>
      </c>
      <c r="G31" s="3210"/>
      <c r="H31" s="3210"/>
      <c r="I31" s="3210"/>
      <c r="J31" s="3210"/>
      <c r="K31" s="3210"/>
      <c r="L31" s="3210"/>
      <c r="M31" s="3210"/>
      <c r="N31" s="3210"/>
      <c r="O31" s="3211">
        <f>E31+F31+G31+H31+I31+J31+K31+L31+M31+N31</f>
        <v>20</v>
      </c>
      <c r="P31" s="1468"/>
      <c r="Q31" s="1467"/>
      <c r="R31" s="1430"/>
      <c r="S31" s="1491"/>
      <c r="T31" s="1041"/>
      <c r="U31" s="2283" t="s">
        <v>1012</v>
      </c>
      <c r="V31" s="1041"/>
      <c r="W31" s="1041"/>
      <c r="X31" s="1041"/>
      <c r="Y31" s="1041"/>
      <c r="Z31" s="1041"/>
      <c r="AA31" s="1041"/>
      <c r="AB31" s="1041"/>
      <c r="AC31" s="1041"/>
      <c r="AD31" s="1041"/>
      <c r="AE31" s="1041"/>
      <c r="AF31" s="1041"/>
      <c r="AG31" s="1041"/>
      <c r="AH31" s="1420"/>
    </row>
    <row r="32" spans="1:34" ht="12" customHeight="1">
      <c r="A32" s="1418"/>
      <c r="B32" s="1425"/>
      <c r="C32" s="1482"/>
      <c r="D32" s="2280"/>
      <c r="E32" s="1468"/>
      <c r="F32" s="1468"/>
      <c r="G32" s="1468"/>
      <c r="H32" s="1468"/>
      <c r="I32" s="1468"/>
      <c r="J32" s="1468"/>
      <c r="K32" s="1468"/>
      <c r="L32" s="1468"/>
      <c r="M32" s="1468"/>
      <c r="N32" s="1468"/>
      <c r="O32" s="1469"/>
      <c r="P32" s="1468"/>
      <c r="Q32" s="1467"/>
      <c r="R32" s="1430"/>
      <c r="S32" s="1491"/>
      <c r="T32" s="1041"/>
      <c r="U32" s="1041"/>
      <c r="V32" s="1041"/>
      <c r="W32" s="1041"/>
      <c r="X32" s="1041"/>
      <c r="Y32" s="1041"/>
      <c r="Z32" s="1041"/>
      <c r="AA32" s="1041"/>
      <c r="AB32" s="1041"/>
      <c r="AC32" s="1041"/>
      <c r="AD32" s="1041"/>
      <c r="AE32" s="3282" t="s">
        <v>1013</v>
      </c>
      <c r="AF32" s="1041"/>
      <c r="AG32" s="1041"/>
      <c r="AH32" s="1420"/>
    </row>
    <row r="33" spans="1:34" ht="12.9" customHeight="1">
      <c r="A33" s="1418"/>
      <c r="B33" s="1425"/>
      <c r="C33" s="1464"/>
      <c r="D33" s="2279" t="s">
        <v>999</v>
      </c>
      <c r="E33" s="1465"/>
      <c r="F33" s="1465"/>
      <c r="G33" s="1465"/>
      <c r="H33" s="1465"/>
      <c r="I33" s="1465"/>
      <c r="J33" s="1465"/>
      <c r="K33" s="1465"/>
      <c r="L33" s="1465"/>
      <c r="M33" s="1465"/>
      <c r="N33" s="1466"/>
      <c r="O33" s="1507" t="s">
        <v>1005</v>
      </c>
      <c r="P33" s="1466"/>
      <c r="Q33" s="1467"/>
      <c r="R33" s="1430"/>
      <c r="S33" s="1491"/>
      <c r="T33" s="1041"/>
      <c r="U33" s="3283" t="s">
        <v>796</v>
      </c>
      <c r="V33" s="1041"/>
      <c r="W33" s="1041"/>
      <c r="X33" s="1041"/>
      <c r="Y33" s="1041"/>
      <c r="Z33" s="1041"/>
      <c r="AA33" s="1041"/>
      <c r="AB33" s="1041"/>
      <c r="AC33" s="1041"/>
      <c r="AD33" s="1041"/>
      <c r="AE33" s="1041"/>
      <c r="AF33" s="1041"/>
      <c r="AG33" s="1041"/>
      <c r="AH33" s="1420"/>
    </row>
    <row r="34" spans="1:34" ht="12.9" customHeight="1">
      <c r="A34" s="1418"/>
      <c r="B34" s="1425"/>
      <c r="C34" s="1464"/>
      <c r="D34" s="2172" t="s">
        <v>20</v>
      </c>
      <c r="E34" s="2285"/>
      <c r="F34" s="1462"/>
      <c r="G34" s="3269"/>
      <c r="H34" s="3269"/>
      <c r="I34" s="3269"/>
      <c r="J34" s="3269"/>
      <c r="K34" s="3269"/>
      <c r="L34" s="3269"/>
      <c r="M34" s="3269"/>
      <c r="N34" s="3269"/>
      <c r="O34" s="1492">
        <f>E34+F34+G34+H34+I34+J34+K34+L34+M34+N34</f>
        <v>0</v>
      </c>
      <c r="P34" s="1468"/>
      <c r="Q34" s="1467"/>
      <c r="R34" s="1430"/>
      <c r="S34" s="1491"/>
      <c r="T34" s="1041"/>
      <c r="U34" s="4204" t="s">
        <v>20</v>
      </c>
      <c r="V34" s="4205" t="str">
        <f t="shared" ref="V34:AE34" si="2">IF(E30&gt;=E46," ","خطأ")</f>
        <v xml:space="preserve"> </v>
      </c>
      <c r="W34" s="4205" t="str">
        <f t="shared" si="2"/>
        <v xml:space="preserve"> </v>
      </c>
      <c r="X34" s="4205" t="str">
        <f t="shared" si="2"/>
        <v xml:space="preserve"> </v>
      </c>
      <c r="Y34" s="4205" t="str">
        <f t="shared" si="2"/>
        <v xml:space="preserve"> </v>
      </c>
      <c r="Z34" s="4205" t="str">
        <f t="shared" si="2"/>
        <v xml:space="preserve"> </v>
      </c>
      <c r="AA34" s="4205" t="str">
        <f t="shared" si="2"/>
        <v xml:space="preserve"> </v>
      </c>
      <c r="AB34" s="4205" t="str">
        <f t="shared" si="2"/>
        <v xml:space="preserve"> </v>
      </c>
      <c r="AC34" s="4205" t="str">
        <f t="shared" si="2"/>
        <v xml:space="preserve"> </v>
      </c>
      <c r="AD34" s="4205" t="str">
        <f t="shared" si="2"/>
        <v xml:space="preserve"> </v>
      </c>
      <c r="AE34" s="4205" t="str">
        <f t="shared" si="2"/>
        <v xml:space="preserve"> </v>
      </c>
      <c r="AF34" s="1041"/>
      <c r="AG34" s="1041"/>
      <c r="AH34" s="1420"/>
    </row>
    <row r="35" spans="1:34" ht="12.9" customHeight="1">
      <c r="A35" s="1418"/>
      <c r="B35" s="1425"/>
      <c r="C35" s="1464"/>
      <c r="D35" s="2172" t="s">
        <v>19</v>
      </c>
      <c r="E35" s="2285"/>
      <c r="F35" s="3269"/>
      <c r="G35" s="3269"/>
      <c r="H35" s="3269"/>
      <c r="I35" s="3269"/>
      <c r="J35" s="3269"/>
      <c r="K35" s="3269"/>
      <c r="L35" s="3269"/>
      <c r="M35" s="3269"/>
      <c r="N35" s="3269"/>
      <c r="O35" s="1492">
        <f>E35+F35+G35+H35+I35+J35+K35+L35+M35+N35</f>
        <v>0</v>
      </c>
      <c r="P35" s="1468"/>
      <c r="Q35" s="1467"/>
      <c r="R35" s="1430"/>
      <c r="S35" s="1491"/>
      <c r="T35" s="1041"/>
      <c r="U35" s="4204"/>
      <c r="V35" s="4205"/>
      <c r="W35" s="4205"/>
      <c r="X35" s="4205"/>
      <c r="Y35" s="4205"/>
      <c r="Z35" s="4205"/>
      <c r="AA35" s="4205"/>
      <c r="AB35" s="4205"/>
      <c r="AC35" s="4205"/>
      <c r="AD35" s="4205"/>
      <c r="AE35" s="4205"/>
      <c r="AF35" s="1041"/>
      <c r="AG35" s="1041"/>
      <c r="AH35" s="1420"/>
    </row>
    <row r="36" spans="1:34" ht="9.9" customHeight="1">
      <c r="A36" s="1418"/>
      <c r="B36" s="1425"/>
      <c r="C36" s="1464"/>
      <c r="D36" s="1920"/>
      <c r="E36" s="1495"/>
      <c r="F36" s="1495"/>
      <c r="G36" s="1495"/>
      <c r="H36" s="1495"/>
      <c r="I36" s="1495"/>
      <c r="J36" s="1495"/>
      <c r="K36" s="1495"/>
      <c r="L36" s="1495"/>
      <c r="M36" s="1495"/>
      <c r="N36" s="1495"/>
      <c r="O36" s="1494"/>
      <c r="P36" s="1468"/>
      <c r="Q36" s="1467"/>
      <c r="R36" s="1430"/>
      <c r="S36" s="1491"/>
      <c r="T36" s="1041"/>
      <c r="U36" s="4204" t="s">
        <v>19</v>
      </c>
      <c r="V36" s="4205" t="str">
        <f t="shared" ref="V36:AE36" si="3">IF(E31&gt;=E47," ","خطأ")</f>
        <v xml:space="preserve"> </v>
      </c>
      <c r="W36" s="4205" t="str">
        <f t="shared" si="3"/>
        <v xml:space="preserve"> </v>
      </c>
      <c r="X36" s="4205" t="str">
        <f t="shared" si="3"/>
        <v xml:space="preserve"> </v>
      </c>
      <c r="Y36" s="4205" t="str">
        <f t="shared" si="3"/>
        <v xml:space="preserve"> </v>
      </c>
      <c r="Z36" s="4205" t="str">
        <f t="shared" si="3"/>
        <v xml:space="preserve"> </v>
      </c>
      <c r="AA36" s="4205" t="str">
        <f t="shared" si="3"/>
        <v xml:space="preserve"> </v>
      </c>
      <c r="AB36" s="4205" t="str">
        <f t="shared" si="3"/>
        <v xml:space="preserve"> </v>
      </c>
      <c r="AC36" s="4205" t="str">
        <f t="shared" si="3"/>
        <v xml:space="preserve"> </v>
      </c>
      <c r="AD36" s="4205" t="str">
        <f t="shared" si="3"/>
        <v xml:space="preserve"> </v>
      </c>
      <c r="AE36" s="4205" t="str">
        <f t="shared" si="3"/>
        <v xml:space="preserve"> </v>
      </c>
      <c r="AF36" s="1041"/>
      <c r="AG36" s="1041"/>
      <c r="AH36" s="1420"/>
    </row>
    <row r="37" spans="1:34" ht="9.9" customHeight="1">
      <c r="A37" s="1418"/>
      <c r="B37" s="1425"/>
      <c r="C37" s="1464"/>
      <c r="D37" s="1471"/>
      <c r="E37" s="1470"/>
      <c r="F37" s="1470"/>
      <c r="G37" s="1470"/>
      <c r="H37" s="1470"/>
      <c r="I37" s="1470"/>
      <c r="J37" s="1470"/>
      <c r="K37" s="1470"/>
      <c r="L37" s="1470"/>
      <c r="M37" s="1470"/>
      <c r="N37" s="1470"/>
      <c r="O37" s="1471"/>
      <c r="P37" s="1446"/>
      <c r="Q37" s="1467"/>
      <c r="R37" s="1430"/>
      <c r="S37" s="1491"/>
      <c r="T37" s="1041"/>
      <c r="U37" s="4204"/>
      <c r="V37" s="4205"/>
      <c r="W37" s="4205"/>
      <c r="X37" s="4205"/>
      <c r="Y37" s="4205"/>
      <c r="Z37" s="4205"/>
      <c r="AA37" s="4205"/>
      <c r="AB37" s="4205"/>
      <c r="AC37" s="4205"/>
      <c r="AD37" s="4205"/>
      <c r="AE37" s="4205"/>
      <c r="AF37" s="1041"/>
      <c r="AG37" s="1041"/>
      <c r="AH37" s="1420"/>
    </row>
    <row r="38" spans="1:34" ht="18.75" customHeight="1">
      <c r="A38" s="1418"/>
      <c r="B38" s="1425"/>
      <c r="C38" s="1464"/>
      <c r="D38" s="2281"/>
      <c r="E38" s="2028" t="s">
        <v>967</v>
      </c>
      <c r="F38" s="1472"/>
      <c r="G38" s="1473"/>
      <c r="H38" s="1474"/>
      <c r="I38" s="1472"/>
      <c r="J38" s="1472"/>
      <c r="K38" s="1472"/>
      <c r="L38" s="1472"/>
      <c r="M38" s="1475"/>
      <c r="N38" s="1475" t="s">
        <v>792</v>
      </c>
      <c r="O38" s="2275"/>
      <c r="P38" s="1446"/>
      <c r="Q38" s="1467"/>
      <c r="R38" s="1430"/>
      <c r="S38" s="1491"/>
      <c r="T38" s="1041"/>
      <c r="AF38" s="1041"/>
      <c r="AG38" s="1041"/>
      <c r="AH38" s="1420"/>
    </row>
    <row r="39" spans="1:34" ht="3.9" customHeight="1">
      <c r="A39" s="1418"/>
      <c r="B39" s="1425"/>
      <c r="C39" s="1464"/>
      <c r="D39" s="2282"/>
      <c r="E39" s="1476"/>
      <c r="F39" s="1477"/>
      <c r="G39" s="1478"/>
      <c r="H39" s="1479"/>
      <c r="I39" s="1477"/>
      <c r="J39" s="1477"/>
      <c r="K39" s="1477"/>
      <c r="L39" s="1477"/>
      <c r="M39" s="1480"/>
      <c r="N39" s="1480"/>
      <c r="O39" s="2276"/>
      <c r="P39" s="1446"/>
      <c r="Q39" s="1467"/>
      <c r="R39" s="1430"/>
      <c r="S39" s="1491"/>
      <c r="T39" s="1041"/>
      <c r="AF39" s="1041"/>
      <c r="AG39" s="1041"/>
      <c r="AH39" s="1420"/>
    </row>
    <row r="40" spans="1:34" ht="15" customHeight="1">
      <c r="A40" s="1418"/>
      <c r="B40" s="1425"/>
      <c r="C40" s="1464"/>
      <c r="D40" s="2277" t="s">
        <v>1000</v>
      </c>
      <c r="E40" s="1496"/>
      <c r="F40" s="1496"/>
      <c r="G40" s="1496"/>
      <c r="H40" s="1497"/>
      <c r="I40" s="1496"/>
      <c r="J40" s="1496"/>
      <c r="K40" s="1496"/>
      <c r="L40" s="1496"/>
      <c r="M40" s="1496"/>
      <c r="N40" s="1496"/>
      <c r="O40" s="1484" t="s">
        <v>1006</v>
      </c>
      <c r="P40" s="1446"/>
      <c r="Q40" s="1467"/>
      <c r="R40" s="1430"/>
      <c r="S40" s="1491"/>
      <c r="T40" s="1041"/>
      <c r="U40" s="1041"/>
      <c r="V40" s="3290"/>
      <c r="W40" s="3290"/>
      <c r="X40" s="3290"/>
      <c r="Y40" s="3290"/>
      <c r="Z40" s="3290"/>
      <c r="AA40" s="3290"/>
      <c r="AB40" s="3290"/>
      <c r="AC40" s="3290"/>
      <c r="AD40" s="3290"/>
      <c r="AE40" s="1041"/>
      <c r="AF40" s="1041"/>
      <c r="AG40" s="1041"/>
      <c r="AH40" s="1420"/>
    </row>
    <row r="41" spans="1:34" ht="6.9" customHeight="1">
      <c r="A41" s="1418"/>
      <c r="B41" s="1425"/>
      <c r="C41" s="1464"/>
      <c r="D41" s="2279"/>
      <c r="E41" s="1446"/>
      <c r="F41" s="1446"/>
      <c r="G41" s="1446"/>
      <c r="H41" s="1446"/>
      <c r="I41" s="1446"/>
      <c r="J41" s="1446"/>
      <c r="K41" s="1446"/>
      <c r="L41" s="1446"/>
      <c r="M41" s="1446"/>
      <c r="N41" s="1446"/>
      <c r="O41" s="649"/>
      <c r="P41" s="1446"/>
      <c r="Q41" s="1467"/>
      <c r="R41" s="1430"/>
      <c r="S41" s="1491"/>
      <c r="T41" s="1041"/>
      <c r="U41" s="1041"/>
      <c r="V41" s="1041"/>
      <c r="W41" s="1041"/>
      <c r="X41" s="1041"/>
      <c r="Y41" s="1041"/>
      <c r="Z41" s="1041"/>
      <c r="AA41" s="1041"/>
      <c r="AB41" s="1041"/>
      <c r="AC41" s="1041"/>
      <c r="AD41" s="1041"/>
      <c r="AE41" s="1041"/>
      <c r="AF41" s="1041"/>
      <c r="AG41" s="1041"/>
      <c r="AH41" s="1420"/>
    </row>
    <row r="42" spans="1:34" ht="12.9" customHeight="1">
      <c r="A42" s="1418"/>
      <c r="B42" s="1425"/>
      <c r="C42" s="1464"/>
      <c r="D42" s="2172" t="s">
        <v>20</v>
      </c>
      <c r="E42" s="3209"/>
      <c r="F42" s="3210">
        <v>4</v>
      </c>
      <c r="G42" s="3210">
        <v>10</v>
      </c>
      <c r="H42" s="3210">
        <v>11</v>
      </c>
      <c r="I42" s="3210">
        <v>9</v>
      </c>
      <c r="J42" s="3210">
        <v>4</v>
      </c>
      <c r="K42" s="3210">
        <v>1</v>
      </c>
      <c r="L42" s="3210"/>
      <c r="M42" s="3210"/>
      <c r="N42" s="3210"/>
      <c r="O42" s="3211">
        <f>E42+F42+G42+H42+I42+J42+K42+L42+M42+N42</f>
        <v>39</v>
      </c>
      <c r="P42" s="1468"/>
      <c r="Q42" s="1467"/>
      <c r="R42" s="1430"/>
      <c r="S42" s="1491"/>
      <c r="T42" s="3289"/>
      <c r="U42" s="1041"/>
      <c r="V42" s="1041"/>
      <c r="W42" s="1041"/>
      <c r="X42" s="1041"/>
      <c r="Y42" s="1041"/>
      <c r="Z42" s="1041"/>
      <c r="AA42" s="1041"/>
      <c r="AB42" s="1041"/>
      <c r="AC42" s="1041"/>
      <c r="AD42" s="1041"/>
      <c r="AE42" s="1041"/>
      <c r="AF42" s="1041"/>
      <c r="AG42" s="1041"/>
      <c r="AH42" s="1420"/>
    </row>
    <row r="43" spans="1:34" ht="12.9" customHeight="1">
      <c r="A43" s="1418"/>
      <c r="B43" s="1425"/>
      <c r="C43" s="1464"/>
      <c r="D43" s="2172" t="s">
        <v>19</v>
      </c>
      <c r="E43" s="3209"/>
      <c r="F43" s="3210"/>
      <c r="G43" s="3210">
        <v>3</v>
      </c>
      <c r="H43" s="3210">
        <v>2</v>
      </c>
      <c r="I43" s="3210">
        <v>1</v>
      </c>
      <c r="J43" s="3210"/>
      <c r="K43" s="3210"/>
      <c r="L43" s="3210"/>
      <c r="M43" s="3210"/>
      <c r="N43" s="3210"/>
      <c r="O43" s="3211">
        <f>E43+F43+G43+H43+I43+J43+K43+L43+M43+N43</f>
        <v>6</v>
      </c>
      <c r="P43" s="1468"/>
      <c r="Q43" s="1467"/>
      <c r="R43" s="1430"/>
      <c r="S43" s="1491"/>
      <c r="T43" s="3289"/>
      <c r="U43" s="1041"/>
      <c r="V43" s="1041"/>
      <c r="W43" s="1041"/>
      <c r="X43" s="1041"/>
      <c r="Y43" s="1041"/>
      <c r="Z43" s="1041"/>
      <c r="AA43" s="1041"/>
      <c r="AB43" s="1041"/>
      <c r="AC43" s="1041"/>
      <c r="AD43" s="1041"/>
      <c r="AE43" s="1041"/>
      <c r="AF43" s="1041"/>
      <c r="AG43" s="1041"/>
      <c r="AH43" s="1420"/>
    </row>
    <row r="44" spans="1:34" ht="9.9" customHeight="1">
      <c r="A44" s="1418"/>
      <c r="B44" s="1425"/>
      <c r="C44" s="1464"/>
      <c r="D44" s="2280"/>
      <c r="E44" s="1468"/>
      <c r="F44" s="1468"/>
      <c r="G44" s="1468"/>
      <c r="H44" s="1468"/>
      <c r="I44" s="1468"/>
      <c r="J44" s="1468"/>
      <c r="K44" s="1468"/>
      <c r="L44" s="1468"/>
      <c r="M44" s="1468"/>
      <c r="N44" s="1468"/>
      <c r="O44" s="1469"/>
      <c r="P44" s="1468"/>
      <c r="Q44" s="1467"/>
      <c r="R44" s="1430"/>
      <c r="S44" s="1491"/>
      <c r="T44" s="3289"/>
      <c r="U44" s="3289"/>
      <c r="V44" s="3289"/>
      <c r="W44" s="3289"/>
      <c r="X44" s="3289"/>
      <c r="Y44" s="3289"/>
      <c r="Z44" s="3289"/>
      <c r="AA44" s="1041"/>
      <c r="AB44" s="1041"/>
      <c r="AC44" s="1041"/>
      <c r="AD44" s="1041"/>
      <c r="AE44" s="1041"/>
      <c r="AF44" s="1041"/>
      <c r="AG44" s="1041"/>
      <c r="AH44" s="1420"/>
    </row>
    <row r="45" spans="1:34" ht="12.9" customHeight="1">
      <c r="A45" s="1418"/>
      <c r="B45" s="1425"/>
      <c r="C45" s="1464"/>
      <c r="D45" s="2284" t="s">
        <v>1001</v>
      </c>
      <c r="E45" s="1465"/>
      <c r="F45" s="1465"/>
      <c r="G45" s="1465"/>
      <c r="H45" s="1465"/>
      <c r="I45" s="1465"/>
      <c r="J45" s="1465"/>
      <c r="K45" s="1465"/>
      <c r="L45" s="1465"/>
      <c r="M45" s="1465"/>
      <c r="N45" s="1466"/>
      <c r="O45" s="1508" t="s">
        <v>1007</v>
      </c>
      <c r="P45" s="1466"/>
      <c r="Q45" s="1467"/>
      <c r="R45" s="1430"/>
      <c r="S45" s="1491"/>
      <c r="T45" s="3289"/>
      <c r="U45" s="3289"/>
      <c r="V45" s="3289"/>
      <c r="W45" s="3289"/>
      <c r="X45" s="3289"/>
      <c r="Y45" s="3289"/>
      <c r="Z45" s="1041"/>
      <c r="AA45" s="1041"/>
      <c r="AB45" s="1041"/>
      <c r="AC45" s="3282"/>
      <c r="AD45" s="3282"/>
      <c r="AE45" s="1041"/>
      <c r="AF45" s="1041"/>
      <c r="AG45" s="1041"/>
      <c r="AH45" s="1420"/>
    </row>
    <row r="46" spans="1:34" ht="12.9" customHeight="1">
      <c r="A46" s="1418"/>
      <c r="B46" s="1425"/>
      <c r="C46" s="1464"/>
      <c r="D46" s="2172" t="s">
        <v>20</v>
      </c>
      <c r="E46" s="3209"/>
      <c r="F46" s="3210"/>
      <c r="G46" s="3210">
        <v>0</v>
      </c>
      <c r="H46" s="3210"/>
      <c r="I46" s="3210"/>
      <c r="J46" s="3210"/>
      <c r="K46" s="3210"/>
      <c r="L46" s="3210"/>
      <c r="M46" s="3210"/>
      <c r="N46" s="3210"/>
      <c r="O46" s="3211">
        <f>E46+F46+G46+H46+I46+J46+K46+L46+M46+N46</f>
        <v>0</v>
      </c>
      <c r="P46" s="1468"/>
      <c r="Q46" s="1467"/>
      <c r="R46" s="1430"/>
      <c r="S46" s="1491"/>
      <c r="T46" s="3289"/>
      <c r="U46" s="2283" t="s">
        <v>1014</v>
      </c>
      <c r="V46" s="3289"/>
      <c r="W46" s="3289"/>
      <c r="X46" s="3289"/>
      <c r="Y46" s="3289"/>
      <c r="Z46" s="3289"/>
      <c r="AA46" s="1041"/>
      <c r="AB46" s="1041"/>
      <c r="AC46" s="1041"/>
      <c r="AD46" s="1041"/>
      <c r="AE46" s="1041"/>
      <c r="AF46" s="1041"/>
      <c r="AG46" s="1041"/>
      <c r="AH46" s="1420"/>
    </row>
    <row r="47" spans="1:34" ht="12.9" customHeight="1">
      <c r="A47" s="1418"/>
      <c r="B47" s="1425"/>
      <c r="C47" s="1464"/>
      <c r="D47" s="2172" t="s">
        <v>19</v>
      </c>
      <c r="E47" s="3209"/>
      <c r="F47" s="3210"/>
      <c r="G47" s="3210">
        <v>0</v>
      </c>
      <c r="H47" s="3210"/>
      <c r="I47" s="3210"/>
      <c r="J47" s="3210"/>
      <c r="K47" s="3210"/>
      <c r="L47" s="3210"/>
      <c r="M47" s="3210"/>
      <c r="N47" s="3210"/>
      <c r="O47" s="3211">
        <f>E47+F47+G47+H47+I47+J47+K47+L47+M47+N47</f>
        <v>0</v>
      </c>
      <c r="P47" s="1468"/>
      <c r="Q47" s="1467"/>
      <c r="R47" s="1430"/>
      <c r="S47" s="1491"/>
      <c r="T47" s="3289"/>
      <c r="U47" s="3289"/>
      <c r="V47" s="3289"/>
      <c r="W47" s="3289"/>
      <c r="X47" s="3289"/>
      <c r="Y47" s="3289"/>
      <c r="Z47" s="3282"/>
      <c r="AA47" s="1041"/>
      <c r="AB47" s="1041"/>
      <c r="AC47" s="1041"/>
      <c r="AD47" s="1041"/>
      <c r="AE47" s="3282" t="s">
        <v>1015</v>
      </c>
      <c r="AF47" s="1041"/>
      <c r="AG47" s="1041"/>
      <c r="AH47" s="1420"/>
    </row>
    <row r="48" spans="1:34" ht="8.1" customHeight="1" thickBot="1">
      <c r="A48" s="1418"/>
      <c r="B48" s="1425"/>
      <c r="C48" s="1498"/>
      <c r="D48" s="1499"/>
      <c r="E48" s="1500"/>
      <c r="F48" s="1500"/>
      <c r="G48" s="1500"/>
      <c r="H48" s="1500"/>
      <c r="I48" s="1500"/>
      <c r="J48" s="1500"/>
      <c r="K48" s="1500"/>
      <c r="L48" s="1500"/>
      <c r="M48" s="1500"/>
      <c r="N48" s="1500"/>
      <c r="O48" s="1500"/>
      <c r="P48" s="1500"/>
      <c r="Q48" s="1501"/>
      <c r="R48" s="1430"/>
      <c r="S48" s="1491"/>
      <c r="T48" s="3289"/>
      <c r="U48" s="3289"/>
      <c r="V48" s="3289"/>
      <c r="W48" s="3289"/>
      <c r="X48" s="3289"/>
      <c r="Y48" s="3289"/>
      <c r="Z48" s="3289"/>
      <c r="AA48" s="1041"/>
      <c r="AB48" s="1041"/>
      <c r="AC48" s="1041"/>
      <c r="AD48" s="1041"/>
      <c r="AE48" s="1041"/>
      <c r="AF48" s="1041"/>
      <c r="AG48" s="1041"/>
      <c r="AH48" s="1420"/>
    </row>
    <row r="49" spans="1:34" ht="12" customHeight="1" thickBot="1">
      <c r="A49" s="1418"/>
      <c r="B49" s="1502"/>
      <c r="C49" s="4200">
        <v>6</v>
      </c>
      <c r="D49" s="4200"/>
      <c r="E49" s="4200"/>
      <c r="F49" s="4200"/>
      <c r="G49" s="4200"/>
      <c r="H49" s="4200"/>
      <c r="I49" s="4200"/>
      <c r="J49" s="4200"/>
      <c r="K49" s="4200"/>
      <c r="L49" s="4200"/>
      <c r="M49" s="4200"/>
      <c r="N49" s="4200"/>
      <c r="O49" s="4200"/>
      <c r="P49" s="4200"/>
      <c r="Q49" s="4200"/>
      <c r="R49" s="1503"/>
      <c r="S49" s="1416"/>
      <c r="T49" s="1041"/>
      <c r="U49" s="1041"/>
      <c r="V49" s="1041"/>
      <c r="W49" s="1041"/>
      <c r="X49" s="1041"/>
      <c r="Y49" s="1041"/>
      <c r="Z49" s="1041"/>
      <c r="AA49" s="1041"/>
      <c r="AB49" s="1041"/>
      <c r="AC49" s="1041"/>
      <c r="AD49" s="1041"/>
      <c r="AE49" s="1041"/>
      <c r="AF49" s="1041"/>
      <c r="AG49" s="1041"/>
      <c r="AH49" s="1420"/>
    </row>
    <row r="50" spans="1:34" ht="15" customHeight="1">
      <c r="A50" s="1418"/>
      <c r="B50" s="3151" t="str">
        <f>'الصفحة 1'!$B$101</f>
        <v>السنة الدراسية  2022 - 2023</v>
      </c>
      <c r="C50" s="1417"/>
      <c r="D50" s="1417"/>
      <c r="E50" s="1417"/>
      <c r="F50" s="1417"/>
      <c r="G50" s="1417"/>
      <c r="H50" s="1417"/>
      <c r="I50" s="1417"/>
      <c r="J50" s="1417"/>
      <c r="K50" s="1417"/>
      <c r="L50" s="1417"/>
      <c r="M50" s="1417"/>
      <c r="N50" s="1417"/>
      <c r="O50" s="1417"/>
      <c r="P50" s="1417"/>
      <c r="Q50" s="1417"/>
      <c r="R50" s="1416"/>
      <c r="S50" s="1418"/>
      <c r="T50" s="1419"/>
      <c r="U50" s="1419"/>
      <c r="V50" s="1419"/>
      <c r="W50" s="1419"/>
      <c r="X50" s="1419"/>
      <c r="Y50" s="1419"/>
      <c r="Z50" s="1419"/>
      <c r="AA50" s="1419"/>
      <c r="AB50" s="1419"/>
      <c r="AC50" s="1419"/>
      <c r="AD50" s="1419"/>
      <c r="AE50" s="1419"/>
      <c r="AF50" s="1419"/>
      <c r="AG50" s="1419"/>
      <c r="AH50" s="1420"/>
    </row>
  </sheetData>
  <sheetProtection password="D8D3" sheet="1" objects="1" scenarios="1"/>
  <mergeCells count="26">
    <mergeCell ref="AA36:AA37"/>
    <mergeCell ref="AB36:AB37"/>
    <mergeCell ref="AC36:AC37"/>
    <mergeCell ref="AD36:AD37"/>
    <mergeCell ref="AE36:AE37"/>
    <mergeCell ref="V36:V37"/>
    <mergeCell ref="W36:W37"/>
    <mergeCell ref="X36:X37"/>
    <mergeCell ref="Y36:Y37"/>
    <mergeCell ref="Z36:Z37"/>
    <mergeCell ref="T2:AE8"/>
    <mergeCell ref="C49:Q49"/>
    <mergeCell ref="U27:AA28"/>
    <mergeCell ref="U19:AC20"/>
    <mergeCell ref="U34:U35"/>
    <mergeCell ref="V34:V35"/>
    <mergeCell ref="W34:W35"/>
    <mergeCell ref="X34:X35"/>
    <mergeCell ref="Y34:Y35"/>
    <mergeCell ref="Z34:Z35"/>
    <mergeCell ref="AA34:AA35"/>
    <mergeCell ref="AB34:AB35"/>
    <mergeCell ref="AC34:AC35"/>
    <mergeCell ref="AD34:AD35"/>
    <mergeCell ref="AE34:AE35"/>
    <mergeCell ref="U36:U37"/>
  </mergeCells>
  <conditionalFormatting sqref="E14:O14">
    <cfRule type="cellIs" dxfId="21885" priority="333" operator="greaterThan">
      <formula>E13</formula>
    </cfRule>
    <cfRule type="cellIs" dxfId="21884" priority="334" operator="equal">
      <formula>0</formula>
    </cfRule>
  </conditionalFormatting>
  <conditionalFormatting sqref="E17:O17">
    <cfRule type="cellIs" dxfId="21883" priority="331" operator="greaterThan">
      <formula>E13</formula>
    </cfRule>
    <cfRule type="cellIs" dxfId="21882" priority="332" operator="equal">
      <formula>0</formula>
    </cfRule>
  </conditionalFormatting>
  <conditionalFormatting sqref="E18">
    <cfRule type="cellIs" dxfId="21881" priority="329" operator="greaterThan">
      <formula>E17</formula>
    </cfRule>
    <cfRule type="cellIs" dxfId="21880" priority="330" operator="equal">
      <formula>0</formula>
    </cfRule>
  </conditionalFormatting>
  <conditionalFormatting sqref="F18:O18">
    <cfRule type="cellIs" dxfId="21879" priority="326" operator="greaterThan">
      <formula>F14</formula>
    </cfRule>
  </conditionalFormatting>
  <conditionalFormatting sqref="E27">
    <cfRule type="cellIs" dxfId="21878" priority="324" operator="greaterThan">
      <formula>E26</formula>
    </cfRule>
    <cfRule type="cellIs" dxfId="21877" priority="325" operator="equal">
      <formula>0</formula>
    </cfRule>
  </conditionalFormatting>
  <conditionalFormatting sqref="E34">
    <cfRule type="cellIs" dxfId="21876" priority="317" operator="greaterThan">
      <formula>E26</formula>
    </cfRule>
    <cfRule type="cellIs" dxfId="21875" priority="318" operator="equal">
      <formula>0</formula>
    </cfRule>
  </conditionalFormatting>
  <conditionalFormatting sqref="E35:E36">
    <cfRule type="cellIs" dxfId="21874" priority="314" operator="greaterThan">
      <formula>E27</formula>
    </cfRule>
    <cfRule type="cellIs" dxfId="21873" priority="315" operator="greaterThan">
      <formula>E34</formula>
    </cfRule>
    <cfRule type="cellIs" dxfId="21872" priority="316" operator="equal">
      <formula>0</formula>
    </cfRule>
  </conditionalFormatting>
  <conditionalFormatting sqref="F26:O27 F18:O18 F13:O13">
    <cfRule type="cellIs" dxfId="21871" priority="313" operator="equal">
      <formula>0</formula>
    </cfRule>
  </conditionalFormatting>
  <conditionalFormatting sqref="F34">
    <cfRule type="cellIs" dxfId="21870" priority="254" operator="greaterThan">
      <formula>F26</formula>
    </cfRule>
    <cfRule type="cellIs" dxfId="21869" priority="255" operator="equal">
      <formula>0</formula>
    </cfRule>
  </conditionalFormatting>
  <conditionalFormatting sqref="G34">
    <cfRule type="cellIs" dxfId="21868" priority="252" operator="greaterThan">
      <formula>G26</formula>
    </cfRule>
    <cfRule type="cellIs" dxfId="21867" priority="253" operator="equal">
      <formula>0</formula>
    </cfRule>
  </conditionalFormatting>
  <conditionalFormatting sqref="H34">
    <cfRule type="cellIs" dxfId="21866" priority="250" operator="greaterThan">
      <formula>H26</formula>
    </cfRule>
    <cfRule type="cellIs" dxfId="21865" priority="251" operator="equal">
      <formula>0</formula>
    </cfRule>
  </conditionalFormatting>
  <conditionalFormatting sqref="I34">
    <cfRule type="cellIs" dxfId="21864" priority="248" operator="greaterThan">
      <formula>I26</formula>
    </cfRule>
    <cfRule type="cellIs" dxfId="21863" priority="249" operator="equal">
      <formula>0</formula>
    </cfRule>
  </conditionalFormatting>
  <conditionalFormatting sqref="J34">
    <cfRule type="cellIs" dxfId="21862" priority="246" operator="greaterThan">
      <formula>J26</formula>
    </cfRule>
    <cfRule type="cellIs" dxfId="21861" priority="247" operator="equal">
      <formula>0</formula>
    </cfRule>
  </conditionalFormatting>
  <conditionalFormatting sqref="K34">
    <cfRule type="cellIs" dxfId="21860" priority="244" operator="greaterThan">
      <formula>K26</formula>
    </cfRule>
    <cfRule type="cellIs" dxfId="21859" priority="245" operator="equal">
      <formula>0</formula>
    </cfRule>
  </conditionalFormatting>
  <conditionalFormatting sqref="L34">
    <cfRule type="cellIs" dxfId="21858" priority="242" operator="greaterThan">
      <formula>L26</formula>
    </cfRule>
    <cfRule type="cellIs" dxfId="21857" priority="243" operator="equal">
      <formula>0</formula>
    </cfRule>
  </conditionalFormatting>
  <conditionalFormatting sqref="M34">
    <cfRule type="cellIs" dxfId="21856" priority="240" operator="greaterThan">
      <formula>M26</formula>
    </cfRule>
    <cfRule type="cellIs" dxfId="21855" priority="241" operator="equal">
      <formula>0</formula>
    </cfRule>
  </conditionalFormatting>
  <conditionalFormatting sqref="N34">
    <cfRule type="cellIs" dxfId="21854" priority="238" operator="greaterThan">
      <formula>N26</formula>
    </cfRule>
    <cfRule type="cellIs" dxfId="21853" priority="239" operator="equal">
      <formula>0</formula>
    </cfRule>
  </conditionalFormatting>
  <conditionalFormatting sqref="O34">
    <cfRule type="cellIs" dxfId="21852" priority="236" operator="greaterThan">
      <formula>O26</formula>
    </cfRule>
    <cfRule type="cellIs" dxfId="21851" priority="237" operator="equal">
      <formula>0</formula>
    </cfRule>
  </conditionalFormatting>
  <conditionalFormatting sqref="F35:F36">
    <cfRule type="cellIs" dxfId="21850" priority="230" operator="greaterThan">
      <formula>F27</formula>
    </cfRule>
    <cfRule type="cellIs" dxfId="21849" priority="231" operator="greaterThan">
      <formula>F34</formula>
    </cfRule>
    <cfRule type="cellIs" dxfId="21848" priority="232" operator="equal">
      <formula>0</formula>
    </cfRule>
  </conditionalFormatting>
  <conditionalFormatting sqref="G35:G36">
    <cfRule type="cellIs" dxfId="21847" priority="227" operator="greaterThan">
      <formula>G27</formula>
    </cfRule>
    <cfRule type="cellIs" dxfId="21846" priority="228" operator="greaterThan">
      <formula>G34</formula>
    </cfRule>
    <cfRule type="cellIs" dxfId="21845" priority="229" operator="equal">
      <formula>0</formula>
    </cfRule>
  </conditionalFormatting>
  <conditionalFormatting sqref="H35:H36">
    <cfRule type="cellIs" dxfId="21844" priority="224" operator="greaterThan">
      <formula>H27</formula>
    </cfRule>
    <cfRule type="cellIs" dxfId="21843" priority="225" operator="greaterThan">
      <formula>H34</formula>
    </cfRule>
    <cfRule type="cellIs" dxfId="21842" priority="226" operator="equal">
      <formula>0</formula>
    </cfRule>
  </conditionalFormatting>
  <conditionalFormatting sqref="I35:I36">
    <cfRule type="cellIs" dxfId="21841" priority="221" operator="greaterThan">
      <formula>I27</formula>
    </cfRule>
    <cfRule type="cellIs" dxfId="21840" priority="222" operator="greaterThan">
      <formula>I34</formula>
    </cfRule>
    <cfRule type="cellIs" dxfId="21839" priority="223" operator="equal">
      <formula>0</formula>
    </cfRule>
  </conditionalFormatting>
  <conditionalFormatting sqref="J35:J36">
    <cfRule type="cellIs" dxfId="21838" priority="218" operator="greaterThan">
      <formula>J27</formula>
    </cfRule>
    <cfRule type="cellIs" dxfId="21837" priority="219" operator="greaterThan">
      <formula>J34</formula>
    </cfRule>
    <cfRule type="cellIs" dxfId="21836" priority="220" operator="equal">
      <formula>0</formula>
    </cfRule>
  </conditionalFormatting>
  <conditionalFormatting sqref="K35:K36">
    <cfRule type="cellIs" dxfId="21835" priority="215" operator="greaterThan">
      <formula>K27</formula>
    </cfRule>
    <cfRule type="cellIs" dxfId="21834" priority="216" operator="greaterThan">
      <formula>K34</formula>
    </cfRule>
    <cfRule type="cellIs" dxfId="21833" priority="217" operator="equal">
      <formula>0</formula>
    </cfRule>
  </conditionalFormatting>
  <conditionalFormatting sqref="L35:L36">
    <cfRule type="cellIs" dxfId="21832" priority="212" operator="greaterThan">
      <formula>L27</formula>
    </cfRule>
    <cfRule type="cellIs" dxfId="21831" priority="213" operator="greaterThan">
      <formula>L34</formula>
    </cfRule>
    <cfRule type="cellIs" dxfId="21830" priority="214" operator="equal">
      <formula>0</formula>
    </cfRule>
  </conditionalFormatting>
  <conditionalFormatting sqref="M35:M36">
    <cfRule type="cellIs" dxfId="21829" priority="209" operator="greaterThan">
      <formula>M27</formula>
    </cfRule>
    <cfRule type="cellIs" dxfId="21828" priority="210" operator="greaterThan">
      <formula>M34</formula>
    </cfRule>
    <cfRule type="cellIs" dxfId="21827" priority="211" operator="equal">
      <formula>0</formula>
    </cfRule>
  </conditionalFormatting>
  <conditionalFormatting sqref="N35:N36">
    <cfRule type="cellIs" dxfId="21826" priority="206" operator="greaterThan">
      <formula>N27</formula>
    </cfRule>
    <cfRule type="cellIs" dxfId="21825" priority="207" operator="greaterThan">
      <formula>N34</formula>
    </cfRule>
    <cfRule type="cellIs" dxfId="21824" priority="208" operator="equal">
      <formula>0</formula>
    </cfRule>
  </conditionalFormatting>
  <conditionalFormatting sqref="O35:O36">
    <cfRule type="cellIs" dxfId="21823" priority="203" operator="greaterThan">
      <formula>O27</formula>
    </cfRule>
    <cfRule type="cellIs" dxfId="21822" priority="204" operator="greaterThan">
      <formula>O34</formula>
    </cfRule>
    <cfRule type="cellIs" dxfId="21821" priority="205" operator="equal">
      <formula>0</formula>
    </cfRule>
  </conditionalFormatting>
  <conditionalFormatting sqref="V26">
    <cfRule type="cellIs" dxfId="21820" priority="117" operator="greaterThan">
      <formula>V25</formula>
    </cfRule>
    <cfRule type="cellIs" dxfId="21819" priority="118" operator="equal">
      <formula>0</formula>
    </cfRule>
  </conditionalFormatting>
  <conditionalFormatting sqref="W26">
    <cfRule type="cellIs" dxfId="21818" priority="113" operator="greaterThan">
      <formula>W25</formula>
    </cfRule>
    <cfRule type="cellIs" dxfId="21817" priority="114" operator="equal">
      <formula>0</formula>
    </cfRule>
  </conditionalFormatting>
  <conditionalFormatting sqref="X26">
    <cfRule type="cellIs" dxfId="21816" priority="111" operator="greaterThan">
      <formula>X25</formula>
    </cfRule>
    <cfRule type="cellIs" dxfId="21815" priority="112" operator="equal">
      <formula>0</formula>
    </cfRule>
  </conditionalFormatting>
  <conditionalFormatting sqref="Y26">
    <cfRule type="cellIs" dxfId="21814" priority="109" operator="greaterThan">
      <formula>Y25</formula>
    </cfRule>
    <cfRule type="cellIs" dxfId="21813" priority="110" operator="equal">
      <formula>0</formula>
    </cfRule>
  </conditionalFormatting>
  <conditionalFormatting sqref="Z26">
    <cfRule type="cellIs" dxfId="21812" priority="107" operator="greaterThan">
      <formula>Z25</formula>
    </cfRule>
    <cfRule type="cellIs" dxfId="21811" priority="108" operator="equal">
      <formula>0</formula>
    </cfRule>
  </conditionalFormatting>
  <conditionalFormatting sqref="AA26">
    <cfRule type="cellIs" dxfId="21810" priority="105" operator="greaterThan">
      <formula>AA25</formula>
    </cfRule>
    <cfRule type="cellIs" dxfId="21809" priority="106" operator="equal">
      <formula>0</formula>
    </cfRule>
  </conditionalFormatting>
  <conditionalFormatting sqref="AB26">
    <cfRule type="cellIs" dxfId="21808" priority="103" operator="greaterThan">
      <formula>AB25</formula>
    </cfRule>
    <cfRule type="cellIs" dxfId="21807" priority="104" operator="equal">
      <formula>0</formula>
    </cfRule>
  </conditionalFormatting>
  <conditionalFormatting sqref="AC26">
    <cfRule type="cellIs" dxfId="21806" priority="101" operator="greaterThan">
      <formula>AC25</formula>
    </cfRule>
    <cfRule type="cellIs" dxfId="21805" priority="102" operator="equal">
      <formula>0</formula>
    </cfRule>
  </conditionalFormatting>
  <conditionalFormatting sqref="AD26">
    <cfRule type="cellIs" dxfId="21804" priority="99" operator="greaterThan">
      <formula>AD25</formula>
    </cfRule>
    <cfRule type="cellIs" dxfId="21803" priority="100" operator="equal">
      <formula>0</formula>
    </cfRule>
  </conditionalFormatting>
  <conditionalFormatting sqref="AE26">
    <cfRule type="cellIs" dxfId="21802" priority="97" operator="greaterThan">
      <formula>AE25</formula>
    </cfRule>
    <cfRule type="cellIs" dxfId="21801" priority="98" operator="equal">
      <formula>0</formula>
    </cfRule>
  </conditionalFormatting>
  <conditionalFormatting sqref="V14">
    <cfRule type="cellIs" dxfId="21800" priority="73" operator="greaterThan">
      <formula>V13</formula>
    </cfRule>
    <cfRule type="cellIs" dxfId="21799" priority="74" operator="equal">
      <formula>0</formula>
    </cfRule>
  </conditionalFormatting>
  <conditionalFormatting sqref="W14">
    <cfRule type="cellIs" dxfId="21798" priority="69" operator="greaterThan">
      <formula>W13</formula>
    </cfRule>
    <cfRule type="cellIs" dxfId="21797" priority="70" operator="equal">
      <formula>0</formula>
    </cfRule>
  </conditionalFormatting>
  <conditionalFormatting sqref="X14">
    <cfRule type="cellIs" dxfId="21796" priority="67" operator="greaterThan">
      <formula>X13</formula>
    </cfRule>
    <cfRule type="cellIs" dxfId="21795" priority="68" operator="equal">
      <formula>0</formula>
    </cfRule>
  </conditionalFormatting>
  <conditionalFormatting sqref="Y14">
    <cfRule type="cellIs" dxfId="21794" priority="65" operator="greaterThan">
      <formula>Y13</formula>
    </cfRule>
    <cfRule type="cellIs" dxfId="21793" priority="66" operator="equal">
      <formula>0</formula>
    </cfRule>
  </conditionalFormatting>
  <conditionalFormatting sqref="Z14">
    <cfRule type="cellIs" dxfId="21792" priority="63" operator="greaterThan">
      <formula>Z13</formula>
    </cfRule>
    <cfRule type="cellIs" dxfId="21791" priority="64" operator="equal">
      <formula>0</formula>
    </cfRule>
  </conditionalFormatting>
  <conditionalFormatting sqref="AA14">
    <cfRule type="cellIs" dxfId="21790" priority="61" operator="greaterThan">
      <formula>AA13</formula>
    </cfRule>
    <cfRule type="cellIs" dxfId="21789" priority="62" operator="equal">
      <formula>0</formula>
    </cfRule>
  </conditionalFormatting>
  <conditionalFormatting sqref="AB14">
    <cfRule type="cellIs" dxfId="21788" priority="59" operator="greaterThan">
      <formula>AB13</formula>
    </cfRule>
    <cfRule type="cellIs" dxfId="21787" priority="60" operator="equal">
      <formula>0</formula>
    </cfRule>
  </conditionalFormatting>
  <conditionalFormatting sqref="AC14">
    <cfRule type="cellIs" dxfId="21786" priority="57" operator="greaterThan">
      <formula>AC13</formula>
    </cfRule>
    <cfRule type="cellIs" dxfId="21785" priority="58" operator="equal">
      <formula>0</formula>
    </cfRule>
  </conditionalFormatting>
  <conditionalFormatting sqref="AD14">
    <cfRule type="cellIs" dxfId="21784" priority="55" operator="greaterThan">
      <formula>AD13</formula>
    </cfRule>
    <cfRule type="cellIs" dxfId="21783" priority="56" operator="equal">
      <formula>0</formula>
    </cfRule>
  </conditionalFormatting>
  <conditionalFormatting sqref="AE14">
    <cfRule type="cellIs" dxfId="21782" priority="53" operator="greaterThan">
      <formula>AE13</formula>
    </cfRule>
    <cfRule type="cellIs" dxfId="21781" priority="54" operator="equal">
      <formula>0</formula>
    </cfRule>
  </conditionalFormatting>
  <conditionalFormatting sqref="F35:F36">
    <cfRule type="cellIs" dxfId="21780" priority="22" operator="greaterThan">
      <formula>F34</formula>
    </cfRule>
    <cfRule type="cellIs" dxfId="21779" priority="23" operator="equal">
      <formula>0</formula>
    </cfRule>
  </conditionalFormatting>
  <conditionalFormatting sqref="F27:O27">
    <cfRule type="cellIs" dxfId="21778" priority="21" operator="greaterThan">
      <formula>F26</formula>
    </cfRule>
  </conditionalFormatting>
  <conditionalFormatting sqref="E30:O30">
    <cfRule type="cellIs" dxfId="21777" priority="16" operator="greaterThan">
      <formula>E26</formula>
    </cfRule>
    <cfRule type="cellIs" dxfId="21776" priority="17" operator="equal">
      <formula>0</formula>
    </cfRule>
  </conditionalFormatting>
  <conditionalFormatting sqref="E31:O31">
    <cfRule type="cellIs" dxfId="21775" priority="13" operator="greaterThan">
      <formula>E30</formula>
    </cfRule>
    <cfRule type="cellIs" dxfId="21774" priority="14" operator="greaterThan">
      <formula>E27</formula>
    </cfRule>
    <cfRule type="cellIs" dxfId="21773" priority="15" operator="equal">
      <formula>0</formula>
    </cfRule>
  </conditionalFormatting>
  <conditionalFormatting sqref="E42:O42">
    <cfRule type="cellIs" dxfId="21772" priority="11" operator="greaterThan">
      <formula>E26</formula>
    </cfRule>
    <cfRule type="cellIs" dxfId="21771" priority="12" operator="equal">
      <formula>0</formula>
    </cfRule>
  </conditionalFormatting>
  <conditionalFormatting sqref="E43:O43">
    <cfRule type="cellIs" dxfId="21770" priority="8" operator="greaterThan">
      <formula>E42</formula>
    </cfRule>
    <cfRule type="cellIs" dxfId="21769" priority="9" operator="greaterThan">
      <formula>E27</formula>
    </cfRule>
    <cfRule type="cellIs" dxfId="21768" priority="10" operator="equal">
      <formula>0</formula>
    </cfRule>
  </conditionalFormatting>
  <conditionalFormatting sqref="E46:O46">
    <cfRule type="cellIs" dxfId="21767" priority="5" operator="greaterThan">
      <formula>E42</formula>
    </cfRule>
    <cfRule type="cellIs" dxfId="21766" priority="6" operator="greaterThan">
      <formula>E30</formula>
    </cfRule>
    <cfRule type="cellIs" dxfId="21765" priority="7" operator="equal">
      <formula>0</formula>
    </cfRule>
  </conditionalFormatting>
  <conditionalFormatting sqref="E47:O47">
    <cfRule type="cellIs" dxfId="21764" priority="1" operator="greaterThan">
      <formula>E43</formula>
    </cfRule>
    <cfRule type="cellIs" dxfId="21763" priority="2" operator="greaterThan">
      <formula>E46</formula>
    </cfRule>
    <cfRule type="cellIs" dxfId="21762" priority="3" operator="greaterThan">
      <formula>E31</formula>
    </cfRule>
    <cfRule type="cellIs" dxfId="21761" priority="4" operator="equal">
      <formula>0</formula>
    </cfRule>
  </conditionalFormatting>
  <conditionalFormatting sqref="V36:AE36">
    <cfRule type="cellIs" dxfId="21760" priority="343" operator="greaterThan">
      <formula>V34</formula>
    </cfRule>
    <cfRule type="cellIs" dxfId="21759" priority="344" operator="equal">
      <formula>0</formula>
    </cfRule>
  </conditionalFormatting>
  <dataValidations count="23">
    <dataValidation type="whole" allowBlank="1" showInputMessage="1" showErrorMessage="1" sqref="W36:AE36 V14 V26 W25:AE26 W34:AE34 W13:AE14">
      <formula1>0</formula1>
      <formula2>5000</formula2>
    </dataValidation>
    <dataValidation type="whole" operator="greaterThanOrEqual" allowBlank="1" showInputMessage="1" showErrorMessage="1" errorTitle="مجموع البنات" error="العدد المناسب" sqref="O27 O31 O35:O36 O43 O47 O14 O18">
      <formula1>0</formula1>
    </dataValidation>
    <dataValidation type="whole" errorStyle="information" operator="greaterThanOrEqual" showInputMessage="1" showErrorMessage="1" errorTitle="إناث 15 سنة فأكثر" error="ضع العدد المناسب" sqref="N27 N31 N35:N36 N43 N47 N14 N18">
      <formula1>0</formula1>
    </dataValidation>
    <dataValidation type="whole" errorStyle="information" operator="greaterThanOrEqual" showInputMessage="1" showErrorMessage="1" errorTitle="إناث 14 سنة" error="ضع العدد المناسب" sqref="M27 M31 M35:M36 M43 M47 M14 M18">
      <formula1>0</formula1>
    </dataValidation>
    <dataValidation type="whole" errorStyle="information" operator="greaterThanOrEqual" showInputMessage="1" showErrorMessage="1" errorTitle="إناث 13 سنة" error="ضع العدد المناسب" sqref="L27 L31 L35:L36 L43 L47 L14 L18">
      <formula1>0</formula1>
    </dataValidation>
    <dataValidation type="whole" errorStyle="information" operator="greaterThanOrEqual" showInputMessage="1" showErrorMessage="1" errorTitle="إناث 12 سنة" error="ضع العدد المناسب" sqref="K27 K31 K35:K36 K43 K47 K14 K18">
      <formula1>0</formula1>
    </dataValidation>
    <dataValidation type="whole" errorStyle="information" operator="greaterThanOrEqual" showInputMessage="1" showErrorMessage="1" errorTitle="إناث11 سنة" error="ضع العدد المناسب" sqref="J27 J31 J35:J36 J43 J47 J14 J18">
      <formula1>0</formula1>
    </dataValidation>
    <dataValidation type="whole" errorStyle="information" operator="greaterThanOrEqual" showInputMessage="1" showErrorMessage="1" errorTitle="إناث 10 سنوات" error="ضع العدد المناسب" sqref="I27 I31 I35:I36 I43 I47 I14 I18">
      <formula1>0</formula1>
    </dataValidation>
    <dataValidation type="whole" errorStyle="information" operator="greaterThanOrEqual" showInputMessage="1" showErrorMessage="1" errorTitle="إناث 9 سنوات" error="ضع العدد المناسب" sqref="H27 H31 H35:H36 H43 H47 H14 H18">
      <formula1>0</formula1>
    </dataValidation>
    <dataValidation type="whole" errorStyle="information" operator="greaterThanOrEqual" showInputMessage="1" showErrorMessage="1" errorTitle="إناث 8 سنوات" error="ضع العدد المناسب" sqref="G43 G47 F18:G18 F14:G14 F35:G36 F31:G31 F27:G27">
      <formula1>0</formula1>
    </dataValidation>
    <dataValidation type="whole" errorStyle="information" operator="greaterThanOrEqual" showInputMessage="1" showErrorMessage="1" errorTitle="إناث 7 سنوات" error="ضع العدد المناسب" sqref="F47 F43">
      <formula1>0</formula1>
    </dataValidation>
    <dataValidation type="whole" operator="greaterThanOrEqual" allowBlank="1" showInputMessage="1" showErrorMessage="1" errorTitle="المجموع" error="العدد المناسب" sqref="O26 O30 O34 O42 O46 O13 O17">
      <formula1>0</formula1>
    </dataValidation>
    <dataValidation type="whole" errorStyle="information" operator="greaterThanOrEqual" showInputMessage="1" showErrorMessage="1" errorTitle="تلاميذ 15 سنة فأكثر" error="ضع العدد المناسب" sqref="N26 N30 N34 N42 N46 N13 N17">
      <formula1>0</formula1>
    </dataValidation>
    <dataValidation type="whole" errorStyle="information" operator="greaterThanOrEqual" showInputMessage="1" showErrorMessage="1" errorTitle="تلاميذ 13 سنة" error="ضع العدد المناسب" sqref="L26 L30 L34 L42 L46 L13 L17">
      <formula1>0</formula1>
    </dataValidation>
    <dataValidation type="whole" errorStyle="information" operator="greaterThanOrEqual" showInputMessage="1" showErrorMessage="1" errorTitle="تلاميذ 14 سنة" error="ضع العدد المناسب" sqref="M26 M30 M34 M42 M46 M13 M17">
      <formula1>0</formula1>
    </dataValidation>
    <dataValidation type="whole" errorStyle="information" operator="greaterThanOrEqual" showInputMessage="1" showErrorMessage="1" errorTitle="تلاميذ 12 سنة" error="ضع العدد المناسب" sqref="K26 K30 K34 K42 K46 K13 K17">
      <formula1>0</formula1>
    </dataValidation>
    <dataValidation type="whole" errorStyle="information" operator="greaterThanOrEqual" showInputMessage="1" showErrorMessage="1" errorTitle="تلاميذ 11 سنة" error="ضع العدد المناسب" sqref="J26 J30 J34 J42 J46 J13 J17">
      <formula1>0</formula1>
    </dataValidation>
    <dataValidation type="whole" errorStyle="information" operator="greaterThanOrEqual" showInputMessage="1" showErrorMessage="1" errorTitle="تلاميذ 10 سنوات" error="ضع العدد المناسب" sqref="I26 I30 I34 I42 I46 I13 I17">
      <formula1>0</formula1>
    </dataValidation>
    <dataValidation type="whole" errorStyle="information" operator="greaterThanOrEqual" showInputMessage="1" showErrorMessage="1" errorTitle="تلاميذ 9 سنوات" error="ضع العدد المناسب" sqref="H26 H30 H34 H42 H46 H13 H17">
      <formula1>0</formula1>
    </dataValidation>
    <dataValidation type="whole" errorStyle="information" operator="greaterThanOrEqual" showInputMessage="1" showErrorMessage="1" errorTitle="تلاميذ 8 سنوات" error="ضع العدد المناسب" sqref="G42 G46 F17:G17 F13:G13 F34:G34 F30:G30 F26:G26">
      <formula1>0</formula1>
    </dataValidation>
    <dataValidation type="whole" errorStyle="information" operator="greaterThanOrEqual" showInputMessage="1" showErrorMessage="1" errorTitle="تلاميذ 7 سنوات" error="ضع العدد المناسب" sqref="F46 F42">
      <formula1>0</formula1>
    </dataValidation>
    <dataValidation type="whole" errorStyle="information" operator="greaterThanOrEqual" showInputMessage="1" showErrorMessage="1" errorTitle="إناث 5 سنوات" error="ضع العدد المناسب" sqref="E27 E18 E14 E35:E36 E47 E43 E31">
      <formula1>0</formula1>
    </dataValidation>
    <dataValidation type="whole" errorStyle="information" operator="greaterThanOrEqual" showInputMessage="1" showErrorMessage="1" errorTitle="تلاميذ 5 سنوات" error="ضع العدد المناسب" sqref="E26 E17 E13 E34 E46 E42 E30">
      <formula1>0</formula1>
    </dataValidation>
  </dataValidations>
  <printOptions horizontalCentered="1" verticalCentered="1"/>
  <pageMargins left="0.19685039370078741" right="0.19685039370078741" top="0.39370078740157483" bottom="0.19685039370078741" header="0" footer="0.35433070866141736"/>
  <pageSetup paperSize="9" orientation="landscape" r:id="rId1"/>
  <headerFooter>
    <oddFooter xml:space="preserve">&amp;R&amp;"-,Gras"&amp;8&amp;K00-031Echamil V.08      &amp;F                                                      </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3">
    <tabColor rgb="FF002060"/>
  </sheetPr>
  <dimension ref="A1:AH57"/>
  <sheetViews>
    <sheetView showGridLines="0" rightToLeft="1" topLeftCell="A31" workbookViewId="0">
      <selection activeCell="I42" sqref="I42"/>
    </sheetView>
  </sheetViews>
  <sheetFormatPr baseColWidth="10" defaultColWidth="0" defaultRowHeight="14.4" zeroHeight="1"/>
  <cols>
    <col min="1" max="1" width="2.6640625" customWidth="1"/>
    <col min="2" max="2" width="1.109375" customWidth="1"/>
    <col min="3" max="3" width="0.88671875" customWidth="1"/>
    <col min="4" max="4" width="9" customWidth="1"/>
    <col min="5" max="12" width="8.6640625" customWidth="1"/>
    <col min="13" max="14" width="8.33203125" customWidth="1"/>
    <col min="15" max="15" width="10.109375" customWidth="1"/>
    <col min="16" max="16" width="1.44140625" customWidth="1"/>
    <col min="17" max="17" width="3.109375" customWidth="1"/>
    <col min="18" max="18" width="1.109375" customWidth="1"/>
    <col min="19" max="19" width="2.6640625" customWidth="1"/>
    <col min="20" max="20" width="2.88671875" customWidth="1"/>
    <col min="21" max="21" width="9" customWidth="1"/>
    <col min="22" max="22" width="9.6640625" customWidth="1"/>
    <col min="23" max="30" width="7.6640625" customWidth="1"/>
    <col min="31" max="31" width="7.88671875" customWidth="1"/>
    <col min="32" max="33" width="1.6640625" customWidth="1"/>
    <col min="34" max="34" width="2.6640625" customWidth="1"/>
    <col min="35" max="16384" width="11.44140625" hidden="1"/>
  </cols>
  <sheetData>
    <row r="1" spans="1:34" ht="15.75" customHeight="1" thickBot="1">
      <c r="A1" s="1415"/>
      <c r="B1" s="1416"/>
      <c r="C1" s="1417"/>
      <c r="D1" s="1417"/>
      <c r="E1" s="1417"/>
      <c r="F1" s="1417"/>
      <c r="G1" s="1417"/>
      <c r="H1" s="1417"/>
      <c r="I1" s="1417"/>
      <c r="J1" s="1417"/>
      <c r="K1" s="1417"/>
      <c r="L1" s="1417"/>
      <c r="M1" s="1417"/>
      <c r="N1" s="1417"/>
      <c r="O1" s="1417"/>
      <c r="P1" s="1417"/>
      <c r="Q1" s="1417"/>
      <c r="R1" s="1416"/>
      <c r="S1" s="1418"/>
      <c r="T1" s="1419"/>
      <c r="U1" s="1419"/>
      <c r="V1" s="1419"/>
      <c r="W1" s="1419"/>
      <c r="X1" s="1419"/>
      <c r="Y1" s="1419"/>
      <c r="Z1" s="1419"/>
      <c r="AA1" s="1419"/>
      <c r="AB1" s="1419"/>
      <c r="AC1" s="1419"/>
      <c r="AD1" s="1419"/>
      <c r="AE1" s="1419"/>
      <c r="AF1" s="1419"/>
      <c r="AG1" s="1419"/>
      <c r="AH1" s="1420"/>
    </row>
    <row r="2" spans="1:34" ht="6" customHeight="1" thickBot="1">
      <c r="A2" s="1418"/>
      <c r="B2" s="1421"/>
      <c r="C2" s="1422"/>
      <c r="D2" s="1422"/>
      <c r="E2" s="1422"/>
      <c r="F2" s="1422"/>
      <c r="G2" s="1422"/>
      <c r="H2" s="1422"/>
      <c r="I2" s="1422"/>
      <c r="J2" s="1422"/>
      <c r="K2" s="1422"/>
      <c r="L2" s="1422"/>
      <c r="M2" s="1422"/>
      <c r="N2" s="1422"/>
      <c r="O2" s="1422"/>
      <c r="P2" s="1422"/>
      <c r="Q2" s="1422"/>
      <c r="R2" s="1423"/>
      <c r="S2" s="1424"/>
      <c r="T2" s="4032" t="s">
        <v>603</v>
      </c>
      <c r="U2" s="4032"/>
      <c r="V2" s="4032"/>
      <c r="W2" s="4032"/>
      <c r="X2" s="4032"/>
      <c r="Y2" s="4032"/>
      <c r="Z2" s="4032"/>
      <c r="AA2" s="4032"/>
      <c r="AB2" s="4032"/>
      <c r="AC2" s="4032"/>
      <c r="AD2" s="4032"/>
      <c r="AE2" s="4032"/>
      <c r="AF2" s="1041"/>
      <c r="AG2" s="1041"/>
      <c r="AH2" s="1420"/>
    </row>
    <row r="3" spans="1:34" ht="3.9" customHeight="1">
      <c r="A3" s="1418"/>
      <c r="B3" s="1425"/>
      <c r="C3" s="1426"/>
      <c r="D3" s="1427"/>
      <c r="E3" s="1427"/>
      <c r="F3" s="1427"/>
      <c r="G3" s="1428"/>
      <c r="H3" s="1427"/>
      <c r="I3" s="1427"/>
      <c r="J3" s="1427"/>
      <c r="K3" s="1427"/>
      <c r="L3" s="1427"/>
      <c r="M3" s="1427"/>
      <c r="N3" s="1427"/>
      <c r="O3" s="1427"/>
      <c r="P3" s="1427"/>
      <c r="Q3" s="1429"/>
      <c r="R3" s="1430"/>
      <c r="S3" s="1424"/>
      <c r="T3" s="4032"/>
      <c r="U3" s="4032"/>
      <c r="V3" s="4032"/>
      <c r="W3" s="4032"/>
      <c r="X3" s="4032"/>
      <c r="Y3" s="4032"/>
      <c r="Z3" s="4032"/>
      <c r="AA3" s="4032"/>
      <c r="AB3" s="4032"/>
      <c r="AC3" s="4032"/>
      <c r="AD3" s="4032"/>
      <c r="AE3" s="4032"/>
      <c r="AF3" s="1041"/>
      <c r="AG3" s="1041"/>
      <c r="AH3" s="1420"/>
    </row>
    <row r="4" spans="1:34" ht="14.1" customHeight="1">
      <c r="A4" s="1418"/>
      <c r="B4" s="1431"/>
      <c r="C4" s="1432" t="s">
        <v>1457</v>
      </c>
      <c r="D4" s="1433"/>
      <c r="E4" s="1434"/>
      <c r="F4" s="1434"/>
      <c r="G4" s="1435"/>
      <c r="H4" s="1436"/>
      <c r="I4" s="1436"/>
      <c r="J4" s="1436"/>
      <c r="K4" s="1437"/>
      <c r="L4" s="1436"/>
      <c r="M4" s="1438"/>
      <c r="N4" s="1438"/>
      <c r="O4" s="1439" t="s">
        <v>1458</v>
      </c>
      <c r="P4" s="1440"/>
      <c r="Q4" s="1441"/>
      <c r="R4" s="1430"/>
      <c r="S4" s="1424"/>
      <c r="T4" s="4032"/>
      <c r="U4" s="4032"/>
      <c r="V4" s="4032"/>
      <c r="W4" s="4032"/>
      <c r="X4" s="4032"/>
      <c r="Y4" s="4032"/>
      <c r="Z4" s="4032"/>
      <c r="AA4" s="4032"/>
      <c r="AB4" s="4032"/>
      <c r="AC4" s="4032"/>
      <c r="AD4" s="4032"/>
      <c r="AE4" s="4032"/>
      <c r="AF4" s="1041"/>
      <c r="AG4" s="1041"/>
      <c r="AH4" s="1420"/>
    </row>
    <row r="5" spans="1:34" ht="3.9" customHeight="1">
      <c r="A5" s="1418"/>
      <c r="B5" s="1431"/>
      <c r="C5" s="1442"/>
      <c r="D5" s="1434"/>
      <c r="E5" s="1434"/>
      <c r="F5" s="1434"/>
      <c r="G5" s="1435"/>
      <c r="H5" s="1436"/>
      <c r="I5" s="1436"/>
      <c r="J5" s="1436"/>
      <c r="K5" s="1437"/>
      <c r="L5" s="1436"/>
      <c r="M5" s="1438"/>
      <c r="N5" s="1438"/>
      <c r="O5" s="1443"/>
      <c r="P5" s="1440"/>
      <c r="Q5" s="1441"/>
      <c r="R5" s="1430"/>
      <c r="S5" s="1424"/>
      <c r="T5" s="4032"/>
      <c r="U5" s="4032"/>
      <c r="V5" s="4032"/>
      <c r="W5" s="4032"/>
      <c r="X5" s="4032"/>
      <c r="Y5" s="4032"/>
      <c r="Z5" s="4032"/>
      <c r="AA5" s="4032"/>
      <c r="AB5" s="4032"/>
      <c r="AC5" s="4032"/>
      <c r="AD5" s="4032"/>
      <c r="AE5" s="4032"/>
      <c r="AF5" s="1041"/>
      <c r="AG5" s="1041"/>
      <c r="AH5" s="1420"/>
    </row>
    <row r="6" spans="1:34" ht="20.100000000000001" customHeight="1">
      <c r="A6" s="1418"/>
      <c r="B6" s="1431"/>
      <c r="C6" s="1442"/>
      <c r="D6" s="1434"/>
      <c r="E6" s="1434"/>
      <c r="F6" s="1509" t="s">
        <v>798</v>
      </c>
      <c r="G6" s="1510"/>
      <c r="H6" s="1511"/>
      <c r="I6" s="1436"/>
      <c r="J6" s="1511"/>
      <c r="K6" s="1512"/>
      <c r="L6" s="1513"/>
      <c r="M6" s="1514" t="s">
        <v>797</v>
      </c>
      <c r="N6" s="1438"/>
      <c r="O6" s="1443"/>
      <c r="P6" s="1440"/>
      <c r="Q6" s="1441"/>
      <c r="R6" s="1430"/>
      <c r="S6" s="1424"/>
      <c r="T6" s="4032"/>
      <c r="U6" s="4032"/>
      <c r="V6" s="4032"/>
      <c r="W6" s="4032"/>
      <c r="X6" s="4032"/>
      <c r="Y6" s="4032"/>
      <c r="Z6" s="4032"/>
      <c r="AA6" s="4032"/>
      <c r="AB6" s="4032"/>
      <c r="AC6" s="4032"/>
      <c r="AD6" s="4032"/>
      <c r="AE6" s="4032"/>
      <c r="AF6" s="1041"/>
      <c r="AG6" s="1041"/>
      <c r="AH6" s="1420"/>
    </row>
    <row r="7" spans="1:34" ht="3.9" customHeight="1">
      <c r="A7" s="1418"/>
      <c r="B7" s="1431"/>
      <c r="C7" s="1442"/>
      <c r="D7" s="1434"/>
      <c r="E7" s="1434"/>
      <c r="F7" s="1434"/>
      <c r="G7" s="1444"/>
      <c r="H7" s="1445"/>
      <c r="I7" s="1445"/>
      <c r="J7" s="1445"/>
      <c r="K7" s="1446"/>
      <c r="L7" s="1438"/>
      <c r="M7" s="1438"/>
      <c r="N7" s="1438"/>
      <c r="O7" s="1443"/>
      <c r="P7" s="1440"/>
      <c r="Q7" s="1441"/>
      <c r="R7" s="1430"/>
      <c r="S7" s="1424"/>
      <c r="T7" s="4032"/>
      <c r="U7" s="4032"/>
      <c r="V7" s="4032"/>
      <c r="W7" s="4032"/>
      <c r="X7" s="4032"/>
      <c r="Y7" s="4032"/>
      <c r="Z7" s="4032"/>
      <c r="AA7" s="4032"/>
      <c r="AB7" s="4032"/>
      <c r="AC7" s="4032"/>
      <c r="AD7" s="4032"/>
      <c r="AE7" s="4032"/>
      <c r="AF7" s="1041"/>
      <c r="AG7" s="1041"/>
      <c r="AH7" s="1420"/>
    </row>
    <row r="8" spans="1:34" ht="18.75" customHeight="1">
      <c r="A8" s="1418"/>
      <c r="B8" s="1431"/>
      <c r="C8" s="1442"/>
      <c r="D8" s="1447"/>
      <c r="E8" s="2028" t="s">
        <v>787</v>
      </c>
      <c r="F8" s="1448"/>
      <c r="G8" s="1449"/>
      <c r="H8" s="1450"/>
      <c r="I8" s="1448"/>
      <c r="J8" s="1448"/>
      <c r="K8" s="1448"/>
      <c r="L8" s="1448"/>
      <c r="M8" s="1451"/>
      <c r="N8" s="1451"/>
      <c r="O8" s="1451" t="s">
        <v>788</v>
      </c>
      <c r="P8" s="1440"/>
      <c r="Q8" s="1441"/>
      <c r="R8" s="1430"/>
      <c r="S8" s="1424"/>
      <c r="T8" s="4032"/>
      <c r="U8" s="4032"/>
      <c r="V8" s="4032"/>
      <c r="W8" s="4032"/>
      <c r="X8" s="4032"/>
      <c r="Y8" s="4032"/>
      <c r="Z8" s="4032"/>
      <c r="AA8" s="4032"/>
      <c r="AB8" s="4032"/>
      <c r="AC8" s="4032"/>
      <c r="AD8" s="4032"/>
      <c r="AE8" s="4032"/>
      <c r="AF8" s="1041"/>
      <c r="AG8" s="1041"/>
      <c r="AH8" s="1420"/>
    </row>
    <row r="9" spans="1:34" ht="5.0999999999999996" customHeight="1">
      <c r="A9" s="1418"/>
      <c r="B9" s="1431"/>
      <c r="C9" s="1442"/>
      <c r="D9" s="1452"/>
      <c r="E9" s="1453"/>
      <c r="F9" s="1454"/>
      <c r="G9" s="1455"/>
      <c r="H9" s="1456"/>
      <c r="I9" s="1454"/>
      <c r="J9" s="1454"/>
      <c r="K9" s="1454"/>
      <c r="L9" s="1454"/>
      <c r="M9" s="1457"/>
      <c r="N9" s="1457"/>
      <c r="O9" s="1457"/>
      <c r="P9" s="1440"/>
      <c r="Q9" s="1441"/>
      <c r="R9" s="1430"/>
      <c r="S9" s="1424"/>
      <c r="T9" s="3273"/>
      <c r="U9" s="3273"/>
      <c r="V9" s="3273"/>
      <c r="W9" s="3273"/>
      <c r="X9" s="3273"/>
      <c r="Y9" s="3273"/>
      <c r="Z9" s="1041"/>
      <c r="AA9" s="1041"/>
      <c r="AB9" s="1041"/>
      <c r="AC9" s="1041"/>
      <c r="AD9" s="1041"/>
      <c r="AE9" s="1041"/>
      <c r="AF9" s="1041"/>
      <c r="AG9" s="1041"/>
      <c r="AH9" s="1420"/>
    </row>
    <row r="10" spans="1:34" ht="15" customHeight="1">
      <c r="A10" s="1418"/>
      <c r="B10" s="1431"/>
      <c r="C10" s="1442"/>
      <c r="D10" s="2277" t="s">
        <v>1016</v>
      </c>
      <c r="E10" s="2286"/>
      <c r="F10" s="2286"/>
      <c r="G10" s="2287"/>
      <c r="H10" s="2288"/>
      <c r="I10" s="2286"/>
      <c r="J10" s="2286"/>
      <c r="K10" s="2286"/>
      <c r="L10" s="2286"/>
      <c r="M10" s="2286"/>
      <c r="N10" s="2286"/>
      <c r="O10" s="1484" t="s">
        <v>1030</v>
      </c>
      <c r="P10" s="2289"/>
      <c r="Q10" s="2290"/>
      <c r="R10" s="1430"/>
      <c r="S10" s="1424"/>
      <c r="T10" s="1041"/>
      <c r="U10" s="3291" t="s">
        <v>789</v>
      </c>
      <c r="V10" s="3274"/>
      <c r="W10" s="3274"/>
      <c r="X10" s="3275"/>
      <c r="Y10" s="3274"/>
      <c r="Z10" s="3274"/>
      <c r="AA10" s="3274"/>
      <c r="AB10" s="3274"/>
      <c r="AC10" s="3274"/>
      <c r="AD10" s="3274"/>
      <c r="AE10" s="3274"/>
      <c r="AF10" s="1041"/>
      <c r="AG10" s="1041"/>
      <c r="AH10" s="1420"/>
    </row>
    <row r="11" spans="1:34" ht="6.9" customHeight="1">
      <c r="A11" s="1418"/>
      <c r="B11" s="1431"/>
      <c r="C11" s="1442"/>
      <c r="D11" s="649"/>
      <c r="E11" s="649"/>
      <c r="F11" s="649"/>
      <c r="G11" s="649"/>
      <c r="H11" s="649"/>
      <c r="I11" s="649"/>
      <c r="J11" s="649"/>
      <c r="K11" s="649"/>
      <c r="L11" s="649"/>
      <c r="M11" s="649"/>
      <c r="N11" s="649"/>
      <c r="O11" s="649"/>
      <c r="P11" s="2289"/>
      <c r="Q11" s="2290"/>
      <c r="R11" s="1430"/>
      <c r="S11" s="1424"/>
      <c r="T11" s="1041"/>
      <c r="U11" s="464"/>
      <c r="V11" s="464"/>
      <c r="W11" s="464"/>
      <c r="X11" s="649"/>
      <c r="Y11" s="649"/>
      <c r="Z11" s="649"/>
      <c r="AA11" s="464"/>
      <c r="AB11" s="464"/>
      <c r="AC11" s="464"/>
      <c r="AD11" s="464"/>
      <c r="AE11" s="464"/>
      <c r="AF11" s="1041"/>
      <c r="AG11" s="1041"/>
      <c r="AH11" s="1420"/>
    </row>
    <row r="12" spans="1:34" ht="14.1" customHeight="1">
      <c r="A12" s="1418"/>
      <c r="B12" s="1431"/>
      <c r="C12" s="1442"/>
      <c r="D12" s="2278" t="s">
        <v>790</v>
      </c>
      <c r="E12" s="1488" t="s">
        <v>18</v>
      </c>
      <c r="F12" s="1488" t="s">
        <v>17</v>
      </c>
      <c r="G12" s="1488" t="s">
        <v>16</v>
      </c>
      <c r="H12" s="1488" t="s">
        <v>15</v>
      </c>
      <c r="I12" s="1488" t="s">
        <v>14</v>
      </c>
      <c r="J12" s="1488" t="s">
        <v>13</v>
      </c>
      <c r="K12" s="1488" t="s">
        <v>12</v>
      </c>
      <c r="L12" s="1488" t="s">
        <v>11</v>
      </c>
      <c r="M12" s="1488" t="s">
        <v>10</v>
      </c>
      <c r="N12" s="1488" t="s">
        <v>9</v>
      </c>
      <c r="O12" s="1488" t="s">
        <v>28</v>
      </c>
      <c r="P12" s="2289"/>
      <c r="Q12" s="2290"/>
      <c r="R12" s="1430"/>
      <c r="S12" s="1424"/>
      <c r="T12" s="1041"/>
      <c r="U12" s="2278" t="s">
        <v>790</v>
      </c>
      <c r="V12" s="1488" t="s">
        <v>18</v>
      </c>
      <c r="W12" s="1488" t="s">
        <v>17</v>
      </c>
      <c r="X12" s="1488" t="s">
        <v>16</v>
      </c>
      <c r="Y12" s="1488" t="s">
        <v>15</v>
      </c>
      <c r="Z12" s="1488" t="s">
        <v>14</v>
      </c>
      <c r="AA12" s="1488" t="s">
        <v>13</v>
      </c>
      <c r="AB12" s="1488" t="s">
        <v>12</v>
      </c>
      <c r="AC12" s="1488" t="s">
        <v>11</v>
      </c>
      <c r="AD12" s="1488" t="s">
        <v>10</v>
      </c>
      <c r="AE12" s="1488" t="s">
        <v>9</v>
      </c>
      <c r="AF12" s="1041"/>
      <c r="AG12" s="1041"/>
      <c r="AH12" s="1420"/>
    </row>
    <row r="13" spans="1:34" ht="12.9" customHeight="1">
      <c r="A13" s="1418"/>
      <c r="B13" s="1431"/>
      <c r="C13" s="1442"/>
      <c r="D13" s="2172" t="s">
        <v>20</v>
      </c>
      <c r="E13" s="2285"/>
      <c r="F13" s="1462">
        <v>17</v>
      </c>
      <c r="G13" s="1462">
        <v>137</v>
      </c>
      <c r="H13" s="1462">
        <v>18</v>
      </c>
      <c r="I13" s="1462">
        <v>13</v>
      </c>
      <c r="J13" s="1462">
        <v>6</v>
      </c>
      <c r="K13" s="1462">
        <v>1</v>
      </c>
      <c r="L13" s="1462">
        <v>1</v>
      </c>
      <c r="M13" s="1462"/>
      <c r="N13" s="1462"/>
      <c r="O13" s="1969">
        <f>E13+F13+G13+H13+I13+J13+K13+L13+M13+N13</f>
        <v>193</v>
      </c>
      <c r="P13" s="2289"/>
      <c r="Q13" s="2290"/>
      <c r="R13" s="1430"/>
      <c r="S13" s="1424"/>
      <c r="T13" s="1041"/>
      <c r="U13" s="2172" t="s">
        <v>20</v>
      </c>
      <c r="V13" s="3276" t="str">
        <f>IF(E13&gt;=(E17)," ","خطأ")</f>
        <v xml:space="preserve"> </v>
      </c>
      <c r="W13" s="3276" t="str">
        <f t="shared" ref="W13:AE14" si="0">IF(F13&gt;=(F17)," ","خطأ")</f>
        <v xml:space="preserve"> </v>
      </c>
      <c r="X13" s="3276" t="str">
        <f t="shared" si="0"/>
        <v xml:space="preserve"> </v>
      </c>
      <c r="Y13" s="3276" t="str">
        <f t="shared" si="0"/>
        <v xml:space="preserve"> </v>
      </c>
      <c r="Z13" s="3276" t="str">
        <f t="shared" si="0"/>
        <v xml:space="preserve"> </v>
      </c>
      <c r="AA13" s="3276" t="str">
        <f t="shared" si="0"/>
        <v xml:space="preserve"> </v>
      </c>
      <c r="AB13" s="3276" t="str">
        <f t="shared" si="0"/>
        <v xml:space="preserve"> </v>
      </c>
      <c r="AC13" s="3276" t="str">
        <f t="shared" si="0"/>
        <v xml:space="preserve"> </v>
      </c>
      <c r="AD13" s="3276" t="str">
        <f t="shared" si="0"/>
        <v xml:space="preserve"> </v>
      </c>
      <c r="AE13" s="3276" t="str">
        <f t="shared" si="0"/>
        <v xml:space="preserve"> </v>
      </c>
      <c r="AF13" s="1041"/>
      <c r="AG13" s="1041"/>
      <c r="AH13" s="1420"/>
    </row>
    <row r="14" spans="1:34" ht="12.9" customHeight="1">
      <c r="A14" s="1418"/>
      <c r="B14" s="1431"/>
      <c r="C14" s="1442"/>
      <c r="D14" s="2172" t="s">
        <v>19</v>
      </c>
      <c r="E14" s="2285"/>
      <c r="F14" s="3269">
        <v>9</v>
      </c>
      <c r="G14" s="3269">
        <v>63</v>
      </c>
      <c r="H14" s="3269">
        <v>9</v>
      </c>
      <c r="I14" s="3269">
        <v>5</v>
      </c>
      <c r="J14" s="3269">
        <v>2</v>
      </c>
      <c r="K14" s="3269"/>
      <c r="L14" s="3269"/>
      <c r="M14" s="3269"/>
      <c r="N14" s="3269"/>
      <c r="O14" s="1492">
        <f>E14+F14+G14+H14+I14+J14+K14+L14+M14+N14</f>
        <v>88</v>
      </c>
      <c r="P14" s="2289"/>
      <c r="Q14" s="2290"/>
      <c r="R14" s="1430"/>
      <c r="S14" s="1424"/>
      <c r="T14" s="1041"/>
      <c r="U14" s="2172" t="s">
        <v>19</v>
      </c>
      <c r="V14" s="3276" t="str">
        <f>IF(E14&gt;=(E18)," ","خطأ")</f>
        <v xml:space="preserve"> </v>
      </c>
      <c r="W14" s="3276" t="str">
        <f t="shared" si="0"/>
        <v xml:space="preserve"> </v>
      </c>
      <c r="X14" s="3276" t="str">
        <f t="shared" si="0"/>
        <v xml:space="preserve"> </v>
      </c>
      <c r="Y14" s="3276" t="str">
        <f t="shared" si="0"/>
        <v xml:space="preserve"> </v>
      </c>
      <c r="Z14" s="3276" t="str">
        <f t="shared" si="0"/>
        <v xml:space="preserve"> </v>
      </c>
      <c r="AA14" s="3276" t="str">
        <f t="shared" si="0"/>
        <v xml:space="preserve"> </v>
      </c>
      <c r="AB14" s="3276" t="str">
        <f t="shared" si="0"/>
        <v xml:space="preserve"> </v>
      </c>
      <c r="AC14" s="3276" t="str">
        <f t="shared" si="0"/>
        <v xml:space="preserve"> </v>
      </c>
      <c r="AD14" s="3276" t="str">
        <f t="shared" si="0"/>
        <v xml:space="preserve"> </v>
      </c>
      <c r="AE14" s="3276" t="str">
        <f t="shared" si="0"/>
        <v xml:space="preserve"> </v>
      </c>
      <c r="AF14" s="1041"/>
      <c r="AG14" s="1041"/>
      <c r="AH14" s="1420"/>
    </row>
    <row r="15" spans="1:34" ht="9.9" customHeight="1">
      <c r="A15" s="1418"/>
      <c r="B15" s="1431"/>
      <c r="C15" s="1442"/>
      <c r="D15" s="650"/>
      <c r="E15" s="1434"/>
      <c r="F15" s="1434"/>
      <c r="G15" s="1444"/>
      <c r="H15" s="1445"/>
      <c r="I15" s="1445"/>
      <c r="J15" s="1445"/>
      <c r="K15" s="1446"/>
      <c r="L15" s="1438"/>
      <c r="M15" s="1438"/>
      <c r="N15" s="1438"/>
      <c r="O15" s="1463"/>
      <c r="P15" s="2289"/>
      <c r="Q15" s="2290"/>
      <c r="R15" s="1430"/>
      <c r="S15" s="1424"/>
      <c r="T15" s="1041"/>
      <c r="U15" s="1041"/>
      <c r="V15" s="1041"/>
      <c r="W15" s="1041"/>
      <c r="X15" s="1041"/>
      <c r="Y15" s="1041"/>
      <c r="Z15" s="1041"/>
      <c r="AA15" s="1041"/>
      <c r="AB15" s="1041"/>
      <c r="AC15" s="1041"/>
      <c r="AD15" s="1041"/>
      <c r="AE15" s="1041"/>
      <c r="AF15" s="1041"/>
      <c r="AG15" s="1041"/>
      <c r="AH15" s="1420"/>
    </row>
    <row r="16" spans="1:34" ht="12.9" customHeight="1">
      <c r="A16" s="1418"/>
      <c r="B16" s="1425"/>
      <c r="C16" s="1464"/>
      <c r="D16" s="2279" t="s">
        <v>1396</v>
      </c>
      <c r="E16" s="1465"/>
      <c r="F16" s="1465"/>
      <c r="G16" s="1465"/>
      <c r="H16" s="1465"/>
      <c r="I16" s="1465"/>
      <c r="J16" s="1465"/>
      <c r="K16" s="1465"/>
      <c r="L16" s="1465"/>
      <c r="M16" s="1465"/>
      <c r="N16" s="1466"/>
      <c r="O16" s="1507" t="s">
        <v>1395</v>
      </c>
      <c r="P16" s="649"/>
      <c r="Q16" s="2293"/>
      <c r="R16" s="1430"/>
      <c r="S16" s="1418"/>
      <c r="T16" s="3277"/>
      <c r="U16" s="3278" t="s">
        <v>1031</v>
      </c>
      <c r="V16" s="1041"/>
      <c r="W16" s="1041"/>
      <c r="X16" s="1041"/>
      <c r="Y16" s="1041"/>
      <c r="Z16" s="1041"/>
      <c r="AA16" s="1041"/>
      <c r="AB16" s="1041"/>
      <c r="AC16" s="1041"/>
      <c r="AD16" s="1041"/>
      <c r="AE16" s="1041"/>
      <c r="AF16" s="1041"/>
      <c r="AG16" s="1041"/>
      <c r="AH16" s="1420"/>
    </row>
    <row r="17" spans="1:34" ht="12.9" customHeight="1">
      <c r="A17" s="1418"/>
      <c r="B17" s="1425"/>
      <c r="C17" s="1464"/>
      <c r="D17" s="2172" t="s">
        <v>20</v>
      </c>
      <c r="E17" s="2285"/>
      <c r="F17" s="1462"/>
      <c r="G17" s="1462"/>
      <c r="H17" s="1462"/>
      <c r="I17" s="1462"/>
      <c r="J17" s="1462"/>
      <c r="K17" s="1462"/>
      <c r="L17" s="1462"/>
      <c r="M17" s="1462"/>
      <c r="N17" s="1462"/>
      <c r="O17" s="1969">
        <f>E17+F17+G17+H17+I17+J17+K17+L17+M17+N17</f>
        <v>0</v>
      </c>
      <c r="P17" s="649"/>
      <c r="Q17" s="2293"/>
      <c r="R17" s="1430"/>
      <c r="S17" s="1418"/>
      <c r="T17" s="3277"/>
      <c r="U17" s="1041"/>
      <c r="V17" s="1041"/>
      <c r="W17" s="1041"/>
      <c r="X17" s="1041"/>
      <c r="Y17" s="1041"/>
      <c r="Z17" s="1041"/>
      <c r="AA17" s="1041"/>
      <c r="AB17" s="1041"/>
      <c r="AC17" s="1041"/>
      <c r="AD17" s="1041"/>
      <c r="AE17" s="3279" t="s">
        <v>1032</v>
      </c>
      <c r="AF17" s="1041"/>
      <c r="AG17" s="1041"/>
      <c r="AH17" s="1420"/>
    </row>
    <row r="18" spans="1:34" ht="12.9" customHeight="1">
      <c r="A18" s="1418"/>
      <c r="B18" s="1425"/>
      <c r="C18" s="1464"/>
      <c r="D18" s="2172" t="s">
        <v>19</v>
      </c>
      <c r="E18" s="2285"/>
      <c r="F18" s="3269"/>
      <c r="G18" s="3269"/>
      <c r="H18" s="3269"/>
      <c r="I18" s="3269"/>
      <c r="J18" s="3269"/>
      <c r="K18" s="3269"/>
      <c r="L18" s="3269"/>
      <c r="M18" s="3269"/>
      <c r="N18" s="3269"/>
      <c r="O18" s="1492">
        <f>E18+F18+G18+H18+I18+J18+K18+L18+M18+N18</f>
        <v>0</v>
      </c>
      <c r="P18" s="649"/>
      <c r="Q18" s="2293"/>
      <c r="R18" s="1430"/>
      <c r="S18" s="1418"/>
      <c r="T18" s="3277"/>
      <c r="U18" s="1041"/>
      <c r="V18" s="1041"/>
      <c r="W18" s="1041"/>
      <c r="X18" s="1041"/>
      <c r="Y18" s="1041"/>
      <c r="Z18" s="1041"/>
      <c r="AA18" s="1041"/>
      <c r="AB18" s="1041"/>
      <c r="AC18" s="1041"/>
      <c r="AD18" s="1041"/>
      <c r="AE18" s="1041"/>
      <c r="AF18" s="1041"/>
      <c r="AG18" s="1041"/>
      <c r="AH18" s="1420"/>
    </row>
    <row r="19" spans="1:34" ht="9.9" customHeight="1">
      <c r="A19" s="1418"/>
      <c r="B19" s="1425"/>
      <c r="C19" s="1464"/>
      <c r="D19" s="2280"/>
      <c r="E19" s="1468"/>
      <c r="F19" s="1468"/>
      <c r="G19" s="1468"/>
      <c r="H19" s="1468"/>
      <c r="I19" s="1468"/>
      <c r="J19" s="1468"/>
      <c r="K19" s="1468"/>
      <c r="L19" s="1468"/>
      <c r="M19" s="1468"/>
      <c r="N19" s="1468"/>
      <c r="O19" s="1469"/>
      <c r="P19" s="649"/>
      <c r="Q19" s="2293"/>
      <c r="R19" s="1430"/>
      <c r="S19" s="1418"/>
      <c r="T19" s="3277"/>
      <c r="U19" s="4203" t="s">
        <v>791</v>
      </c>
      <c r="V19" s="4203"/>
      <c r="W19" s="4203"/>
      <c r="X19" s="4203"/>
      <c r="Y19" s="4203"/>
      <c r="Z19" s="4203"/>
      <c r="AA19" s="4203"/>
      <c r="AB19" s="4203"/>
      <c r="AC19" s="4203"/>
      <c r="AD19" s="1041"/>
      <c r="AE19" s="1041"/>
      <c r="AF19" s="1041"/>
      <c r="AG19" s="1041"/>
      <c r="AH19" s="1420"/>
    </row>
    <row r="20" spans="1:34" ht="9.9" customHeight="1">
      <c r="A20" s="1418"/>
      <c r="B20" s="1425"/>
      <c r="C20" s="1464"/>
      <c r="D20" s="1471"/>
      <c r="E20" s="1470"/>
      <c r="F20" s="1470"/>
      <c r="G20" s="1470"/>
      <c r="H20" s="1470"/>
      <c r="I20" s="1470"/>
      <c r="J20" s="1470"/>
      <c r="K20" s="1470"/>
      <c r="L20" s="1470"/>
      <c r="M20" s="1470"/>
      <c r="N20" s="1470"/>
      <c r="O20" s="1471"/>
      <c r="P20" s="649"/>
      <c r="Q20" s="2293"/>
      <c r="R20" s="1430"/>
      <c r="S20" s="1418"/>
      <c r="T20" s="1041"/>
      <c r="U20" s="4203"/>
      <c r="V20" s="4203"/>
      <c r="W20" s="4203"/>
      <c r="X20" s="4203"/>
      <c r="Y20" s="4203"/>
      <c r="Z20" s="4203"/>
      <c r="AA20" s="4203"/>
      <c r="AB20" s="4203"/>
      <c r="AC20" s="4203"/>
      <c r="AD20" s="1041"/>
      <c r="AE20" s="1041"/>
      <c r="AF20" s="1041"/>
      <c r="AG20" s="1041"/>
      <c r="AH20" s="1420"/>
    </row>
    <row r="21" spans="1:34" ht="18.75" customHeight="1">
      <c r="A21" s="1418"/>
      <c r="B21" s="1425"/>
      <c r="C21" s="1464"/>
      <c r="D21" s="2281"/>
      <c r="E21" s="2028" t="s">
        <v>967</v>
      </c>
      <c r="F21" s="1472"/>
      <c r="G21" s="1473"/>
      <c r="H21" s="1474"/>
      <c r="I21" s="1472"/>
      <c r="J21" s="1472"/>
      <c r="K21" s="1472"/>
      <c r="L21" s="1472"/>
      <c r="M21" s="1475"/>
      <c r="N21" s="1475" t="s">
        <v>792</v>
      </c>
      <c r="O21" s="2275"/>
      <c r="P21" s="649"/>
      <c r="Q21" s="2293"/>
      <c r="R21" s="1430"/>
      <c r="S21" s="1418"/>
      <c r="T21" s="1041"/>
      <c r="U21" s="1041"/>
      <c r="V21" s="1041"/>
      <c r="W21" s="1041"/>
      <c r="X21" s="1041"/>
      <c r="Y21" s="1041"/>
      <c r="Z21" s="1041"/>
      <c r="AA21" s="1041"/>
      <c r="AB21" s="1041"/>
      <c r="AC21" s="1041"/>
      <c r="AD21" s="1041"/>
      <c r="AE21" s="1041"/>
      <c r="AF21" s="1041"/>
      <c r="AG21" s="1041"/>
      <c r="AH21" s="1420"/>
    </row>
    <row r="22" spans="1:34" ht="3.9" customHeight="1">
      <c r="A22" s="1418"/>
      <c r="B22" s="1425"/>
      <c r="C22" s="1464"/>
      <c r="D22" s="2282"/>
      <c r="E22" s="1476"/>
      <c r="F22" s="1477"/>
      <c r="G22" s="1478"/>
      <c r="H22" s="1479"/>
      <c r="I22" s="1477"/>
      <c r="J22" s="1477"/>
      <c r="K22" s="1477"/>
      <c r="L22" s="1477"/>
      <c r="M22" s="1480"/>
      <c r="N22" s="1480"/>
      <c r="O22" s="2276"/>
      <c r="P22" s="649"/>
      <c r="Q22" s="2293"/>
      <c r="R22" s="1430"/>
      <c r="S22" s="1418"/>
      <c r="T22" s="1041"/>
      <c r="U22" s="1041"/>
      <c r="V22" s="1041"/>
      <c r="W22" s="1041"/>
      <c r="X22" s="1041"/>
      <c r="Y22" s="1041"/>
      <c r="Z22" s="1041"/>
      <c r="AA22" s="1041"/>
      <c r="AB22" s="1041"/>
      <c r="AC22" s="1041"/>
      <c r="AD22" s="1041"/>
      <c r="AE22" s="1041"/>
      <c r="AF22" s="1041"/>
      <c r="AG22" s="1041"/>
      <c r="AH22" s="1420"/>
    </row>
    <row r="23" spans="1:34" ht="15" customHeight="1">
      <c r="A23" s="1418"/>
      <c r="B23" s="1481"/>
      <c r="C23" s="1482"/>
      <c r="D23" s="2277" t="s">
        <v>1017</v>
      </c>
      <c r="E23" s="1458"/>
      <c r="F23" s="1458"/>
      <c r="G23" s="1459"/>
      <c r="H23" s="1483"/>
      <c r="I23" s="1458"/>
      <c r="J23" s="1458"/>
      <c r="K23" s="1458"/>
      <c r="L23" s="1458"/>
      <c r="M23" s="1458"/>
      <c r="N23" s="1458"/>
      <c r="O23" s="1484" t="s">
        <v>1029</v>
      </c>
      <c r="P23" s="2295"/>
      <c r="Q23" s="2296"/>
      <c r="R23" s="1430"/>
      <c r="S23" s="1487"/>
      <c r="T23" s="1041"/>
      <c r="U23" s="2407" t="s">
        <v>790</v>
      </c>
      <c r="V23" s="3334" t="s">
        <v>18</v>
      </c>
      <c r="W23" s="3334" t="s">
        <v>17</v>
      </c>
      <c r="X23" s="3334" t="s">
        <v>16</v>
      </c>
      <c r="Y23" s="3334" t="s">
        <v>15</v>
      </c>
      <c r="Z23" s="3334" t="s">
        <v>14</v>
      </c>
      <c r="AA23" s="3334" t="s">
        <v>13</v>
      </c>
      <c r="AB23" s="3334" t="s">
        <v>12</v>
      </c>
      <c r="AC23" s="3334" t="s">
        <v>11</v>
      </c>
      <c r="AD23" s="3334" t="s">
        <v>10</v>
      </c>
      <c r="AE23" s="3334" t="s">
        <v>9</v>
      </c>
      <c r="AF23" s="1041"/>
      <c r="AG23" s="1041"/>
      <c r="AH23" s="1420"/>
    </row>
    <row r="24" spans="1:34" ht="6.9" customHeight="1">
      <c r="A24" s="1418"/>
      <c r="B24" s="1425"/>
      <c r="C24" s="1464"/>
      <c r="D24" s="649"/>
      <c r="E24" s="1446"/>
      <c r="F24" s="1446"/>
      <c r="G24" s="1446"/>
      <c r="H24" s="1446"/>
      <c r="I24" s="1446"/>
      <c r="J24" s="1446"/>
      <c r="K24" s="1446"/>
      <c r="L24" s="1446"/>
      <c r="M24" s="1446"/>
      <c r="N24" s="1446"/>
      <c r="O24" s="649"/>
      <c r="P24" s="649"/>
      <c r="Q24" s="2293"/>
      <c r="R24" s="1430"/>
      <c r="S24" s="1418"/>
      <c r="T24" s="1041"/>
      <c r="U24" s="3333"/>
      <c r="V24" s="3333"/>
      <c r="W24" s="3333"/>
      <c r="X24" s="3333"/>
      <c r="Y24" s="3333"/>
      <c r="Z24" s="3333"/>
      <c r="AA24" s="3333"/>
      <c r="AB24" s="3333"/>
      <c r="AC24" s="3333"/>
      <c r="AD24" s="3333"/>
      <c r="AE24" s="3333"/>
      <c r="AF24" s="464"/>
      <c r="AG24" s="1041"/>
      <c r="AH24" s="1420"/>
    </row>
    <row r="25" spans="1:34" ht="14.1" customHeight="1">
      <c r="A25" s="1418"/>
      <c r="B25" s="1425"/>
      <c r="C25" s="1464"/>
      <c r="D25" s="2278" t="s">
        <v>790</v>
      </c>
      <c r="E25" s="1461" t="s">
        <v>18</v>
      </c>
      <c r="F25" s="1461" t="s">
        <v>17</v>
      </c>
      <c r="G25" s="1461" t="s">
        <v>16</v>
      </c>
      <c r="H25" s="1461" t="s">
        <v>15</v>
      </c>
      <c r="I25" s="1461" t="s">
        <v>14</v>
      </c>
      <c r="J25" s="1461" t="s">
        <v>13</v>
      </c>
      <c r="K25" s="1461" t="s">
        <v>12</v>
      </c>
      <c r="L25" s="1461" t="s">
        <v>11</v>
      </c>
      <c r="M25" s="1461" t="s">
        <v>10</v>
      </c>
      <c r="N25" s="1461" t="s">
        <v>9</v>
      </c>
      <c r="O25" s="1488" t="s">
        <v>28</v>
      </c>
      <c r="P25" s="2297"/>
      <c r="Q25" s="2293"/>
      <c r="R25" s="1430"/>
      <c r="S25" s="1490"/>
      <c r="T25" s="1041"/>
      <c r="U25" s="3312" t="s">
        <v>20</v>
      </c>
      <c r="V25" s="3332" t="str">
        <f>IF(E26&gt;=E42," ","خطأ")</f>
        <v xml:space="preserve"> </v>
      </c>
      <c r="W25" s="3332" t="str">
        <f t="shared" ref="W25:AE26" si="1">IF(F26&gt;=F42," ","خطأ")</f>
        <v xml:space="preserve"> </v>
      </c>
      <c r="X25" s="3332" t="str">
        <f t="shared" si="1"/>
        <v xml:space="preserve"> </v>
      </c>
      <c r="Y25" s="3332" t="str">
        <f t="shared" si="1"/>
        <v>خطأ</v>
      </c>
      <c r="Z25" s="3332" t="str">
        <f t="shared" si="1"/>
        <v xml:space="preserve"> </v>
      </c>
      <c r="AA25" s="3332" t="str">
        <f t="shared" si="1"/>
        <v xml:space="preserve"> </v>
      </c>
      <c r="AB25" s="3332" t="str">
        <f t="shared" si="1"/>
        <v xml:space="preserve"> </v>
      </c>
      <c r="AC25" s="3332" t="str">
        <f t="shared" si="1"/>
        <v xml:space="preserve"> </v>
      </c>
      <c r="AD25" s="3332" t="str">
        <f t="shared" si="1"/>
        <v xml:space="preserve"> </v>
      </c>
      <c r="AE25" s="3332" t="str">
        <f t="shared" si="1"/>
        <v xml:space="preserve"> </v>
      </c>
      <c r="AF25" s="1041"/>
      <c r="AG25" s="1041"/>
      <c r="AH25" s="1420"/>
    </row>
    <row r="26" spans="1:34" ht="12.9" customHeight="1">
      <c r="A26" s="1418"/>
      <c r="B26" s="1425"/>
      <c r="C26" s="1464"/>
      <c r="D26" s="2172" t="s">
        <v>20</v>
      </c>
      <c r="E26" s="2285"/>
      <c r="F26" s="1462">
        <v>34</v>
      </c>
      <c r="G26" s="1462">
        <v>106</v>
      </c>
      <c r="H26" s="1462">
        <v>18</v>
      </c>
      <c r="I26" s="1462">
        <v>6</v>
      </c>
      <c r="J26" s="1462">
        <v>7</v>
      </c>
      <c r="K26" s="1462">
        <v>2</v>
      </c>
      <c r="L26" s="1462"/>
      <c r="M26" s="1462"/>
      <c r="N26" s="1462"/>
      <c r="O26" s="1969">
        <f>E26+F26+G26+H26+I26+J26+K26+L26+M26+N26</f>
        <v>173</v>
      </c>
      <c r="P26" s="1041"/>
      <c r="Q26" s="2293"/>
      <c r="R26" s="1430"/>
      <c r="S26" s="1491"/>
      <c r="T26" s="1041"/>
      <c r="U26" s="2172" t="s">
        <v>19</v>
      </c>
      <c r="V26" s="3276" t="str">
        <f>IF(E27&gt;=E43," ","خطأ")</f>
        <v xml:space="preserve"> </v>
      </c>
      <c r="W26" s="3276" t="str">
        <f t="shared" si="1"/>
        <v xml:space="preserve"> </v>
      </c>
      <c r="X26" s="3276" t="str">
        <f t="shared" si="1"/>
        <v xml:space="preserve"> </v>
      </c>
      <c r="Y26" s="3276" t="str">
        <f t="shared" si="1"/>
        <v xml:space="preserve"> </v>
      </c>
      <c r="Z26" s="3276" t="str">
        <f t="shared" si="1"/>
        <v xml:space="preserve"> </v>
      </c>
      <c r="AA26" s="3276" t="str">
        <f t="shared" si="1"/>
        <v xml:space="preserve"> </v>
      </c>
      <c r="AB26" s="3276" t="str">
        <f t="shared" si="1"/>
        <v xml:space="preserve"> </v>
      </c>
      <c r="AC26" s="3276" t="str">
        <f t="shared" si="1"/>
        <v xml:space="preserve"> </v>
      </c>
      <c r="AD26" s="3276" t="str">
        <f t="shared" si="1"/>
        <v xml:space="preserve"> </v>
      </c>
      <c r="AE26" s="3276" t="str">
        <f t="shared" si="1"/>
        <v xml:space="preserve"> </v>
      </c>
      <c r="AF26" s="1041"/>
      <c r="AG26" s="1041"/>
      <c r="AH26" s="1420"/>
    </row>
    <row r="27" spans="1:34" ht="12.9" customHeight="1">
      <c r="A27" s="1418"/>
      <c r="B27" s="1425"/>
      <c r="C27" s="1464"/>
      <c r="D27" s="2172" t="s">
        <v>19</v>
      </c>
      <c r="E27" s="2285"/>
      <c r="F27" s="3269">
        <v>11</v>
      </c>
      <c r="G27" s="3269">
        <v>64</v>
      </c>
      <c r="H27" s="3269">
        <v>7</v>
      </c>
      <c r="I27" s="3269">
        <v>1</v>
      </c>
      <c r="J27" s="3269">
        <v>2</v>
      </c>
      <c r="K27" s="3269"/>
      <c r="L27" s="3269"/>
      <c r="M27" s="3269"/>
      <c r="N27" s="3269"/>
      <c r="O27" s="1492">
        <f>E27+F27+G27+H27+I27+J27+K27+L27+M27+N27</f>
        <v>85</v>
      </c>
      <c r="P27" s="1041"/>
      <c r="Q27" s="2293"/>
      <c r="R27" s="1430"/>
      <c r="S27" s="1491"/>
      <c r="T27" s="1041"/>
      <c r="U27" s="4201" t="s">
        <v>1028</v>
      </c>
      <c r="V27" s="4201"/>
      <c r="W27" s="4201"/>
      <c r="X27" s="4201"/>
      <c r="Y27" s="4201"/>
      <c r="Z27" s="4201"/>
      <c r="AA27" s="4201"/>
      <c r="AB27" s="1041"/>
      <c r="AC27" s="1041"/>
      <c r="AD27" s="1041"/>
      <c r="AE27" s="1041"/>
      <c r="AF27" s="1041"/>
      <c r="AG27" s="1041"/>
      <c r="AH27" s="1420"/>
    </row>
    <row r="28" spans="1:34" ht="9.9" customHeight="1">
      <c r="A28" s="1418"/>
      <c r="B28" s="1425"/>
      <c r="C28" s="1464"/>
      <c r="D28" s="2280"/>
      <c r="E28" s="1468"/>
      <c r="F28" s="1468"/>
      <c r="G28" s="1468"/>
      <c r="H28" s="1468"/>
      <c r="I28" s="1468"/>
      <c r="J28" s="1468"/>
      <c r="K28" s="1468"/>
      <c r="L28" s="1468"/>
      <c r="M28" s="1468"/>
      <c r="N28" s="1468"/>
      <c r="O28" s="1469"/>
      <c r="P28" s="1469"/>
      <c r="Q28" s="2293"/>
      <c r="R28" s="1430"/>
      <c r="S28" s="1491"/>
      <c r="T28" s="1041"/>
      <c r="U28" s="4202"/>
      <c r="V28" s="4202"/>
      <c r="W28" s="4202"/>
      <c r="X28" s="4202"/>
      <c r="Y28" s="4202"/>
      <c r="Z28" s="4202"/>
      <c r="AA28" s="4202"/>
      <c r="AB28" s="1041"/>
      <c r="AC28" s="1041"/>
      <c r="AD28" s="1041"/>
      <c r="AE28" s="1041"/>
      <c r="AF28" s="1041"/>
      <c r="AG28" s="1041"/>
      <c r="AH28" s="1420"/>
    </row>
    <row r="29" spans="1:34" ht="12.9" customHeight="1">
      <c r="A29" s="1418"/>
      <c r="B29" s="1425"/>
      <c r="C29" s="1464"/>
      <c r="D29" s="2283" t="s">
        <v>1018</v>
      </c>
      <c r="E29" s="1465"/>
      <c r="F29" s="1465"/>
      <c r="G29" s="1465"/>
      <c r="H29" s="1465"/>
      <c r="I29" s="1465"/>
      <c r="J29" s="1465"/>
      <c r="K29" s="1465"/>
      <c r="L29" s="1465"/>
      <c r="M29" s="1465"/>
      <c r="N29" s="1466"/>
      <c r="O29" s="1508" t="s">
        <v>1025</v>
      </c>
      <c r="P29" s="2292"/>
      <c r="Q29" s="2293"/>
      <c r="R29" s="1430"/>
      <c r="S29" s="1491"/>
      <c r="T29" s="1041"/>
      <c r="U29" s="1041"/>
      <c r="V29" s="3280"/>
      <c r="W29" s="3280"/>
      <c r="X29" s="3280"/>
      <c r="Y29" s="3280"/>
      <c r="Z29" s="3281"/>
      <c r="AA29" s="3281" t="s">
        <v>1033</v>
      </c>
      <c r="AB29" s="1041"/>
      <c r="AC29" s="1041"/>
      <c r="AD29" s="1041"/>
      <c r="AE29" s="1041"/>
      <c r="AF29" s="1041"/>
      <c r="AG29" s="1041"/>
      <c r="AH29" s="1420"/>
    </row>
    <row r="30" spans="1:34" ht="12.9" customHeight="1">
      <c r="A30" s="1418"/>
      <c r="B30" s="1425"/>
      <c r="C30" s="1464"/>
      <c r="D30" s="2172" t="s">
        <v>20</v>
      </c>
      <c r="E30" s="3209"/>
      <c r="F30" s="3210">
        <v>8</v>
      </c>
      <c r="G30" s="3210"/>
      <c r="H30" s="3210"/>
      <c r="I30" s="3210"/>
      <c r="J30" s="3210"/>
      <c r="K30" s="3210"/>
      <c r="L30" s="3210"/>
      <c r="M30" s="3210"/>
      <c r="N30" s="3210"/>
      <c r="O30" s="3211">
        <f>E30+F30+G30+H30+I30+J30+K30+L30+M30+N30</f>
        <v>8</v>
      </c>
      <c r="P30" s="1469"/>
      <c r="Q30" s="2293"/>
      <c r="R30" s="1430"/>
      <c r="S30" s="1491"/>
      <c r="T30" s="1041"/>
      <c r="U30" s="3280"/>
      <c r="V30" s="3280"/>
      <c r="W30" s="3280"/>
      <c r="X30" s="3280"/>
      <c r="Y30" s="3280"/>
      <c r="Z30" s="1041"/>
      <c r="AA30" s="1041"/>
      <c r="AB30" s="1041"/>
      <c r="AC30" s="1041"/>
      <c r="AD30" s="1041"/>
      <c r="AE30" s="1041"/>
      <c r="AF30" s="1041"/>
      <c r="AG30" s="1041"/>
      <c r="AH30" s="1420"/>
    </row>
    <row r="31" spans="1:34" ht="12.9" customHeight="1">
      <c r="A31" s="1418"/>
      <c r="B31" s="1425"/>
      <c r="C31" s="1464"/>
      <c r="D31" s="2172" t="s">
        <v>19</v>
      </c>
      <c r="E31" s="3209"/>
      <c r="F31" s="3210">
        <v>5</v>
      </c>
      <c r="G31" s="3210"/>
      <c r="H31" s="3210"/>
      <c r="I31" s="3210"/>
      <c r="J31" s="3210"/>
      <c r="K31" s="3210"/>
      <c r="L31" s="3210"/>
      <c r="M31" s="3210"/>
      <c r="N31" s="3210"/>
      <c r="O31" s="3211">
        <f>E31+F31+G31+H31+I31+J31+K31+L31+M31+N31</f>
        <v>5</v>
      </c>
      <c r="P31" s="1469"/>
      <c r="Q31" s="2293"/>
      <c r="R31" s="1430"/>
      <c r="S31" s="1491"/>
      <c r="T31" s="1041"/>
      <c r="U31" s="2283" t="s">
        <v>1027</v>
      </c>
      <c r="V31" s="1041"/>
      <c r="W31" s="1041"/>
      <c r="X31" s="1041"/>
      <c r="Y31" s="1041"/>
      <c r="Z31" s="1041"/>
      <c r="AA31" s="1041"/>
      <c r="AB31" s="1041"/>
      <c r="AC31" s="1041"/>
      <c r="AD31" s="1041"/>
      <c r="AE31" s="1041"/>
      <c r="AF31" s="1041"/>
      <c r="AG31" s="1041"/>
      <c r="AH31" s="1420"/>
    </row>
    <row r="32" spans="1:34" ht="12" customHeight="1">
      <c r="A32" s="1418"/>
      <c r="B32" s="1425"/>
      <c r="C32" s="1482"/>
      <c r="D32" s="2280"/>
      <c r="E32" s="1468"/>
      <c r="F32" s="1468"/>
      <c r="G32" s="1468"/>
      <c r="H32" s="1468"/>
      <c r="I32" s="1468"/>
      <c r="J32" s="1468"/>
      <c r="K32" s="1468"/>
      <c r="L32" s="1468"/>
      <c r="M32" s="1468"/>
      <c r="N32" s="1468"/>
      <c r="O32" s="1469"/>
      <c r="P32" s="1469"/>
      <c r="Q32" s="2293"/>
      <c r="R32" s="1430"/>
      <c r="S32" s="1491"/>
      <c r="T32" s="1041"/>
      <c r="U32" s="1041"/>
      <c r="V32" s="1041"/>
      <c r="W32" s="1041"/>
      <c r="X32" s="1041"/>
      <c r="Y32" s="1041"/>
      <c r="Z32" s="1041"/>
      <c r="AA32" s="1041"/>
      <c r="AB32" s="1041"/>
      <c r="AC32" s="1041"/>
      <c r="AD32" s="1041"/>
      <c r="AE32" s="3282" t="s">
        <v>1034</v>
      </c>
      <c r="AF32" s="1041"/>
      <c r="AG32" s="1041"/>
      <c r="AH32" s="1420"/>
    </row>
    <row r="33" spans="1:34" ht="12.9" customHeight="1">
      <c r="A33" s="1418"/>
      <c r="B33" s="1425"/>
      <c r="C33" s="1464"/>
      <c r="D33" s="2279" t="s">
        <v>1019</v>
      </c>
      <c r="E33" s="1465"/>
      <c r="F33" s="1465"/>
      <c r="G33" s="1465"/>
      <c r="H33" s="1465"/>
      <c r="I33" s="1465"/>
      <c r="J33" s="1465"/>
      <c r="K33" s="1465"/>
      <c r="L33" s="1465"/>
      <c r="M33" s="1465"/>
      <c r="N33" s="1466"/>
      <c r="O33" s="1507" t="s">
        <v>1024</v>
      </c>
      <c r="P33" s="2292"/>
      <c r="Q33" s="2293"/>
      <c r="R33" s="1430"/>
      <c r="S33" s="1491"/>
      <c r="T33" s="1041"/>
      <c r="U33" s="3283" t="s">
        <v>796</v>
      </c>
      <c r="V33" s="3284"/>
      <c r="W33" s="3284"/>
      <c r="X33" s="3284"/>
      <c r="Y33" s="3284"/>
      <c r="Z33" s="3284"/>
      <c r="AA33" s="3284"/>
      <c r="AB33" s="3284"/>
      <c r="AC33" s="3284"/>
      <c r="AD33" s="1041"/>
      <c r="AE33" s="1041"/>
      <c r="AF33" s="1041"/>
      <c r="AG33" s="1041"/>
      <c r="AH33" s="1420"/>
    </row>
    <row r="34" spans="1:34" ht="12.9" customHeight="1">
      <c r="A34" s="1418"/>
      <c r="B34" s="1425"/>
      <c r="C34" s="1464"/>
      <c r="D34" s="2172" t="s">
        <v>20</v>
      </c>
      <c r="E34" s="2285"/>
      <c r="F34" s="1462"/>
      <c r="G34" s="3269"/>
      <c r="H34" s="3269"/>
      <c r="I34" s="3269"/>
      <c r="J34" s="3269"/>
      <c r="K34" s="3269"/>
      <c r="L34" s="3269"/>
      <c r="M34" s="3269"/>
      <c r="N34" s="3269"/>
      <c r="O34" s="1492">
        <f>E34+F34+G34+H34+I34+J34+K34+L34+M34+N34</f>
        <v>0</v>
      </c>
      <c r="P34" s="1469"/>
      <c r="Q34" s="2293"/>
      <c r="R34" s="1430"/>
      <c r="S34" s="1491"/>
      <c r="T34" s="1041"/>
      <c r="U34" s="2172" t="s">
        <v>20</v>
      </c>
      <c r="V34" s="3276" t="str">
        <f t="shared" ref="V34:AE35" si="2">IF(E30&gt;=E46," ","خطأ")</f>
        <v xml:space="preserve"> </v>
      </c>
      <c r="W34" s="3276" t="str">
        <f t="shared" si="2"/>
        <v xml:space="preserve"> </v>
      </c>
      <c r="X34" s="3276" t="str">
        <f t="shared" si="2"/>
        <v xml:space="preserve"> </v>
      </c>
      <c r="Y34" s="3276" t="str">
        <f t="shared" si="2"/>
        <v xml:space="preserve"> </v>
      </c>
      <c r="Z34" s="3276" t="str">
        <f t="shared" si="2"/>
        <v xml:space="preserve"> </v>
      </c>
      <c r="AA34" s="3276" t="str">
        <f t="shared" si="2"/>
        <v xml:space="preserve"> </v>
      </c>
      <c r="AB34" s="3276" t="str">
        <f t="shared" si="2"/>
        <v xml:space="preserve"> </v>
      </c>
      <c r="AC34" s="3276" t="str">
        <f t="shared" si="2"/>
        <v xml:space="preserve"> </v>
      </c>
      <c r="AD34" s="3276" t="str">
        <f t="shared" si="2"/>
        <v xml:space="preserve"> </v>
      </c>
      <c r="AE34" s="3276" t="str">
        <f t="shared" si="2"/>
        <v xml:space="preserve"> </v>
      </c>
      <c r="AF34" s="1041"/>
      <c r="AG34" s="1041"/>
      <c r="AH34" s="1420"/>
    </row>
    <row r="35" spans="1:34" ht="12.9" customHeight="1">
      <c r="A35" s="1418"/>
      <c r="B35" s="1425"/>
      <c r="C35" s="1464"/>
      <c r="D35" s="2172" t="s">
        <v>19</v>
      </c>
      <c r="E35" s="2285"/>
      <c r="F35" s="3269"/>
      <c r="G35" s="3269"/>
      <c r="H35" s="3269"/>
      <c r="I35" s="3269"/>
      <c r="J35" s="3269"/>
      <c r="K35" s="3269"/>
      <c r="L35" s="3269"/>
      <c r="M35" s="3269"/>
      <c r="N35" s="3269"/>
      <c r="O35" s="1492">
        <f>E35+F35+G35+H35+I35+J35+K35+L35+M35+N35</f>
        <v>0</v>
      </c>
      <c r="P35" s="1469"/>
      <c r="Q35" s="2293"/>
      <c r="R35" s="1430"/>
      <c r="S35" s="1491"/>
      <c r="T35" s="1041"/>
      <c r="U35" s="2172" t="s">
        <v>19</v>
      </c>
      <c r="V35" s="3276" t="str">
        <f t="shared" si="2"/>
        <v xml:space="preserve"> </v>
      </c>
      <c r="W35" s="3276" t="str">
        <f t="shared" si="2"/>
        <v xml:space="preserve"> </v>
      </c>
      <c r="X35" s="3276" t="str">
        <f t="shared" si="2"/>
        <v xml:space="preserve"> </v>
      </c>
      <c r="Y35" s="3276" t="str">
        <f t="shared" si="2"/>
        <v xml:space="preserve"> </v>
      </c>
      <c r="Z35" s="3276" t="str">
        <f t="shared" si="2"/>
        <v xml:space="preserve"> </v>
      </c>
      <c r="AA35" s="3276" t="str">
        <f t="shared" si="2"/>
        <v xml:space="preserve"> </v>
      </c>
      <c r="AB35" s="3276" t="str">
        <f t="shared" si="2"/>
        <v xml:space="preserve"> </v>
      </c>
      <c r="AC35" s="3276" t="str">
        <f t="shared" si="2"/>
        <v xml:space="preserve"> </v>
      </c>
      <c r="AD35" s="3276" t="str">
        <f t="shared" si="2"/>
        <v xml:space="preserve"> </v>
      </c>
      <c r="AE35" s="3276" t="str">
        <f t="shared" si="2"/>
        <v xml:space="preserve"> </v>
      </c>
      <c r="AF35" s="1041"/>
      <c r="AG35" s="1041"/>
      <c r="AH35" s="1420"/>
    </row>
    <row r="36" spans="1:34" ht="9.9" customHeight="1">
      <c r="A36" s="1418"/>
      <c r="B36" s="1425"/>
      <c r="C36" s="1464"/>
      <c r="D36" s="1920"/>
      <c r="E36" s="1495"/>
      <c r="F36" s="1495"/>
      <c r="G36" s="1495"/>
      <c r="H36" s="1495"/>
      <c r="I36" s="1495"/>
      <c r="J36" s="1495"/>
      <c r="K36" s="1495"/>
      <c r="L36" s="1495"/>
      <c r="M36" s="1495"/>
      <c r="N36" s="1495"/>
      <c r="O36" s="1494"/>
      <c r="P36" s="1469"/>
      <c r="Q36" s="2293"/>
      <c r="R36" s="1430"/>
      <c r="S36" s="1491"/>
      <c r="T36" s="4214" t="s">
        <v>1391</v>
      </c>
      <c r="U36" s="4214"/>
      <c r="V36" s="4214"/>
      <c r="W36" s="4214"/>
      <c r="X36" s="4214"/>
      <c r="Y36" s="4214"/>
      <c r="Z36" s="4214"/>
      <c r="AA36" s="4214"/>
      <c r="AB36" s="4214"/>
      <c r="AC36" s="4214"/>
      <c r="AD36" s="4214"/>
      <c r="AE36" s="4214"/>
      <c r="AF36" s="3285"/>
      <c r="AG36" s="1041"/>
      <c r="AH36" s="1420"/>
    </row>
    <row r="37" spans="1:34" ht="9.9" customHeight="1">
      <c r="A37" s="1418"/>
      <c r="B37" s="1425"/>
      <c r="C37" s="1464"/>
      <c r="D37" s="1471"/>
      <c r="E37" s="1470"/>
      <c r="F37" s="1470"/>
      <c r="G37" s="1470"/>
      <c r="H37" s="1470"/>
      <c r="I37" s="1470"/>
      <c r="J37" s="1470"/>
      <c r="K37" s="1470"/>
      <c r="L37" s="1470"/>
      <c r="M37" s="1470"/>
      <c r="N37" s="1470"/>
      <c r="O37" s="1471"/>
      <c r="P37" s="649"/>
      <c r="Q37" s="2293"/>
      <c r="R37" s="1430"/>
      <c r="S37" s="1491"/>
      <c r="T37" s="4214"/>
      <c r="U37" s="4214"/>
      <c r="V37" s="4214"/>
      <c r="W37" s="4214"/>
      <c r="X37" s="4214"/>
      <c r="Y37" s="4214"/>
      <c r="Z37" s="4214"/>
      <c r="AA37" s="4214"/>
      <c r="AB37" s="4214"/>
      <c r="AC37" s="4214"/>
      <c r="AD37" s="4214"/>
      <c r="AE37" s="4214"/>
      <c r="AF37" s="3285"/>
      <c r="AG37" s="1041"/>
      <c r="AH37" s="1420"/>
    </row>
    <row r="38" spans="1:34" ht="18.75" customHeight="1">
      <c r="A38" s="1418"/>
      <c r="B38" s="1425"/>
      <c r="C38" s="1464"/>
      <c r="D38" s="2281"/>
      <c r="E38" s="2028" t="s">
        <v>967</v>
      </c>
      <c r="F38" s="1472"/>
      <c r="G38" s="1473"/>
      <c r="H38" s="1474"/>
      <c r="I38" s="1472"/>
      <c r="J38" s="1472"/>
      <c r="K38" s="1472"/>
      <c r="L38" s="1472"/>
      <c r="M38" s="1475"/>
      <c r="N38" s="1475" t="s">
        <v>792</v>
      </c>
      <c r="O38" s="2275"/>
      <c r="P38" s="649"/>
      <c r="Q38" s="2293"/>
      <c r="R38" s="1430"/>
      <c r="S38" s="1491"/>
      <c r="T38" s="3286"/>
      <c r="U38" s="2407" t="s">
        <v>790</v>
      </c>
      <c r="V38" s="1488" t="s">
        <v>17</v>
      </c>
      <c r="W38" s="1488" t="s">
        <v>16</v>
      </c>
      <c r="X38" s="1488" t="s">
        <v>15</v>
      </c>
      <c r="Y38" s="1488" t="s">
        <v>14</v>
      </c>
      <c r="Z38" s="1488" t="s">
        <v>13</v>
      </c>
      <c r="AA38" s="1488" t="s">
        <v>12</v>
      </c>
      <c r="AB38" s="1488" t="s">
        <v>11</v>
      </c>
      <c r="AC38" s="1488" t="s">
        <v>10</v>
      </c>
      <c r="AD38" s="1488" t="s">
        <v>9</v>
      </c>
      <c r="AE38" s="1488" t="s">
        <v>28</v>
      </c>
      <c r="AF38" s="3285"/>
      <c r="AG38" s="1041"/>
      <c r="AH38" s="1420"/>
    </row>
    <row r="39" spans="1:34" ht="3.9" customHeight="1">
      <c r="A39" s="1418"/>
      <c r="B39" s="1425"/>
      <c r="C39" s="1464"/>
      <c r="D39" s="2282"/>
      <c r="E39" s="1476"/>
      <c r="F39" s="1477"/>
      <c r="G39" s="1478"/>
      <c r="H39" s="1479"/>
      <c r="I39" s="1477"/>
      <c r="J39" s="1477"/>
      <c r="K39" s="1477"/>
      <c r="L39" s="1477"/>
      <c r="M39" s="1480"/>
      <c r="N39" s="1480"/>
      <c r="O39" s="2276"/>
      <c r="P39" s="649"/>
      <c r="Q39" s="2293"/>
      <c r="R39" s="1430"/>
      <c r="S39" s="1491"/>
      <c r="T39" s="3286"/>
      <c r="U39" s="4207" t="s">
        <v>761</v>
      </c>
      <c r="V39" s="4211">
        <f t="shared" ref="V39:AE39" si="3">V43-V46</f>
        <v>-13</v>
      </c>
      <c r="W39" s="4211">
        <f t="shared" si="3"/>
        <v>-24</v>
      </c>
      <c r="X39" s="4211">
        <f t="shared" si="3"/>
        <v>19</v>
      </c>
      <c r="Y39" s="4211">
        <f t="shared" si="3"/>
        <v>-6</v>
      </c>
      <c r="Z39" s="4211">
        <f t="shared" si="3"/>
        <v>5</v>
      </c>
      <c r="AA39" s="4211">
        <f t="shared" si="3"/>
        <v>-2</v>
      </c>
      <c r="AB39" s="4211">
        <f t="shared" si="3"/>
        <v>0</v>
      </c>
      <c r="AC39" s="4211">
        <f t="shared" si="3"/>
        <v>0</v>
      </c>
      <c r="AD39" s="4211">
        <f t="shared" si="3"/>
        <v>0</v>
      </c>
      <c r="AE39" s="4211">
        <f t="shared" si="3"/>
        <v>-21</v>
      </c>
      <c r="AF39" s="3285"/>
      <c r="AG39" s="1041"/>
      <c r="AH39" s="1420"/>
    </row>
    <row r="40" spans="1:34" ht="15" customHeight="1">
      <c r="A40" s="1418"/>
      <c r="B40" s="1425"/>
      <c r="C40" s="1464"/>
      <c r="D40" s="2277" t="s">
        <v>1020</v>
      </c>
      <c r="E40" s="1496"/>
      <c r="F40" s="1496"/>
      <c r="G40" s="1496"/>
      <c r="H40" s="1497"/>
      <c r="I40" s="1496"/>
      <c r="J40" s="1496"/>
      <c r="K40" s="1496"/>
      <c r="L40" s="1496"/>
      <c r="M40" s="1496"/>
      <c r="N40" s="1496"/>
      <c r="O40" s="1484" t="s">
        <v>1023</v>
      </c>
      <c r="P40" s="649"/>
      <c r="Q40" s="2293"/>
      <c r="R40" s="1430"/>
      <c r="S40" s="1491"/>
      <c r="T40" s="3286"/>
      <c r="U40" s="4207"/>
      <c r="V40" s="4211"/>
      <c r="W40" s="4211"/>
      <c r="X40" s="4211"/>
      <c r="Y40" s="4211"/>
      <c r="Z40" s="4211"/>
      <c r="AA40" s="4211"/>
      <c r="AB40" s="4211"/>
      <c r="AC40" s="4211"/>
      <c r="AD40" s="4211"/>
      <c r="AE40" s="4211"/>
      <c r="AF40" s="3285"/>
      <c r="AG40" s="1041"/>
      <c r="AH40" s="1420"/>
    </row>
    <row r="41" spans="1:34" ht="6.9" customHeight="1">
      <c r="A41" s="1418"/>
      <c r="B41" s="1425"/>
      <c r="C41" s="1464"/>
      <c r="D41" s="2279"/>
      <c r="E41" s="1446"/>
      <c r="F41" s="1446"/>
      <c r="G41" s="1446"/>
      <c r="H41" s="1446"/>
      <c r="I41" s="1446"/>
      <c r="J41" s="1446"/>
      <c r="K41" s="1446"/>
      <c r="L41" s="1446"/>
      <c r="M41" s="1446"/>
      <c r="N41" s="1446"/>
      <c r="O41" s="649"/>
      <c r="P41" s="649"/>
      <c r="Q41" s="2293"/>
      <c r="R41" s="1430"/>
      <c r="S41" s="1491"/>
      <c r="T41" s="3286"/>
      <c r="U41" s="4207"/>
      <c r="V41" s="4209" t="str">
        <f t="shared" ref="V41:AE41" si="4">IF((V39)&lt;0,"خطأ","")</f>
        <v>خطأ</v>
      </c>
      <c r="W41" s="4209" t="str">
        <f t="shared" si="4"/>
        <v>خطأ</v>
      </c>
      <c r="X41" s="4209" t="str">
        <f t="shared" si="4"/>
        <v/>
      </c>
      <c r="Y41" s="4209" t="str">
        <f t="shared" si="4"/>
        <v>خطأ</v>
      </c>
      <c r="Z41" s="4209" t="str">
        <f t="shared" si="4"/>
        <v/>
      </c>
      <c r="AA41" s="4209" t="str">
        <f t="shared" si="4"/>
        <v>خطأ</v>
      </c>
      <c r="AB41" s="4209" t="str">
        <f t="shared" si="4"/>
        <v/>
      </c>
      <c r="AC41" s="4209" t="str">
        <f t="shared" si="4"/>
        <v/>
      </c>
      <c r="AD41" s="4209" t="str">
        <f t="shared" si="4"/>
        <v/>
      </c>
      <c r="AE41" s="4209" t="str">
        <f t="shared" si="4"/>
        <v>خطأ</v>
      </c>
      <c r="AF41" s="3285"/>
      <c r="AG41" s="1041"/>
      <c r="AH41" s="1420"/>
    </row>
    <row r="42" spans="1:34" ht="12.9" customHeight="1" thickBot="1">
      <c r="A42" s="1418"/>
      <c r="B42" s="1425"/>
      <c r="C42" s="1464"/>
      <c r="D42" s="2172" t="s">
        <v>20</v>
      </c>
      <c r="E42" s="3209"/>
      <c r="F42" s="3210"/>
      <c r="G42" s="3210"/>
      <c r="H42" s="3210">
        <v>26</v>
      </c>
      <c r="I42" s="3210"/>
      <c r="J42" s="3210"/>
      <c r="K42" s="3210"/>
      <c r="L42" s="3210"/>
      <c r="M42" s="3210"/>
      <c r="N42" s="3210"/>
      <c r="O42" s="3211">
        <f>E42+F42+G42+H42+I42+J42+K42+L42+M42+N42</f>
        <v>26</v>
      </c>
      <c r="P42" s="1469"/>
      <c r="Q42" s="2293"/>
      <c r="R42" s="1430"/>
      <c r="S42" s="1491"/>
      <c r="T42" s="3286"/>
      <c r="U42" s="4216"/>
      <c r="V42" s="4210"/>
      <c r="W42" s="4210"/>
      <c r="X42" s="4210"/>
      <c r="Y42" s="4210"/>
      <c r="Z42" s="4210"/>
      <c r="AA42" s="4210"/>
      <c r="AB42" s="4210"/>
      <c r="AC42" s="4210"/>
      <c r="AD42" s="4210"/>
      <c r="AE42" s="4210"/>
      <c r="AF42" s="3285"/>
      <c r="AH42" s="1420"/>
    </row>
    <row r="43" spans="1:34" ht="12.9" customHeight="1">
      <c r="A43" s="1418"/>
      <c r="B43" s="1425"/>
      <c r="C43" s="1464"/>
      <c r="D43" s="2172" t="s">
        <v>19</v>
      </c>
      <c r="E43" s="3209"/>
      <c r="F43" s="3210"/>
      <c r="G43" s="3210"/>
      <c r="H43" s="3210">
        <v>4</v>
      </c>
      <c r="I43" s="3210"/>
      <c r="J43" s="3210"/>
      <c r="K43" s="3210"/>
      <c r="L43" s="3210"/>
      <c r="M43" s="3210"/>
      <c r="N43" s="3210"/>
      <c r="O43" s="3211">
        <f>E43+F43+G43+H43+I43+J43+K43+L43+M43+N43</f>
        <v>4</v>
      </c>
      <c r="P43" s="1469"/>
      <c r="Q43" s="2293"/>
      <c r="R43" s="1430"/>
      <c r="S43" s="1491"/>
      <c r="T43" s="3286"/>
      <c r="U43" s="4206" t="s">
        <v>20</v>
      </c>
      <c r="V43" s="4212">
        <f>('الصفحة 6'!E13-'الصفحة 6'!E17)-((((F26-F30)-(F42-F46)))+('الصفحة 6'!F42-'الصفحة 6'!F46))</f>
        <v>-11</v>
      </c>
      <c r="W43" s="4212">
        <f>('الصفحة 6'!F13-'الصفحة 6'!F17)-((((G26-G30)-(G42-G46)))+('الصفحة 6'!G42-'الصفحة 6'!G46))</f>
        <v>-49</v>
      </c>
      <c r="X43" s="4212">
        <f>('الصفحة 6'!G13-'الصفحة 6'!G17)-((((H26-H30)-(H42-H46)))+('الصفحة 6'!H42-'الصفحة 6'!H46))</f>
        <v>19</v>
      </c>
      <c r="Y43" s="4212">
        <f>('الصفحة 6'!H13-'الصفحة 6'!H17)-((((I26-I30)-(I42-I46)))+('الصفحة 6'!I42-'الصفحة 6'!I46))</f>
        <v>-4</v>
      </c>
      <c r="Z43" s="4212">
        <f>('الصفحة 6'!I13-'الصفحة 6'!I17)-((((J26-J30)-(J42-J46)))+('الصفحة 6'!J42-'الصفحة 6'!J46))</f>
        <v>3</v>
      </c>
      <c r="AA43" s="4212">
        <f>('الصفحة 6'!J13-'الصفحة 6'!J17)-((((K26-K30)-(K42-K46)))+('الصفحة 6'!K42-'الصفحة 6'!K46))</f>
        <v>-2</v>
      </c>
      <c r="AB43" s="4212">
        <f>('الصفحة 6'!K13-'الصفحة 6'!K17)-((((L26-L30)-(L42-L46)))+('الصفحة 6'!L42-'الصفحة 6'!L46))</f>
        <v>0</v>
      </c>
      <c r="AC43" s="4212">
        <f>('الصفحة 6'!L13-'الصفحة 6'!L17)-((((M26-M30)-(M42-M46)))+('الصفحة 6'!M42-'الصفحة 6'!M46))</f>
        <v>0</v>
      </c>
      <c r="AD43" s="4212">
        <f>('الصفحة 6'!M13-'الصفحة 6'!M17)-((((N26-N30)-(N42-N46)))+('الصفحة 6'!N42-'الصفحة 6'!N46))</f>
        <v>0</v>
      </c>
      <c r="AE43" s="4212">
        <f>'حوصلة الانتقال والتسرب'!Y13</f>
        <v>-44</v>
      </c>
      <c r="AF43" s="3285"/>
      <c r="AH43" s="1420"/>
    </row>
    <row r="44" spans="1:34" ht="9.9" customHeight="1">
      <c r="A44" s="1418"/>
      <c r="B44" s="1425"/>
      <c r="C44" s="1464"/>
      <c r="D44" s="2280"/>
      <c r="E44" s="1468"/>
      <c r="F44" s="1468"/>
      <c r="G44" s="1468"/>
      <c r="H44" s="1468"/>
      <c r="I44" s="1468"/>
      <c r="J44" s="1468"/>
      <c r="K44" s="1468"/>
      <c r="L44" s="1468"/>
      <c r="M44" s="1468"/>
      <c r="N44" s="1468"/>
      <c r="O44" s="1469"/>
      <c r="P44" s="1469"/>
      <c r="Q44" s="2293"/>
      <c r="R44" s="1430"/>
      <c r="S44" s="1491"/>
      <c r="T44" s="3286"/>
      <c r="U44" s="4207"/>
      <c r="V44" s="4213"/>
      <c r="W44" s="4213"/>
      <c r="X44" s="4213"/>
      <c r="Y44" s="4213"/>
      <c r="Z44" s="4213"/>
      <c r="AA44" s="4213"/>
      <c r="AB44" s="4213"/>
      <c r="AC44" s="4213"/>
      <c r="AD44" s="4213"/>
      <c r="AE44" s="4213"/>
      <c r="AF44" s="3285"/>
      <c r="AG44" s="1041"/>
      <c r="AH44" s="1420"/>
    </row>
    <row r="45" spans="1:34" ht="12.9" customHeight="1" thickBot="1">
      <c r="A45" s="1418"/>
      <c r="B45" s="1425"/>
      <c r="C45" s="1464"/>
      <c r="D45" s="2284" t="s">
        <v>1021</v>
      </c>
      <c r="E45" s="1465"/>
      <c r="F45" s="1465"/>
      <c r="G45" s="1465"/>
      <c r="H45" s="1465"/>
      <c r="I45" s="1465"/>
      <c r="J45" s="1465"/>
      <c r="K45" s="1465"/>
      <c r="L45" s="1465"/>
      <c r="M45" s="1465"/>
      <c r="N45" s="1466"/>
      <c r="O45" s="1508" t="s">
        <v>1022</v>
      </c>
      <c r="P45" s="2292"/>
      <c r="Q45" s="2293"/>
      <c r="R45" s="1430"/>
      <c r="S45" s="1491"/>
      <c r="T45" s="3288"/>
      <c r="U45" s="4208"/>
      <c r="V45" s="3331" t="str">
        <f t="shared" ref="V45:AE45" si="5">IF((V43)&lt;0,"خطأ","")</f>
        <v>خطأ</v>
      </c>
      <c r="W45" s="3331" t="str">
        <f t="shared" si="5"/>
        <v>خطأ</v>
      </c>
      <c r="X45" s="3331" t="str">
        <f t="shared" si="5"/>
        <v/>
      </c>
      <c r="Y45" s="3331" t="str">
        <f t="shared" si="5"/>
        <v>خطأ</v>
      </c>
      <c r="Z45" s="3331" t="str">
        <f t="shared" si="5"/>
        <v/>
      </c>
      <c r="AA45" s="3331" t="str">
        <f t="shared" si="5"/>
        <v>خطأ</v>
      </c>
      <c r="AB45" s="3331" t="str">
        <f t="shared" si="5"/>
        <v/>
      </c>
      <c r="AC45" s="3331" t="str">
        <f t="shared" si="5"/>
        <v/>
      </c>
      <c r="AD45" s="3331" t="str">
        <f t="shared" si="5"/>
        <v/>
      </c>
      <c r="AE45" s="3331" t="str">
        <f t="shared" si="5"/>
        <v>خطأ</v>
      </c>
      <c r="AF45" s="3286"/>
      <c r="AG45" s="1041"/>
      <c r="AH45" s="1420"/>
    </row>
    <row r="46" spans="1:34" ht="12.9" customHeight="1">
      <c r="A46" s="1418"/>
      <c r="B46" s="1425"/>
      <c r="C46" s="1464"/>
      <c r="D46" s="2172" t="s">
        <v>20</v>
      </c>
      <c r="E46" s="3209"/>
      <c r="F46" s="3210"/>
      <c r="G46" s="3210"/>
      <c r="H46" s="3210"/>
      <c r="I46" s="3210"/>
      <c r="J46" s="3210"/>
      <c r="K46" s="3210"/>
      <c r="L46" s="3210"/>
      <c r="M46" s="3210"/>
      <c r="N46" s="3210"/>
      <c r="O46" s="3211">
        <f>E46+F46+G46+H46+I46+J46+K46+L46+M46+N46</f>
        <v>0</v>
      </c>
      <c r="P46" s="1469"/>
      <c r="Q46" s="2293"/>
      <c r="R46" s="1430"/>
      <c r="S46" s="1491"/>
      <c r="T46" s="3288"/>
      <c r="U46" s="4215" t="s">
        <v>19</v>
      </c>
      <c r="V46" s="3330">
        <f>('الصفحة 6'!E14-'الصفحة 6'!E18)-((((F27-F31)-(F43-F47)))+('الصفحة 6'!F43-'الصفحة 6'!F47))</f>
        <v>2</v>
      </c>
      <c r="W46" s="3330">
        <f>('الصفحة 6'!F14-'الصفحة 6'!F18)-((((G27-G31)-(G43-G47)))+('الصفحة 6'!G43-'الصفحة 6'!G47))</f>
        <v>-25</v>
      </c>
      <c r="X46" s="3330">
        <f>('الصفحة 6'!G14-'الصفحة 6'!G18)-((((H27-H31)-(H43-H47)))+('الصفحة 6'!H43-'الصفحة 6'!H47))</f>
        <v>0</v>
      </c>
      <c r="Y46" s="3330">
        <f>('الصفحة 6'!H14-'الصفحة 6'!H18)-((((I27-I31)-(I43-I47)))+('الصفحة 6'!I43-'الصفحة 6'!I47))</f>
        <v>2</v>
      </c>
      <c r="Z46" s="3330">
        <f>('الصفحة 6'!I14-'الصفحة 6'!I18)-((((J27-J31)-(J43-J47)))+('الصفحة 6'!J43-'الصفحة 6'!J47))</f>
        <v>-2</v>
      </c>
      <c r="AA46" s="3330">
        <f>('الصفحة 6'!J14-'الصفحة 6'!J18)-((((K27-K31)-(K43-K47)))+('الصفحة 6'!K43-'الصفحة 6'!K47))</f>
        <v>0</v>
      </c>
      <c r="AB46" s="3330">
        <f>('الصفحة 6'!K14-'الصفحة 6'!K18)-((((L27-L31)-(L43-L47)))+('الصفحة 6'!L43-'الصفحة 6'!L47))</f>
        <v>0</v>
      </c>
      <c r="AC46" s="3330">
        <f>('الصفحة 6'!L14-'الصفحة 6'!L18)-((((M27-M31)-(M43-M47)))+('الصفحة 6'!M43-'الصفحة 6'!M47))</f>
        <v>0</v>
      </c>
      <c r="AD46" s="3330">
        <f>('الصفحة 6'!M14-'الصفحة 6'!M18)-((((N27-N31)-(N43-N47)))+('الصفحة 6'!N43-'الصفحة 6'!N47))</f>
        <v>0</v>
      </c>
      <c r="AE46" s="3330">
        <f>'حوصلة الانتقال والتسرب'!U13</f>
        <v>-23</v>
      </c>
      <c r="AF46" s="3286"/>
      <c r="AG46" s="1041"/>
      <c r="AH46" s="1420"/>
    </row>
    <row r="47" spans="1:34" ht="12.9" customHeight="1">
      <c r="A47" s="1418"/>
      <c r="B47" s="1425"/>
      <c r="C47" s="1464"/>
      <c r="D47" s="2172" t="s">
        <v>19</v>
      </c>
      <c r="E47" s="3209"/>
      <c r="F47" s="3210"/>
      <c r="G47" s="3210"/>
      <c r="H47" s="3210"/>
      <c r="I47" s="3210"/>
      <c r="J47" s="3210"/>
      <c r="K47" s="3210"/>
      <c r="L47" s="3210"/>
      <c r="M47" s="3210"/>
      <c r="N47" s="3210"/>
      <c r="O47" s="3211">
        <f>E47+F47+G47+H47+I47+J47+K47+L47+M47+N47</f>
        <v>0</v>
      </c>
      <c r="P47" s="1469"/>
      <c r="Q47" s="2293"/>
      <c r="R47" s="1430"/>
      <c r="S47" s="1491"/>
      <c r="T47" s="3288"/>
      <c r="U47" s="4207"/>
      <c r="V47" s="3287" t="str">
        <f t="shared" ref="V47:AE47" si="6">IF((V46)&lt;0,"خطأ","")</f>
        <v/>
      </c>
      <c r="W47" s="3287" t="str">
        <f t="shared" si="6"/>
        <v>خطأ</v>
      </c>
      <c r="X47" s="3287" t="str">
        <f t="shared" si="6"/>
        <v/>
      </c>
      <c r="Y47" s="3287" t="str">
        <f t="shared" si="6"/>
        <v/>
      </c>
      <c r="Z47" s="3287" t="str">
        <f t="shared" si="6"/>
        <v>خطأ</v>
      </c>
      <c r="AA47" s="3287" t="str">
        <f t="shared" si="6"/>
        <v/>
      </c>
      <c r="AB47" s="3287" t="str">
        <f t="shared" si="6"/>
        <v/>
      </c>
      <c r="AC47" s="3287" t="str">
        <f t="shared" si="6"/>
        <v/>
      </c>
      <c r="AD47" s="3287" t="str">
        <f t="shared" si="6"/>
        <v/>
      </c>
      <c r="AE47" s="3287" t="str">
        <f t="shared" si="6"/>
        <v>خطأ</v>
      </c>
      <c r="AF47" s="3286"/>
      <c r="AG47" s="1041"/>
      <c r="AH47" s="1420"/>
    </row>
    <row r="48" spans="1:34" ht="8.1" customHeight="1" thickBot="1">
      <c r="A48" s="1418"/>
      <c r="B48" s="1425"/>
      <c r="C48" s="1498"/>
      <c r="D48" s="2298"/>
      <c r="E48" s="2299"/>
      <c r="F48" s="2299"/>
      <c r="G48" s="2299"/>
      <c r="H48" s="2299"/>
      <c r="I48" s="2299"/>
      <c r="J48" s="2299"/>
      <c r="K48" s="2299"/>
      <c r="L48" s="2299"/>
      <c r="M48" s="2299"/>
      <c r="N48" s="2299"/>
      <c r="O48" s="2299"/>
      <c r="P48" s="2299"/>
      <c r="Q48" s="2300"/>
      <c r="R48" s="1430"/>
      <c r="S48" s="1491"/>
      <c r="T48" s="3288"/>
      <c r="U48" s="3286"/>
      <c r="V48" s="3286"/>
      <c r="W48" s="3286"/>
      <c r="X48" s="3286"/>
      <c r="Y48" s="3286"/>
      <c r="Z48" s="3286"/>
      <c r="AA48" s="3286"/>
      <c r="AB48" s="3286"/>
      <c r="AC48" s="3286"/>
      <c r="AD48" s="3286"/>
      <c r="AE48" s="3286"/>
      <c r="AF48" s="3286"/>
      <c r="AG48" s="1041"/>
      <c r="AH48" s="1420"/>
    </row>
    <row r="49" spans="1:34" ht="12" customHeight="1" thickBot="1">
      <c r="A49" s="1418"/>
      <c r="B49" s="1502"/>
      <c r="C49" s="4200">
        <v>7</v>
      </c>
      <c r="D49" s="4200"/>
      <c r="E49" s="4200"/>
      <c r="F49" s="4200"/>
      <c r="G49" s="4200"/>
      <c r="H49" s="4200"/>
      <c r="I49" s="4200"/>
      <c r="J49" s="4200"/>
      <c r="K49" s="4200"/>
      <c r="L49" s="4200"/>
      <c r="M49" s="4200"/>
      <c r="N49" s="4200"/>
      <c r="O49" s="4200"/>
      <c r="P49" s="4200"/>
      <c r="Q49" s="4200"/>
      <c r="R49" s="1503"/>
      <c r="S49" s="1416"/>
      <c r="T49" s="1041"/>
      <c r="U49" s="2283" t="s">
        <v>1026</v>
      </c>
      <c r="V49" s="3328"/>
      <c r="W49" s="3328"/>
      <c r="X49" s="3328"/>
      <c r="Y49" s="3328"/>
      <c r="Z49" s="3328"/>
      <c r="AA49" s="3328"/>
      <c r="AB49" s="3328"/>
      <c r="AC49" s="3328"/>
      <c r="AD49" s="3328"/>
      <c r="AE49" s="3328"/>
      <c r="AF49" s="1041"/>
      <c r="AG49" s="1041"/>
      <c r="AH49" s="1420"/>
    </row>
    <row r="50" spans="1:34" ht="15" customHeight="1">
      <c r="A50" s="1418"/>
      <c r="B50" s="3151" t="str">
        <f>'الصفحة 1'!$B$101</f>
        <v>السنة الدراسية  2022 - 2023</v>
      </c>
      <c r="C50" s="1417"/>
      <c r="D50" s="1417"/>
      <c r="E50" s="1417"/>
      <c r="F50" s="1417"/>
      <c r="G50" s="1417"/>
      <c r="H50" s="1417"/>
      <c r="I50" s="1417"/>
      <c r="J50" s="1417"/>
      <c r="K50" s="1417"/>
      <c r="L50" s="1417"/>
      <c r="M50" s="1417"/>
      <c r="N50" s="1417"/>
      <c r="O50" s="1417"/>
      <c r="P50" s="1417"/>
      <c r="Q50" s="1417"/>
      <c r="R50" s="1416"/>
      <c r="S50" s="1418"/>
      <c r="T50" s="1419"/>
      <c r="U50" s="1419"/>
      <c r="V50" s="1419"/>
      <c r="W50" s="1419"/>
      <c r="X50" s="1419"/>
      <c r="Y50" s="1419"/>
      <c r="Z50" s="1419"/>
      <c r="AA50" s="1419"/>
      <c r="AB50" s="1419"/>
      <c r="AC50" s="1419"/>
      <c r="AD50" s="1419"/>
      <c r="AE50" s="3329" t="s">
        <v>1035</v>
      </c>
      <c r="AF50" s="1419"/>
      <c r="AG50" s="1419"/>
      <c r="AH50" s="1420"/>
    </row>
    <row r="51" spans="1:34" hidden="1"/>
    <row r="52" spans="1:34" hidden="1"/>
    <row r="53" spans="1:34" hidden="1"/>
    <row r="54" spans="1:34" hidden="1"/>
    <row r="55" spans="1:34" hidden="1"/>
    <row r="56" spans="1:34" hidden="1"/>
    <row r="57" spans="1:34" hidden="1"/>
  </sheetData>
  <sheetProtection password="D8D3" sheet="1" objects="1" scenarios="1"/>
  <mergeCells count="38">
    <mergeCell ref="AE43:AE44"/>
    <mergeCell ref="T2:AE8"/>
    <mergeCell ref="U19:AC20"/>
    <mergeCell ref="U27:AA28"/>
    <mergeCell ref="C49:Q49"/>
    <mergeCell ref="T36:AE37"/>
    <mergeCell ref="U46:U47"/>
    <mergeCell ref="V43:V44"/>
    <mergeCell ref="W43:W44"/>
    <mergeCell ref="X43:X44"/>
    <mergeCell ref="Y43:Y44"/>
    <mergeCell ref="Z43:Z44"/>
    <mergeCell ref="U39:U42"/>
    <mergeCell ref="AA43:AA44"/>
    <mergeCell ref="AB43:AB44"/>
    <mergeCell ref="AC43:AC44"/>
    <mergeCell ref="AD43:AD44"/>
    <mergeCell ref="AD41:AD42"/>
    <mergeCell ref="V41:V42"/>
    <mergeCell ref="W41:W42"/>
    <mergeCell ref="X41:X42"/>
    <mergeCell ref="Y41:Y42"/>
    <mergeCell ref="U43:U45"/>
    <mergeCell ref="AE41:AE42"/>
    <mergeCell ref="V39:V40"/>
    <mergeCell ref="W39:W40"/>
    <mergeCell ref="X39:X40"/>
    <mergeCell ref="Y39:Y40"/>
    <mergeCell ref="Z39:Z40"/>
    <mergeCell ref="AA39:AA40"/>
    <mergeCell ref="AB39:AB40"/>
    <mergeCell ref="AC39:AC40"/>
    <mergeCell ref="AD39:AD40"/>
    <mergeCell ref="AE39:AE40"/>
    <mergeCell ref="Z41:Z42"/>
    <mergeCell ref="AA41:AA42"/>
    <mergeCell ref="AB41:AB42"/>
    <mergeCell ref="AC41:AC42"/>
  </mergeCells>
  <conditionalFormatting sqref="E14:O14 W46:AE46">
    <cfRule type="cellIs" dxfId="21758" priority="291" operator="greaterThan">
      <formula>E13</formula>
    </cfRule>
    <cfRule type="cellIs" dxfId="21757" priority="292" operator="equal">
      <formula>0</formula>
    </cfRule>
  </conditionalFormatting>
  <conditionalFormatting sqref="E17:O17">
    <cfRule type="cellIs" dxfId="21756" priority="289" operator="greaterThan">
      <formula>E13</formula>
    </cfRule>
    <cfRule type="cellIs" dxfId="21755" priority="290" operator="equal">
      <formula>0</formula>
    </cfRule>
  </conditionalFormatting>
  <conditionalFormatting sqref="E18">
    <cfRule type="cellIs" dxfId="21754" priority="287" operator="greaterThan">
      <formula>E17</formula>
    </cfRule>
    <cfRule type="cellIs" dxfId="21753" priority="288" operator="equal">
      <formula>0</formula>
    </cfRule>
  </conditionalFormatting>
  <conditionalFormatting sqref="F18:O18">
    <cfRule type="cellIs" dxfId="21752" priority="286" operator="greaterThan">
      <formula>F14</formula>
    </cfRule>
  </conditionalFormatting>
  <conditionalFormatting sqref="E27">
    <cfRule type="cellIs" dxfId="21751" priority="284" operator="greaterThan">
      <formula>E26</formula>
    </cfRule>
    <cfRule type="cellIs" dxfId="21750" priority="285" operator="equal">
      <formula>0</formula>
    </cfRule>
  </conditionalFormatting>
  <conditionalFormatting sqref="E34">
    <cfRule type="cellIs" dxfId="21749" priority="277" operator="greaterThan">
      <formula>E26</formula>
    </cfRule>
    <cfRule type="cellIs" dxfId="21748" priority="278" operator="equal">
      <formula>0</formula>
    </cfRule>
  </conditionalFormatting>
  <conditionalFormatting sqref="E35:E36">
    <cfRule type="cellIs" dxfId="21747" priority="274" operator="greaterThan">
      <formula>E27</formula>
    </cfRule>
    <cfRule type="cellIs" dxfId="21746" priority="275" operator="greaterThan">
      <formula>E34</formula>
    </cfRule>
    <cfRule type="cellIs" dxfId="21745" priority="276" operator="equal">
      <formula>0</formula>
    </cfRule>
  </conditionalFormatting>
  <conditionalFormatting sqref="V45:AE47 F26:O27 F18:O18 F13:O13">
    <cfRule type="cellIs" dxfId="21744" priority="273" operator="equal">
      <formula>0</formula>
    </cfRule>
  </conditionalFormatting>
  <conditionalFormatting sqref="F34">
    <cfRule type="cellIs" dxfId="21743" priority="221" operator="greaterThan">
      <formula>F26</formula>
    </cfRule>
    <cfRule type="cellIs" dxfId="21742" priority="222" operator="equal">
      <formula>0</formula>
    </cfRule>
  </conditionalFormatting>
  <conditionalFormatting sqref="G34">
    <cfRule type="cellIs" dxfId="21741" priority="219" operator="greaterThan">
      <formula>G26</formula>
    </cfRule>
    <cfRule type="cellIs" dxfId="21740" priority="220" operator="equal">
      <formula>0</formula>
    </cfRule>
  </conditionalFormatting>
  <conditionalFormatting sqref="H34">
    <cfRule type="cellIs" dxfId="21739" priority="217" operator="greaterThan">
      <formula>H26</formula>
    </cfRule>
    <cfRule type="cellIs" dxfId="21738" priority="218" operator="equal">
      <formula>0</formula>
    </cfRule>
  </conditionalFormatting>
  <conditionalFormatting sqref="I34">
    <cfRule type="cellIs" dxfId="21737" priority="215" operator="greaterThan">
      <formula>I26</formula>
    </cfRule>
    <cfRule type="cellIs" dxfId="21736" priority="216" operator="equal">
      <formula>0</formula>
    </cfRule>
  </conditionalFormatting>
  <conditionalFormatting sqref="J34">
    <cfRule type="cellIs" dxfId="21735" priority="213" operator="greaterThan">
      <formula>J26</formula>
    </cfRule>
    <cfRule type="cellIs" dxfId="21734" priority="214" operator="equal">
      <formula>0</formula>
    </cfRule>
  </conditionalFormatting>
  <conditionalFormatting sqref="K34">
    <cfRule type="cellIs" dxfId="21733" priority="211" operator="greaterThan">
      <formula>K26</formula>
    </cfRule>
    <cfRule type="cellIs" dxfId="21732" priority="212" operator="equal">
      <formula>0</formula>
    </cfRule>
  </conditionalFormatting>
  <conditionalFormatting sqref="L34">
    <cfRule type="cellIs" dxfId="21731" priority="209" operator="greaterThan">
      <formula>L26</formula>
    </cfRule>
    <cfRule type="cellIs" dxfId="21730" priority="210" operator="equal">
      <formula>0</formula>
    </cfRule>
  </conditionalFormatting>
  <conditionalFormatting sqref="M34">
    <cfRule type="cellIs" dxfId="21729" priority="207" operator="greaterThan">
      <formula>M26</formula>
    </cfRule>
    <cfRule type="cellIs" dxfId="21728" priority="208" operator="equal">
      <formula>0</formula>
    </cfRule>
  </conditionalFormatting>
  <conditionalFormatting sqref="N34">
    <cfRule type="cellIs" dxfId="21727" priority="205" operator="greaterThan">
      <formula>N26</formula>
    </cfRule>
    <cfRule type="cellIs" dxfId="21726" priority="206" operator="equal">
      <formula>0</formula>
    </cfRule>
  </conditionalFormatting>
  <conditionalFormatting sqref="O34">
    <cfRule type="cellIs" dxfId="21725" priority="203" operator="greaterThan">
      <formula>O26</formula>
    </cfRule>
    <cfRule type="cellIs" dxfId="21724" priority="204" operator="equal">
      <formula>0</formula>
    </cfRule>
  </conditionalFormatting>
  <conditionalFormatting sqref="F35:F36">
    <cfRule type="cellIs" dxfId="21723" priority="200" operator="greaterThan">
      <formula>F27</formula>
    </cfRule>
    <cfRule type="cellIs" dxfId="21722" priority="201" operator="greaterThan">
      <formula>F34</formula>
    </cfRule>
    <cfRule type="cellIs" dxfId="21721" priority="202" operator="equal">
      <formula>0</formula>
    </cfRule>
  </conditionalFormatting>
  <conditionalFormatting sqref="G35:G36">
    <cfRule type="cellIs" dxfId="21720" priority="197" operator="greaterThan">
      <formula>G27</formula>
    </cfRule>
    <cfRule type="cellIs" dxfId="21719" priority="198" operator="greaterThan">
      <formula>G34</formula>
    </cfRule>
    <cfRule type="cellIs" dxfId="21718" priority="199" operator="equal">
      <formula>0</formula>
    </cfRule>
  </conditionalFormatting>
  <conditionalFormatting sqref="H35:H36">
    <cfRule type="cellIs" dxfId="21717" priority="194" operator="greaterThan">
      <formula>H27</formula>
    </cfRule>
    <cfRule type="cellIs" dxfId="21716" priority="195" operator="greaterThan">
      <formula>H34</formula>
    </cfRule>
    <cfRule type="cellIs" dxfId="21715" priority="196" operator="equal">
      <formula>0</formula>
    </cfRule>
  </conditionalFormatting>
  <conditionalFormatting sqref="I35:I36">
    <cfRule type="cellIs" dxfId="21714" priority="191" operator="greaterThan">
      <formula>I27</formula>
    </cfRule>
    <cfRule type="cellIs" dxfId="21713" priority="192" operator="greaterThan">
      <formula>I34</formula>
    </cfRule>
    <cfRule type="cellIs" dxfId="21712" priority="193" operator="equal">
      <formula>0</formula>
    </cfRule>
  </conditionalFormatting>
  <conditionalFormatting sqref="J35:J36">
    <cfRule type="cellIs" dxfId="21711" priority="188" operator="greaterThan">
      <formula>J27</formula>
    </cfRule>
    <cfRule type="cellIs" dxfId="21710" priority="189" operator="greaterThan">
      <formula>J34</formula>
    </cfRule>
    <cfRule type="cellIs" dxfId="21709" priority="190" operator="equal">
      <formula>0</formula>
    </cfRule>
  </conditionalFormatting>
  <conditionalFormatting sqref="K35:K36">
    <cfRule type="cellIs" dxfId="21708" priority="185" operator="greaterThan">
      <formula>K27</formula>
    </cfRule>
    <cfRule type="cellIs" dxfId="21707" priority="186" operator="greaterThan">
      <formula>K34</formula>
    </cfRule>
    <cfRule type="cellIs" dxfId="21706" priority="187" operator="equal">
      <formula>0</formula>
    </cfRule>
  </conditionalFormatting>
  <conditionalFormatting sqref="L35:L36">
    <cfRule type="cellIs" dxfId="21705" priority="182" operator="greaterThan">
      <formula>L27</formula>
    </cfRule>
    <cfRule type="cellIs" dxfId="21704" priority="183" operator="greaterThan">
      <formula>L34</formula>
    </cfRule>
    <cfRule type="cellIs" dxfId="21703" priority="184" operator="equal">
      <formula>0</formula>
    </cfRule>
  </conditionalFormatting>
  <conditionalFormatting sqref="M35:M36">
    <cfRule type="cellIs" dxfId="21702" priority="179" operator="greaterThan">
      <formula>M27</formula>
    </cfRule>
    <cfRule type="cellIs" dxfId="21701" priority="180" operator="greaterThan">
      <formula>M34</formula>
    </cfRule>
    <cfRule type="cellIs" dxfId="21700" priority="181" operator="equal">
      <formula>0</formula>
    </cfRule>
  </conditionalFormatting>
  <conditionalFormatting sqref="N35:N36">
    <cfRule type="cellIs" dxfId="21699" priority="176" operator="greaterThan">
      <formula>N27</formula>
    </cfRule>
    <cfRule type="cellIs" dxfId="21698" priority="177" operator="greaterThan">
      <formula>N34</formula>
    </cfRule>
    <cfRule type="cellIs" dxfId="21697" priority="178" operator="equal">
      <formula>0</formula>
    </cfRule>
  </conditionalFormatting>
  <conditionalFormatting sqref="O35:O36">
    <cfRule type="cellIs" dxfId="21696" priority="173" operator="greaterThan">
      <formula>O27</formula>
    </cfRule>
    <cfRule type="cellIs" dxfId="21695" priority="174" operator="greaterThan">
      <formula>O34</formula>
    </cfRule>
    <cfRule type="cellIs" dxfId="21694" priority="175" operator="equal">
      <formula>0</formula>
    </cfRule>
  </conditionalFormatting>
  <conditionalFormatting sqref="V26">
    <cfRule type="cellIs" dxfId="21693" priority="94" operator="greaterThan">
      <formula>V25</formula>
    </cfRule>
    <cfRule type="cellIs" dxfId="21692" priority="95" operator="equal">
      <formula>0</formula>
    </cfRule>
  </conditionalFormatting>
  <conditionalFormatting sqref="W26">
    <cfRule type="cellIs" dxfId="21691" priority="92" operator="greaterThan">
      <formula>W25</formula>
    </cfRule>
    <cfRule type="cellIs" dxfId="21690" priority="93" operator="equal">
      <formula>0</formula>
    </cfRule>
  </conditionalFormatting>
  <conditionalFormatting sqref="X26">
    <cfRule type="cellIs" dxfId="21689" priority="90" operator="greaterThan">
      <formula>X25</formula>
    </cfRule>
    <cfRule type="cellIs" dxfId="21688" priority="91" operator="equal">
      <formula>0</formula>
    </cfRule>
  </conditionalFormatting>
  <conditionalFormatting sqref="Y26">
    <cfRule type="cellIs" dxfId="21687" priority="88" operator="greaterThan">
      <formula>Y25</formula>
    </cfRule>
    <cfRule type="cellIs" dxfId="21686" priority="89" operator="equal">
      <formula>0</formula>
    </cfRule>
  </conditionalFormatting>
  <conditionalFormatting sqref="Z26">
    <cfRule type="cellIs" dxfId="21685" priority="86" operator="greaterThan">
      <formula>Z25</formula>
    </cfRule>
    <cfRule type="cellIs" dxfId="21684" priority="87" operator="equal">
      <formula>0</formula>
    </cfRule>
  </conditionalFormatting>
  <conditionalFormatting sqref="AA26">
    <cfRule type="cellIs" dxfId="21683" priority="84" operator="greaterThan">
      <formula>AA25</formula>
    </cfRule>
    <cfRule type="cellIs" dxfId="21682" priority="85" operator="equal">
      <formula>0</formula>
    </cfRule>
  </conditionalFormatting>
  <conditionalFormatting sqref="AB26">
    <cfRule type="cellIs" dxfId="21681" priority="82" operator="greaterThan">
      <formula>AB25</formula>
    </cfRule>
    <cfRule type="cellIs" dxfId="21680" priority="83" operator="equal">
      <formula>0</formula>
    </cfRule>
  </conditionalFormatting>
  <conditionalFormatting sqref="AC26">
    <cfRule type="cellIs" dxfId="21679" priority="80" operator="greaterThan">
      <formula>AC25</formula>
    </cfRule>
    <cfRule type="cellIs" dxfId="21678" priority="81" operator="equal">
      <formula>0</formula>
    </cfRule>
  </conditionalFormatting>
  <conditionalFormatting sqref="AD26">
    <cfRule type="cellIs" dxfId="21677" priority="78" operator="greaterThan">
      <formula>AD25</formula>
    </cfRule>
    <cfRule type="cellIs" dxfId="21676" priority="79" operator="equal">
      <formula>0</formula>
    </cfRule>
  </conditionalFormatting>
  <conditionalFormatting sqref="AE26">
    <cfRule type="cellIs" dxfId="21675" priority="76" operator="greaterThan">
      <formula>AE25</formula>
    </cfRule>
    <cfRule type="cellIs" dxfId="21674" priority="77" operator="equal">
      <formula>0</formula>
    </cfRule>
  </conditionalFormatting>
  <conditionalFormatting sqref="V35">
    <cfRule type="cellIs" dxfId="21673" priority="74" operator="greaterThan">
      <formula>V34</formula>
    </cfRule>
    <cfRule type="cellIs" dxfId="21672" priority="75" operator="equal">
      <formula>0</formula>
    </cfRule>
  </conditionalFormatting>
  <conditionalFormatting sqref="W35">
    <cfRule type="cellIs" dxfId="21671" priority="72" operator="greaterThan">
      <formula>W34</formula>
    </cfRule>
    <cfRule type="cellIs" dxfId="21670" priority="73" operator="equal">
      <formula>0</formula>
    </cfRule>
  </conditionalFormatting>
  <conditionalFormatting sqref="X35">
    <cfRule type="cellIs" dxfId="21669" priority="70" operator="greaterThan">
      <formula>X34</formula>
    </cfRule>
    <cfRule type="cellIs" dxfId="21668" priority="71" operator="equal">
      <formula>0</formula>
    </cfRule>
  </conditionalFormatting>
  <conditionalFormatting sqref="Y35">
    <cfRule type="cellIs" dxfId="21667" priority="68" operator="greaterThan">
      <formula>Y34</formula>
    </cfRule>
    <cfRule type="cellIs" dxfId="21666" priority="69" operator="equal">
      <formula>0</formula>
    </cfRule>
  </conditionalFormatting>
  <conditionalFormatting sqref="Z35">
    <cfRule type="cellIs" dxfId="21665" priority="66" operator="greaterThan">
      <formula>Z34</formula>
    </cfRule>
    <cfRule type="cellIs" dxfId="21664" priority="67" operator="equal">
      <formula>0</formula>
    </cfRule>
  </conditionalFormatting>
  <conditionalFormatting sqref="AA35">
    <cfRule type="cellIs" dxfId="21663" priority="64" operator="greaterThan">
      <formula>AA34</formula>
    </cfRule>
    <cfRule type="cellIs" dxfId="21662" priority="65" operator="equal">
      <formula>0</formula>
    </cfRule>
  </conditionalFormatting>
  <conditionalFormatting sqref="AB35">
    <cfRule type="cellIs" dxfId="21661" priority="62" operator="greaterThan">
      <formula>AB34</formula>
    </cfRule>
    <cfRule type="cellIs" dxfId="21660" priority="63" operator="equal">
      <formula>0</formula>
    </cfRule>
  </conditionalFormatting>
  <conditionalFormatting sqref="AC35">
    <cfRule type="cellIs" dxfId="21659" priority="60" operator="greaterThan">
      <formula>AC34</formula>
    </cfRule>
    <cfRule type="cellIs" dxfId="21658" priority="61" operator="equal">
      <formula>0</formula>
    </cfRule>
  </conditionalFormatting>
  <conditionalFormatting sqref="AD35">
    <cfRule type="cellIs" dxfId="21657" priority="58" operator="greaterThan">
      <formula>AD34</formula>
    </cfRule>
    <cfRule type="cellIs" dxfId="21656" priority="59" operator="equal">
      <formula>0</formula>
    </cfRule>
  </conditionalFormatting>
  <conditionalFormatting sqref="AE35">
    <cfRule type="cellIs" dxfId="21655" priority="56" operator="greaterThan">
      <formula>AE34</formula>
    </cfRule>
    <cfRule type="cellIs" dxfId="21654" priority="57" operator="equal">
      <formula>0</formula>
    </cfRule>
  </conditionalFormatting>
  <conditionalFormatting sqref="V14">
    <cfRule type="cellIs" dxfId="21653" priority="54" operator="greaterThan">
      <formula>V13</formula>
    </cfRule>
    <cfRule type="cellIs" dxfId="21652" priority="55" operator="equal">
      <formula>0</formula>
    </cfRule>
  </conditionalFormatting>
  <conditionalFormatting sqref="W14">
    <cfRule type="cellIs" dxfId="21651" priority="52" operator="greaterThan">
      <formula>W13</formula>
    </cfRule>
    <cfRule type="cellIs" dxfId="21650" priority="53" operator="equal">
      <formula>0</formula>
    </cfRule>
  </conditionalFormatting>
  <conditionalFormatting sqref="X14">
    <cfRule type="cellIs" dxfId="21649" priority="50" operator="greaterThan">
      <formula>X13</formula>
    </cfRule>
    <cfRule type="cellIs" dxfId="21648" priority="51" operator="equal">
      <formula>0</formula>
    </cfRule>
  </conditionalFormatting>
  <conditionalFormatting sqref="Y14">
    <cfRule type="cellIs" dxfId="21647" priority="48" operator="greaterThan">
      <formula>Y13</formula>
    </cfRule>
    <cfRule type="cellIs" dxfId="21646" priority="49" operator="equal">
      <formula>0</formula>
    </cfRule>
  </conditionalFormatting>
  <conditionalFormatting sqref="Z14">
    <cfRule type="cellIs" dxfId="21645" priority="46" operator="greaterThan">
      <formula>Z13</formula>
    </cfRule>
    <cfRule type="cellIs" dxfId="21644" priority="47" operator="equal">
      <formula>0</formula>
    </cfRule>
  </conditionalFormatting>
  <conditionalFormatting sqref="AA14">
    <cfRule type="cellIs" dxfId="21643" priority="44" operator="greaterThan">
      <formula>AA13</formula>
    </cfRule>
    <cfRule type="cellIs" dxfId="21642" priority="45" operator="equal">
      <formula>0</formula>
    </cfRule>
  </conditionalFormatting>
  <conditionalFormatting sqref="AB14">
    <cfRule type="cellIs" dxfId="21641" priority="42" operator="greaterThan">
      <formula>AB13</formula>
    </cfRule>
    <cfRule type="cellIs" dxfId="21640" priority="43" operator="equal">
      <formula>0</formula>
    </cfRule>
  </conditionalFormatting>
  <conditionalFormatting sqref="AC14">
    <cfRule type="cellIs" dxfId="21639" priority="40" operator="greaterThan">
      <formula>AC13</formula>
    </cfRule>
    <cfRule type="cellIs" dxfId="21638" priority="41" operator="equal">
      <formula>0</formula>
    </cfRule>
  </conditionalFormatting>
  <conditionalFormatting sqref="AD14">
    <cfRule type="cellIs" dxfId="21637" priority="38" operator="greaterThan">
      <formula>AD13</formula>
    </cfRule>
    <cfRule type="cellIs" dxfId="21636" priority="39" operator="equal">
      <formula>0</formula>
    </cfRule>
  </conditionalFormatting>
  <conditionalFormatting sqref="AE14">
    <cfRule type="cellIs" dxfId="21635" priority="36" operator="greaterThan">
      <formula>AE13</formula>
    </cfRule>
    <cfRule type="cellIs" dxfId="21634" priority="37" operator="equal">
      <formula>0</formula>
    </cfRule>
  </conditionalFormatting>
  <conditionalFormatting sqref="V35">
    <cfRule type="cellIs" dxfId="21633" priority="34" operator="greaterThan">
      <formula>V34</formula>
    </cfRule>
    <cfRule type="cellIs" dxfId="21632" priority="35" operator="equal">
      <formula>0</formula>
    </cfRule>
  </conditionalFormatting>
  <conditionalFormatting sqref="F35:F36">
    <cfRule type="cellIs" dxfId="21631" priority="30" operator="greaterThan">
      <formula>F34</formula>
    </cfRule>
    <cfRule type="cellIs" dxfId="21630" priority="31" operator="equal">
      <formula>0</formula>
    </cfRule>
  </conditionalFormatting>
  <conditionalFormatting sqref="F27:O27">
    <cfRule type="cellIs" dxfId="21629" priority="29" operator="greaterThan">
      <formula>F26</formula>
    </cfRule>
  </conditionalFormatting>
  <conditionalFormatting sqref="E46:O46">
    <cfRule type="cellIs" dxfId="21628" priority="18" operator="greaterThan">
      <formula>E42</formula>
    </cfRule>
    <cfRule type="cellIs" dxfId="21627" priority="19" operator="greaterThan">
      <formula>E30</formula>
    </cfRule>
    <cfRule type="cellIs" dxfId="21626" priority="20" operator="equal">
      <formula>0</formula>
    </cfRule>
  </conditionalFormatting>
  <conditionalFormatting sqref="E47:O47">
    <cfRule type="cellIs" dxfId="21625" priority="14" operator="greaterThan">
      <formula>E43</formula>
    </cfRule>
    <cfRule type="cellIs" dxfId="21624" priority="15" operator="greaterThan">
      <formula>E46</formula>
    </cfRule>
    <cfRule type="cellIs" dxfId="21623" priority="16" operator="greaterThan">
      <formula>E31</formula>
    </cfRule>
    <cfRule type="cellIs" dxfId="21622" priority="17" operator="equal">
      <formula>0</formula>
    </cfRule>
  </conditionalFormatting>
  <conditionalFormatting sqref="E42:O42">
    <cfRule type="cellIs" dxfId="21621" priority="12" operator="greaterThan">
      <formula>E26</formula>
    </cfRule>
    <cfRule type="cellIs" dxfId="21620" priority="13" operator="equal">
      <formula>0</formula>
    </cfRule>
  </conditionalFormatting>
  <conditionalFormatting sqref="E43:O43">
    <cfRule type="cellIs" dxfId="21619" priority="9" operator="greaterThan">
      <formula>E42</formula>
    </cfRule>
    <cfRule type="cellIs" dxfId="21618" priority="10" operator="greaterThan">
      <formula>E27</formula>
    </cfRule>
    <cfRule type="cellIs" dxfId="21617" priority="11" operator="equal">
      <formula>0</formula>
    </cfRule>
  </conditionalFormatting>
  <conditionalFormatting sqref="E30:O30">
    <cfRule type="cellIs" dxfId="21616" priority="7" operator="greaterThan">
      <formula>E26</formula>
    </cfRule>
    <cfRule type="cellIs" dxfId="21615" priority="8" operator="equal">
      <formula>0</formula>
    </cfRule>
  </conditionalFormatting>
  <conditionalFormatting sqref="E31:O31">
    <cfRule type="cellIs" dxfId="21614" priority="4" operator="greaterThan">
      <formula>E30</formula>
    </cfRule>
    <cfRule type="cellIs" dxfId="21613" priority="5" operator="greaterThan">
      <formula>E27</formula>
    </cfRule>
    <cfRule type="cellIs" dxfId="21612" priority="6" operator="equal">
      <formula>0</formula>
    </cfRule>
  </conditionalFormatting>
  <conditionalFormatting sqref="V39:AE47">
    <cfRule type="cellIs" dxfId="21611" priority="1" operator="equal">
      <formula>0</formula>
    </cfRule>
    <cfRule type="cellIs" dxfId="21610" priority="3" operator="equal">
      <formula>0</formula>
    </cfRule>
  </conditionalFormatting>
  <conditionalFormatting sqref="V39:AE40">
    <cfRule type="cellIs" dxfId="21609" priority="2" operator="equal">
      <formula>0</formula>
    </cfRule>
  </conditionalFormatting>
  <dataValidations count="23">
    <dataValidation type="whole" allowBlank="1" showInputMessage="1" showErrorMessage="1" sqref="W34:AE35 W13:AE14 V14 V26 W25:AE26">
      <formula1>0</formula1>
      <formula2>5000</formula2>
    </dataValidation>
    <dataValidation type="whole" errorStyle="information" operator="greaterThanOrEqual" showInputMessage="1" showErrorMessage="1" errorTitle="تلاميذ 5 سنوات" error="ضع العدد المناسب" sqref="E26 E17 E13 E34 E46 E42 E30">
      <formula1>0</formula1>
    </dataValidation>
    <dataValidation type="whole" errorStyle="information" operator="greaterThanOrEqual" showInputMessage="1" showErrorMessage="1" errorTitle="إناث 5 سنوات" error="ضع العدد المناسب" sqref="E27 E18 E14 E35:E36 E47 E43 E31">
      <formula1>0</formula1>
    </dataValidation>
    <dataValidation type="whole" errorStyle="information" operator="greaterThanOrEqual" showInputMessage="1" showErrorMessage="1" errorTitle="تلاميذ 7 سنوات" error="ضع العدد المناسب" sqref="F46 F42">
      <formula1>0</formula1>
    </dataValidation>
    <dataValidation type="whole" errorStyle="information" operator="greaterThanOrEqual" showInputMessage="1" showErrorMessage="1" errorTitle="تلاميذ 8 سنوات" error="ضع العدد المناسب" sqref="G42 G46 F17:G17 F13:G13 F34:G34 F30:G30 F26:G26">
      <formula1>0</formula1>
    </dataValidation>
    <dataValidation type="whole" errorStyle="information" operator="greaterThanOrEqual" showInputMessage="1" showErrorMessage="1" errorTitle="تلاميذ 9 سنوات" error="ضع العدد المناسب" sqref="H26 H30 H34 H42 H46 H13 H17">
      <formula1>0</formula1>
    </dataValidation>
    <dataValidation type="whole" errorStyle="information" operator="greaterThanOrEqual" showInputMessage="1" showErrorMessage="1" errorTitle="تلاميذ 10 سنوات" error="ضع العدد المناسب" sqref="I26 I30 I34 I42 I46 I13 I17">
      <formula1>0</formula1>
    </dataValidation>
    <dataValidation type="whole" errorStyle="information" operator="greaterThanOrEqual" showInputMessage="1" showErrorMessage="1" errorTitle="تلاميذ 11 سنة" error="ضع العدد المناسب" sqref="J26 J30 J34 J42 J46 J13 J17">
      <formula1>0</formula1>
    </dataValidation>
    <dataValidation type="whole" errorStyle="information" operator="greaterThanOrEqual" showInputMessage="1" showErrorMessage="1" errorTitle="تلاميذ 12 سنة" error="ضع العدد المناسب" sqref="K26 K30 K34 K42 K46 K13 K17">
      <formula1>0</formula1>
    </dataValidation>
    <dataValidation type="whole" errorStyle="information" operator="greaterThanOrEqual" showInputMessage="1" showErrorMessage="1" errorTitle="تلاميذ 14 سنة" error="ضع العدد المناسب" sqref="M26 M30 M34 M42 M46 M13 M17">
      <formula1>0</formula1>
    </dataValidation>
    <dataValidation type="whole" errorStyle="information" operator="greaterThanOrEqual" showInputMessage="1" showErrorMessage="1" errorTitle="تلاميذ 13 سنة" error="ضع العدد المناسب" sqref="L26 L30 L34 L42 L46 L13 L17">
      <formula1>0</formula1>
    </dataValidation>
    <dataValidation type="whole" errorStyle="information" operator="greaterThanOrEqual" showInputMessage="1" showErrorMessage="1" errorTitle="تلاميذ 15 سنة فأكثر" error="ضع العدد المناسب" sqref="N26 N30 N34 N42 N46 N13 N17">
      <formula1>0</formula1>
    </dataValidation>
    <dataValidation type="whole" operator="greaterThanOrEqual" allowBlank="1" showInputMessage="1" showErrorMessage="1" errorTitle="المجموع" error="العدد المناسب" sqref="O26 O30 O34 O42 O46 O13 O17">
      <formula1>0</formula1>
    </dataValidation>
    <dataValidation type="whole" errorStyle="information" operator="greaterThanOrEqual" showInputMessage="1" showErrorMessage="1" errorTitle="إناث 7 سنوات" error="ضع العدد المناسب" sqref="F47 F43">
      <formula1>0</formula1>
    </dataValidation>
    <dataValidation type="whole" errorStyle="information" operator="greaterThanOrEqual" showInputMessage="1" showErrorMessage="1" errorTitle="إناث 8 سنوات" error="ضع العدد المناسب" sqref="G43 G47 F18:G18 F14:G14 F35:G36 F31:G31 F27:G27">
      <formula1>0</formula1>
    </dataValidation>
    <dataValidation type="whole" errorStyle="information" operator="greaterThanOrEqual" showInputMessage="1" showErrorMessage="1" errorTitle="إناث 9 سنوات" error="ضع العدد المناسب" sqref="H27 H31 H35:H36 H43 H47 H14 H18">
      <formula1>0</formula1>
    </dataValidation>
    <dataValidation type="whole" errorStyle="information" operator="greaterThanOrEqual" showInputMessage="1" showErrorMessage="1" errorTitle="إناث 10 سنوات" error="ضع العدد المناسب" sqref="I27 I31 I35:I36 I43 I47 I14 I18">
      <formula1>0</formula1>
    </dataValidation>
    <dataValidation type="whole" errorStyle="information" operator="greaterThanOrEqual" showInputMessage="1" showErrorMessage="1" errorTitle="إناث11 سنة" error="ضع العدد المناسب" sqref="J27 J31 J35:J36 J43 J47 J14 J18">
      <formula1>0</formula1>
    </dataValidation>
    <dataValidation type="whole" errorStyle="information" operator="greaterThanOrEqual" showInputMessage="1" showErrorMessage="1" errorTitle="إناث 12 سنة" error="ضع العدد المناسب" sqref="K27 K31 K35:K36 K43 K47 K14 K18">
      <formula1>0</formula1>
    </dataValidation>
    <dataValidation type="whole" errorStyle="information" operator="greaterThanOrEqual" showInputMessage="1" showErrorMessage="1" errorTitle="إناث 13 سنة" error="ضع العدد المناسب" sqref="L27 L31 L35:L36 L43 L47 L14 L18">
      <formula1>0</formula1>
    </dataValidation>
    <dataValidation type="whole" errorStyle="information" operator="greaterThanOrEqual" showInputMessage="1" showErrorMessage="1" errorTitle="إناث 14 سنة" error="ضع العدد المناسب" sqref="M27 M31 M35:M36 M43 M47 M14 M18">
      <formula1>0</formula1>
    </dataValidation>
    <dataValidation type="whole" errorStyle="information" operator="greaterThanOrEqual" showInputMessage="1" showErrorMessage="1" errorTitle="إناث 15 سنة فأكثر" error="ضع العدد المناسب" sqref="N27 N31 N35:N36 N43 N47 N14 N18">
      <formula1>0</formula1>
    </dataValidation>
    <dataValidation type="whole" operator="greaterThanOrEqual" allowBlank="1" showInputMessage="1" showErrorMessage="1" errorTitle="مجموع البنات" error="العدد المناسب" sqref="O27 O31 O35:O36 O43 O47 O14 O18">
      <formula1>0</formula1>
    </dataValidation>
  </dataValidations>
  <printOptions horizontalCentered="1" verticalCentered="1"/>
  <pageMargins left="0.19685039370078741" right="0.19685039370078741" top="0.39370078740157483" bottom="0.19685039370078741" header="0" footer="0.35433070866141736"/>
  <pageSetup paperSize="9" orientation="landscape" r:id="rId1"/>
  <headerFooter>
    <oddFooter xml:space="preserve">&amp;R&amp;"-,Gras"&amp;8&amp;K00-032Echamil V.08      &amp;F                                                                                          </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4">
    <tabColor rgb="FF002060"/>
  </sheetPr>
  <dimension ref="A1:AH50"/>
  <sheetViews>
    <sheetView showGridLines="0" rightToLeft="1" topLeftCell="A34" workbookViewId="0">
      <selection activeCell="I43" sqref="I43"/>
    </sheetView>
  </sheetViews>
  <sheetFormatPr baseColWidth="10" defaultColWidth="0" defaultRowHeight="14.4" zeroHeight="1"/>
  <cols>
    <col min="1" max="1" width="2.6640625" customWidth="1"/>
    <col min="2" max="2" width="1.109375" customWidth="1"/>
    <col min="3" max="3" width="0.88671875" customWidth="1"/>
    <col min="4" max="4" width="9" customWidth="1"/>
    <col min="5" max="12" width="8.6640625" customWidth="1"/>
    <col min="13" max="14" width="8.33203125" customWidth="1"/>
    <col min="15" max="15" width="10.109375" customWidth="1"/>
    <col min="16" max="16" width="1.44140625" customWidth="1"/>
    <col min="17" max="17" width="3.109375" customWidth="1"/>
    <col min="18" max="18" width="1.109375" customWidth="1"/>
    <col min="19" max="19" width="2.6640625" customWidth="1"/>
    <col min="20" max="20" width="2.88671875" customWidth="1"/>
    <col min="21" max="21" width="9" customWidth="1"/>
    <col min="22" max="22" width="9.6640625" customWidth="1"/>
    <col min="23" max="30" width="7.6640625" customWidth="1"/>
    <col min="31" max="31" width="7.88671875" customWidth="1"/>
    <col min="32" max="33" width="1.6640625" customWidth="1"/>
    <col min="34" max="34" width="2.6640625" customWidth="1"/>
    <col min="35" max="16384" width="11.44140625" hidden="1"/>
  </cols>
  <sheetData>
    <row r="1" spans="1:34" ht="15.75" customHeight="1" thickBot="1">
      <c r="A1" s="1415"/>
      <c r="B1" s="1416"/>
      <c r="C1" s="1417"/>
      <c r="D1" s="1417"/>
      <c r="E1" s="1417"/>
      <c r="F1" s="1417"/>
      <c r="G1" s="1417"/>
      <c r="H1" s="1417"/>
      <c r="I1" s="1417"/>
      <c r="J1" s="1417"/>
      <c r="K1" s="1417"/>
      <c r="L1" s="1417"/>
      <c r="M1" s="1417"/>
      <c r="N1" s="1417"/>
      <c r="O1" s="1417"/>
      <c r="P1" s="1417"/>
      <c r="Q1" s="1417"/>
      <c r="R1" s="1416"/>
      <c r="S1" s="1418"/>
      <c r="T1" s="1943"/>
      <c r="U1" s="1943"/>
      <c r="V1" s="1943"/>
      <c r="W1" s="1943"/>
      <c r="X1" s="1943"/>
      <c r="Y1" s="1943"/>
      <c r="Z1" s="1943"/>
      <c r="AA1" s="1943"/>
      <c r="AB1" s="1943"/>
      <c r="AC1" s="1943"/>
      <c r="AD1" s="1943"/>
      <c r="AE1" s="1943"/>
      <c r="AF1" s="1943"/>
      <c r="AG1" s="1943"/>
      <c r="AH1" s="1420"/>
    </row>
    <row r="2" spans="1:34" ht="6" customHeight="1" thickBot="1">
      <c r="A2" s="1418"/>
      <c r="B2" s="1421"/>
      <c r="C2" s="1422"/>
      <c r="D2" s="1422"/>
      <c r="E2" s="1422"/>
      <c r="F2" s="1422"/>
      <c r="G2" s="1422"/>
      <c r="H2" s="1422"/>
      <c r="I2" s="1422"/>
      <c r="J2" s="1422"/>
      <c r="K2" s="1422"/>
      <c r="L2" s="1422"/>
      <c r="M2" s="1422"/>
      <c r="N2" s="1422"/>
      <c r="O2" s="1422"/>
      <c r="P2" s="1422"/>
      <c r="Q2" s="1422"/>
      <c r="R2" s="1423"/>
      <c r="S2" s="1424"/>
      <c r="T2" s="4032" t="s">
        <v>603</v>
      </c>
      <c r="U2" s="4032"/>
      <c r="V2" s="4032"/>
      <c r="W2" s="4032"/>
      <c r="X2" s="4032"/>
      <c r="Y2" s="4032"/>
      <c r="Z2" s="4032"/>
      <c r="AA2" s="4032"/>
      <c r="AB2" s="4032"/>
      <c r="AC2" s="4032"/>
      <c r="AD2" s="4032"/>
      <c r="AE2" s="4032"/>
      <c r="AF2" s="1041"/>
      <c r="AG2" s="1041"/>
      <c r="AH2" s="1420"/>
    </row>
    <row r="3" spans="1:34" ht="3.9" customHeight="1">
      <c r="A3" s="1418"/>
      <c r="B3" s="1425"/>
      <c r="C3" s="1426"/>
      <c r="D3" s="1427"/>
      <c r="E3" s="1427"/>
      <c r="F3" s="1427"/>
      <c r="G3" s="1428"/>
      <c r="H3" s="1427"/>
      <c r="I3" s="1427"/>
      <c r="J3" s="1427"/>
      <c r="K3" s="1427"/>
      <c r="L3" s="1427"/>
      <c r="M3" s="1427"/>
      <c r="N3" s="1427"/>
      <c r="O3" s="1427"/>
      <c r="P3" s="1427"/>
      <c r="Q3" s="1429"/>
      <c r="R3" s="1430"/>
      <c r="S3" s="1424"/>
      <c r="T3" s="4032"/>
      <c r="U3" s="4032"/>
      <c r="V3" s="4032"/>
      <c r="W3" s="4032"/>
      <c r="X3" s="4032"/>
      <c r="Y3" s="4032"/>
      <c r="Z3" s="4032"/>
      <c r="AA3" s="4032"/>
      <c r="AB3" s="4032"/>
      <c r="AC3" s="4032"/>
      <c r="AD3" s="4032"/>
      <c r="AE3" s="4032"/>
      <c r="AF3" s="1041"/>
      <c r="AG3" s="1041"/>
      <c r="AH3" s="1420"/>
    </row>
    <row r="4" spans="1:34" ht="20.100000000000001" customHeight="1">
      <c r="A4" s="1418"/>
      <c r="B4" s="1431"/>
      <c r="C4" s="2321" t="s">
        <v>1457</v>
      </c>
      <c r="D4" s="2301"/>
      <c r="E4" s="650"/>
      <c r="F4" s="650"/>
      <c r="G4" s="2302"/>
      <c r="H4" s="2303"/>
      <c r="I4" s="2303"/>
      <c r="J4" s="2303"/>
      <c r="K4" s="1390"/>
      <c r="L4" s="2303"/>
      <c r="M4" s="652"/>
      <c r="N4" s="652"/>
      <c r="O4" s="2304" t="s">
        <v>1458</v>
      </c>
      <c r="P4" s="1440"/>
      <c r="Q4" s="1441"/>
      <c r="R4" s="1430"/>
      <c r="S4" s="1424"/>
      <c r="T4" s="4032"/>
      <c r="U4" s="4032"/>
      <c r="V4" s="4032"/>
      <c r="W4" s="4032"/>
      <c r="X4" s="4032"/>
      <c r="Y4" s="4032"/>
      <c r="Z4" s="4032"/>
      <c r="AA4" s="4032"/>
      <c r="AB4" s="4032"/>
      <c r="AC4" s="4032"/>
      <c r="AD4" s="4032"/>
      <c r="AE4" s="4032"/>
      <c r="AF4" s="1041"/>
      <c r="AG4" s="1041"/>
      <c r="AH4" s="1420"/>
    </row>
    <row r="5" spans="1:34" ht="3.9" customHeight="1">
      <c r="A5" s="1418"/>
      <c r="B5" s="1431"/>
      <c r="C5" s="2348"/>
      <c r="D5" s="650"/>
      <c r="E5" s="650"/>
      <c r="F5" s="650"/>
      <c r="G5" s="2302"/>
      <c r="H5" s="2303"/>
      <c r="I5" s="2303"/>
      <c r="J5" s="2303"/>
      <c r="K5" s="1390"/>
      <c r="L5" s="2303"/>
      <c r="M5" s="652"/>
      <c r="N5" s="652"/>
      <c r="O5" s="1463"/>
      <c r="P5" s="1440"/>
      <c r="Q5" s="1441"/>
      <c r="R5" s="1430"/>
      <c r="S5" s="1424"/>
      <c r="T5" s="4032"/>
      <c r="U5" s="4032"/>
      <c r="V5" s="4032"/>
      <c r="W5" s="4032"/>
      <c r="X5" s="4032"/>
      <c r="Y5" s="4032"/>
      <c r="Z5" s="4032"/>
      <c r="AA5" s="4032"/>
      <c r="AB5" s="4032"/>
      <c r="AC5" s="4032"/>
      <c r="AD5" s="4032"/>
      <c r="AE5" s="4032"/>
      <c r="AF5" s="1041"/>
      <c r="AG5" s="1041"/>
      <c r="AH5" s="1420"/>
    </row>
    <row r="6" spans="1:34" ht="20.100000000000001" customHeight="1">
      <c r="A6" s="1418"/>
      <c r="B6" s="1431"/>
      <c r="C6" s="2348"/>
      <c r="D6" s="650"/>
      <c r="E6" s="650"/>
      <c r="F6" s="2305" t="s">
        <v>799</v>
      </c>
      <c r="G6" s="2306"/>
      <c r="H6" s="2307"/>
      <c r="I6" s="2303"/>
      <c r="J6" s="2307"/>
      <c r="K6" s="2308"/>
      <c r="L6" s="2309"/>
      <c r="M6" s="2310" t="s">
        <v>802</v>
      </c>
      <c r="N6" s="652"/>
      <c r="O6" s="1463"/>
      <c r="P6" s="1440"/>
      <c r="Q6" s="1441"/>
      <c r="R6" s="1430"/>
      <c r="S6" s="1424"/>
      <c r="T6" s="4032"/>
      <c r="U6" s="4032"/>
      <c r="V6" s="4032"/>
      <c r="W6" s="4032"/>
      <c r="X6" s="4032"/>
      <c r="Y6" s="4032"/>
      <c r="Z6" s="4032"/>
      <c r="AA6" s="4032"/>
      <c r="AB6" s="4032"/>
      <c r="AC6" s="4032"/>
      <c r="AD6" s="4032"/>
      <c r="AE6" s="4032"/>
      <c r="AF6" s="1041"/>
      <c r="AG6" s="1041"/>
      <c r="AH6" s="1420"/>
    </row>
    <row r="7" spans="1:34" ht="3.9" customHeight="1">
      <c r="A7" s="1418"/>
      <c r="B7" s="1431"/>
      <c r="C7" s="2348"/>
      <c r="D7" s="650"/>
      <c r="E7" s="650"/>
      <c r="F7" s="650"/>
      <c r="G7" s="651"/>
      <c r="H7" s="2291"/>
      <c r="I7" s="2291"/>
      <c r="J7" s="2291"/>
      <c r="K7" s="649"/>
      <c r="L7" s="652"/>
      <c r="M7" s="652"/>
      <c r="N7" s="652"/>
      <c r="O7" s="1463"/>
      <c r="P7" s="1440"/>
      <c r="Q7" s="1441"/>
      <c r="R7" s="1430"/>
      <c r="S7" s="1424"/>
      <c r="T7" s="4032"/>
      <c r="U7" s="4032"/>
      <c r="V7" s="4032"/>
      <c r="W7" s="4032"/>
      <c r="X7" s="4032"/>
      <c r="Y7" s="4032"/>
      <c r="Z7" s="4032"/>
      <c r="AA7" s="4032"/>
      <c r="AB7" s="4032"/>
      <c r="AC7" s="4032"/>
      <c r="AD7" s="4032"/>
      <c r="AE7" s="4032"/>
      <c r="AF7" s="1041"/>
      <c r="AG7" s="1041"/>
      <c r="AH7" s="1420"/>
    </row>
    <row r="8" spans="1:34" ht="18.75" customHeight="1">
      <c r="A8" s="1418"/>
      <c r="B8" s="1431"/>
      <c r="C8" s="2348"/>
      <c r="D8" s="2311"/>
      <c r="E8" s="2294" t="s">
        <v>787</v>
      </c>
      <c r="F8" s="2312"/>
      <c r="G8" s="2313"/>
      <c r="H8" s="2314"/>
      <c r="I8" s="2312"/>
      <c r="J8" s="2312"/>
      <c r="K8" s="2312"/>
      <c r="L8" s="2312"/>
      <c r="M8" s="2273"/>
      <c r="N8" s="2273"/>
      <c r="O8" s="2273" t="s">
        <v>788</v>
      </c>
      <c r="P8" s="1440"/>
      <c r="Q8" s="1441"/>
      <c r="R8" s="1430"/>
      <c r="S8" s="1424"/>
      <c r="T8" s="4032"/>
      <c r="U8" s="4032"/>
      <c r="V8" s="4032"/>
      <c r="W8" s="4032"/>
      <c r="X8" s="4032"/>
      <c r="Y8" s="4032"/>
      <c r="Z8" s="4032"/>
      <c r="AA8" s="4032"/>
      <c r="AB8" s="4032"/>
      <c r="AC8" s="4032"/>
      <c r="AD8" s="4032"/>
      <c r="AE8" s="4032"/>
      <c r="AF8" s="1041"/>
      <c r="AG8" s="1041"/>
      <c r="AH8" s="1420"/>
    </row>
    <row r="9" spans="1:34" ht="5.0999999999999996" customHeight="1">
      <c r="A9" s="1418"/>
      <c r="B9" s="1431"/>
      <c r="C9" s="2348"/>
      <c r="D9" s="2315"/>
      <c r="E9" s="2316"/>
      <c r="F9" s="2317"/>
      <c r="G9" s="2318"/>
      <c r="H9" s="2319"/>
      <c r="I9" s="2317"/>
      <c r="J9" s="2317"/>
      <c r="K9" s="2317"/>
      <c r="L9" s="2317"/>
      <c r="M9" s="2274"/>
      <c r="N9" s="2274"/>
      <c r="O9" s="2274"/>
      <c r="P9" s="1440"/>
      <c r="Q9" s="1441"/>
      <c r="R9" s="1430"/>
      <c r="S9" s="1424"/>
      <c r="T9" s="3273"/>
      <c r="U9" s="3273"/>
      <c r="V9" s="3273"/>
      <c r="W9" s="3273"/>
      <c r="X9" s="3273"/>
      <c r="Y9" s="3273"/>
      <c r="Z9" s="1041"/>
      <c r="AA9" s="1041"/>
      <c r="AB9" s="1041"/>
      <c r="AC9" s="1041"/>
      <c r="AD9" s="1041"/>
      <c r="AE9" s="1041"/>
      <c r="AF9" s="1041"/>
      <c r="AG9" s="1041"/>
      <c r="AH9" s="1420"/>
    </row>
    <row r="10" spans="1:34" ht="15" customHeight="1">
      <c r="A10" s="1418"/>
      <c r="B10" s="1431"/>
      <c r="C10" s="2348"/>
      <c r="D10" s="2277" t="s">
        <v>1037</v>
      </c>
      <c r="E10" s="2286"/>
      <c r="F10" s="2286"/>
      <c r="G10" s="2287"/>
      <c r="H10" s="2288"/>
      <c r="I10" s="2286"/>
      <c r="J10" s="2286"/>
      <c r="K10" s="2286"/>
      <c r="L10" s="2286"/>
      <c r="M10" s="2286"/>
      <c r="N10" s="2286"/>
      <c r="O10" s="1484" t="s">
        <v>1056</v>
      </c>
      <c r="P10" s="2289"/>
      <c r="Q10" s="2290"/>
      <c r="R10" s="1430"/>
      <c r="S10" s="1424"/>
      <c r="T10" s="1041"/>
      <c r="U10" s="3291" t="s">
        <v>789</v>
      </c>
      <c r="V10" s="3274"/>
      <c r="W10" s="3274"/>
      <c r="X10" s="3275"/>
      <c r="Y10" s="3274"/>
      <c r="Z10" s="3274"/>
      <c r="AA10" s="3274"/>
      <c r="AB10" s="3274"/>
      <c r="AC10" s="3274"/>
      <c r="AD10" s="3274"/>
      <c r="AE10" s="3274"/>
      <c r="AF10" s="1041"/>
      <c r="AG10" s="1041"/>
      <c r="AH10" s="1420"/>
    </row>
    <row r="11" spans="1:34" ht="6.9" customHeight="1">
      <c r="A11" s="1418"/>
      <c r="B11" s="1431"/>
      <c r="C11" s="2348"/>
      <c r="D11" s="649"/>
      <c r="E11" s="649"/>
      <c r="F11" s="649"/>
      <c r="G11" s="649"/>
      <c r="H11" s="649"/>
      <c r="I11" s="649"/>
      <c r="J11" s="649"/>
      <c r="K11" s="649"/>
      <c r="L11" s="649"/>
      <c r="M11" s="649"/>
      <c r="N11" s="649"/>
      <c r="O11" s="649"/>
      <c r="P11" s="2289"/>
      <c r="Q11" s="2290"/>
      <c r="R11" s="1430"/>
      <c r="S11" s="1424"/>
      <c r="T11" s="1041"/>
      <c r="U11" s="464"/>
      <c r="V11" s="464"/>
      <c r="W11" s="464"/>
      <c r="X11" s="649"/>
      <c r="Y11" s="649"/>
      <c r="Z11" s="649"/>
      <c r="AA11" s="464"/>
      <c r="AB11" s="464"/>
      <c r="AC11" s="464"/>
      <c r="AD11" s="464"/>
      <c r="AE11" s="464"/>
      <c r="AF11" s="1041"/>
      <c r="AG11" s="1041"/>
      <c r="AH11" s="1420"/>
    </row>
    <row r="12" spans="1:34" ht="14.1" customHeight="1">
      <c r="A12" s="1418"/>
      <c r="B12" s="1431"/>
      <c r="C12" s="2348"/>
      <c r="D12" s="2278" t="s">
        <v>790</v>
      </c>
      <c r="E12" s="1488" t="s">
        <v>18</v>
      </c>
      <c r="F12" s="1488" t="s">
        <v>17</v>
      </c>
      <c r="G12" s="1488" t="s">
        <v>16</v>
      </c>
      <c r="H12" s="1488" t="s">
        <v>15</v>
      </c>
      <c r="I12" s="1488" t="s">
        <v>14</v>
      </c>
      <c r="J12" s="1488" t="s">
        <v>13</v>
      </c>
      <c r="K12" s="1488" t="s">
        <v>12</v>
      </c>
      <c r="L12" s="1488" t="s">
        <v>11</v>
      </c>
      <c r="M12" s="1488" t="s">
        <v>10</v>
      </c>
      <c r="N12" s="1488" t="s">
        <v>9</v>
      </c>
      <c r="O12" s="1488" t="s">
        <v>28</v>
      </c>
      <c r="P12" s="2289"/>
      <c r="Q12" s="2290"/>
      <c r="R12" s="1430"/>
      <c r="S12" s="1424"/>
      <c r="T12" s="1041"/>
      <c r="U12" s="2278" t="s">
        <v>790</v>
      </c>
      <c r="V12" s="1488" t="s">
        <v>18</v>
      </c>
      <c r="W12" s="1488" t="s">
        <v>17</v>
      </c>
      <c r="X12" s="1488" t="s">
        <v>16</v>
      </c>
      <c r="Y12" s="1488" t="s">
        <v>15</v>
      </c>
      <c r="Z12" s="1488" t="s">
        <v>14</v>
      </c>
      <c r="AA12" s="1488" t="s">
        <v>13</v>
      </c>
      <c r="AB12" s="1488" t="s">
        <v>12</v>
      </c>
      <c r="AC12" s="1488" t="s">
        <v>11</v>
      </c>
      <c r="AD12" s="1488" t="s">
        <v>10</v>
      </c>
      <c r="AE12" s="1488" t="s">
        <v>9</v>
      </c>
      <c r="AF12" s="1041"/>
      <c r="AG12" s="1041"/>
      <c r="AH12" s="1420"/>
    </row>
    <row r="13" spans="1:34" ht="12.9" customHeight="1">
      <c r="A13" s="1418"/>
      <c r="B13" s="1431"/>
      <c r="C13" s="2348"/>
      <c r="D13" s="2172" t="s">
        <v>20</v>
      </c>
      <c r="E13" s="2285"/>
      <c r="F13" s="1462"/>
      <c r="G13" s="1462">
        <v>20</v>
      </c>
      <c r="H13" s="1462">
        <v>94</v>
      </c>
      <c r="I13" s="1462">
        <v>24</v>
      </c>
      <c r="J13" s="1462">
        <v>20</v>
      </c>
      <c r="K13" s="1462">
        <v>5</v>
      </c>
      <c r="L13" s="1462">
        <v>2</v>
      </c>
      <c r="M13" s="1462"/>
      <c r="N13" s="1462"/>
      <c r="O13" s="1969">
        <f>E13+F13+G13+H13+I13+J13+K13+L13+M13+N13</f>
        <v>165</v>
      </c>
      <c r="P13" s="2289"/>
      <c r="Q13" s="2290"/>
      <c r="R13" s="1430"/>
      <c r="S13" s="1424"/>
      <c r="T13" s="1041"/>
      <c r="U13" s="2172" t="s">
        <v>20</v>
      </c>
      <c r="V13" s="3276" t="str">
        <f>IF(E13&gt;=(E17)," ","خطأ")</f>
        <v xml:space="preserve"> </v>
      </c>
      <c r="W13" s="3276" t="str">
        <f t="shared" ref="W13:AE14" si="0">IF(F13&gt;=(F17)," ","خطأ")</f>
        <v xml:space="preserve"> </v>
      </c>
      <c r="X13" s="3276" t="str">
        <f t="shared" si="0"/>
        <v xml:space="preserve"> </v>
      </c>
      <c r="Y13" s="3276" t="str">
        <f t="shared" si="0"/>
        <v xml:space="preserve"> </v>
      </c>
      <c r="Z13" s="3276" t="str">
        <f t="shared" si="0"/>
        <v xml:space="preserve"> </v>
      </c>
      <c r="AA13" s="3276" t="str">
        <f t="shared" si="0"/>
        <v xml:space="preserve"> </v>
      </c>
      <c r="AB13" s="3276" t="str">
        <f t="shared" si="0"/>
        <v xml:space="preserve"> </v>
      </c>
      <c r="AC13" s="3276" t="str">
        <f t="shared" si="0"/>
        <v xml:space="preserve"> </v>
      </c>
      <c r="AD13" s="3276" t="str">
        <f t="shared" si="0"/>
        <v xml:space="preserve"> </v>
      </c>
      <c r="AE13" s="3276" t="str">
        <f t="shared" si="0"/>
        <v xml:space="preserve"> </v>
      </c>
      <c r="AF13" s="1041"/>
      <c r="AG13" s="1041"/>
      <c r="AH13" s="1420"/>
    </row>
    <row r="14" spans="1:34" ht="12.9" customHeight="1">
      <c r="A14" s="1418"/>
      <c r="B14" s="1431"/>
      <c r="C14" s="2348"/>
      <c r="D14" s="2172" t="s">
        <v>19</v>
      </c>
      <c r="E14" s="2285"/>
      <c r="F14" s="3269"/>
      <c r="G14" s="3269">
        <v>12</v>
      </c>
      <c r="H14" s="3269">
        <v>53</v>
      </c>
      <c r="I14" s="3269">
        <v>9</v>
      </c>
      <c r="J14" s="3269">
        <v>6</v>
      </c>
      <c r="K14" s="3269">
        <v>2</v>
      </c>
      <c r="L14" s="3269">
        <v>1</v>
      </c>
      <c r="M14" s="3269"/>
      <c r="N14" s="3269"/>
      <c r="O14" s="1492">
        <f>E14+F14+G14+H14+I14+J14+K14+L14+M14+N14</f>
        <v>83</v>
      </c>
      <c r="P14" s="2289"/>
      <c r="Q14" s="2290"/>
      <c r="R14" s="1430"/>
      <c r="S14" s="1424"/>
      <c r="T14" s="1041"/>
      <c r="U14" s="2172" t="s">
        <v>19</v>
      </c>
      <c r="V14" s="3276" t="str">
        <f>IF(E14&gt;=(E18)," ","خطأ")</f>
        <v xml:space="preserve"> </v>
      </c>
      <c r="W14" s="3276" t="str">
        <f t="shared" si="0"/>
        <v xml:space="preserve"> </v>
      </c>
      <c r="X14" s="3276" t="str">
        <f t="shared" si="0"/>
        <v xml:space="preserve"> </v>
      </c>
      <c r="Y14" s="3276" t="str">
        <f t="shared" si="0"/>
        <v xml:space="preserve"> </v>
      </c>
      <c r="Z14" s="3276" t="str">
        <f t="shared" si="0"/>
        <v xml:space="preserve"> </v>
      </c>
      <c r="AA14" s="3276" t="str">
        <f t="shared" si="0"/>
        <v xml:space="preserve"> </v>
      </c>
      <c r="AB14" s="3276" t="str">
        <f t="shared" si="0"/>
        <v xml:space="preserve"> </v>
      </c>
      <c r="AC14" s="3276" t="str">
        <f t="shared" si="0"/>
        <v xml:space="preserve"> </v>
      </c>
      <c r="AD14" s="3276" t="str">
        <f t="shared" si="0"/>
        <v xml:space="preserve"> </v>
      </c>
      <c r="AE14" s="3276" t="str">
        <f t="shared" si="0"/>
        <v xml:space="preserve"> </v>
      </c>
      <c r="AF14" s="1041"/>
      <c r="AG14" s="1041"/>
      <c r="AH14" s="1420"/>
    </row>
    <row r="15" spans="1:34" ht="9.9" customHeight="1">
      <c r="A15" s="1418"/>
      <c r="B15" s="1431"/>
      <c r="C15" s="2348"/>
      <c r="D15" s="650"/>
      <c r="E15" s="1434"/>
      <c r="F15" s="1434"/>
      <c r="G15" s="1444"/>
      <c r="H15" s="1445"/>
      <c r="I15" s="1445"/>
      <c r="J15" s="1445"/>
      <c r="K15" s="1446"/>
      <c r="L15" s="1438"/>
      <c r="M15" s="1438"/>
      <c r="N15" s="1438"/>
      <c r="O15" s="1463"/>
      <c r="P15" s="2289"/>
      <c r="Q15" s="2290"/>
      <c r="R15" s="1430"/>
      <c r="S15" s="1424"/>
      <c r="T15" s="1041"/>
      <c r="U15" s="1041"/>
      <c r="V15" s="1041"/>
      <c r="W15" s="1041"/>
      <c r="X15" s="1041"/>
      <c r="Y15" s="1041"/>
      <c r="Z15" s="1041"/>
      <c r="AA15" s="1041"/>
      <c r="AB15" s="1041"/>
      <c r="AC15" s="1041"/>
      <c r="AD15" s="1041"/>
      <c r="AE15" s="1041"/>
      <c r="AF15" s="1041"/>
      <c r="AG15" s="1041"/>
      <c r="AH15" s="1420"/>
    </row>
    <row r="16" spans="1:34" ht="12.9" customHeight="1">
      <c r="A16" s="1418"/>
      <c r="B16" s="1425"/>
      <c r="C16" s="2349"/>
      <c r="D16" s="2279" t="s">
        <v>1397</v>
      </c>
      <c r="E16" s="1465"/>
      <c r="F16" s="1465"/>
      <c r="G16" s="1465"/>
      <c r="H16" s="1465"/>
      <c r="I16" s="1465"/>
      <c r="J16" s="1465"/>
      <c r="K16" s="1465"/>
      <c r="L16" s="1465"/>
      <c r="M16" s="1465"/>
      <c r="N16" s="1466"/>
      <c r="O16" s="1507" t="s">
        <v>1398</v>
      </c>
      <c r="P16" s="649"/>
      <c r="Q16" s="2293"/>
      <c r="R16" s="1430"/>
      <c r="S16" s="1418"/>
      <c r="T16" s="3277"/>
      <c r="U16" s="3278" t="s">
        <v>1046</v>
      </c>
      <c r="V16" s="1041"/>
      <c r="W16" s="1041"/>
      <c r="X16" s="1041"/>
      <c r="Y16" s="1041"/>
      <c r="Z16" s="1041"/>
      <c r="AA16" s="1041"/>
      <c r="AB16" s="1041"/>
      <c r="AC16" s="1041"/>
      <c r="AD16" s="1041"/>
      <c r="AE16" s="1041"/>
      <c r="AF16" s="1041"/>
      <c r="AG16" s="1041"/>
      <c r="AH16" s="1420"/>
    </row>
    <row r="17" spans="1:34" ht="12.9" customHeight="1">
      <c r="A17" s="1418"/>
      <c r="B17" s="1425"/>
      <c r="C17" s="2349"/>
      <c r="D17" s="2172" t="s">
        <v>20</v>
      </c>
      <c r="E17" s="2285"/>
      <c r="F17" s="1462"/>
      <c r="G17" s="1462"/>
      <c r="H17" s="1462"/>
      <c r="I17" s="1462"/>
      <c r="J17" s="1462"/>
      <c r="K17" s="1462"/>
      <c r="L17" s="1462"/>
      <c r="M17" s="1462"/>
      <c r="N17" s="1462"/>
      <c r="O17" s="1969">
        <f>E17+F17+G17+H17+I17+J17+K17+L17+M17+N17</f>
        <v>0</v>
      </c>
      <c r="P17" s="649"/>
      <c r="Q17" s="2293"/>
      <c r="R17" s="1430"/>
      <c r="S17" s="1418"/>
      <c r="T17" s="3277"/>
      <c r="U17" s="1041"/>
      <c r="V17" s="1041"/>
      <c r="W17" s="1041"/>
      <c r="X17" s="1041"/>
      <c r="Y17" s="1041"/>
      <c r="Z17" s="1041"/>
      <c r="AA17" s="1041"/>
      <c r="AB17" s="1041"/>
      <c r="AC17" s="1041"/>
      <c r="AD17" s="1041"/>
      <c r="AE17" s="3279" t="s">
        <v>1047</v>
      </c>
      <c r="AF17" s="1041"/>
      <c r="AG17" s="1041"/>
      <c r="AH17" s="1420"/>
    </row>
    <row r="18" spans="1:34" ht="12.9" customHeight="1">
      <c r="A18" s="1418"/>
      <c r="B18" s="1425"/>
      <c r="C18" s="2349"/>
      <c r="D18" s="2172" t="s">
        <v>19</v>
      </c>
      <c r="E18" s="2285"/>
      <c r="F18" s="3269"/>
      <c r="G18" s="3269"/>
      <c r="H18" s="3269"/>
      <c r="I18" s="3269"/>
      <c r="J18" s="3269"/>
      <c r="K18" s="3269"/>
      <c r="L18" s="3269"/>
      <c r="M18" s="3269"/>
      <c r="N18" s="3269"/>
      <c r="O18" s="1492">
        <f>E18+F18+G18+H18+I18+J18+K18+L18+M18+N18</f>
        <v>0</v>
      </c>
      <c r="P18" s="649"/>
      <c r="Q18" s="2293"/>
      <c r="R18" s="1430"/>
      <c r="S18" s="1418"/>
      <c r="T18" s="3277"/>
      <c r="U18" s="1041"/>
      <c r="V18" s="1041"/>
      <c r="W18" s="1041"/>
      <c r="X18" s="1041"/>
      <c r="Y18" s="1041"/>
      <c r="Z18" s="1041"/>
      <c r="AA18" s="1041"/>
      <c r="AB18" s="1041"/>
      <c r="AC18" s="1041"/>
      <c r="AD18" s="1041"/>
      <c r="AE18" s="1041"/>
      <c r="AF18" s="1041"/>
      <c r="AG18" s="1041"/>
      <c r="AH18" s="1420"/>
    </row>
    <row r="19" spans="1:34" ht="9.9" customHeight="1">
      <c r="A19" s="1418"/>
      <c r="B19" s="1425"/>
      <c r="C19" s="2349"/>
      <c r="D19" s="2280"/>
      <c r="E19" s="1468"/>
      <c r="F19" s="1468"/>
      <c r="G19" s="1468"/>
      <c r="H19" s="1468"/>
      <c r="I19" s="1468"/>
      <c r="J19" s="1468"/>
      <c r="K19" s="1468"/>
      <c r="L19" s="1468"/>
      <c r="M19" s="1468"/>
      <c r="N19" s="1468"/>
      <c r="O19" s="1469"/>
      <c r="P19" s="649"/>
      <c r="Q19" s="2293"/>
      <c r="R19" s="1430"/>
      <c r="S19" s="1418"/>
      <c r="T19" s="3277"/>
      <c r="U19" s="4203" t="s">
        <v>791</v>
      </c>
      <c r="V19" s="4203"/>
      <c r="W19" s="4203"/>
      <c r="X19" s="4203"/>
      <c r="Y19" s="4203"/>
      <c r="Z19" s="4203"/>
      <c r="AA19" s="4203"/>
      <c r="AB19" s="4203"/>
      <c r="AC19" s="4203"/>
      <c r="AD19" s="1041"/>
      <c r="AE19" s="1041"/>
      <c r="AF19" s="1041"/>
      <c r="AG19" s="1041"/>
      <c r="AH19" s="1420"/>
    </row>
    <row r="20" spans="1:34" ht="9.9" customHeight="1">
      <c r="A20" s="1418"/>
      <c r="B20" s="1425"/>
      <c r="C20" s="2349"/>
      <c r="D20" s="1471"/>
      <c r="E20" s="1470"/>
      <c r="F20" s="1470"/>
      <c r="G20" s="1470"/>
      <c r="H20" s="1470"/>
      <c r="I20" s="1470"/>
      <c r="J20" s="1470"/>
      <c r="K20" s="1470"/>
      <c r="L20" s="1470"/>
      <c r="M20" s="1470"/>
      <c r="N20" s="1470"/>
      <c r="O20" s="1471"/>
      <c r="P20" s="649"/>
      <c r="Q20" s="2293"/>
      <c r="R20" s="1430"/>
      <c r="S20" s="1418"/>
      <c r="T20" s="1041"/>
      <c r="U20" s="4203"/>
      <c r="V20" s="4203"/>
      <c r="W20" s="4203"/>
      <c r="X20" s="4203"/>
      <c r="Y20" s="4203"/>
      <c r="Z20" s="4203"/>
      <c r="AA20" s="4203"/>
      <c r="AB20" s="4203"/>
      <c r="AC20" s="4203"/>
      <c r="AD20" s="1041"/>
      <c r="AE20" s="1041"/>
      <c r="AF20" s="1041"/>
      <c r="AG20" s="1041"/>
      <c r="AH20" s="1420"/>
    </row>
    <row r="21" spans="1:34" ht="18.75" customHeight="1">
      <c r="A21" s="1418"/>
      <c r="B21" s="1425"/>
      <c r="C21" s="2349"/>
      <c r="D21" s="2281"/>
      <c r="E21" s="2028" t="s">
        <v>967</v>
      </c>
      <c r="F21" s="1472"/>
      <c r="G21" s="1473"/>
      <c r="H21" s="1474"/>
      <c r="I21" s="1472"/>
      <c r="J21" s="1472"/>
      <c r="K21" s="1472"/>
      <c r="L21" s="1472"/>
      <c r="M21" s="1475"/>
      <c r="N21" s="1475" t="s">
        <v>792</v>
      </c>
      <c r="O21" s="2275"/>
      <c r="P21" s="649"/>
      <c r="Q21" s="2293"/>
      <c r="R21" s="1430"/>
      <c r="S21" s="1418"/>
      <c r="T21" s="1041"/>
      <c r="U21" s="1041"/>
      <c r="V21" s="1041"/>
      <c r="W21" s="1041"/>
      <c r="X21" s="1041"/>
      <c r="Y21" s="1041"/>
      <c r="Z21" s="1041"/>
      <c r="AA21" s="1041"/>
      <c r="AB21" s="1041"/>
      <c r="AC21" s="1041"/>
      <c r="AD21" s="1041"/>
      <c r="AE21" s="1041"/>
      <c r="AF21" s="1041"/>
      <c r="AG21" s="1041"/>
      <c r="AH21" s="1420"/>
    </row>
    <row r="22" spans="1:34" ht="3.9" customHeight="1">
      <c r="A22" s="1418"/>
      <c r="B22" s="1425"/>
      <c r="C22" s="2349"/>
      <c r="D22" s="2282"/>
      <c r="E22" s="1476"/>
      <c r="F22" s="1477"/>
      <c r="G22" s="1478"/>
      <c r="H22" s="1479"/>
      <c r="I22" s="1477"/>
      <c r="J22" s="1477"/>
      <c r="K22" s="1477"/>
      <c r="L22" s="1477"/>
      <c r="M22" s="1480"/>
      <c r="N22" s="1480"/>
      <c r="O22" s="2276"/>
      <c r="P22" s="649"/>
      <c r="Q22" s="2293"/>
      <c r="R22" s="1430"/>
      <c r="S22" s="1418"/>
      <c r="T22" s="1041"/>
      <c r="U22" s="1041"/>
      <c r="V22" s="1041"/>
      <c r="W22" s="1041"/>
      <c r="X22" s="1041"/>
      <c r="Y22" s="1041"/>
      <c r="Z22" s="1041"/>
      <c r="AA22" s="1041"/>
      <c r="AB22" s="1041"/>
      <c r="AC22" s="1041"/>
      <c r="AD22" s="1041"/>
      <c r="AE22" s="1041"/>
      <c r="AF22" s="1041"/>
      <c r="AG22" s="1041"/>
      <c r="AH22" s="1420"/>
    </row>
    <row r="23" spans="1:34" ht="15" customHeight="1">
      <c r="A23" s="1418"/>
      <c r="B23" s="1481"/>
      <c r="C23" s="2350"/>
      <c r="D23" s="2277" t="s">
        <v>1038</v>
      </c>
      <c r="E23" s="1458"/>
      <c r="F23" s="1458"/>
      <c r="G23" s="1459"/>
      <c r="H23" s="1483"/>
      <c r="I23" s="1458"/>
      <c r="J23" s="1458"/>
      <c r="K23" s="1458"/>
      <c r="L23" s="1458"/>
      <c r="M23" s="1458"/>
      <c r="N23" s="1458"/>
      <c r="O23" s="1484" t="s">
        <v>1055</v>
      </c>
      <c r="P23" s="2295"/>
      <c r="Q23" s="2296"/>
      <c r="R23" s="1430"/>
      <c r="S23" s="1487"/>
      <c r="T23" s="1041"/>
      <c r="U23" s="2407" t="s">
        <v>790</v>
      </c>
      <c r="V23" s="1488" t="s">
        <v>18</v>
      </c>
      <c r="W23" s="1488" t="s">
        <v>17</v>
      </c>
      <c r="X23" s="1488" t="s">
        <v>16</v>
      </c>
      <c r="Y23" s="1488" t="s">
        <v>15</v>
      </c>
      <c r="Z23" s="1488" t="s">
        <v>14</v>
      </c>
      <c r="AA23" s="1488" t="s">
        <v>13</v>
      </c>
      <c r="AB23" s="1488" t="s">
        <v>12</v>
      </c>
      <c r="AC23" s="1488" t="s">
        <v>11</v>
      </c>
      <c r="AD23" s="1488" t="s">
        <v>10</v>
      </c>
      <c r="AE23" s="1488" t="s">
        <v>9</v>
      </c>
      <c r="AF23" s="1041"/>
      <c r="AG23" s="1041"/>
      <c r="AH23" s="1420"/>
    </row>
    <row r="24" spans="1:34" ht="6.9" customHeight="1">
      <c r="A24" s="1418"/>
      <c r="B24" s="1425"/>
      <c r="C24" s="2349"/>
      <c r="D24" s="649"/>
      <c r="E24" s="1446"/>
      <c r="F24" s="1446"/>
      <c r="G24" s="1446"/>
      <c r="H24" s="1446"/>
      <c r="I24" s="1446"/>
      <c r="J24" s="1446"/>
      <c r="K24" s="1446"/>
      <c r="L24" s="1446"/>
      <c r="M24" s="1446"/>
      <c r="N24" s="1446"/>
      <c r="O24" s="649"/>
      <c r="P24" s="649"/>
      <c r="Q24" s="2293"/>
      <c r="R24" s="1430"/>
      <c r="S24" s="1418"/>
      <c r="T24" s="1041"/>
      <c r="U24" s="3333"/>
      <c r="V24" s="3295"/>
      <c r="W24" s="3333"/>
      <c r="X24" s="3333"/>
      <c r="Y24" s="3333"/>
      <c r="Z24" s="3333"/>
      <c r="AA24" s="3333"/>
      <c r="AB24" s="3333"/>
      <c r="AC24" s="3333"/>
      <c r="AD24" s="3333"/>
      <c r="AE24" s="3333"/>
      <c r="AF24" s="464"/>
      <c r="AG24" s="1041"/>
      <c r="AH24" s="1420"/>
    </row>
    <row r="25" spans="1:34" ht="14.1" customHeight="1">
      <c r="A25" s="1418"/>
      <c r="B25" s="1425"/>
      <c r="C25" s="2349"/>
      <c r="D25" s="2278" t="s">
        <v>790</v>
      </c>
      <c r="E25" s="1461" t="s">
        <v>18</v>
      </c>
      <c r="F25" s="1461" t="s">
        <v>17</v>
      </c>
      <c r="G25" s="1461" t="s">
        <v>16</v>
      </c>
      <c r="H25" s="1461" t="s">
        <v>15</v>
      </c>
      <c r="I25" s="1461" t="s">
        <v>14</v>
      </c>
      <c r="J25" s="1461" t="s">
        <v>13</v>
      </c>
      <c r="K25" s="1461" t="s">
        <v>12</v>
      </c>
      <c r="L25" s="1461" t="s">
        <v>11</v>
      </c>
      <c r="M25" s="1461" t="s">
        <v>10</v>
      </c>
      <c r="N25" s="1461" t="s">
        <v>9</v>
      </c>
      <c r="O25" s="1488" t="s">
        <v>28</v>
      </c>
      <c r="P25" s="2297"/>
      <c r="Q25" s="2293"/>
      <c r="R25" s="1430"/>
      <c r="S25" s="1490"/>
      <c r="T25" s="1041"/>
      <c r="U25" s="3312" t="s">
        <v>20</v>
      </c>
      <c r="V25" s="3332" t="str">
        <f>IF(E26&gt;=E42," ","خطأ")</f>
        <v xml:space="preserve"> </v>
      </c>
      <c r="W25" s="3332" t="str">
        <f t="shared" ref="W25:AE26" si="1">IF(F26&gt;=F42," ","خطأ")</f>
        <v xml:space="preserve"> </v>
      </c>
      <c r="X25" s="3332" t="str">
        <f t="shared" si="1"/>
        <v xml:space="preserve"> </v>
      </c>
      <c r="Y25" s="3332" t="str">
        <f t="shared" si="1"/>
        <v xml:space="preserve"> </v>
      </c>
      <c r="Z25" s="3332" t="str">
        <f t="shared" si="1"/>
        <v xml:space="preserve"> </v>
      </c>
      <c r="AA25" s="3332" t="str">
        <f t="shared" si="1"/>
        <v xml:space="preserve"> </v>
      </c>
      <c r="AB25" s="3332" t="str">
        <f t="shared" si="1"/>
        <v xml:space="preserve"> </v>
      </c>
      <c r="AC25" s="3332" t="str">
        <f t="shared" si="1"/>
        <v xml:space="preserve"> </v>
      </c>
      <c r="AD25" s="3332" t="str">
        <f t="shared" si="1"/>
        <v xml:space="preserve"> </v>
      </c>
      <c r="AE25" s="3332" t="str">
        <f t="shared" si="1"/>
        <v xml:space="preserve"> </v>
      </c>
      <c r="AF25" s="1041"/>
      <c r="AG25" s="1041"/>
      <c r="AH25" s="1420"/>
    </row>
    <row r="26" spans="1:34" ht="12.9" customHeight="1">
      <c r="A26" s="1418"/>
      <c r="B26" s="1425"/>
      <c r="C26" s="2349"/>
      <c r="D26" s="2172" t="s">
        <v>20</v>
      </c>
      <c r="E26" s="2285"/>
      <c r="F26" s="1462"/>
      <c r="G26" s="1462">
        <v>26</v>
      </c>
      <c r="H26" s="1462">
        <v>98</v>
      </c>
      <c r="I26" s="1462">
        <v>22</v>
      </c>
      <c r="J26" s="1462">
        <v>15</v>
      </c>
      <c r="K26" s="1462">
        <v>2</v>
      </c>
      <c r="L26" s="1462">
        <v>1</v>
      </c>
      <c r="M26" s="1462"/>
      <c r="N26" s="1462"/>
      <c r="O26" s="1969">
        <f>E26+F26+G26+H26+I26+J26+K26+L26+M26+N26</f>
        <v>164</v>
      </c>
      <c r="P26" s="1041"/>
      <c r="Q26" s="2293"/>
      <c r="R26" s="1430"/>
      <c r="S26" s="1491"/>
      <c r="T26" s="1041"/>
      <c r="U26" s="2172" t="s">
        <v>19</v>
      </c>
      <c r="V26" s="3276" t="str">
        <f>IF(E27&gt;=E43," ","خطأ")</f>
        <v xml:space="preserve"> </v>
      </c>
      <c r="W26" s="3276" t="str">
        <f t="shared" si="1"/>
        <v xml:space="preserve"> </v>
      </c>
      <c r="X26" s="3276" t="str">
        <f t="shared" si="1"/>
        <v xml:space="preserve"> </v>
      </c>
      <c r="Y26" s="3276" t="str">
        <f t="shared" si="1"/>
        <v xml:space="preserve"> </v>
      </c>
      <c r="Z26" s="3276" t="str">
        <f t="shared" si="1"/>
        <v xml:space="preserve"> </v>
      </c>
      <c r="AA26" s="3276" t="str">
        <f t="shared" si="1"/>
        <v xml:space="preserve"> </v>
      </c>
      <c r="AB26" s="3276" t="str">
        <f t="shared" si="1"/>
        <v xml:space="preserve"> </v>
      </c>
      <c r="AC26" s="3276" t="str">
        <f t="shared" si="1"/>
        <v xml:space="preserve"> </v>
      </c>
      <c r="AD26" s="3276" t="str">
        <f t="shared" si="1"/>
        <v xml:space="preserve"> </v>
      </c>
      <c r="AE26" s="3276" t="str">
        <f t="shared" si="1"/>
        <v xml:space="preserve"> </v>
      </c>
      <c r="AF26" s="1041"/>
      <c r="AG26" s="1041"/>
      <c r="AH26" s="1420"/>
    </row>
    <row r="27" spans="1:34" ht="12.9" customHeight="1">
      <c r="A27" s="1418"/>
      <c r="B27" s="1425"/>
      <c r="C27" s="2349"/>
      <c r="D27" s="2172" t="s">
        <v>19</v>
      </c>
      <c r="E27" s="2285"/>
      <c r="F27" s="3269"/>
      <c r="G27" s="3269">
        <v>17</v>
      </c>
      <c r="H27" s="3269">
        <v>61</v>
      </c>
      <c r="I27" s="3269">
        <v>10</v>
      </c>
      <c r="J27" s="3269">
        <v>7</v>
      </c>
      <c r="K27" s="3269">
        <v>1</v>
      </c>
      <c r="L27" s="3269"/>
      <c r="M27" s="3269"/>
      <c r="N27" s="3269"/>
      <c r="O27" s="1492">
        <f>E27+F27+G27+H27+I27+J27+K27+L27+M27+N27</f>
        <v>96</v>
      </c>
      <c r="P27" s="1041"/>
      <c r="Q27" s="2293"/>
      <c r="R27" s="1430"/>
      <c r="S27" s="1491"/>
      <c r="T27" s="1041"/>
      <c r="U27" s="4201" t="s">
        <v>1045</v>
      </c>
      <c r="V27" s="4201"/>
      <c r="W27" s="4201"/>
      <c r="X27" s="4201"/>
      <c r="Y27" s="4201"/>
      <c r="Z27" s="4201"/>
      <c r="AA27" s="4201"/>
      <c r="AB27" s="1041"/>
      <c r="AC27" s="1041"/>
      <c r="AD27" s="1041"/>
      <c r="AE27" s="1041"/>
      <c r="AF27" s="1041"/>
      <c r="AG27" s="1041"/>
      <c r="AH27" s="1420"/>
    </row>
    <row r="28" spans="1:34" ht="9.9" customHeight="1">
      <c r="A28" s="1418"/>
      <c r="B28" s="1425"/>
      <c r="C28" s="2349"/>
      <c r="D28" s="2280"/>
      <c r="E28" s="1468"/>
      <c r="F28" s="1468"/>
      <c r="G28" s="1468"/>
      <c r="H28" s="1468"/>
      <c r="I28" s="1468"/>
      <c r="J28" s="1468"/>
      <c r="K28" s="1468"/>
      <c r="L28" s="1468"/>
      <c r="M28" s="1468"/>
      <c r="N28" s="1468"/>
      <c r="O28" s="1469"/>
      <c r="P28" s="1469"/>
      <c r="Q28" s="2293"/>
      <c r="R28" s="1430"/>
      <c r="S28" s="1491"/>
      <c r="T28" s="1041"/>
      <c r="U28" s="4202"/>
      <c r="V28" s="4202"/>
      <c r="W28" s="4202"/>
      <c r="X28" s="4202"/>
      <c r="Y28" s="4202"/>
      <c r="Z28" s="4202"/>
      <c r="AA28" s="4202"/>
      <c r="AB28" s="1041"/>
      <c r="AC28" s="1041"/>
      <c r="AD28" s="1041"/>
      <c r="AE28" s="1041"/>
      <c r="AF28" s="1041"/>
      <c r="AG28" s="1041"/>
      <c r="AH28" s="1420"/>
    </row>
    <row r="29" spans="1:34" ht="12.9" customHeight="1">
      <c r="A29" s="1418"/>
      <c r="B29" s="1425"/>
      <c r="C29" s="2349"/>
      <c r="D29" s="2283" t="s">
        <v>1039</v>
      </c>
      <c r="E29" s="1465"/>
      <c r="F29" s="1465"/>
      <c r="G29" s="1465"/>
      <c r="H29" s="1465"/>
      <c r="I29" s="1465"/>
      <c r="J29" s="1465"/>
      <c r="K29" s="1465"/>
      <c r="L29" s="1465"/>
      <c r="M29" s="1465"/>
      <c r="N29" s="1466"/>
      <c r="O29" s="1508" t="s">
        <v>1054</v>
      </c>
      <c r="P29" s="2292"/>
      <c r="Q29" s="2293"/>
      <c r="R29" s="1430"/>
      <c r="S29" s="1491"/>
      <c r="T29" s="1041"/>
      <c r="U29" s="1041"/>
      <c r="V29" s="3280"/>
      <c r="W29" s="3280"/>
      <c r="X29" s="3280"/>
      <c r="Y29" s="3280"/>
      <c r="Z29" s="3281"/>
      <c r="AA29" s="3281" t="s">
        <v>1048</v>
      </c>
      <c r="AB29" s="1041"/>
      <c r="AC29" s="1041"/>
      <c r="AD29" s="1041"/>
      <c r="AE29" s="1041"/>
      <c r="AF29" s="1041"/>
      <c r="AG29" s="1041"/>
      <c r="AH29" s="1420"/>
    </row>
    <row r="30" spans="1:34" ht="12.9" customHeight="1">
      <c r="A30" s="1418"/>
      <c r="B30" s="1425"/>
      <c r="C30" s="2349"/>
      <c r="D30" s="2172" t="s">
        <v>20</v>
      </c>
      <c r="E30" s="3209"/>
      <c r="F30" s="3210"/>
      <c r="G30" s="3210">
        <v>5</v>
      </c>
      <c r="H30" s="3210"/>
      <c r="I30" s="3210"/>
      <c r="J30" s="3210"/>
      <c r="K30" s="3210"/>
      <c r="L30" s="3210"/>
      <c r="M30" s="3210"/>
      <c r="N30" s="3210"/>
      <c r="O30" s="3211">
        <f>E30+F30+G30+H30+I30+J30+K30+L30+M30+N30</f>
        <v>5</v>
      </c>
      <c r="P30" s="1469"/>
      <c r="Q30" s="2293"/>
      <c r="R30" s="1430"/>
      <c r="S30" s="1491"/>
      <c r="T30" s="1041"/>
      <c r="U30" s="3280"/>
      <c r="V30" s="3280"/>
      <c r="W30" s="3280"/>
      <c r="X30" s="3280"/>
      <c r="Y30" s="3280"/>
      <c r="Z30" s="1041"/>
      <c r="AA30" s="1041"/>
      <c r="AB30" s="1041"/>
      <c r="AC30" s="1041"/>
      <c r="AD30" s="1041"/>
      <c r="AE30" s="1041"/>
      <c r="AF30" s="1041"/>
      <c r="AG30" s="1041"/>
      <c r="AH30" s="1420"/>
    </row>
    <row r="31" spans="1:34" ht="12.9" customHeight="1">
      <c r="A31" s="1418"/>
      <c r="B31" s="1425"/>
      <c r="C31" s="2349"/>
      <c r="D31" s="2172" t="s">
        <v>19</v>
      </c>
      <c r="E31" s="3209"/>
      <c r="F31" s="3210"/>
      <c r="G31" s="3210">
        <v>1</v>
      </c>
      <c r="H31" s="3210"/>
      <c r="I31" s="3210"/>
      <c r="J31" s="3210"/>
      <c r="K31" s="3210"/>
      <c r="L31" s="3210"/>
      <c r="M31" s="3210"/>
      <c r="N31" s="3210"/>
      <c r="O31" s="3211">
        <f>E31+F31+G31+H31+I31+J31+K31+L31+M31+N31</f>
        <v>1</v>
      </c>
      <c r="P31" s="1469"/>
      <c r="Q31" s="2293"/>
      <c r="R31" s="1430"/>
      <c r="S31" s="1491"/>
      <c r="T31" s="1041"/>
      <c r="U31" s="2283" t="s">
        <v>1044</v>
      </c>
      <c r="V31" s="1041"/>
      <c r="W31" s="1041"/>
      <c r="X31" s="1041"/>
      <c r="Y31" s="1041"/>
      <c r="Z31" s="1041"/>
      <c r="AA31" s="1041"/>
      <c r="AB31" s="1041"/>
      <c r="AC31" s="1041"/>
      <c r="AD31" s="1041"/>
      <c r="AE31" s="1041"/>
      <c r="AF31" s="1041"/>
      <c r="AG31" s="1041"/>
      <c r="AH31" s="1420"/>
    </row>
    <row r="32" spans="1:34" ht="12" customHeight="1">
      <c r="A32" s="1418"/>
      <c r="B32" s="1425"/>
      <c r="C32" s="2350"/>
      <c r="D32" s="2280"/>
      <c r="E32" s="1468"/>
      <c r="F32" s="1468"/>
      <c r="G32" s="1468"/>
      <c r="H32" s="1468"/>
      <c r="I32" s="1468"/>
      <c r="J32" s="1468"/>
      <c r="K32" s="1468"/>
      <c r="L32" s="1468"/>
      <c r="M32" s="1468"/>
      <c r="N32" s="1468"/>
      <c r="O32" s="1469"/>
      <c r="P32" s="1469"/>
      <c r="Q32" s="2293"/>
      <c r="R32" s="1430"/>
      <c r="S32" s="1491"/>
      <c r="T32" s="1041"/>
      <c r="U32" s="1041"/>
      <c r="V32" s="1041"/>
      <c r="W32" s="1041"/>
      <c r="X32" s="1041"/>
      <c r="Y32" s="1041"/>
      <c r="Z32" s="1041"/>
      <c r="AA32" s="1041"/>
      <c r="AB32" s="1041"/>
      <c r="AC32" s="1041"/>
      <c r="AD32" s="1041"/>
      <c r="AE32" s="3282" t="s">
        <v>1049</v>
      </c>
      <c r="AF32" s="1041"/>
      <c r="AG32" s="1041"/>
      <c r="AH32" s="1420"/>
    </row>
    <row r="33" spans="1:34" ht="15" customHeight="1">
      <c r="A33" s="1418"/>
      <c r="B33" s="1425"/>
      <c r="C33" s="2349"/>
      <c r="D33" s="2279" t="s">
        <v>1040</v>
      </c>
      <c r="E33" s="1465"/>
      <c r="F33" s="1465"/>
      <c r="G33" s="1465"/>
      <c r="H33" s="1465"/>
      <c r="I33" s="1465"/>
      <c r="J33" s="1465"/>
      <c r="K33" s="1465"/>
      <c r="L33" s="1465"/>
      <c r="M33" s="1465"/>
      <c r="N33" s="1466"/>
      <c r="O33" s="1507" t="s">
        <v>1053</v>
      </c>
      <c r="P33" s="2292"/>
      <c r="Q33" s="2293"/>
      <c r="R33" s="1430"/>
      <c r="S33" s="1491"/>
      <c r="T33" s="1041"/>
      <c r="U33" s="3283" t="s">
        <v>796</v>
      </c>
      <c r="V33" s="3284"/>
      <c r="W33" s="3284"/>
      <c r="X33" s="3284"/>
      <c r="Y33" s="3284"/>
      <c r="Z33" s="3284"/>
      <c r="AA33" s="3284"/>
      <c r="AB33" s="3284"/>
      <c r="AC33" s="3284"/>
      <c r="AD33" s="1041"/>
      <c r="AE33" s="1041"/>
      <c r="AF33" s="1041"/>
      <c r="AG33" s="1041"/>
      <c r="AH33" s="1420"/>
    </row>
    <row r="34" spans="1:34" ht="12.9" customHeight="1">
      <c r="A34" s="1418"/>
      <c r="B34" s="1425"/>
      <c r="C34" s="2349"/>
      <c r="D34" s="2172" t="s">
        <v>20</v>
      </c>
      <c r="E34" s="2285"/>
      <c r="F34" s="1462"/>
      <c r="G34" s="3269"/>
      <c r="H34" s="3269"/>
      <c r="I34" s="3269"/>
      <c r="J34" s="3269"/>
      <c r="K34" s="3269"/>
      <c r="L34" s="3269"/>
      <c r="M34" s="3269"/>
      <c r="N34" s="3269"/>
      <c r="O34" s="1492">
        <f>E34+F34+G34+H34+I34+J34+K34+L34+M34+N34</f>
        <v>0</v>
      </c>
      <c r="P34" s="1469"/>
      <c r="Q34" s="2293"/>
      <c r="R34" s="1430"/>
      <c r="S34" s="1491"/>
      <c r="T34" s="1041"/>
      <c r="U34" s="2172" t="s">
        <v>20</v>
      </c>
      <c r="V34" s="3276" t="str">
        <f t="shared" ref="V34:AE35" si="2">IF(E30&gt;=E46," ","خطأ")</f>
        <v xml:space="preserve"> </v>
      </c>
      <c r="W34" s="3276" t="str">
        <f t="shared" si="2"/>
        <v xml:space="preserve"> </v>
      </c>
      <c r="X34" s="3276" t="str">
        <f t="shared" si="2"/>
        <v xml:space="preserve"> </v>
      </c>
      <c r="Y34" s="3276" t="str">
        <f t="shared" si="2"/>
        <v xml:space="preserve"> </v>
      </c>
      <c r="Z34" s="3276" t="str">
        <f t="shared" si="2"/>
        <v xml:space="preserve"> </v>
      </c>
      <c r="AA34" s="3276" t="str">
        <f t="shared" si="2"/>
        <v xml:space="preserve"> </v>
      </c>
      <c r="AB34" s="3276" t="str">
        <f t="shared" si="2"/>
        <v xml:space="preserve"> </v>
      </c>
      <c r="AC34" s="3276" t="str">
        <f t="shared" si="2"/>
        <v xml:space="preserve"> </v>
      </c>
      <c r="AD34" s="3276" t="str">
        <f t="shared" si="2"/>
        <v xml:space="preserve"> </v>
      </c>
      <c r="AE34" s="3276" t="str">
        <f t="shared" si="2"/>
        <v xml:space="preserve"> </v>
      </c>
      <c r="AF34" s="1041"/>
      <c r="AG34" s="1041"/>
      <c r="AH34" s="1420"/>
    </row>
    <row r="35" spans="1:34" ht="12.9" customHeight="1">
      <c r="A35" s="1418"/>
      <c r="B35" s="1425"/>
      <c r="C35" s="2349"/>
      <c r="D35" s="2172" t="s">
        <v>19</v>
      </c>
      <c r="E35" s="2285"/>
      <c r="F35" s="3269"/>
      <c r="G35" s="3269"/>
      <c r="H35" s="3269"/>
      <c r="I35" s="3269"/>
      <c r="J35" s="3269"/>
      <c r="K35" s="3269"/>
      <c r="L35" s="3269"/>
      <c r="M35" s="3269"/>
      <c r="N35" s="3269"/>
      <c r="O35" s="1492">
        <f>E35+F35+G35+H35+I35+J35+K35+L35+M35+N35</f>
        <v>0</v>
      </c>
      <c r="P35" s="1469"/>
      <c r="Q35" s="2293"/>
      <c r="R35" s="1430"/>
      <c r="S35" s="1491"/>
      <c r="T35" s="1041"/>
      <c r="U35" s="2172" t="s">
        <v>19</v>
      </c>
      <c r="V35" s="3276" t="str">
        <f t="shared" si="2"/>
        <v xml:space="preserve"> </v>
      </c>
      <c r="W35" s="3276" t="str">
        <f t="shared" si="2"/>
        <v xml:space="preserve"> </v>
      </c>
      <c r="X35" s="3276" t="str">
        <f t="shared" si="2"/>
        <v xml:space="preserve"> </v>
      </c>
      <c r="Y35" s="3276" t="str">
        <f t="shared" si="2"/>
        <v xml:space="preserve"> </v>
      </c>
      <c r="Z35" s="3276" t="str">
        <f t="shared" si="2"/>
        <v xml:space="preserve"> </v>
      </c>
      <c r="AA35" s="3276" t="str">
        <f t="shared" si="2"/>
        <v xml:space="preserve"> </v>
      </c>
      <c r="AB35" s="3276" t="str">
        <f t="shared" si="2"/>
        <v xml:space="preserve"> </v>
      </c>
      <c r="AC35" s="3276" t="str">
        <f t="shared" si="2"/>
        <v xml:space="preserve"> </v>
      </c>
      <c r="AD35" s="3276" t="str">
        <f t="shared" si="2"/>
        <v xml:space="preserve"> </v>
      </c>
      <c r="AE35" s="3276" t="str">
        <f t="shared" si="2"/>
        <v xml:space="preserve"> </v>
      </c>
      <c r="AF35" s="1041"/>
      <c r="AG35" s="1041"/>
      <c r="AH35" s="1420"/>
    </row>
    <row r="36" spans="1:34" ht="9.9" customHeight="1">
      <c r="A36" s="1418"/>
      <c r="B36" s="1425"/>
      <c r="C36" s="2349"/>
      <c r="D36" s="1920"/>
      <c r="E36" s="1495"/>
      <c r="F36" s="1495"/>
      <c r="G36" s="1495"/>
      <c r="H36" s="1495"/>
      <c r="I36" s="1495"/>
      <c r="J36" s="1495"/>
      <c r="K36" s="1495"/>
      <c r="L36" s="1495"/>
      <c r="M36" s="1495"/>
      <c r="N36" s="1495"/>
      <c r="O36" s="1494"/>
      <c r="P36" s="1469"/>
      <c r="Q36" s="2293"/>
      <c r="R36" s="1430"/>
      <c r="S36" s="1491"/>
      <c r="T36" s="4214" t="s">
        <v>1391</v>
      </c>
      <c r="U36" s="4214"/>
      <c r="V36" s="4214"/>
      <c r="W36" s="4214"/>
      <c r="X36" s="4214"/>
      <c r="Y36" s="4214"/>
      <c r="Z36" s="4214"/>
      <c r="AA36" s="4214"/>
      <c r="AB36" s="4214"/>
      <c r="AC36" s="4214"/>
      <c r="AD36" s="4214"/>
      <c r="AE36" s="4214"/>
      <c r="AF36" s="3285"/>
      <c r="AG36" s="1041"/>
      <c r="AH36" s="1420"/>
    </row>
    <row r="37" spans="1:34" ht="9.9" customHeight="1">
      <c r="A37" s="1418"/>
      <c r="B37" s="1425"/>
      <c r="C37" s="2349"/>
      <c r="D37" s="1471"/>
      <c r="E37" s="1470"/>
      <c r="F37" s="1470"/>
      <c r="G37" s="1470"/>
      <c r="H37" s="1470"/>
      <c r="I37" s="1470"/>
      <c r="J37" s="1470"/>
      <c r="K37" s="1470"/>
      <c r="L37" s="1470"/>
      <c r="M37" s="1470"/>
      <c r="N37" s="1470"/>
      <c r="O37" s="1471"/>
      <c r="P37" s="649"/>
      <c r="Q37" s="2293"/>
      <c r="R37" s="1430"/>
      <c r="S37" s="1491"/>
      <c r="T37" s="4214"/>
      <c r="U37" s="4214"/>
      <c r="V37" s="4214"/>
      <c r="W37" s="4214"/>
      <c r="X37" s="4214"/>
      <c r="Y37" s="4214"/>
      <c r="Z37" s="4214"/>
      <c r="AA37" s="4214"/>
      <c r="AB37" s="4214"/>
      <c r="AC37" s="4214"/>
      <c r="AD37" s="4214"/>
      <c r="AE37" s="4214"/>
      <c r="AF37" s="3285"/>
      <c r="AG37" s="1041"/>
      <c r="AH37" s="1420"/>
    </row>
    <row r="38" spans="1:34" ht="18.75" customHeight="1">
      <c r="A38" s="1418"/>
      <c r="B38" s="1425"/>
      <c r="C38" s="2349"/>
      <c r="D38" s="2281"/>
      <c r="E38" s="2028" t="s">
        <v>967</v>
      </c>
      <c r="F38" s="1472"/>
      <c r="G38" s="1473"/>
      <c r="H38" s="1474"/>
      <c r="I38" s="1472"/>
      <c r="J38" s="1472"/>
      <c r="K38" s="1472"/>
      <c r="L38" s="1472"/>
      <c r="M38" s="1475"/>
      <c r="N38" s="1475" t="s">
        <v>792</v>
      </c>
      <c r="O38" s="2275"/>
      <c r="P38" s="649"/>
      <c r="Q38" s="2293"/>
      <c r="R38" s="1430"/>
      <c r="S38" s="1491"/>
      <c r="T38" s="3286"/>
      <c r="U38" s="2407" t="s">
        <v>790</v>
      </c>
      <c r="V38" s="1488" t="s">
        <v>17</v>
      </c>
      <c r="W38" s="1488" t="s">
        <v>16</v>
      </c>
      <c r="X38" s="1488" t="s">
        <v>15</v>
      </c>
      <c r="Y38" s="1488" t="s">
        <v>14</v>
      </c>
      <c r="Z38" s="1488" t="s">
        <v>13</v>
      </c>
      <c r="AA38" s="1488" t="s">
        <v>12</v>
      </c>
      <c r="AB38" s="1488" t="s">
        <v>11</v>
      </c>
      <c r="AC38" s="1488" t="s">
        <v>10</v>
      </c>
      <c r="AD38" s="1488" t="s">
        <v>9</v>
      </c>
      <c r="AE38" s="1488" t="s">
        <v>28</v>
      </c>
      <c r="AF38" s="3285"/>
      <c r="AG38" s="1041"/>
      <c r="AH38" s="1420"/>
    </row>
    <row r="39" spans="1:34" ht="3.9" customHeight="1">
      <c r="A39" s="1418"/>
      <c r="B39" s="1425"/>
      <c r="C39" s="2349"/>
      <c r="D39" s="2282"/>
      <c r="E39" s="1476"/>
      <c r="F39" s="1477"/>
      <c r="G39" s="1478"/>
      <c r="H39" s="1479"/>
      <c r="I39" s="1477"/>
      <c r="J39" s="1477"/>
      <c r="K39" s="1477"/>
      <c r="L39" s="1477"/>
      <c r="M39" s="1480"/>
      <c r="N39" s="1480"/>
      <c r="O39" s="2276"/>
      <c r="P39" s="649"/>
      <c r="Q39" s="2293"/>
      <c r="R39" s="1430"/>
      <c r="S39" s="1491"/>
      <c r="T39" s="3286"/>
      <c r="U39" s="4207" t="s">
        <v>761</v>
      </c>
      <c r="V39" s="4211">
        <f t="shared" ref="V39:AE39" si="3">V43-V46</f>
        <v>0</v>
      </c>
      <c r="W39" s="4211">
        <f t="shared" si="3"/>
        <v>3</v>
      </c>
      <c r="X39" s="4211">
        <f t="shared" si="3"/>
        <v>15</v>
      </c>
      <c r="Y39" s="4211">
        <f t="shared" si="3"/>
        <v>8</v>
      </c>
      <c r="Z39" s="4211">
        <f t="shared" si="3"/>
        <v>0</v>
      </c>
      <c r="AA39" s="4211">
        <f t="shared" si="3"/>
        <v>3</v>
      </c>
      <c r="AB39" s="4211">
        <f t="shared" si="3"/>
        <v>0</v>
      </c>
      <c r="AC39" s="4211">
        <f t="shared" si="3"/>
        <v>1</v>
      </c>
      <c r="AD39" s="4211">
        <f t="shared" si="3"/>
        <v>0</v>
      </c>
      <c r="AE39" s="4211">
        <f t="shared" si="3"/>
        <v>30</v>
      </c>
      <c r="AF39" s="3285"/>
      <c r="AH39" s="1420"/>
    </row>
    <row r="40" spans="1:34" ht="15" customHeight="1">
      <c r="A40" s="1418"/>
      <c r="B40" s="1425"/>
      <c r="C40" s="2349"/>
      <c r="D40" s="2277" t="s">
        <v>1041</v>
      </c>
      <c r="E40" s="1496"/>
      <c r="F40" s="1496"/>
      <c r="G40" s="1496"/>
      <c r="H40" s="1497"/>
      <c r="I40" s="1496"/>
      <c r="J40" s="1496"/>
      <c r="K40" s="1496"/>
      <c r="L40" s="1496"/>
      <c r="M40" s="1496"/>
      <c r="N40" s="1496"/>
      <c r="O40" s="1484" t="s">
        <v>1052</v>
      </c>
      <c r="P40" s="649"/>
      <c r="Q40" s="2293"/>
      <c r="R40" s="1430"/>
      <c r="S40" s="1491"/>
      <c r="T40" s="3286"/>
      <c r="U40" s="4207"/>
      <c r="V40" s="4211"/>
      <c r="W40" s="4211"/>
      <c r="X40" s="4211"/>
      <c r="Y40" s="4211"/>
      <c r="Z40" s="4211"/>
      <c r="AA40" s="4211"/>
      <c r="AB40" s="4211"/>
      <c r="AC40" s="4211"/>
      <c r="AD40" s="4211"/>
      <c r="AE40" s="4211"/>
      <c r="AF40" s="3285"/>
      <c r="AG40" s="1041"/>
      <c r="AH40" s="1420"/>
    </row>
    <row r="41" spans="1:34" ht="6.9" customHeight="1">
      <c r="A41" s="1418"/>
      <c r="B41" s="1425"/>
      <c r="C41" s="2349"/>
      <c r="D41" s="2279"/>
      <c r="E41" s="1446"/>
      <c r="F41" s="1446"/>
      <c r="G41" s="1446"/>
      <c r="H41" s="1446"/>
      <c r="I41" s="1446"/>
      <c r="J41" s="1446"/>
      <c r="K41" s="1446"/>
      <c r="L41" s="1446"/>
      <c r="M41" s="1446"/>
      <c r="N41" s="1446"/>
      <c r="O41" s="649"/>
      <c r="P41" s="649"/>
      <c r="Q41" s="2293"/>
      <c r="R41" s="1430"/>
      <c r="S41" s="1491"/>
      <c r="T41" s="3286"/>
      <c r="U41" s="4207"/>
      <c r="V41" s="4209" t="str">
        <f t="shared" ref="V41:AE41" si="4">IF((V39)&lt;0,"خطأ","")</f>
        <v/>
      </c>
      <c r="W41" s="4209" t="str">
        <f t="shared" si="4"/>
        <v/>
      </c>
      <c r="X41" s="4209" t="str">
        <f t="shared" si="4"/>
        <v/>
      </c>
      <c r="Y41" s="4209" t="str">
        <f t="shared" si="4"/>
        <v/>
      </c>
      <c r="Z41" s="4209" t="str">
        <f t="shared" si="4"/>
        <v/>
      </c>
      <c r="AA41" s="4209" t="str">
        <f t="shared" si="4"/>
        <v/>
      </c>
      <c r="AB41" s="4209" t="str">
        <f t="shared" si="4"/>
        <v/>
      </c>
      <c r="AC41" s="4209" t="str">
        <f t="shared" si="4"/>
        <v/>
      </c>
      <c r="AD41" s="4209" t="str">
        <f t="shared" si="4"/>
        <v/>
      </c>
      <c r="AE41" s="4209" t="str">
        <f t="shared" si="4"/>
        <v/>
      </c>
      <c r="AF41" s="3285"/>
      <c r="AG41" s="1041"/>
      <c r="AH41" s="1420"/>
    </row>
    <row r="42" spans="1:34" ht="12.9" customHeight="1" thickBot="1">
      <c r="A42" s="1418"/>
      <c r="B42" s="1425"/>
      <c r="C42" s="2349"/>
      <c r="D42" s="2172" t="s">
        <v>20</v>
      </c>
      <c r="E42" s="3209"/>
      <c r="F42" s="3210"/>
      <c r="G42" s="3210"/>
      <c r="H42" s="3210"/>
      <c r="I42" s="3210">
        <v>13</v>
      </c>
      <c r="J42" s="3210"/>
      <c r="K42" s="3210"/>
      <c r="L42" s="3210"/>
      <c r="M42" s="3210"/>
      <c r="N42" s="3210"/>
      <c r="O42" s="3211">
        <f>E42+F42+G42+H42+I42+J42+K42+L42+M42+N42</f>
        <v>13</v>
      </c>
      <c r="P42" s="1469"/>
      <c r="Q42" s="2293"/>
      <c r="R42" s="1430"/>
      <c r="S42" s="1491"/>
      <c r="T42" s="3286"/>
      <c r="U42" s="4216"/>
      <c r="V42" s="4210"/>
      <c r="W42" s="4210"/>
      <c r="X42" s="4210"/>
      <c r="Y42" s="4210"/>
      <c r="Z42" s="4210"/>
      <c r="AA42" s="4210"/>
      <c r="AB42" s="4210"/>
      <c r="AC42" s="4210"/>
      <c r="AD42" s="4210"/>
      <c r="AE42" s="4210"/>
      <c r="AF42" s="3285"/>
      <c r="AG42" s="1041"/>
      <c r="AH42" s="1420"/>
    </row>
    <row r="43" spans="1:34" ht="12.9" customHeight="1">
      <c r="A43" s="1418"/>
      <c r="B43" s="1425"/>
      <c r="C43" s="2349"/>
      <c r="D43" s="2172" t="s">
        <v>19</v>
      </c>
      <c r="E43" s="3209"/>
      <c r="F43" s="3210"/>
      <c r="G43" s="3210"/>
      <c r="H43" s="3210"/>
      <c r="I43" s="3210">
        <v>2</v>
      </c>
      <c r="J43" s="3210"/>
      <c r="K43" s="3210"/>
      <c r="L43" s="3210"/>
      <c r="M43" s="3210"/>
      <c r="N43" s="3210"/>
      <c r="O43" s="3211">
        <f>E43+F43+G43+H43+I43+J43+K43+L43+M43+N43</f>
        <v>2</v>
      </c>
      <c r="P43" s="1469"/>
      <c r="Q43" s="2293"/>
      <c r="R43" s="1430"/>
      <c r="S43" s="1491"/>
      <c r="T43" s="3286"/>
      <c r="U43" s="4206" t="s">
        <v>20</v>
      </c>
      <c r="V43" s="4212">
        <f>('الصفحة 7'!E13-'الصفحة 7'!E17)-((((F26-F30)-(F42-F46)))+('الصفحة 7'!F42-'الصفحة 7'!F46))</f>
        <v>0</v>
      </c>
      <c r="W43" s="4212">
        <f>('الصفحة 7'!F13-'الصفحة 7'!F17)-((((G26-G30)-(G42-G46)))+('الصفحة 7'!G42-'الصفحة 7'!G46))</f>
        <v>-4</v>
      </c>
      <c r="X43" s="4212">
        <f>('الصفحة 7'!G13-'الصفحة 7'!G17)-((((H26-H30)-(H42-H46)))+('الصفحة 7'!H42-'الصفحة 7'!H46))</f>
        <v>13</v>
      </c>
      <c r="Y43" s="4212">
        <f>('الصفحة 7'!H13-'الصفحة 7'!H17)-((((I26-I30)-(I42-I46)))+('الصفحة 7'!I42-'الصفحة 7'!I46))</f>
        <v>9</v>
      </c>
      <c r="Z43" s="4212">
        <f>('الصفحة 7'!I13-'الصفحة 7'!I17)-((((J26-J30)-(J42-J46)))+('الصفحة 7'!J42-'الصفحة 7'!J46))</f>
        <v>-2</v>
      </c>
      <c r="AA43" s="4212">
        <f>('الصفحة 7'!J13-'الصفحة 7'!J17)-((((K26-K30)-(K42-K46)))+('الصفحة 7'!K42-'الصفحة 7'!K46))</f>
        <v>4</v>
      </c>
      <c r="AB43" s="4212">
        <f>('الصفحة 7'!K13-'الصفحة 7'!K17)-((((L26-L30)-(L42-L46)))+('الصفحة 7'!L42-'الصفحة 7'!L46))</f>
        <v>0</v>
      </c>
      <c r="AC43" s="4212">
        <f>('الصفحة 7'!L13-'الصفحة 7'!L17)-((((M26-M30)-(M42-M46)))+('الصفحة 7'!M42-'الصفحة 7'!M46))</f>
        <v>1</v>
      </c>
      <c r="AD43" s="4212">
        <f>('الصفحة 7'!M13-'الصفحة 7'!M17)-((((N26-N30)-(N42-N46)))+('الصفحة 7'!N42-'الصفحة 7'!N46))</f>
        <v>0</v>
      </c>
      <c r="AE43" s="4212">
        <f>'حوصلة الانتقال والتسرب'!Y14</f>
        <v>21</v>
      </c>
      <c r="AF43" s="3285"/>
      <c r="AH43" s="1420"/>
    </row>
    <row r="44" spans="1:34" ht="9.9" customHeight="1">
      <c r="A44" s="1418"/>
      <c r="B44" s="1425"/>
      <c r="C44" s="2349"/>
      <c r="D44" s="2280"/>
      <c r="E44" s="1468"/>
      <c r="F44" s="1468"/>
      <c r="G44" s="1468"/>
      <c r="H44" s="1468"/>
      <c r="I44" s="1468"/>
      <c r="J44" s="1468"/>
      <c r="K44" s="1468"/>
      <c r="L44" s="1468"/>
      <c r="M44" s="1468"/>
      <c r="N44" s="1468"/>
      <c r="O44" s="1469"/>
      <c r="P44" s="1469"/>
      <c r="Q44" s="2293"/>
      <c r="R44" s="1430"/>
      <c r="S44" s="1491"/>
      <c r="T44" s="3286"/>
      <c r="U44" s="4207"/>
      <c r="V44" s="4213"/>
      <c r="W44" s="4213"/>
      <c r="X44" s="4213"/>
      <c r="Y44" s="4213"/>
      <c r="Z44" s="4213"/>
      <c r="AA44" s="4213"/>
      <c r="AB44" s="4213"/>
      <c r="AC44" s="4213"/>
      <c r="AD44" s="4213"/>
      <c r="AE44" s="4213"/>
      <c r="AF44" s="3285"/>
      <c r="AG44" s="1041"/>
      <c r="AH44" s="1420"/>
    </row>
    <row r="45" spans="1:34" ht="15.9" customHeight="1" thickBot="1">
      <c r="A45" s="1418"/>
      <c r="B45" s="1425"/>
      <c r="C45" s="2349"/>
      <c r="D45" s="2284" t="s">
        <v>1042</v>
      </c>
      <c r="E45" s="1465"/>
      <c r="F45" s="1465"/>
      <c r="G45" s="1465"/>
      <c r="H45" s="1465"/>
      <c r="I45" s="1465"/>
      <c r="J45" s="1465"/>
      <c r="K45" s="1465"/>
      <c r="L45" s="1465"/>
      <c r="M45" s="1465"/>
      <c r="N45" s="1466"/>
      <c r="O45" s="1508" t="s">
        <v>1051</v>
      </c>
      <c r="P45" s="2292"/>
      <c r="Q45" s="2293"/>
      <c r="R45" s="1430"/>
      <c r="S45" s="1491"/>
      <c r="T45" s="3288"/>
      <c r="U45" s="4208"/>
      <c r="V45" s="3331" t="str">
        <f t="shared" ref="V45:AE45" si="5">IF((V43)&lt;0,"خطأ","")</f>
        <v/>
      </c>
      <c r="W45" s="3331" t="str">
        <f t="shared" si="5"/>
        <v>خطأ</v>
      </c>
      <c r="X45" s="3331" t="str">
        <f t="shared" si="5"/>
        <v/>
      </c>
      <c r="Y45" s="3331" t="str">
        <f t="shared" si="5"/>
        <v/>
      </c>
      <c r="Z45" s="3331" t="str">
        <f t="shared" si="5"/>
        <v>خطأ</v>
      </c>
      <c r="AA45" s="3331" t="str">
        <f t="shared" si="5"/>
        <v/>
      </c>
      <c r="AB45" s="3331" t="str">
        <f t="shared" si="5"/>
        <v/>
      </c>
      <c r="AC45" s="3331" t="str">
        <f t="shared" si="5"/>
        <v/>
      </c>
      <c r="AD45" s="3331" t="str">
        <f t="shared" si="5"/>
        <v/>
      </c>
      <c r="AE45" s="3331" t="str">
        <f t="shared" si="5"/>
        <v/>
      </c>
      <c r="AF45" s="3286"/>
      <c r="AG45" s="1041"/>
      <c r="AH45" s="1420"/>
    </row>
    <row r="46" spans="1:34" ht="12.9" customHeight="1">
      <c r="A46" s="1418"/>
      <c r="B46" s="1425"/>
      <c r="C46" s="2349"/>
      <c r="D46" s="2172" t="s">
        <v>20</v>
      </c>
      <c r="E46" s="3209"/>
      <c r="F46" s="3210"/>
      <c r="G46" s="3210"/>
      <c r="H46" s="3210"/>
      <c r="I46" s="3210"/>
      <c r="J46" s="3210"/>
      <c r="K46" s="3210"/>
      <c r="L46" s="3210"/>
      <c r="M46" s="3210"/>
      <c r="N46" s="3210"/>
      <c r="O46" s="3211">
        <f>E46+F46+G46+H46+I46+J46+K46+L46+M46+N46</f>
        <v>0</v>
      </c>
      <c r="P46" s="1469"/>
      <c r="Q46" s="2293"/>
      <c r="R46" s="1430"/>
      <c r="S46" s="1491"/>
      <c r="T46" s="3288"/>
      <c r="U46" s="4215" t="s">
        <v>19</v>
      </c>
      <c r="V46" s="3330">
        <f>('الصفحة 7'!E14-'الصفحة 7'!E18)-((((F27-F31)-(F43-F47)))+('الصفحة 7'!F43-'الصفحة 7'!F47))</f>
        <v>0</v>
      </c>
      <c r="W46" s="3330">
        <f>('الصفحة 7'!F14-'الصفحة 7'!F18)-((((G27-G31)-(G43-G47)))+('الصفحة 7'!G43-'الصفحة 7'!G47))</f>
        <v>-7</v>
      </c>
      <c r="X46" s="3330">
        <f>('الصفحة 7'!G14-'الصفحة 7'!G18)-((((H27-H31)-(H43-H47)))+('الصفحة 7'!H43-'الصفحة 7'!H47))</f>
        <v>-2</v>
      </c>
      <c r="Y46" s="3330">
        <f>('الصفحة 7'!H14-'الصفحة 7'!H18)-((((I27-I31)-(I43-I47)))+('الصفحة 7'!I43-'الصفحة 7'!I47))</f>
        <v>1</v>
      </c>
      <c r="Z46" s="3330">
        <f>('الصفحة 7'!I14-'الصفحة 7'!I18)-((((J27-J31)-(J43-J47)))+('الصفحة 7'!J43-'الصفحة 7'!J47))</f>
        <v>-2</v>
      </c>
      <c r="AA46" s="3330">
        <f>('الصفحة 7'!J14-'الصفحة 7'!J18)-((((K27-K31)-(K43-K47)))+('الصفحة 7'!K43-'الصفحة 7'!K47))</f>
        <v>1</v>
      </c>
      <c r="AB46" s="3330">
        <f>('الصفحة 7'!K14-'الصفحة 7'!K18)-((((L27-L31)-(L43-L47)))+('الصفحة 7'!L43-'الصفحة 7'!L47))</f>
        <v>0</v>
      </c>
      <c r="AC46" s="3330">
        <f>('الصفحة 7'!L14-'الصفحة 7'!L18)-((((M27-M31)-(M43-M47)))+('الصفحة 7'!M43-'الصفحة 7'!M47))</f>
        <v>0</v>
      </c>
      <c r="AD46" s="3330">
        <f>('الصفحة 7'!M14-'الصفحة 7'!M18)-((((N27-N31)-(N43-N47)))+('الصفحة 7'!N43-'الصفحة 7'!N47))</f>
        <v>0</v>
      </c>
      <c r="AE46" s="3330">
        <f>'حوصلة الانتقال والتسرب'!U14</f>
        <v>-9</v>
      </c>
      <c r="AF46" s="3286"/>
      <c r="AG46" s="1041"/>
      <c r="AH46" s="1420"/>
    </row>
    <row r="47" spans="1:34" ht="12.9" customHeight="1">
      <c r="A47" s="1418"/>
      <c r="B47" s="1425"/>
      <c r="C47" s="2349"/>
      <c r="D47" s="2172" t="s">
        <v>19</v>
      </c>
      <c r="E47" s="3209"/>
      <c r="F47" s="3210"/>
      <c r="G47" s="3210"/>
      <c r="H47" s="3210"/>
      <c r="I47" s="3210"/>
      <c r="J47" s="3210"/>
      <c r="K47" s="3210"/>
      <c r="L47" s="3210"/>
      <c r="M47" s="3210"/>
      <c r="N47" s="3210"/>
      <c r="O47" s="3211">
        <f>E47+F47+G47+H47+I47+J47+K47+L47+M47+N47</f>
        <v>0</v>
      </c>
      <c r="P47" s="1469"/>
      <c r="Q47" s="2293"/>
      <c r="R47" s="1430"/>
      <c r="S47" s="1491"/>
      <c r="T47" s="3288"/>
      <c r="U47" s="4207"/>
      <c r="V47" s="3287" t="str">
        <f t="shared" ref="V47:AE47" si="6">IF((V46)&lt;0,"خطأ","")</f>
        <v/>
      </c>
      <c r="W47" s="3287" t="str">
        <f t="shared" si="6"/>
        <v>خطأ</v>
      </c>
      <c r="X47" s="3287" t="str">
        <f t="shared" si="6"/>
        <v>خطأ</v>
      </c>
      <c r="Y47" s="3287" t="str">
        <f t="shared" si="6"/>
        <v/>
      </c>
      <c r="Z47" s="3287" t="str">
        <f t="shared" si="6"/>
        <v>خطأ</v>
      </c>
      <c r="AA47" s="3287" t="str">
        <f t="shared" si="6"/>
        <v/>
      </c>
      <c r="AB47" s="3287" t="str">
        <f t="shared" si="6"/>
        <v/>
      </c>
      <c r="AC47" s="3287" t="str">
        <f t="shared" si="6"/>
        <v/>
      </c>
      <c r="AD47" s="3287" t="str">
        <f t="shared" si="6"/>
        <v/>
      </c>
      <c r="AE47" s="3287" t="str">
        <f t="shared" si="6"/>
        <v>خطأ</v>
      </c>
      <c r="AF47" s="3286"/>
      <c r="AG47" s="1041"/>
      <c r="AH47" s="1420"/>
    </row>
    <row r="48" spans="1:34" ht="8.1" customHeight="1" thickBot="1">
      <c r="A48" s="1418"/>
      <c r="B48" s="1425"/>
      <c r="C48" s="1498"/>
      <c r="D48" s="2298"/>
      <c r="E48" s="2299"/>
      <c r="F48" s="2299"/>
      <c r="G48" s="2299"/>
      <c r="H48" s="2299"/>
      <c r="I48" s="2299"/>
      <c r="J48" s="2299"/>
      <c r="K48" s="2299"/>
      <c r="L48" s="2299"/>
      <c r="M48" s="2299"/>
      <c r="N48" s="2299"/>
      <c r="O48" s="2299"/>
      <c r="P48" s="2299"/>
      <c r="Q48" s="2300"/>
      <c r="R48" s="1430"/>
      <c r="S48" s="1491"/>
      <c r="T48" s="3288"/>
      <c r="U48" s="3286"/>
      <c r="V48" s="3286"/>
      <c r="W48" s="3286"/>
      <c r="X48" s="3286"/>
      <c r="Y48" s="3286"/>
      <c r="Z48" s="3286"/>
      <c r="AA48" s="3286"/>
      <c r="AB48" s="3286"/>
      <c r="AC48" s="3286"/>
      <c r="AD48" s="3286"/>
      <c r="AE48" s="3286"/>
      <c r="AF48" s="3286"/>
      <c r="AG48" s="1041"/>
      <c r="AH48" s="1420"/>
    </row>
    <row r="49" spans="1:34" ht="12" customHeight="1" thickBot="1">
      <c r="A49" s="1418"/>
      <c r="B49" s="1502"/>
      <c r="C49" s="4200">
        <v>8</v>
      </c>
      <c r="D49" s="4200"/>
      <c r="E49" s="4200"/>
      <c r="F49" s="4200"/>
      <c r="G49" s="4200"/>
      <c r="H49" s="4200"/>
      <c r="I49" s="4200"/>
      <c r="J49" s="4200"/>
      <c r="K49" s="4200"/>
      <c r="L49" s="4200"/>
      <c r="M49" s="4200"/>
      <c r="N49" s="4200"/>
      <c r="O49" s="4200"/>
      <c r="P49" s="4200"/>
      <c r="Q49" s="4200"/>
      <c r="R49" s="1503"/>
      <c r="S49" s="1416"/>
      <c r="T49" s="1041"/>
      <c r="U49" s="2283" t="s">
        <v>1043</v>
      </c>
      <c r="V49" s="3328"/>
      <c r="W49" s="3328"/>
      <c r="X49" s="3328"/>
      <c r="Y49" s="3328"/>
      <c r="Z49" s="3328"/>
      <c r="AA49" s="3328"/>
      <c r="AB49" s="3328"/>
      <c r="AC49" s="3328"/>
      <c r="AD49" s="3328"/>
      <c r="AE49" s="3328"/>
      <c r="AF49" s="1041"/>
      <c r="AG49" s="1041"/>
      <c r="AH49" s="1420"/>
    </row>
    <row r="50" spans="1:34" ht="15" customHeight="1">
      <c r="A50" s="1418"/>
      <c r="B50" s="3151" t="str">
        <f>'الصفحة 1'!$B$101</f>
        <v>السنة الدراسية  2022 - 2023</v>
      </c>
      <c r="C50" s="1417"/>
      <c r="D50" s="1417"/>
      <c r="E50" s="1417"/>
      <c r="F50" s="1417"/>
      <c r="G50" s="1417"/>
      <c r="H50" s="1417"/>
      <c r="I50" s="1417"/>
      <c r="J50" s="1417"/>
      <c r="K50" s="1417"/>
      <c r="L50" s="1417"/>
      <c r="M50" s="1417"/>
      <c r="N50" s="1417"/>
      <c r="O50" s="1417"/>
      <c r="P50" s="1417"/>
      <c r="Q50" s="1417"/>
      <c r="R50" s="1416"/>
      <c r="S50" s="1418"/>
      <c r="T50" s="1419"/>
      <c r="U50" s="1419"/>
      <c r="V50" s="1419"/>
      <c r="W50" s="1419"/>
      <c r="X50" s="1419"/>
      <c r="Y50" s="1419"/>
      <c r="Z50" s="1419"/>
      <c r="AA50" s="1419"/>
      <c r="AB50" s="1419"/>
      <c r="AC50" s="1419"/>
      <c r="AD50" s="1419"/>
      <c r="AE50" s="3329" t="s">
        <v>1050</v>
      </c>
      <c r="AF50" s="1419"/>
      <c r="AG50" s="1419"/>
      <c r="AH50" s="1420"/>
    </row>
  </sheetData>
  <sheetProtection password="D8D3" sheet="1" objects="1" scenarios="1"/>
  <mergeCells count="38">
    <mergeCell ref="T2:AE8"/>
    <mergeCell ref="U19:AC20"/>
    <mergeCell ref="U27:AA28"/>
    <mergeCell ref="C49:Q49"/>
    <mergeCell ref="T36:AE37"/>
    <mergeCell ref="U46:U47"/>
    <mergeCell ref="V43:V44"/>
    <mergeCell ref="W43:W44"/>
    <mergeCell ref="X43:X44"/>
    <mergeCell ref="Y43:Y44"/>
    <mergeCell ref="Z43:Z44"/>
    <mergeCell ref="AA43:AA44"/>
    <mergeCell ref="AD43:AD44"/>
    <mergeCell ref="AE43:AE44"/>
    <mergeCell ref="V41:V42"/>
    <mergeCell ref="W41:W42"/>
    <mergeCell ref="AD41:AD42"/>
    <mergeCell ref="AE41:AE42"/>
    <mergeCell ref="AD39:AD40"/>
    <mergeCell ref="AE39:AE40"/>
    <mergeCell ref="X41:X42"/>
    <mergeCell ref="Y41:Y42"/>
    <mergeCell ref="Z41:Z42"/>
    <mergeCell ref="AA41:AA42"/>
    <mergeCell ref="AB41:AB42"/>
    <mergeCell ref="U39:U42"/>
    <mergeCell ref="U43:U45"/>
    <mergeCell ref="AA39:AA40"/>
    <mergeCell ref="AB39:AB40"/>
    <mergeCell ref="AC39:AC40"/>
    <mergeCell ref="AB43:AB44"/>
    <mergeCell ref="AC43:AC44"/>
    <mergeCell ref="V39:V40"/>
    <mergeCell ref="W39:W40"/>
    <mergeCell ref="X39:X40"/>
    <mergeCell ref="Y39:Y40"/>
    <mergeCell ref="Z39:Z40"/>
    <mergeCell ref="AC41:AC42"/>
  </mergeCells>
  <conditionalFormatting sqref="E14:O14 W46:AE46">
    <cfRule type="cellIs" dxfId="21608" priority="291" operator="greaterThan">
      <formula>E13</formula>
    </cfRule>
    <cfRule type="cellIs" dxfId="21607" priority="292" operator="equal">
      <formula>0</formula>
    </cfRule>
  </conditionalFormatting>
  <conditionalFormatting sqref="E17:O17">
    <cfRule type="cellIs" dxfId="21606" priority="289" operator="greaterThan">
      <formula>E13</formula>
    </cfRule>
    <cfRule type="cellIs" dxfId="21605" priority="290" operator="equal">
      <formula>0</formula>
    </cfRule>
  </conditionalFormatting>
  <conditionalFormatting sqref="E18">
    <cfRule type="cellIs" dxfId="21604" priority="287" operator="greaterThan">
      <formula>E17</formula>
    </cfRule>
    <cfRule type="cellIs" dxfId="21603" priority="288" operator="equal">
      <formula>0</formula>
    </cfRule>
  </conditionalFormatting>
  <conditionalFormatting sqref="F18:O18">
    <cfRule type="cellIs" dxfId="21602" priority="286" operator="greaterThan">
      <formula>F14</formula>
    </cfRule>
  </conditionalFormatting>
  <conditionalFormatting sqref="E27">
    <cfRule type="cellIs" dxfId="21601" priority="284" operator="greaterThan">
      <formula>E26</formula>
    </cfRule>
    <cfRule type="cellIs" dxfId="21600" priority="285" operator="equal">
      <formula>0</formula>
    </cfRule>
  </conditionalFormatting>
  <conditionalFormatting sqref="E34">
    <cfRule type="cellIs" dxfId="21599" priority="277" operator="greaterThan">
      <formula>E26</formula>
    </cfRule>
    <cfRule type="cellIs" dxfId="21598" priority="278" operator="equal">
      <formula>0</formula>
    </cfRule>
  </conditionalFormatting>
  <conditionalFormatting sqref="E35:E36">
    <cfRule type="cellIs" dxfId="21597" priority="274" operator="greaterThan">
      <formula>E27</formula>
    </cfRule>
    <cfRule type="cellIs" dxfId="21596" priority="275" operator="greaterThan">
      <formula>E34</formula>
    </cfRule>
    <cfRule type="cellIs" dxfId="21595" priority="276" operator="equal">
      <formula>0</formula>
    </cfRule>
  </conditionalFormatting>
  <conditionalFormatting sqref="V45:AE47 F26:O27 F18:O18 F13:O13">
    <cfRule type="cellIs" dxfId="21594" priority="273" operator="equal">
      <formula>0</formula>
    </cfRule>
  </conditionalFormatting>
  <conditionalFormatting sqref="F34">
    <cfRule type="cellIs" dxfId="21593" priority="221" operator="greaterThan">
      <formula>F26</formula>
    </cfRule>
    <cfRule type="cellIs" dxfId="21592" priority="222" operator="equal">
      <formula>0</formula>
    </cfRule>
  </conditionalFormatting>
  <conditionalFormatting sqref="G34">
    <cfRule type="cellIs" dxfId="21591" priority="219" operator="greaterThan">
      <formula>G26</formula>
    </cfRule>
    <cfRule type="cellIs" dxfId="21590" priority="220" operator="equal">
      <formula>0</formula>
    </cfRule>
  </conditionalFormatting>
  <conditionalFormatting sqref="H34">
    <cfRule type="cellIs" dxfId="21589" priority="217" operator="greaterThan">
      <formula>H26</formula>
    </cfRule>
    <cfRule type="cellIs" dxfId="21588" priority="218" operator="equal">
      <formula>0</formula>
    </cfRule>
  </conditionalFormatting>
  <conditionalFormatting sqref="I34">
    <cfRule type="cellIs" dxfId="21587" priority="215" operator="greaterThan">
      <formula>I26</formula>
    </cfRule>
    <cfRule type="cellIs" dxfId="21586" priority="216" operator="equal">
      <formula>0</formula>
    </cfRule>
  </conditionalFormatting>
  <conditionalFormatting sqref="J34">
    <cfRule type="cellIs" dxfId="21585" priority="213" operator="greaterThan">
      <formula>J26</formula>
    </cfRule>
    <cfRule type="cellIs" dxfId="21584" priority="214" operator="equal">
      <formula>0</formula>
    </cfRule>
  </conditionalFormatting>
  <conditionalFormatting sqref="K34">
    <cfRule type="cellIs" dxfId="21583" priority="211" operator="greaterThan">
      <formula>K26</formula>
    </cfRule>
    <cfRule type="cellIs" dxfId="21582" priority="212" operator="equal">
      <formula>0</formula>
    </cfRule>
  </conditionalFormatting>
  <conditionalFormatting sqref="L34">
    <cfRule type="cellIs" dxfId="21581" priority="209" operator="greaterThan">
      <formula>L26</formula>
    </cfRule>
    <cfRule type="cellIs" dxfId="21580" priority="210" operator="equal">
      <formula>0</formula>
    </cfRule>
  </conditionalFormatting>
  <conditionalFormatting sqref="M34">
    <cfRule type="cellIs" dxfId="21579" priority="207" operator="greaterThan">
      <formula>M26</formula>
    </cfRule>
    <cfRule type="cellIs" dxfId="21578" priority="208" operator="equal">
      <formula>0</formula>
    </cfRule>
  </conditionalFormatting>
  <conditionalFormatting sqref="N34">
    <cfRule type="cellIs" dxfId="21577" priority="205" operator="greaterThan">
      <formula>N26</formula>
    </cfRule>
    <cfRule type="cellIs" dxfId="21576" priority="206" operator="equal">
      <formula>0</formula>
    </cfRule>
  </conditionalFormatting>
  <conditionalFormatting sqref="O34">
    <cfRule type="cellIs" dxfId="21575" priority="203" operator="greaterThan">
      <formula>O26</formula>
    </cfRule>
    <cfRule type="cellIs" dxfId="21574" priority="204" operator="equal">
      <formula>0</formula>
    </cfRule>
  </conditionalFormatting>
  <conditionalFormatting sqref="F35:F36">
    <cfRule type="cellIs" dxfId="21573" priority="200" operator="greaterThan">
      <formula>F27</formula>
    </cfRule>
    <cfRule type="cellIs" dxfId="21572" priority="201" operator="greaterThan">
      <formula>F34</formula>
    </cfRule>
    <cfRule type="cellIs" dxfId="21571" priority="202" operator="equal">
      <formula>0</formula>
    </cfRule>
  </conditionalFormatting>
  <conditionalFormatting sqref="G35:G36">
    <cfRule type="cellIs" dxfId="21570" priority="197" operator="greaterThan">
      <formula>G27</formula>
    </cfRule>
    <cfRule type="cellIs" dxfId="21569" priority="198" operator="greaterThan">
      <formula>G34</formula>
    </cfRule>
    <cfRule type="cellIs" dxfId="21568" priority="199" operator="equal">
      <formula>0</formula>
    </cfRule>
  </conditionalFormatting>
  <conditionalFormatting sqref="H35:H36">
    <cfRule type="cellIs" dxfId="21567" priority="194" operator="greaterThan">
      <formula>H27</formula>
    </cfRule>
    <cfRule type="cellIs" dxfId="21566" priority="195" operator="greaterThan">
      <formula>H34</formula>
    </cfRule>
    <cfRule type="cellIs" dxfId="21565" priority="196" operator="equal">
      <formula>0</formula>
    </cfRule>
  </conditionalFormatting>
  <conditionalFormatting sqref="I35:I36">
    <cfRule type="cellIs" dxfId="21564" priority="191" operator="greaterThan">
      <formula>I27</formula>
    </cfRule>
    <cfRule type="cellIs" dxfId="21563" priority="192" operator="greaterThan">
      <formula>I34</formula>
    </cfRule>
    <cfRule type="cellIs" dxfId="21562" priority="193" operator="equal">
      <formula>0</formula>
    </cfRule>
  </conditionalFormatting>
  <conditionalFormatting sqref="J35:J36">
    <cfRule type="cellIs" dxfId="21561" priority="188" operator="greaterThan">
      <formula>J27</formula>
    </cfRule>
    <cfRule type="cellIs" dxfId="21560" priority="189" operator="greaterThan">
      <formula>J34</formula>
    </cfRule>
    <cfRule type="cellIs" dxfId="21559" priority="190" operator="equal">
      <formula>0</formula>
    </cfRule>
  </conditionalFormatting>
  <conditionalFormatting sqref="K35:K36">
    <cfRule type="cellIs" dxfId="21558" priority="185" operator="greaterThan">
      <formula>K27</formula>
    </cfRule>
    <cfRule type="cellIs" dxfId="21557" priority="186" operator="greaterThan">
      <formula>K34</formula>
    </cfRule>
    <cfRule type="cellIs" dxfId="21556" priority="187" operator="equal">
      <formula>0</formula>
    </cfRule>
  </conditionalFormatting>
  <conditionalFormatting sqref="L35:L36">
    <cfRule type="cellIs" dxfId="21555" priority="182" operator="greaterThan">
      <formula>L27</formula>
    </cfRule>
    <cfRule type="cellIs" dxfId="21554" priority="183" operator="greaterThan">
      <formula>L34</formula>
    </cfRule>
    <cfRule type="cellIs" dxfId="21553" priority="184" operator="equal">
      <formula>0</formula>
    </cfRule>
  </conditionalFormatting>
  <conditionalFormatting sqref="M35:M36">
    <cfRule type="cellIs" dxfId="21552" priority="179" operator="greaterThan">
      <formula>M27</formula>
    </cfRule>
    <cfRule type="cellIs" dxfId="21551" priority="180" operator="greaterThan">
      <formula>M34</formula>
    </cfRule>
    <cfRule type="cellIs" dxfId="21550" priority="181" operator="equal">
      <formula>0</formula>
    </cfRule>
  </conditionalFormatting>
  <conditionalFormatting sqref="N35:N36">
    <cfRule type="cellIs" dxfId="21549" priority="176" operator="greaterThan">
      <formula>N27</formula>
    </cfRule>
    <cfRule type="cellIs" dxfId="21548" priority="177" operator="greaterThan">
      <formula>N34</formula>
    </cfRule>
    <cfRule type="cellIs" dxfId="21547" priority="178" operator="equal">
      <formula>0</formula>
    </cfRule>
  </conditionalFormatting>
  <conditionalFormatting sqref="O35:O36">
    <cfRule type="cellIs" dxfId="21546" priority="173" operator="greaterThan">
      <formula>O27</formula>
    </cfRule>
    <cfRule type="cellIs" dxfId="21545" priority="174" operator="greaterThan">
      <formula>O34</formula>
    </cfRule>
    <cfRule type="cellIs" dxfId="21544" priority="175" operator="equal">
      <formula>0</formula>
    </cfRule>
  </conditionalFormatting>
  <conditionalFormatting sqref="V26">
    <cfRule type="cellIs" dxfId="21543" priority="94" operator="greaterThan">
      <formula>V25</formula>
    </cfRule>
    <cfRule type="cellIs" dxfId="21542" priority="95" operator="equal">
      <formula>0</formula>
    </cfRule>
  </conditionalFormatting>
  <conditionalFormatting sqref="W26">
    <cfRule type="cellIs" dxfId="21541" priority="92" operator="greaterThan">
      <formula>W25</formula>
    </cfRule>
    <cfRule type="cellIs" dxfId="21540" priority="93" operator="equal">
      <formula>0</formula>
    </cfRule>
  </conditionalFormatting>
  <conditionalFormatting sqref="X26">
    <cfRule type="cellIs" dxfId="21539" priority="90" operator="greaterThan">
      <formula>X25</formula>
    </cfRule>
    <cfRule type="cellIs" dxfId="21538" priority="91" operator="equal">
      <formula>0</formula>
    </cfRule>
  </conditionalFormatting>
  <conditionalFormatting sqref="Y26">
    <cfRule type="cellIs" dxfId="21537" priority="88" operator="greaterThan">
      <formula>Y25</formula>
    </cfRule>
    <cfRule type="cellIs" dxfId="21536" priority="89" operator="equal">
      <formula>0</formula>
    </cfRule>
  </conditionalFormatting>
  <conditionalFormatting sqref="Z26">
    <cfRule type="cellIs" dxfId="21535" priority="86" operator="greaterThan">
      <formula>Z25</formula>
    </cfRule>
    <cfRule type="cellIs" dxfId="21534" priority="87" operator="equal">
      <formula>0</formula>
    </cfRule>
  </conditionalFormatting>
  <conditionalFormatting sqref="AA26">
    <cfRule type="cellIs" dxfId="21533" priority="84" operator="greaterThan">
      <formula>AA25</formula>
    </cfRule>
    <cfRule type="cellIs" dxfId="21532" priority="85" operator="equal">
      <formula>0</formula>
    </cfRule>
  </conditionalFormatting>
  <conditionalFormatting sqref="AB26">
    <cfRule type="cellIs" dxfId="21531" priority="82" operator="greaterThan">
      <formula>AB25</formula>
    </cfRule>
    <cfRule type="cellIs" dxfId="21530" priority="83" operator="equal">
      <formula>0</formula>
    </cfRule>
  </conditionalFormatting>
  <conditionalFormatting sqref="AC26">
    <cfRule type="cellIs" dxfId="21529" priority="80" operator="greaterThan">
      <formula>AC25</formula>
    </cfRule>
    <cfRule type="cellIs" dxfId="21528" priority="81" operator="equal">
      <formula>0</formula>
    </cfRule>
  </conditionalFormatting>
  <conditionalFormatting sqref="AD26">
    <cfRule type="cellIs" dxfId="21527" priority="78" operator="greaterThan">
      <formula>AD25</formula>
    </cfRule>
    <cfRule type="cellIs" dxfId="21526" priority="79" operator="equal">
      <formula>0</formula>
    </cfRule>
  </conditionalFormatting>
  <conditionalFormatting sqref="AE26">
    <cfRule type="cellIs" dxfId="21525" priority="76" operator="greaterThan">
      <formula>AE25</formula>
    </cfRule>
    <cfRule type="cellIs" dxfId="21524" priority="77" operator="equal">
      <formula>0</formula>
    </cfRule>
  </conditionalFormatting>
  <conditionalFormatting sqref="V35">
    <cfRule type="cellIs" dxfId="21523" priority="74" operator="greaterThan">
      <formula>V34</formula>
    </cfRule>
    <cfRule type="cellIs" dxfId="21522" priority="75" operator="equal">
      <formula>0</formula>
    </cfRule>
  </conditionalFormatting>
  <conditionalFormatting sqref="W35">
    <cfRule type="cellIs" dxfId="21521" priority="72" operator="greaterThan">
      <formula>W34</formula>
    </cfRule>
    <cfRule type="cellIs" dxfId="21520" priority="73" operator="equal">
      <formula>0</formula>
    </cfRule>
  </conditionalFormatting>
  <conditionalFormatting sqref="X35">
    <cfRule type="cellIs" dxfId="21519" priority="70" operator="greaterThan">
      <formula>X34</formula>
    </cfRule>
    <cfRule type="cellIs" dxfId="21518" priority="71" operator="equal">
      <formula>0</formula>
    </cfRule>
  </conditionalFormatting>
  <conditionalFormatting sqref="Y35">
    <cfRule type="cellIs" dxfId="21517" priority="68" operator="greaterThan">
      <formula>Y34</formula>
    </cfRule>
    <cfRule type="cellIs" dxfId="21516" priority="69" operator="equal">
      <formula>0</formula>
    </cfRule>
  </conditionalFormatting>
  <conditionalFormatting sqref="Z35">
    <cfRule type="cellIs" dxfId="21515" priority="66" operator="greaterThan">
      <formula>Z34</formula>
    </cfRule>
    <cfRule type="cellIs" dxfId="21514" priority="67" operator="equal">
      <formula>0</formula>
    </cfRule>
  </conditionalFormatting>
  <conditionalFormatting sqref="AA35">
    <cfRule type="cellIs" dxfId="21513" priority="64" operator="greaterThan">
      <formula>AA34</formula>
    </cfRule>
    <cfRule type="cellIs" dxfId="21512" priority="65" operator="equal">
      <formula>0</formula>
    </cfRule>
  </conditionalFormatting>
  <conditionalFormatting sqref="AB35">
    <cfRule type="cellIs" dxfId="21511" priority="62" operator="greaterThan">
      <formula>AB34</formula>
    </cfRule>
    <cfRule type="cellIs" dxfId="21510" priority="63" operator="equal">
      <formula>0</formula>
    </cfRule>
  </conditionalFormatting>
  <conditionalFormatting sqref="AC35">
    <cfRule type="cellIs" dxfId="21509" priority="60" operator="greaterThan">
      <formula>AC34</formula>
    </cfRule>
    <cfRule type="cellIs" dxfId="21508" priority="61" operator="equal">
      <formula>0</formula>
    </cfRule>
  </conditionalFormatting>
  <conditionalFormatting sqref="AD35">
    <cfRule type="cellIs" dxfId="21507" priority="58" operator="greaterThan">
      <formula>AD34</formula>
    </cfRule>
    <cfRule type="cellIs" dxfId="21506" priority="59" operator="equal">
      <formula>0</formula>
    </cfRule>
  </conditionalFormatting>
  <conditionalFormatting sqref="AE35">
    <cfRule type="cellIs" dxfId="21505" priority="56" operator="greaterThan">
      <formula>AE34</formula>
    </cfRule>
    <cfRule type="cellIs" dxfId="21504" priority="57" operator="equal">
      <formula>0</formula>
    </cfRule>
  </conditionalFormatting>
  <conditionalFormatting sqref="V14">
    <cfRule type="cellIs" dxfId="21503" priority="54" operator="greaterThan">
      <formula>V13</formula>
    </cfRule>
    <cfRule type="cellIs" dxfId="21502" priority="55" operator="equal">
      <formula>0</formula>
    </cfRule>
  </conditionalFormatting>
  <conditionalFormatting sqref="W14">
    <cfRule type="cellIs" dxfId="21501" priority="52" operator="greaterThan">
      <formula>W13</formula>
    </cfRule>
    <cfRule type="cellIs" dxfId="21500" priority="53" operator="equal">
      <formula>0</formula>
    </cfRule>
  </conditionalFormatting>
  <conditionalFormatting sqref="X14">
    <cfRule type="cellIs" dxfId="21499" priority="50" operator="greaterThan">
      <formula>X13</formula>
    </cfRule>
    <cfRule type="cellIs" dxfId="21498" priority="51" operator="equal">
      <formula>0</formula>
    </cfRule>
  </conditionalFormatting>
  <conditionalFormatting sqref="Y14">
    <cfRule type="cellIs" dxfId="21497" priority="48" operator="greaterThan">
      <formula>Y13</formula>
    </cfRule>
    <cfRule type="cellIs" dxfId="21496" priority="49" operator="equal">
      <formula>0</formula>
    </cfRule>
  </conditionalFormatting>
  <conditionalFormatting sqref="Z14">
    <cfRule type="cellIs" dxfId="21495" priority="46" operator="greaterThan">
      <formula>Z13</formula>
    </cfRule>
    <cfRule type="cellIs" dxfId="21494" priority="47" operator="equal">
      <formula>0</formula>
    </cfRule>
  </conditionalFormatting>
  <conditionalFormatting sqref="AA14">
    <cfRule type="cellIs" dxfId="21493" priority="44" operator="greaterThan">
      <formula>AA13</formula>
    </cfRule>
    <cfRule type="cellIs" dxfId="21492" priority="45" operator="equal">
      <formula>0</formula>
    </cfRule>
  </conditionalFormatting>
  <conditionalFormatting sqref="AB14">
    <cfRule type="cellIs" dxfId="21491" priority="42" operator="greaterThan">
      <formula>AB13</formula>
    </cfRule>
    <cfRule type="cellIs" dxfId="21490" priority="43" operator="equal">
      <formula>0</formula>
    </cfRule>
  </conditionalFormatting>
  <conditionalFormatting sqref="AC14">
    <cfRule type="cellIs" dxfId="21489" priority="40" operator="greaterThan">
      <formula>AC13</formula>
    </cfRule>
    <cfRule type="cellIs" dxfId="21488" priority="41" operator="equal">
      <formula>0</formula>
    </cfRule>
  </conditionalFormatting>
  <conditionalFormatting sqref="AD14">
    <cfRule type="cellIs" dxfId="21487" priority="38" operator="greaterThan">
      <formula>AD13</formula>
    </cfRule>
    <cfRule type="cellIs" dxfId="21486" priority="39" operator="equal">
      <formula>0</formula>
    </cfRule>
  </conditionalFormatting>
  <conditionalFormatting sqref="AE14">
    <cfRule type="cellIs" dxfId="21485" priority="36" operator="greaterThan">
      <formula>AE13</formula>
    </cfRule>
    <cfRule type="cellIs" dxfId="21484" priority="37" operator="equal">
      <formula>0</formula>
    </cfRule>
  </conditionalFormatting>
  <conditionalFormatting sqref="V35">
    <cfRule type="cellIs" dxfId="21483" priority="34" operator="greaterThan">
      <formula>V34</formula>
    </cfRule>
    <cfRule type="cellIs" dxfId="21482" priority="35" operator="equal">
      <formula>0</formula>
    </cfRule>
  </conditionalFormatting>
  <conditionalFormatting sqref="F35:F36">
    <cfRule type="cellIs" dxfId="21481" priority="30" operator="greaterThan">
      <formula>F34</formula>
    </cfRule>
    <cfRule type="cellIs" dxfId="21480" priority="31" operator="equal">
      <formula>0</formula>
    </cfRule>
  </conditionalFormatting>
  <conditionalFormatting sqref="F27:O27">
    <cfRule type="cellIs" dxfId="21479" priority="29" operator="greaterThan">
      <formula>F26</formula>
    </cfRule>
  </conditionalFormatting>
  <conditionalFormatting sqref="E46:O46">
    <cfRule type="cellIs" dxfId="21478" priority="21" operator="greaterThan">
      <formula>E42</formula>
    </cfRule>
    <cfRule type="cellIs" dxfId="21477" priority="22" operator="greaterThan">
      <formula>E30</formula>
    </cfRule>
    <cfRule type="cellIs" dxfId="21476" priority="23" operator="equal">
      <formula>0</formula>
    </cfRule>
  </conditionalFormatting>
  <conditionalFormatting sqref="E47:O47">
    <cfRule type="cellIs" dxfId="21475" priority="17" operator="greaterThan">
      <formula>E43</formula>
    </cfRule>
    <cfRule type="cellIs" dxfId="21474" priority="18" operator="greaterThan">
      <formula>E46</formula>
    </cfRule>
    <cfRule type="cellIs" dxfId="21473" priority="19" operator="greaterThan">
      <formula>E31</formula>
    </cfRule>
    <cfRule type="cellIs" dxfId="21472" priority="20" operator="equal">
      <formula>0</formula>
    </cfRule>
  </conditionalFormatting>
  <conditionalFormatting sqref="E42:O42">
    <cfRule type="cellIs" dxfId="21471" priority="15" operator="greaterThan">
      <formula>E26</formula>
    </cfRule>
    <cfRule type="cellIs" dxfId="21470" priority="16" operator="equal">
      <formula>0</formula>
    </cfRule>
  </conditionalFormatting>
  <conditionalFormatting sqref="E43:O43">
    <cfRule type="cellIs" dxfId="21469" priority="12" operator="greaterThan">
      <formula>E42</formula>
    </cfRule>
    <cfRule type="cellIs" dxfId="21468" priority="13" operator="greaterThan">
      <formula>E27</formula>
    </cfRule>
    <cfRule type="cellIs" dxfId="21467" priority="14" operator="equal">
      <formula>0</formula>
    </cfRule>
  </conditionalFormatting>
  <conditionalFormatting sqref="E30:O30">
    <cfRule type="cellIs" dxfId="21466" priority="10" operator="greaterThan">
      <formula>E26</formula>
    </cfRule>
    <cfRule type="cellIs" dxfId="21465" priority="11" operator="equal">
      <formula>0</formula>
    </cfRule>
  </conditionalFormatting>
  <conditionalFormatting sqref="E31:O31">
    <cfRule type="cellIs" dxfId="21464" priority="7" operator="greaterThan">
      <formula>E30</formula>
    </cfRule>
    <cfRule type="cellIs" dxfId="21463" priority="8" operator="greaterThan">
      <formula>E27</formula>
    </cfRule>
    <cfRule type="cellIs" dxfId="21462" priority="9" operator="equal">
      <formula>0</formula>
    </cfRule>
  </conditionalFormatting>
  <conditionalFormatting sqref="W46:AE46">
    <cfRule type="cellIs" dxfId="21461" priority="5" operator="greaterThan">
      <formula>W45</formula>
    </cfRule>
    <cfRule type="cellIs" dxfId="21460" priority="6" operator="equal">
      <formula>0</formula>
    </cfRule>
  </conditionalFormatting>
  <conditionalFormatting sqref="V45:AE47">
    <cfRule type="cellIs" dxfId="21459" priority="4" operator="equal">
      <formula>0</formula>
    </cfRule>
  </conditionalFormatting>
  <conditionalFormatting sqref="V39:AE47">
    <cfRule type="cellIs" dxfId="21458" priority="2" operator="equal">
      <formula>0</formula>
    </cfRule>
    <cfRule type="cellIs" dxfId="21457" priority="3" operator="equal">
      <formula>0</formula>
    </cfRule>
  </conditionalFormatting>
  <conditionalFormatting sqref="V39:AE40">
    <cfRule type="cellIs" dxfId="21456" priority="1" operator="equal">
      <formula>0</formula>
    </cfRule>
  </conditionalFormatting>
  <dataValidations count="23">
    <dataValidation type="whole" allowBlank="1" showInputMessage="1" showErrorMessage="1" sqref="W34:AE35 W13:AE14 V14 V26 W25:AE26">
      <formula1>0</formula1>
      <formula2>5000</formula2>
    </dataValidation>
    <dataValidation type="whole" errorStyle="information" operator="greaterThanOrEqual" showInputMessage="1" showErrorMessage="1" errorTitle="تلاميذ 5 سنوات" error="ضع العدد المناسب" sqref="E26 E17 E13 E34 E46 E42 E30">
      <formula1>0</formula1>
    </dataValidation>
    <dataValidation type="whole" errorStyle="information" operator="greaterThanOrEqual" showInputMessage="1" showErrorMessage="1" errorTitle="إناث 5 سنوات" error="ضع العدد المناسب" sqref="E27 E18 E14 E35:E36 E47 E43 E31">
      <formula1>0</formula1>
    </dataValidation>
    <dataValidation type="whole" errorStyle="information" operator="greaterThanOrEqual" showInputMessage="1" showErrorMessage="1" errorTitle="تلاميذ 7 سنوات" error="ضع العدد المناسب" sqref="F46 F42">
      <formula1>0</formula1>
    </dataValidation>
    <dataValidation type="whole" errorStyle="information" operator="greaterThanOrEqual" showInputMessage="1" showErrorMessage="1" errorTitle="تلاميذ 8 سنوات" error="ضع العدد المناسب" sqref="G42 G46 F17:G17 F13:G13 F34:G34 F30:G30 F26:G26">
      <formula1>0</formula1>
    </dataValidation>
    <dataValidation type="whole" errorStyle="information" operator="greaterThanOrEqual" showInputMessage="1" showErrorMessage="1" errorTitle="تلاميذ 9 سنوات" error="ضع العدد المناسب" sqref="H26 H30 H34 H42 H46 H13 H17">
      <formula1>0</formula1>
    </dataValidation>
    <dataValidation type="whole" errorStyle="information" operator="greaterThanOrEqual" showInputMessage="1" showErrorMessage="1" errorTitle="تلاميذ 10 سنوات" error="ضع العدد المناسب" sqref="I26 I30 I34 I42 I46 I13 I17">
      <formula1>0</formula1>
    </dataValidation>
    <dataValidation type="whole" errorStyle="information" operator="greaterThanOrEqual" showInputMessage="1" showErrorMessage="1" errorTitle="تلاميذ 11 سنة" error="ضع العدد المناسب" sqref="J26 J30 J34 J42 J46 J13 J17">
      <formula1>0</formula1>
    </dataValidation>
    <dataValidation type="whole" errorStyle="information" operator="greaterThanOrEqual" showInputMessage="1" showErrorMessage="1" errorTitle="تلاميذ 12 سنة" error="ضع العدد المناسب" sqref="K26 K30 K34 K42 K46 K13 K17">
      <formula1>0</formula1>
    </dataValidation>
    <dataValidation type="whole" errorStyle="information" operator="greaterThanOrEqual" showInputMessage="1" showErrorMessage="1" errorTitle="تلاميذ 14 سنة" error="ضع العدد المناسب" sqref="M26 M30 M34 M42 M46 M13 M17">
      <formula1>0</formula1>
    </dataValidation>
    <dataValidation type="whole" errorStyle="information" operator="greaterThanOrEqual" showInputMessage="1" showErrorMessage="1" errorTitle="تلاميذ 13 سنة" error="ضع العدد المناسب" sqref="L26 L30 L34 L42 L46 L13 L17">
      <formula1>0</formula1>
    </dataValidation>
    <dataValidation type="whole" errorStyle="information" operator="greaterThanOrEqual" showInputMessage="1" showErrorMessage="1" errorTitle="تلاميذ 15 سنة فأكثر" error="ضع العدد المناسب" sqref="N26 N30 N34 N42 N46 N13 N17">
      <formula1>0</formula1>
    </dataValidation>
    <dataValidation type="whole" operator="greaterThanOrEqual" allowBlank="1" showInputMessage="1" showErrorMessage="1" errorTitle="المجموع" error="العدد المناسب" sqref="O26 O30 O34 O42 O46 O13 O17">
      <formula1>0</formula1>
    </dataValidation>
    <dataValidation type="whole" errorStyle="information" operator="greaterThanOrEqual" showInputMessage="1" showErrorMessage="1" errorTitle="إناث 7 سنوات" error="ضع العدد المناسب" sqref="F47 F43">
      <formula1>0</formula1>
    </dataValidation>
    <dataValidation type="whole" errorStyle="information" operator="greaterThanOrEqual" showInputMessage="1" showErrorMessage="1" errorTitle="إناث 8 سنوات" error="ضع العدد المناسب" sqref="G43 G47 F18:G18 F14:G14 F35:G36 F31:G31 F27:G27">
      <formula1>0</formula1>
    </dataValidation>
    <dataValidation type="whole" errorStyle="information" operator="greaterThanOrEqual" showInputMessage="1" showErrorMessage="1" errorTitle="إناث 9 سنوات" error="ضع العدد المناسب" sqref="H27 H31 H35:H36 H43 H47 H14 H18">
      <formula1>0</formula1>
    </dataValidation>
    <dataValidation type="whole" errorStyle="information" operator="greaterThanOrEqual" showInputMessage="1" showErrorMessage="1" errorTitle="إناث 10 سنوات" error="ضع العدد المناسب" sqref="I27 I31 I35:I36 I43 I47 I14 I18">
      <formula1>0</formula1>
    </dataValidation>
    <dataValidation type="whole" errorStyle="information" operator="greaterThanOrEqual" showInputMessage="1" showErrorMessage="1" errorTitle="إناث11 سنة" error="ضع العدد المناسب" sqref="J27 J31 J35:J36 J43 J47 J14 J18">
      <formula1>0</formula1>
    </dataValidation>
    <dataValidation type="whole" errorStyle="information" operator="greaterThanOrEqual" showInputMessage="1" showErrorMessage="1" errorTitle="إناث 12 سنة" error="ضع العدد المناسب" sqref="K27 K31 K35:K36 K43 K47 K14 K18">
      <formula1>0</formula1>
    </dataValidation>
    <dataValidation type="whole" errorStyle="information" operator="greaterThanOrEqual" showInputMessage="1" showErrorMessage="1" errorTitle="إناث 13 سنة" error="ضع العدد المناسب" sqref="L27 L31 L35:L36 L43 L47 L14 L18">
      <formula1>0</formula1>
    </dataValidation>
    <dataValidation type="whole" errorStyle="information" operator="greaterThanOrEqual" showInputMessage="1" showErrorMessage="1" errorTitle="إناث 14 سنة" error="ضع العدد المناسب" sqref="M27 M31 M35:M36 M43 M47 M14 M18">
      <formula1>0</formula1>
    </dataValidation>
    <dataValidation type="whole" errorStyle="information" operator="greaterThanOrEqual" showInputMessage="1" showErrorMessage="1" errorTitle="إناث 15 سنة فأكثر" error="ضع العدد المناسب" sqref="N27 N31 N35:N36 N43 N47 N14 N18">
      <formula1>0</formula1>
    </dataValidation>
    <dataValidation type="whole" operator="greaterThanOrEqual" allowBlank="1" showInputMessage="1" showErrorMessage="1" errorTitle="مجموع البنات" error="العدد المناسب" sqref="O27 O31 O35:O36 O43 O47 O14 O18">
      <formula1>0</formula1>
    </dataValidation>
  </dataValidations>
  <printOptions horizontalCentered="1" verticalCentered="1"/>
  <pageMargins left="0.19685039370078741" right="0.19685039370078741" top="0.19685039370078741" bottom="0.19685039370078741" header="0" footer="0.35433070866141736"/>
  <pageSetup paperSize="9" orientation="landscape" r:id="rId1"/>
  <headerFooter>
    <oddFooter xml:space="preserve">&amp;R&amp;"-,Gras"&amp;8&amp;K00-033Echamil V.08      &amp;F                                                                              </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5">
    <tabColor rgb="FF002060"/>
  </sheetPr>
  <dimension ref="A1:AH50"/>
  <sheetViews>
    <sheetView showGridLines="0" rightToLeft="1" zoomScale="92" zoomScaleNormal="92" workbookViewId="0">
      <selection activeCell="H13" sqref="H13"/>
    </sheetView>
  </sheetViews>
  <sheetFormatPr baseColWidth="10" defaultColWidth="0" defaultRowHeight="14.4" zeroHeight="1"/>
  <cols>
    <col min="1" max="1" width="2.6640625" customWidth="1"/>
    <col min="2" max="2" width="1.109375" customWidth="1"/>
    <col min="3" max="3" width="0.88671875" customWidth="1"/>
    <col min="4" max="4" width="9" customWidth="1"/>
    <col min="5" max="12" width="8.6640625" customWidth="1"/>
    <col min="13" max="14" width="8.33203125" customWidth="1"/>
    <col min="15" max="15" width="10.109375" customWidth="1"/>
    <col min="16" max="16" width="1.44140625" customWidth="1"/>
    <col min="17" max="17" width="3.109375" customWidth="1"/>
    <col min="18" max="18" width="1.109375" customWidth="1"/>
    <col min="19" max="19" width="2.6640625" customWidth="1"/>
    <col min="20" max="20" width="2.88671875" customWidth="1"/>
    <col min="21" max="21" width="9" customWidth="1"/>
    <col min="22" max="22" width="9.6640625" customWidth="1"/>
    <col min="23" max="30" width="7.6640625" customWidth="1"/>
    <col min="31" max="31" width="7.88671875" customWidth="1"/>
    <col min="32" max="33" width="1.6640625" customWidth="1"/>
    <col min="34" max="34" width="2.6640625" customWidth="1"/>
    <col min="35" max="16384" width="11.44140625" hidden="1"/>
  </cols>
  <sheetData>
    <row r="1" spans="1:34" ht="15.75" customHeight="1" thickBot="1">
      <c r="A1" s="1415"/>
      <c r="B1" s="1416"/>
      <c r="C1" s="1417"/>
      <c r="D1" s="1417"/>
      <c r="E1" s="1417"/>
      <c r="F1" s="1417"/>
      <c r="G1" s="1417"/>
      <c r="H1" s="1417"/>
      <c r="I1" s="1417"/>
      <c r="J1" s="1417"/>
      <c r="K1" s="1417"/>
      <c r="L1" s="1417"/>
      <c r="M1" s="1417"/>
      <c r="N1" s="1417"/>
      <c r="O1" s="1417"/>
      <c r="P1" s="1417"/>
      <c r="Q1" s="1417"/>
      <c r="R1" s="1416"/>
      <c r="S1" s="1418"/>
      <c r="T1" s="1419"/>
      <c r="U1" s="1419"/>
      <c r="V1" s="1419"/>
      <c r="W1" s="1419"/>
      <c r="X1" s="1419"/>
      <c r="Y1" s="1419"/>
      <c r="Z1" s="1419"/>
      <c r="AA1" s="1419"/>
      <c r="AB1" s="1419"/>
      <c r="AC1" s="1419"/>
      <c r="AD1" s="1419"/>
      <c r="AE1" s="1419"/>
      <c r="AF1" s="1419"/>
      <c r="AG1" s="1419"/>
      <c r="AH1" s="1420"/>
    </row>
    <row r="2" spans="1:34" ht="6" customHeight="1" thickBot="1">
      <c r="A2" s="1418"/>
      <c r="B2" s="1421"/>
      <c r="C2" s="1422"/>
      <c r="D2" s="1422"/>
      <c r="E2" s="1422"/>
      <c r="F2" s="1422"/>
      <c r="G2" s="1422"/>
      <c r="H2" s="1422"/>
      <c r="I2" s="1422"/>
      <c r="J2" s="1422"/>
      <c r="K2" s="1422"/>
      <c r="L2" s="1422"/>
      <c r="M2" s="1422"/>
      <c r="N2" s="1422"/>
      <c r="O2" s="1422"/>
      <c r="P2" s="1422"/>
      <c r="Q2" s="1422"/>
      <c r="R2" s="1423"/>
      <c r="S2" s="1424"/>
      <c r="T2" s="4032" t="s">
        <v>603</v>
      </c>
      <c r="U2" s="4032"/>
      <c r="V2" s="4032"/>
      <c r="W2" s="4032"/>
      <c r="X2" s="4032"/>
      <c r="Y2" s="4032"/>
      <c r="Z2" s="4032"/>
      <c r="AA2" s="4032"/>
      <c r="AB2" s="4032"/>
      <c r="AC2" s="4032"/>
      <c r="AD2" s="4032"/>
      <c r="AE2" s="4032"/>
      <c r="AF2" s="1041"/>
      <c r="AG2" s="1041"/>
      <c r="AH2" s="1420"/>
    </row>
    <row r="3" spans="1:34" ht="3.9" customHeight="1">
      <c r="A3" s="1418"/>
      <c r="B3" s="1425"/>
      <c r="C3" s="1426"/>
      <c r="D3" s="1427"/>
      <c r="E3" s="1427"/>
      <c r="F3" s="1427"/>
      <c r="G3" s="1428"/>
      <c r="H3" s="1427"/>
      <c r="I3" s="1427"/>
      <c r="J3" s="1427"/>
      <c r="K3" s="1427"/>
      <c r="L3" s="1427"/>
      <c r="M3" s="1427"/>
      <c r="N3" s="1427"/>
      <c r="O3" s="1427"/>
      <c r="P3" s="1427"/>
      <c r="Q3" s="1429"/>
      <c r="R3" s="1430"/>
      <c r="S3" s="1424"/>
      <c r="T3" s="4032"/>
      <c r="U3" s="4032"/>
      <c r="V3" s="4032"/>
      <c r="W3" s="4032"/>
      <c r="X3" s="4032"/>
      <c r="Y3" s="4032"/>
      <c r="Z3" s="4032"/>
      <c r="AA3" s="4032"/>
      <c r="AB3" s="4032"/>
      <c r="AC3" s="4032"/>
      <c r="AD3" s="4032"/>
      <c r="AE3" s="4032"/>
      <c r="AF3" s="1041"/>
      <c r="AG3" s="1041"/>
      <c r="AH3" s="1420"/>
    </row>
    <row r="4" spans="1:34" ht="20.100000000000001" customHeight="1">
      <c r="A4" s="1418"/>
      <c r="B4" s="1431"/>
      <c r="C4" s="1432" t="s">
        <v>1457</v>
      </c>
      <c r="D4" s="2301"/>
      <c r="E4" s="650"/>
      <c r="F4" s="650"/>
      <c r="G4" s="2302"/>
      <c r="H4" s="2303"/>
      <c r="I4" s="2303"/>
      <c r="J4" s="2303"/>
      <c r="K4" s="1390"/>
      <c r="L4" s="2303"/>
      <c r="M4" s="652"/>
      <c r="N4" s="652"/>
      <c r="O4" s="2304" t="s">
        <v>1458</v>
      </c>
      <c r="P4" s="2289"/>
      <c r="Q4" s="2290"/>
      <c r="R4" s="1430"/>
      <c r="S4" s="1424"/>
      <c r="T4" s="4032"/>
      <c r="U4" s="4032"/>
      <c r="V4" s="4032"/>
      <c r="W4" s="4032"/>
      <c r="X4" s="4032"/>
      <c r="Y4" s="4032"/>
      <c r="Z4" s="4032"/>
      <c r="AA4" s="4032"/>
      <c r="AB4" s="4032"/>
      <c r="AC4" s="4032"/>
      <c r="AD4" s="4032"/>
      <c r="AE4" s="4032"/>
      <c r="AF4" s="1041"/>
      <c r="AG4" s="1041"/>
      <c r="AH4" s="1420"/>
    </row>
    <row r="5" spans="1:34" ht="3.9" customHeight="1">
      <c r="A5" s="1418"/>
      <c r="B5" s="1431"/>
      <c r="C5" s="1442"/>
      <c r="D5" s="650"/>
      <c r="E5" s="650"/>
      <c r="F5" s="650"/>
      <c r="G5" s="2302"/>
      <c r="H5" s="2303"/>
      <c r="I5" s="2303"/>
      <c r="J5" s="2303"/>
      <c r="K5" s="1390"/>
      <c r="L5" s="2303"/>
      <c r="M5" s="652"/>
      <c r="N5" s="652"/>
      <c r="O5" s="1463"/>
      <c r="P5" s="2289"/>
      <c r="Q5" s="2290"/>
      <c r="R5" s="1430"/>
      <c r="S5" s="1424"/>
      <c r="T5" s="4032"/>
      <c r="U5" s="4032"/>
      <c r="V5" s="4032"/>
      <c r="W5" s="4032"/>
      <c r="X5" s="4032"/>
      <c r="Y5" s="4032"/>
      <c r="Z5" s="4032"/>
      <c r="AA5" s="4032"/>
      <c r="AB5" s="4032"/>
      <c r="AC5" s="4032"/>
      <c r="AD5" s="4032"/>
      <c r="AE5" s="4032"/>
      <c r="AF5" s="1041"/>
      <c r="AG5" s="1041"/>
      <c r="AH5" s="1420"/>
    </row>
    <row r="6" spans="1:34" ht="20.100000000000001" customHeight="1">
      <c r="A6" s="1418"/>
      <c r="B6" s="1431"/>
      <c r="C6" s="1442"/>
      <c r="D6" s="650"/>
      <c r="E6" s="650"/>
      <c r="F6" s="2305" t="s">
        <v>800</v>
      </c>
      <c r="G6" s="2306"/>
      <c r="H6" s="2307"/>
      <c r="I6" s="2303"/>
      <c r="J6" s="2307"/>
      <c r="K6" s="2308"/>
      <c r="L6" s="2309"/>
      <c r="M6" s="2310" t="s">
        <v>801</v>
      </c>
      <c r="N6" s="652"/>
      <c r="O6" s="1463"/>
      <c r="P6" s="2289"/>
      <c r="Q6" s="2290"/>
      <c r="R6" s="1430"/>
      <c r="S6" s="1424"/>
      <c r="T6" s="4032"/>
      <c r="U6" s="4032"/>
      <c r="V6" s="4032"/>
      <c r="W6" s="4032"/>
      <c r="X6" s="4032"/>
      <c r="Y6" s="4032"/>
      <c r="Z6" s="4032"/>
      <c r="AA6" s="4032"/>
      <c r="AB6" s="4032"/>
      <c r="AC6" s="4032"/>
      <c r="AD6" s="4032"/>
      <c r="AE6" s="4032"/>
      <c r="AF6" s="1041"/>
      <c r="AG6" s="1041"/>
      <c r="AH6" s="1420"/>
    </row>
    <row r="7" spans="1:34" ht="3.9" customHeight="1">
      <c r="A7" s="1418"/>
      <c r="B7" s="1431"/>
      <c r="C7" s="1442"/>
      <c r="D7" s="650"/>
      <c r="E7" s="650"/>
      <c r="F7" s="650"/>
      <c r="G7" s="651"/>
      <c r="H7" s="2291"/>
      <c r="I7" s="2291"/>
      <c r="J7" s="2291"/>
      <c r="K7" s="649"/>
      <c r="L7" s="652"/>
      <c r="M7" s="652"/>
      <c r="N7" s="652"/>
      <c r="O7" s="1463"/>
      <c r="P7" s="2289"/>
      <c r="Q7" s="2290"/>
      <c r="R7" s="1430"/>
      <c r="S7" s="1424"/>
      <c r="T7" s="4032"/>
      <c r="U7" s="4032"/>
      <c r="V7" s="4032"/>
      <c r="W7" s="4032"/>
      <c r="X7" s="4032"/>
      <c r="Y7" s="4032"/>
      <c r="Z7" s="4032"/>
      <c r="AA7" s="4032"/>
      <c r="AB7" s="4032"/>
      <c r="AC7" s="4032"/>
      <c r="AD7" s="4032"/>
      <c r="AE7" s="4032"/>
      <c r="AF7" s="1041"/>
      <c r="AG7" s="1041"/>
      <c r="AH7" s="1420"/>
    </row>
    <row r="8" spans="1:34" ht="18.75" customHeight="1">
      <c r="A8" s="1418"/>
      <c r="B8" s="1431"/>
      <c r="C8" s="1442"/>
      <c r="D8" s="2311"/>
      <c r="E8" s="2294" t="s">
        <v>787</v>
      </c>
      <c r="F8" s="2312"/>
      <c r="G8" s="2313"/>
      <c r="H8" s="2314"/>
      <c r="I8" s="2312"/>
      <c r="J8" s="2312"/>
      <c r="K8" s="2312"/>
      <c r="L8" s="2312"/>
      <c r="M8" s="2273"/>
      <c r="N8" s="2273"/>
      <c r="O8" s="2273" t="s">
        <v>788</v>
      </c>
      <c r="P8" s="2289"/>
      <c r="Q8" s="2290"/>
      <c r="R8" s="1430"/>
      <c r="S8" s="1424"/>
      <c r="T8" s="4032"/>
      <c r="U8" s="4032"/>
      <c r="V8" s="4032"/>
      <c r="W8" s="4032"/>
      <c r="X8" s="4032"/>
      <c r="Y8" s="4032"/>
      <c r="Z8" s="4032"/>
      <c r="AA8" s="4032"/>
      <c r="AB8" s="4032"/>
      <c r="AC8" s="4032"/>
      <c r="AD8" s="4032"/>
      <c r="AE8" s="4032"/>
      <c r="AF8" s="1041"/>
      <c r="AG8" s="1041"/>
      <c r="AH8" s="1420"/>
    </row>
    <row r="9" spans="1:34" ht="5.0999999999999996" customHeight="1">
      <c r="A9" s="1418"/>
      <c r="B9" s="1431"/>
      <c r="C9" s="1442"/>
      <c r="D9" s="2315"/>
      <c r="E9" s="2316"/>
      <c r="F9" s="2317"/>
      <c r="G9" s="2318"/>
      <c r="H9" s="2319"/>
      <c r="I9" s="2317"/>
      <c r="J9" s="2317"/>
      <c r="K9" s="2317"/>
      <c r="L9" s="2317"/>
      <c r="M9" s="2274"/>
      <c r="N9" s="2274"/>
      <c r="O9" s="2274"/>
      <c r="P9" s="2289"/>
      <c r="Q9" s="2290"/>
      <c r="R9" s="1430"/>
      <c r="S9" s="1424"/>
      <c r="T9" s="3273"/>
      <c r="U9" s="3273"/>
      <c r="V9" s="3273"/>
      <c r="W9" s="3273"/>
      <c r="X9" s="3273"/>
      <c r="Y9" s="3273"/>
      <c r="Z9" s="1041"/>
      <c r="AA9" s="1041"/>
      <c r="AB9" s="1041"/>
      <c r="AC9" s="1041"/>
      <c r="AD9" s="1041"/>
      <c r="AE9" s="1041"/>
      <c r="AF9" s="1041"/>
      <c r="AG9" s="1041"/>
      <c r="AH9" s="1420"/>
    </row>
    <row r="10" spans="1:34" ht="15" customHeight="1">
      <c r="A10" s="1418"/>
      <c r="B10" s="1431"/>
      <c r="C10" s="1442"/>
      <c r="D10" s="2277" t="s">
        <v>1057</v>
      </c>
      <c r="E10" s="2286"/>
      <c r="F10" s="2286"/>
      <c r="G10" s="2287"/>
      <c r="H10" s="2288"/>
      <c r="I10" s="2286"/>
      <c r="J10" s="2286"/>
      <c r="K10" s="2286"/>
      <c r="L10" s="2286"/>
      <c r="M10" s="2286"/>
      <c r="N10" s="2286"/>
      <c r="O10" s="1484" t="s">
        <v>1068</v>
      </c>
      <c r="P10" s="2289"/>
      <c r="Q10" s="2290"/>
      <c r="R10" s="1430"/>
      <c r="S10" s="1424"/>
      <c r="T10" s="1041"/>
      <c r="U10" s="3291" t="s">
        <v>789</v>
      </c>
      <c r="V10" s="3274"/>
      <c r="W10" s="3274"/>
      <c r="X10" s="3275"/>
      <c r="Y10" s="3274"/>
      <c r="Z10" s="3274"/>
      <c r="AA10" s="3274"/>
      <c r="AB10" s="3274"/>
      <c r="AC10" s="3274"/>
      <c r="AD10" s="3274"/>
      <c r="AE10" s="3274"/>
      <c r="AF10" s="1041"/>
      <c r="AG10" s="1041"/>
      <c r="AH10" s="1420"/>
    </row>
    <row r="11" spans="1:34" ht="6.9" customHeight="1">
      <c r="A11" s="1418"/>
      <c r="B11" s="1431"/>
      <c r="C11" s="1442"/>
      <c r="D11" s="649"/>
      <c r="E11" s="649"/>
      <c r="F11" s="649"/>
      <c r="G11" s="649"/>
      <c r="H11" s="649"/>
      <c r="I11" s="649"/>
      <c r="J11" s="649"/>
      <c r="K11" s="649"/>
      <c r="L11" s="649"/>
      <c r="M11" s="649"/>
      <c r="N11" s="649"/>
      <c r="O11" s="649"/>
      <c r="P11" s="2289"/>
      <c r="Q11" s="2290"/>
      <c r="R11" s="1430"/>
      <c r="S11" s="1424"/>
      <c r="T11" s="1041"/>
      <c r="U11" s="464"/>
      <c r="V11" s="464"/>
      <c r="W11" s="464"/>
      <c r="X11" s="649"/>
      <c r="Y11" s="649"/>
      <c r="Z11" s="649"/>
      <c r="AA11" s="464"/>
      <c r="AB11" s="464"/>
      <c r="AC11" s="464"/>
      <c r="AD11" s="464"/>
      <c r="AE11" s="464"/>
      <c r="AF11" s="1041"/>
      <c r="AG11" s="1041"/>
      <c r="AH11" s="1420"/>
    </row>
    <row r="12" spans="1:34" ht="14.1" customHeight="1">
      <c r="A12" s="1418"/>
      <c r="B12" s="1431"/>
      <c r="C12" s="1442"/>
      <c r="D12" s="2278" t="s">
        <v>790</v>
      </c>
      <c r="E12" s="1488" t="s">
        <v>18</v>
      </c>
      <c r="F12" s="1488" t="s">
        <v>17</v>
      </c>
      <c r="G12" s="1488" t="s">
        <v>16</v>
      </c>
      <c r="H12" s="1488" t="s">
        <v>15</v>
      </c>
      <c r="I12" s="1488" t="s">
        <v>14</v>
      </c>
      <c r="J12" s="1488" t="s">
        <v>13</v>
      </c>
      <c r="K12" s="1488" t="s">
        <v>12</v>
      </c>
      <c r="L12" s="1488" t="s">
        <v>11</v>
      </c>
      <c r="M12" s="1488" t="s">
        <v>10</v>
      </c>
      <c r="N12" s="1488" t="s">
        <v>9</v>
      </c>
      <c r="O12" s="1488" t="s">
        <v>28</v>
      </c>
      <c r="P12" s="2289"/>
      <c r="Q12" s="2290"/>
      <c r="R12" s="1430"/>
      <c r="S12" s="1424"/>
      <c r="T12" s="1041"/>
      <c r="U12" s="2278" t="s">
        <v>790</v>
      </c>
      <c r="V12" s="1488" t="s">
        <v>18</v>
      </c>
      <c r="W12" s="1488" t="s">
        <v>17</v>
      </c>
      <c r="X12" s="1488" t="s">
        <v>16</v>
      </c>
      <c r="Y12" s="1488" t="s">
        <v>15</v>
      </c>
      <c r="Z12" s="1488" t="s">
        <v>14</v>
      </c>
      <c r="AA12" s="1488" t="s">
        <v>13</v>
      </c>
      <c r="AB12" s="1488" t="s">
        <v>12</v>
      </c>
      <c r="AC12" s="1488" t="s">
        <v>11</v>
      </c>
      <c r="AD12" s="1488" t="s">
        <v>10</v>
      </c>
      <c r="AE12" s="1488" t="s">
        <v>9</v>
      </c>
      <c r="AF12" s="1041"/>
      <c r="AG12" s="1041"/>
      <c r="AH12" s="1420"/>
    </row>
    <row r="13" spans="1:34" ht="12.9" customHeight="1">
      <c r="A13" s="1418"/>
      <c r="B13" s="1431"/>
      <c r="C13" s="1442"/>
      <c r="D13" s="2172" t="s">
        <v>20</v>
      </c>
      <c r="E13" s="2285"/>
      <c r="F13" s="1462"/>
      <c r="G13" s="1462"/>
      <c r="H13" s="1462">
        <v>11</v>
      </c>
      <c r="I13" s="1462">
        <v>122</v>
      </c>
      <c r="J13" s="1462">
        <v>41</v>
      </c>
      <c r="K13" s="1462">
        <v>15</v>
      </c>
      <c r="L13" s="1462">
        <v>2</v>
      </c>
      <c r="M13" s="1462">
        <v>1</v>
      </c>
      <c r="N13" s="1462"/>
      <c r="O13" s="1969">
        <f>E13+F13+G13+H13+I13+J13+K13+L13+M13+N13</f>
        <v>192</v>
      </c>
      <c r="P13" s="2289"/>
      <c r="Q13" s="2290"/>
      <c r="R13" s="1430"/>
      <c r="S13" s="1424"/>
      <c r="T13" s="1041"/>
      <c r="U13" s="2172" t="s">
        <v>20</v>
      </c>
      <c r="V13" s="3276" t="str">
        <f>IF(E13&gt;=(E17)," ","خطأ")</f>
        <v xml:space="preserve"> </v>
      </c>
      <c r="W13" s="3276" t="str">
        <f t="shared" ref="W13:AE14" si="0">IF(F13&gt;=(F17)," ","خطأ")</f>
        <v xml:space="preserve"> </v>
      </c>
      <c r="X13" s="3276" t="str">
        <f t="shared" si="0"/>
        <v xml:space="preserve"> </v>
      </c>
      <c r="Y13" s="3276" t="str">
        <f t="shared" si="0"/>
        <v xml:space="preserve"> </v>
      </c>
      <c r="Z13" s="3276" t="str">
        <f t="shared" si="0"/>
        <v xml:space="preserve"> </v>
      </c>
      <c r="AA13" s="3276" t="str">
        <f t="shared" si="0"/>
        <v xml:space="preserve"> </v>
      </c>
      <c r="AB13" s="3276" t="str">
        <f t="shared" si="0"/>
        <v xml:space="preserve"> </v>
      </c>
      <c r="AC13" s="3276" t="str">
        <f t="shared" si="0"/>
        <v xml:space="preserve"> </v>
      </c>
      <c r="AD13" s="3276" t="str">
        <f t="shared" si="0"/>
        <v xml:space="preserve"> </v>
      </c>
      <c r="AE13" s="3276" t="str">
        <f t="shared" si="0"/>
        <v xml:space="preserve"> </v>
      </c>
      <c r="AF13" s="1041"/>
      <c r="AG13" s="1041"/>
      <c r="AH13" s="1420"/>
    </row>
    <row r="14" spans="1:34" ht="12.9" customHeight="1">
      <c r="A14" s="1418"/>
      <c r="B14" s="1431"/>
      <c r="C14" s="1442"/>
      <c r="D14" s="2172" t="s">
        <v>19</v>
      </c>
      <c r="E14" s="2285"/>
      <c r="F14" s="3269"/>
      <c r="G14" s="3269"/>
      <c r="H14" s="3269">
        <v>9</v>
      </c>
      <c r="I14" s="3269">
        <v>67</v>
      </c>
      <c r="J14" s="3269">
        <v>21</v>
      </c>
      <c r="K14" s="3269">
        <v>7</v>
      </c>
      <c r="L14" s="3269">
        <v>2</v>
      </c>
      <c r="M14" s="3269">
        <v>1</v>
      </c>
      <c r="N14" s="3269"/>
      <c r="O14" s="1492">
        <f>E14+F14+G14+H14+I14+J14+K14+L14+M14+N14</f>
        <v>107</v>
      </c>
      <c r="P14" s="2289"/>
      <c r="Q14" s="2290"/>
      <c r="R14" s="1430"/>
      <c r="S14" s="1424"/>
      <c r="T14" s="1041"/>
      <c r="U14" s="2172" t="s">
        <v>19</v>
      </c>
      <c r="V14" s="3276" t="str">
        <f>IF(E14&gt;=(E18)," ","خطأ")</f>
        <v xml:space="preserve"> </v>
      </c>
      <c r="W14" s="3276" t="str">
        <f t="shared" si="0"/>
        <v xml:space="preserve"> </v>
      </c>
      <c r="X14" s="3276" t="str">
        <f t="shared" si="0"/>
        <v xml:space="preserve"> </v>
      </c>
      <c r="Y14" s="3276" t="str">
        <f t="shared" si="0"/>
        <v xml:space="preserve"> </v>
      </c>
      <c r="Z14" s="3276" t="str">
        <f t="shared" si="0"/>
        <v xml:space="preserve"> </v>
      </c>
      <c r="AA14" s="3276" t="str">
        <f t="shared" si="0"/>
        <v xml:space="preserve"> </v>
      </c>
      <c r="AB14" s="3276" t="str">
        <f t="shared" si="0"/>
        <v xml:space="preserve"> </v>
      </c>
      <c r="AC14" s="3276" t="str">
        <f t="shared" si="0"/>
        <v xml:space="preserve"> </v>
      </c>
      <c r="AD14" s="3276" t="str">
        <f t="shared" si="0"/>
        <v xml:space="preserve"> </v>
      </c>
      <c r="AE14" s="3276" t="str">
        <f t="shared" si="0"/>
        <v xml:space="preserve"> </v>
      </c>
      <c r="AF14" s="1041"/>
      <c r="AG14" s="1041"/>
      <c r="AH14" s="1420"/>
    </row>
    <row r="15" spans="1:34" ht="9.9" customHeight="1">
      <c r="A15" s="1418"/>
      <c r="B15" s="1431"/>
      <c r="C15" s="1442"/>
      <c r="D15" s="650"/>
      <c r="E15" s="1434"/>
      <c r="F15" s="1434"/>
      <c r="G15" s="1444"/>
      <c r="H15" s="1445"/>
      <c r="I15" s="1445"/>
      <c r="J15" s="1445"/>
      <c r="K15" s="1446"/>
      <c r="L15" s="1438"/>
      <c r="M15" s="1438"/>
      <c r="N15" s="1438"/>
      <c r="O15" s="1463"/>
      <c r="P15" s="2289"/>
      <c r="Q15" s="2290"/>
      <c r="R15" s="1430"/>
      <c r="S15" s="1424"/>
      <c r="T15" s="1041"/>
      <c r="U15" s="1041"/>
      <c r="V15" s="1041"/>
      <c r="W15" s="1041"/>
      <c r="X15" s="1041"/>
      <c r="Y15" s="1041"/>
      <c r="Z15" s="1041"/>
      <c r="AA15" s="1041"/>
      <c r="AB15" s="1041"/>
      <c r="AC15" s="1041"/>
      <c r="AD15" s="1041"/>
      <c r="AE15" s="1041"/>
      <c r="AF15" s="1041"/>
      <c r="AG15" s="1041"/>
      <c r="AH15" s="1420"/>
    </row>
    <row r="16" spans="1:34" ht="12.9" customHeight="1">
      <c r="A16" s="1418"/>
      <c r="B16" s="1425"/>
      <c r="C16" s="1464"/>
      <c r="D16" s="2279" t="s">
        <v>1400</v>
      </c>
      <c r="E16" s="1465"/>
      <c r="F16" s="1465"/>
      <c r="G16" s="1465"/>
      <c r="H16" s="1465"/>
      <c r="I16" s="1465"/>
      <c r="J16" s="1465"/>
      <c r="K16" s="1465"/>
      <c r="L16" s="1465"/>
      <c r="M16" s="1465"/>
      <c r="N16" s="1466"/>
      <c r="O16" s="1507" t="s">
        <v>1399</v>
      </c>
      <c r="P16" s="649"/>
      <c r="Q16" s="2293"/>
      <c r="R16" s="1430"/>
      <c r="S16" s="1418"/>
      <c r="T16" s="3277"/>
      <c r="U16" s="3278" t="s">
        <v>1069</v>
      </c>
      <c r="V16" s="1041"/>
      <c r="W16" s="1041"/>
      <c r="X16" s="1041"/>
      <c r="Y16" s="1041"/>
      <c r="Z16" s="1041"/>
      <c r="AA16" s="1041"/>
      <c r="AB16" s="1041"/>
      <c r="AC16" s="1041"/>
      <c r="AD16" s="1041"/>
      <c r="AE16" s="1041"/>
      <c r="AF16" s="1041"/>
      <c r="AG16" s="1041"/>
      <c r="AH16" s="1420"/>
    </row>
    <row r="17" spans="1:34" ht="12.9" customHeight="1">
      <c r="A17" s="1418"/>
      <c r="B17" s="1425"/>
      <c r="C17" s="1464"/>
      <c r="D17" s="2172" t="s">
        <v>20</v>
      </c>
      <c r="E17" s="2285"/>
      <c r="F17" s="1462"/>
      <c r="G17" s="1462"/>
      <c r="H17" s="1462"/>
      <c r="I17" s="1462"/>
      <c r="J17" s="1462"/>
      <c r="K17" s="1462"/>
      <c r="L17" s="1462"/>
      <c r="M17" s="1462"/>
      <c r="N17" s="1462"/>
      <c r="O17" s="1969">
        <f>E17+F17+G17+H17+I17+J17+K17+L17+M17+N17</f>
        <v>0</v>
      </c>
      <c r="P17" s="649"/>
      <c r="Q17" s="2293"/>
      <c r="R17" s="1430"/>
      <c r="S17" s="1418"/>
      <c r="T17" s="3277"/>
      <c r="U17" s="1041"/>
      <c r="V17" s="1041"/>
      <c r="W17" s="1041"/>
      <c r="X17" s="1041"/>
      <c r="Y17" s="1041"/>
      <c r="Z17" s="1041"/>
      <c r="AA17" s="1041"/>
      <c r="AB17" s="1041"/>
      <c r="AC17" s="1041"/>
      <c r="AD17" s="1041"/>
      <c r="AE17" s="3279" t="s">
        <v>1076</v>
      </c>
      <c r="AF17" s="1041"/>
      <c r="AG17" s="1041"/>
      <c r="AH17" s="1420"/>
    </row>
    <row r="18" spans="1:34" ht="12.9" customHeight="1">
      <c r="A18" s="1418"/>
      <c r="B18" s="1425"/>
      <c r="C18" s="1464"/>
      <c r="D18" s="2172" t="s">
        <v>19</v>
      </c>
      <c r="E18" s="2285"/>
      <c r="F18" s="3269"/>
      <c r="G18" s="3269"/>
      <c r="H18" s="3269"/>
      <c r="I18" s="3269"/>
      <c r="J18" s="3269"/>
      <c r="K18" s="3269"/>
      <c r="L18" s="3269"/>
      <c r="M18" s="3269"/>
      <c r="N18" s="3269"/>
      <c r="O18" s="1492">
        <f>E18+F18+G18+H18+I18+J18+K18+L18+M18+N18</f>
        <v>0</v>
      </c>
      <c r="P18" s="649"/>
      <c r="Q18" s="2293"/>
      <c r="R18" s="1430"/>
      <c r="S18" s="1418"/>
      <c r="T18" s="3277"/>
      <c r="U18" s="1041"/>
      <c r="V18" s="1041"/>
      <c r="W18" s="1041"/>
      <c r="X18" s="1041"/>
      <c r="Y18" s="1041"/>
      <c r="Z18" s="1041"/>
      <c r="AA18" s="1041"/>
      <c r="AB18" s="1041"/>
      <c r="AC18" s="1041"/>
      <c r="AD18" s="1041"/>
      <c r="AE18" s="1041"/>
      <c r="AF18" s="1041"/>
      <c r="AG18" s="1041"/>
      <c r="AH18" s="1420"/>
    </row>
    <row r="19" spans="1:34" ht="9.9" customHeight="1">
      <c r="A19" s="1418"/>
      <c r="B19" s="1425"/>
      <c r="C19" s="1464"/>
      <c r="D19" s="2280"/>
      <c r="E19" s="1468"/>
      <c r="F19" s="1468"/>
      <c r="G19" s="1468"/>
      <c r="H19" s="1468"/>
      <c r="I19" s="1468"/>
      <c r="J19" s="1468"/>
      <c r="K19" s="1468"/>
      <c r="L19" s="1468"/>
      <c r="M19" s="1468"/>
      <c r="N19" s="1468"/>
      <c r="O19" s="1469"/>
      <c r="P19" s="649"/>
      <c r="Q19" s="2293"/>
      <c r="R19" s="1430"/>
      <c r="S19" s="1418"/>
      <c r="T19" s="3277"/>
      <c r="U19" s="4203" t="s">
        <v>791</v>
      </c>
      <c r="V19" s="4203"/>
      <c r="W19" s="4203"/>
      <c r="X19" s="4203"/>
      <c r="Y19" s="4203"/>
      <c r="Z19" s="4203"/>
      <c r="AA19" s="4203"/>
      <c r="AB19" s="4203"/>
      <c r="AC19" s="4203"/>
      <c r="AD19" s="1041"/>
      <c r="AE19" s="1041"/>
      <c r="AF19" s="1041"/>
      <c r="AG19" s="1041"/>
      <c r="AH19" s="1420"/>
    </row>
    <row r="20" spans="1:34" ht="9.9" customHeight="1">
      <c r="A20" s="1418"/>
      <c r="B20" s="1425"/>
      <c r="C20" s="1464"/>
      <c r="D20" s="1471"/>
      <c r="E20" s="1470"/>
      <c r="F20" s="1470"/>
      <c r="G20" s="1470"/>
      <c r="H20" s="1470"/>
      <c r="I20" s="1470"/>
      <c r="J20" s="1470"/>
      <c r="K20" s="1470"/>
      <c r="L20" s="1470"/>
      <c r="M20" s="1470"/>
      <c r="N20" s="1470"/>
      <c r="O20" s="1471"/>
      <c r="P20" s="649"/>
      <c r="Q20" s="2293"/>
      <c r="R20" s="1430"/>
      <c r="S20" s="1418"/>
      <c r="T20" s="1041"/>
      <c r="U20" s="4203"/>
      <c r="V20" s="4203"/>
      <c r="W20" s="4203"/>
      <c r="X20" s="4203"/>
      <c r="Y20" s="4203"/>
      <c r="Z20" s="4203"/>
      <c r="AA20" s="4203"/>
      <c r="AB20" s="4203"/>
      <c r="AC20" s="4203"/>
      <c r="AD20" s="1041"/>
      <c r="AE20" s="1041"/>
      <c r="AF20" s="1041"/>
      <c r="AG20" s="1041"/>
      <c r="AH20" s="1420"/>
    </row>
    <row r="21" spans="1:34" ht="18.75" customHeight="1">
      <c r="A21" s="1418"/>
      <c r="B21" s="1425"/>
      <c r="C21" s="1464"/>
      <c r="D21" s="2281"/>
      <c r="E21" s="2028" t="s">
        <v>967</v>
      </c>
      <c r="F21" s="1472"/>
      <c r="G21" s="1473"/>
      <c r="H21" s="1474"/>
      <c r="I21" s="1472"/>
      <c r="J21" s="1472"/>
      <c r="K21" s="1472"/>
      <c r="L21" s="1472"/>
      <c r="M21" s="1475"/>
      <c r="N21" s="1475" t="s">
        <v>792</v>
      </c>
      <c r="O21" s="2275"/>
      <c r="P21" s="649"/>
      <c r="Q21" s="2293"/>
      <c r="R21" s="1430"/>
      <c r="S21" s="1418"/>
      <c r="T21" s="1041"/>
      <c r="U21" s="1041"/>
      <c r="V21" s="1041"/>
      <c r="W21" s="1041"/>
      <c r="X21" s="1041"/>
      <c r="Y21" s="1041"/>
      <c r="Z21" s="1041"/>
      <c r="AA21" s="1041"/>
      <c r="AB21" s="1041"/>
      <c r="AC21" s="1041"/>
      <c r="AD21" s="1041"/>
      <c r="AE21" s="1041"/>
      <c r="AF21" s="1041"/>
      <c r="AG21" s="1041"/>
      <c r="AH21" s="1420"/>
    </row>
    <row r="22" spans="1:34" ht="3.9" customHeight="1">
      <c r="A22" s="1418"/>
      <c r="B22" s="1425"/>
      <c r="C22" s="1464"/>
      <c r="D22" s="2282"/>
      <c r="E22" s="1476"/>
      <c r="F22" s="1477"/>
      <c r="G22" s="1478"/>
      <c r="H22" s="1479"/>
      <c r="I22" s="1477"/>
      <c r="J22" s="1477"/>
      <c r="K22" s="1477"/>
      <c r="L22" s="1477"/>
      <c r="M22" s="1480"/>
      <c r="N22" s="1480"/>
      <c r="O22" s="2276"/>
      <c r="P22" s="649"/>
      <c r="Q22" s="2293"/>
      <c r="R22" s="1430"/>
      <c r="S22" s="1418"/>
      <c r="T22" s="1041"/>
      <c r="U22" s="1041"/>
      <c r="V22" s="1041"/>
      <c r="W22" s="1041"/>
      <c r="X22" s="1041"/>
      <c r="Y22" s="1041"/>
      <c r="Z22" s="1041"/>
      <c r="AA22" s="1041"/>
      <c r="AB22" s="1041"/>
      <c r="AC22" s="1041"/>
      <c r="AD22" s="1041"/>
      <c r="AE22" s="1041"/>
      <c r="AF22" s="1041"/>
      <c r="AG22" s="1041"/>
      <c r="AH22" s="1420"/>
    </row>
    <row r="23" spans="1:34" ht="15" customHeight="1">
      <c r="A23" s="1418"/>
      <c r="B23" s="1481"/>
      <c r="C23" s="1482"/>
      <c r="D23" s="2277" t="s">
        <v>1058</v>
      </c>
      <c r="E23" s="1458"/>
      <c r="F23" s="1458"/>
      <c r="G23" s="1459"/>
      <c r="H23" s="1483"/>
      <c r="I23" s="1458"/>
      <c r="J23" s="1458"/>
      <c r="K23" s="1458"/>
      <c r="L23" s="1458"/>
      <c r="M23" s="1458"/>
      <c r="N23" s="1458"/>
      <c r="O23" s="1484" t="s">
        <v>1067</v>
      </c>
      <c r="P23" s="2295"/>
      <c r="Q23" s="2296"/>
      <c r="R23" s="1430"/>
      <c r="S23" s="1487"/>
      <c r="T23" s="1041"/>
      <c r="U23" s="2407" t="s">
        <v>790</v>
      </c>
      <c r="V23" s="1488" t="s">
        <v>18</v>
      </c>
      <c r="W23" s="1488" t="s">
        <v>17</v>
      </c>
      <c r="X23" s="1488" t="s">
        <v>16</v>
      </c>
      <c r="Y23" s="1488" t="s">
        <v>15</v>
      </c>
      <c r="Z23" s="1488" t="s">
        <v>14</v>
      </c>
      <c r="AA23" s="1488" t="s">
        <v>13</v>
      </c>
      <c r="AB23" s="1488" t="s">
        <v>12</v>
      </c>
      <c r="AC23" s="1488" t="s">
        <v>11</v>
      </c>
      <c r="AD23" s="1488" t="s">
        <v>10</v>
      </c>
      <c r="AE23" s="1488" t="s">
        <v>9</v>
      </c>
      <c r="AF23" s="1041"/>
      <c r="AG23" s="1041"/>
      <c r="AH23" s="1420"/>
    </row>
    <row r="24" spans="1:34" ht="6.9" customHeight="1">
      <c r="A24" s="1418"/>
      <c r="B24" s="1425"/>
      <c r="C24" s="1464"/>
      <c r="D24" s="649"/>
      <c r="E24" s="1446"/>
      <c r="F24" s="1446"/>
      <c r="G24" s="1446"/>
      <c r="H24" s="1446"/>
      <c r="I24" s="1446"/>
      <c r="J24" s="1446"/>
      <c r="K24" s="1446"/>
      <c r="L24" s="1446"/>
      <c r="M24" s="1446"/>
      <c r="N24" s="1446"/>
      <c r="O24" s="649"/>
      <c r="P24" s="649"/>
      <c r="Q24" s="2293"/>
      <c r="R24" s="1430"/>
      <c r="S24" s="1418"/>
      <c r="T24" s="1041"/>
      <c r="U24" s="464"/>
      <c r="V24" s="464"/>
      <c r="W24" s="464"/>
      <c r="X24" s="649"/>
      <c r="Y24" s="649"/>
      <c r="Z24" s="649"/>
      <c r="AA24" s="464"/>
      <c r="AB24" s="464"/>
      <c r="AC24" s="464"/>
      <c r="AD24" s="464"/>
      <c r="AE24" s="464"/>
      <c r="AF24" s="464"/>
      <c r="AG24" s="1041"/>
      <c r="AH24" s="1420"/>
    </row>
    <row r="25" spans="1:34" ht="14.1" customHeight="1">
      <c r="A25" s="1418"/>
      <c r="B25" s="1425"/>
      <c r="C25" s="1464"/>
      <c r="D25" s="2278" t="s">
        <v>790</v>
      </c>
      <c r="E25" s="1461" t="s">
        <v>18</v>
      </c>
      <c r="F25" s="1461" t="s">
        <v>17</v>
      </c>
      <c r="G25" s="1461" t="s">
        <v>16</v>
      </c>
      <c r="H25" s="1461" t="s">
        <v>15</v>
      </c>
      <c r="I25" s="1461" t="s">
        <v>14</v>
      </c>
      <c r="J25" s="1461" t="s">
        <v>13</v>
      </c>
      <c r="K25" s="1461" t="s">
        <v>12</v>
      </c>
      <c r="L25" s="1461" t="s">
        <v>11</v>
      </c>
      <c r="M25" s="1461" t="s">
        <v>10</v>
      </c>
      <c r="N25" s="1461" t="s">
        <v>9</v>
      </c>
      <c r="O25" s="1488" t="s">
        <v>28</v>
      </c>
      <c r="P25" s="2297"/>
      <c r="Q25" s="2293"/>
      <c r="R25" s="1430"/>
      <c r="S25" s="1490"/>
      <c r="T25" s="1041"/>
      <c r="U25" s="2172" t="s">
        <v>20</v>
      </c>
      <c r="V25" s="3276" t="str">
        <f>IF(E26&gt;=E42," ","خطأ")</f>
        <v xml:space="preserve"> </v>
      </c>
      <c r="W25" s="3276" t="str">
        <f t="shared" ref="W25:AE26" si="1">IF(F26&gt;=F42," ","خطأ")</f>
        <v xml:space="preserve"> </v>
      </c>
      <c r="X25" s="3276" t="str">
        <f t="shared" si="1"/>
        <v xml:space="preserve"> </v>
      </c>
      <c r="Y25" s="3276" t="str">
        <f t="shared" si="1"/>
        <v xml:space="preserve"> </v>
      </c>
      <c r="Z25" s="3276" t="str">
        <f t="shared" si="1"/>
        <v xml:space="preserve"> </v>
      </c>
      <c r="AA25" s="3276" t="str">
        <f t="shared" si="1"/>
        <v xml:space="preserve"> </v>
      </c>
      <c r="AB25" s="3276" t="str">
        <f t="shared" si="1"/>
        <v xml:space="preserve"> </v>
      </c>
      <c r="AC25" s="3276" t="str">
        <f t="shared" si="1"/>
        <v xml:space="preserve"> </v>
      </c>
      <c r="AD25" s="3276" t="str">
        <f t="shared" si="1"/>
        <v xml:space="preserve"> </v>
      </c>
      <c r="AE25" s="3276" t="str">
        <f t="shared" si="1"/>
        <v xml:space="preserve"> </v>
      </c>
      <c r="AF25" s="1041"/>
      <c r="AG25" s="1041"/>
      <c r="AH25" s="1420"/>
    </row>
    <row r="26" spans="1:34" ht="12.9" customHeight="1">
      <c r="A26" s="1418"/>
      <c r="B26" s="1425"/>
      <c r="C26" s="1464"/>
      <c r="D26" s="2172" t="s">
        <v>20</v>
      </c>
      <c r="E26" s="2285"/>
      <c r="F26" s="1462"/>
      <c r="G26" s="1462"/>
      <c r="H26" s="1462">
        <v>20</v>
      </c>
      <c r="I26" s="1462">
        <v>92</v>
      </c>
      <c r="J26" s="1462">
        <v>33</v>
      </c>
      <c r="K26" s="1462">
        <v>15</v>
      </c>
      <c r="L26" s="1462">
        <v>3</v>
      </c>
      <c r="M26" s="1462"/>
      <c r="N26" s="1462"/>
      <c r="O26" s="1969">
        <f>E26+F26+G26+H26+I26+J26+K26+L26+M26+N26</f>
        <v>163</v>
      </c>
      <c r="P26" s="1041"/>
      <c r="Q26" s="2293"/>
      <c r="R26" s="1430"/>
      <c r="S26" s="1491"/>
      <c r="T26" s="1041"/>
      <c r="U26" s="2172" t="s">
        <v>19</v>
      </c>
      <c r="V26" s="3276" t="str">
        <f>IF(E27&gt;=E43," ","خطأ")</f>
        <v xml:space="preserve"> </v>
      </c>
      <c r="W26" s="3276" t="str">
        <f t="shared" si="1"/>
        <v xml:space="preserve"> </v>
      </c>
      <c r="X26" s="3276" t="str">
        <f t="shared" si="1"/>
        <v xml:space="preserve"> </v>
      </c>
      <c r="Y26" s="3276" t="str">
        <f t="shared" si="1"/>
        <v xml:space="preserve"> </v>
      </c>
      <c r="Z26" s="3276" t="str">
        <f t="shared" si="1"/>
        <v xml:space="preserve"> </v>
      </c>
      <c r="AA26" s="3276" t="str">
        <f t="shared" si="1"/>
        <v xml:space="preserve"> </v>
      </c>
      <c r="AB26" s="3276" t="str">
        <f t="shared" si="1"/>
        <v xml:space="preserve"> </v>
      </c>
      <c r="AC26" s="3276" t="str">
        <f t="shared" si="1"/>
        <v xml:space="preserve"> </v>
      </c>
      <c r="AD26" s="3276" t="str">
        <f t="shared" si="1"/>
        <v xml:space="preserve"> </v>
      </c>
      <c r="AE26" s="3276" t="str">
        <f t="shared" si="1"/>
        <v xml:space="preserve"> </v>
      </c>
      <c r="AF26" s="1041"/>
      <c r="AG26" s="1041"/>
      <c r="AH26" s="1420"/>
    </row>
    <row r="27" spans="1:34" ht="12.9" customHeight="1">
      <c r="A27" s="1418"/>
      <c r="B27" s="1425"/>
      <c r="C27" s="1464"/>
      <c r="D27" s="2172" t="s">
        <v>19</v>
      </c>
      <c r="E27" s="2285"/>
      <c r="F27" s="3269"/>
      <c r="G27" s="3269"/>
      <c r="H27" s="3269">
        <v>6</v>
      </c>
      <c r="I27" s="3269">
        <v>55</v>
      </c>
      <c r="J27" s="3269">
        <v>10</v>
      </c>
      <c r="K27" s="3269">
        <v>4</v>
      </c>
      <c r="L27" s="3269"/>
      <c r="M27" s="3269"/>
      <c r="N27" s="3269"/>
      <c r="O27" s="1492">
        <f>E27+F27+G27+H27+I27+J27+K27+L27+M27+N27</f>
        <v>75</v>
      </c>
      <c r="P27" s="1041"/>
      <c r="Q27" s="2293"/>
      <c r="R27" s="1430"/>
      <c r="S27" s="1491"/>
      <c r="T27" s="1041"/>
      <c r="U27" s="4201" t="s">
        <v>1070</v>
      </c>
      <c r="V27" s="4201"/>
      <c r="W27" s="4201"/>
      <c r="X27" s="4201"/>
      <c r="Y27" s="4201"/>
      <c r="Z27" s="4201"/>
      <c r="AA27" s="4201"/>
      <c r="AB27" s="1041"/>
      <c r="AC27" s="1041"/>
      <c r="AD27" s="1041"/>
      <c r="AE27" s="1041"/>
      <c r="AF27" s="1041"/>
      <c r="AG27" s="1041"/>
      <c r="AH27" s="1420"/>
    </row>
    <row r="28" spans="1:34" ht="9.9" customHeight="1">
      <c r="A28" s="1418"/>
      <c r="B28" s="1425"/>
      <c r="C28" s="1464"/>
      <c r="D28" s="2280"/>
      <c r="E28" s="1468"/>
      <c r="F28" s="1468"/>
      <c r="G28" s="1468"/>
      <c r="H28" s="1468"/>
      <c r="I28" s="1468"/>
      <c r="J28" s="1468"/>
      <c r="K28" s="1468"/>
      <c r="L28" s="1468"/>
      <c r="M28" s="1468"/>
      <c r="N28" s="1468"/>
      <c r="O28" s="1469"/>
      <c r="P28" s="1469"/>
      <c r="Q28" s="2293"/>
      <c r="R28" s="1430"/>
      <c r="S28" s="1491"/>
      <c r="T28" s="1041"/>
      <c r="U28" s="4202"/>
      <c r="V28" s="4202"/>
      <c r="W28" s="4202"/>
      <c r="X28" s="4202"/>
      <c r="Y28" s="4202"/>
      <c r="Z28" s="4202"/>
      <c r="AA28" s="4202"/>
      <c r="AB28" s="1041"/>
      <c r="AC28" s="1041"/>
      <c r="AD28" s="1041"/>
      <c r="AE28" s="1041"/>
      <c r="AF28" s="1041"/>
      <c r="AG28" s="1041"/>
      <c r="AH28" s="1420"/>
    </row>
    <row r="29" spans="1:34" ht="12.9" customHeight="1">
      <c r="A29" s="1418"/>
      <c r="B29" s="1425"/>
      <c r="C29" s="1464"/>
      <c r="D29" s="2283" t="s">
        <v>1059</v>
      </c>
      <c r="E29" s="1465"/>
      <c r="F29" s="1465"/>
      <c r="G29" s="1465"/>
      <c r="H29" s="1465"/>
      <c r="I29" s="1465"/>
      <c r="J29" s="1465"/>
      <c r="K29" s="1465"/>
      <c r="L29" s="1465"/>
      <c r="M29" s="1465"/>
      <c r="N29" s="1466"/>
      <c r="O29" s="1508" t="s">
        <v>1066</v>
      </c>
      <c r="P29" s="2292"/>
      <c r="Q29" s="2293"/>
      <c r="R29" s="1430"/>
      <c r="S29" s="1491"/>
      <c r="T29" s="1041"/>
      <c r="U29" s="1041"/>
      <c r="V29" s="3280"/>
      <c r="W29" s="3280"/>
      <c r="X29" s="3280"/>
      <c r="Y29" s="3280"/>
      <c r="Z29" s="3281"/>
      <c r="AA29" s="3281" t="s">
        <v>1075</v>
      </c>
      <c r="AB29" s="1041"/>
      <c r="AC29" s="1041"/>
      <c r="AD29" s="1041"/>
      <c r="AE29" s="1041"/>
      <c r="AF29" s="1041"/>
      <c r="AG29" s="1041"/>
      <c r="AH29" s="1420"/>
    </row>
    <row r="30" spans="1:34" ht="12.9" customHeight="1">
      <c r="A30" s="1418"/>
      <c r="B30" s="1425"/>
      <c r="C30" s="1464"/>
      <c r="D30" s="2172" t="s">
        <v>20</v>
      </c>
      <c r="E30" s="3209"/>
      <c r="F30" s="3210"/>
      <c r="G30" s="3210"/>
      <c r="H30" s="3210">
        <v>5</v>
      </c>
      <c r="I30" s="3210"/>
      <c r="J30" s="3210"/>
      <c r="K30" s="3210"/>
      <c r="L30" s="3210"/>
      <c r="M30" s="3210"/>
      <c r="N30" s="3210"/>
      <c r="O30" s="3211">
        <f>E30+F30+G30+H30+I30+J30+K30+L30+M30+N30</f>
        <v>5</v>
      </c>
      <c r="P30" s="1469"/>
      <c r="Q30" s="2293"/>
      <c r="R30" s="1430"/>
      <c r="S30" s="1491"/>
      <c r="T30" s="1041"/>
      <c r="U30" s="3280"/>
      <c r="V30" s="3280"/>
      <c r="W30" s="3280"/>
      <c r="X30" s="3280"/>
      <c r="Y30" s="3280"/>
      <c r="Z30" s="1041"/>
      <c r="AA30" s="1041"/>
      <c r="AB30" s="1041"/>
      <c r="AC30" s="1041"/>
      <c r="AD30" s="1041"/>
      <c r="AE30" s="1041"/>
      <c r="AF30" s="1041"/>
      <c r="AG30" s="1041"/>
      <c r="AH30" s="1420"/>
    </row>
    <row r="31" spans="1:34" ht="12.9" customHeight="1">
      <c r="A31" s="1418"/>
      <c r="B31" s="1425"/>
      <c r="C31" s="1464"/>
      <c r="D31" s="2172" t="s">
        <v>19</v>
      </c>
      <c r="E31" s="3209"/>
      <c r="F31" s="3210"/>
      <c r="G31" s="3210"/>
      <c r="H31" s="3210">
        <v>3</v>
      </c>
      <c r="I31" s="3210"/>
      <c r="J31" s="3210"/>
      <c r="K31" s="3210"/>
      <c r="L31" s="3210"/>
      <c r="M31" s="3210"/>
      <c r="N31" s="3210"/>
      <c r="O31" s="3211">
        <f>E31+F31+G31+H31+I31+J31+K31+L31+M31+N31</f>
        <v>3</v>
      </c>
      <c r="P31" s="1469"/>
      <c r="Q31" s="2293"/>
      <c r="R31" s="1430"/>
      <c r="S31" s="1491"/>
      <c r="T31" s="1041"/>
      <c r="U31" s="2283" t="s">
        <v>1071</v>
      </c>
      <c r="V31" s="1041"/>
      <c r="W31" s="1041"/>
      <c r="X31" s="1041"/>
      <c r="Y31" s="1041"/>
      <c r="Z31" s="1041"/>
      <c r="AA31" s="1041"/>
      <c r="AB31" s="1041"/>
      <c r="AC31" s="1041"/>
      <c r="AD31" s="1041"/>
      <c r="AE31" s="1041"/>
      <c r="AF31" s="1041"/>
      <c r="AG31" s="1041"/>
      <c r="AH31" s="1420"/>
    </row>
    <row r="32" spans="1:34" ht="12" customHeight="1">
      <c r="A32" s="1418"/>
      <c r="B32" s="1425"/>
      <c r="C32" s="1482"/>
      <c r="D32" s="2280"/>
      <c r="E32" s="1468"/>
      <c r="F32" s="1468"/>
      <c r="G32" s="1468"/>
      <c r="H32" s="1468"/>
      <c r="I32" s="1468"/>
      <c r="J32" s="1468"/>
      <c r="K32" s="1468"/>
      <c r="L32" s="1468"/>
      <c r="M32" s="1468"/>
      <c r="N32" s="1468"/>
      <c r="O32" s="1469"/>
      <c r="P32" s="1469"/>
      <c r="Q32" s="2293"/>
      <c r="R32" s="1430"/>
      <c r="S32" s="1491"/>
      <c r="T32" s="1041"/>
      <c r="U32" s="1041"/>
      <c r="V32" s="1041"/>
      <c r="W32" s="1041"/>
      <c r="X32" s="1041"/>
      <c r="Y32" s="1041"/>
      <c r="Z32" s="1041"/>
      <c r="AA32" s="1041"/>
      <c r="AB32" s="1041"/>
      <c r="AC32" s="1041"/>
      <c r="AD32" s="1041"/>
      <c r="AE32" s="3282" t="s">
        <v>1074</v>
      </c>
      <c r="AF32" s="1041"/>
      <c r="AG32" s="1041"/>
      <c r="AH32" s="1420"/>
    </row>
    <row r="33" spans="1:34" ht="15.9" customHeight="1">
      <c r="A33" s="1418"/>
      <c r="B33" s="1425"/>
      <c r="C33" s="1464"/>
      <c r="D33" s="2279" t="s">
        <v>1060</v>
      </c>
      <c r="E33" s="1465"/>
      <c r="F33" s="1465"/>
      <c r="G33" s="1465"/>
      <c r="H33" s="1465"/>
      <c r="I33" s="1465"/>
      <c r="J33" s="1465"/>
      <c r="K33" s="1465"/>
      <c r="L33" s="1465"/>
      <c r="M33" s="1465"/>
      <c r="N33" s="1466"/>
      <c r="O33" s="1507" t="s">
        <v>1065</v>
      </c>
      <c r="P33" s="2292"/>
      <c r="Q33" s="2293"/>
      <c r="R33" s="1430"/>
      <c r="S33" s="1491"/>
      <c r="T33" s="1041"/>
      <c r="U33" s="3283" t="s">
        <v>796</v>
      </c>
      <c r="V33" s="3284"/>
      <c r="W33" s="3284"/>
      <c r="X33" s="3284"/>
      <c r="Y33" s="3284"/>
      <c r="Z33" s="3284"/>
      <c r="AA33" s="3284"/>
      <c r="AB33" s="3284"/>
      <c r="AC33" s="3284"/>
      <c r="AD33" s="1041"/>
      <c r="AE33" s="1041"/>
      <c r="AF33" s="1041"/>
      <c r="AG33" s="1041"/>
      <c r="AH33" s="1420"/>
    </row>
    <row r="34" spans="1:34" ht="12.9" customHeight="1">
      <c r="A34" s="1418"/>
      <c r="B34" s="1425"/>
      <c r="C34" s="1464"/>
      <c r="D34" s="2172" t="s">
        <v>20</v>
      </c>
      <c r="E34" s="2285"/>
      <c r="F34" s="1462"/>
      <c r="G34" s="3269"/>
      <c r="H34" s="3269"/>
      <c r="I34" s="3269"/>
      <c r="J34" s="3269"/>
      <c r="K34" s="3269"/>
      <c r="L34" s="3269"/>
      <c r="M34" s="3269"/>
      <c r="N34" s="3269"/>
      <c r="O34" s="1492">
        <f>E34+F34+G34+H34+I34+J34+K34+L34+M34+N34</f>
        <v>0</v>
      </c>
      <c r="P34" s="1469"/>
      <c r="Q34" s="2293"/>
      <c r="R34" s="1430"/>
      <c r="S34" s="1491"/>
      <c r="T34" s="1041"/>
      <c r="U34" s="2172" t="s">
        <v>20</v>
      </c>
      <c r="V34" s="3276" t="str">
        <f t="shared" ref="V34:AE35" si="2">IF(E30&gt;=E46," ","خطأ")</f>
        <v xml:space="preserve"> </v>
      </c>
      <c r="W34" s="3276" t="str">
        <f t="shared" si="2"/>
        <v xml:space="preserve"> </v>
      </c>
      <c r="X34" s="3276" t="str">
        <f t="shared" si="2"/>
        <v xml:space="preserve"> </v>
      </c>
      <c r="Y34" s="3276" t="str">
        <f t="shared" si="2"/>
        <v xml:space="preserve"> </v>
      </c>
      <c r="Z34" s="3276" t="str">
        <f t="shared" si="2"/>
        <v xml:space="preserve"> </v>
      </c>
      <c r="AA34" s="3276" t="str">
        <f t="shared" si="2"/>
        <v xml:space="preserve"> </v>
      </c>
      <c r="AB34" s="3276" t="str">
        <f t="shared" si="2"/>
        <v xml:space="preserve"> </v>
      </c>
      <c r="AC34" s="3276" t="str">
        <f t="shared" si="2"/>
        <v xml:space="preserve"> </v>
      </c>
      <c r="AD34" s="3276" t="str">
        <f t="shared" si="2"/>
        <v xml:space="preserve"> </v>
      </c>
      <c r="AE34" s="3276" t="str">
        <f t="shared" si="2"/>
        <v xml:space="preserve"> </v>
      </c>
      <c r="AF34" s="1041"/>
      <c r="AG34" s="1041"/>
      <c r="AH34" s="1420"/>
    </row>
    <row r="35" spans="1:34" ht="12.9" customHeight="1">
      <c r="A35" s="1418"/>
      <c r="B35" s="1425"/>
      <c r="C35" s="1464"/>
      <c r="D35" s="2172" t="s">
        <v>19</v>
      </c>
      <c r="E35" s="2285"/>
      <c r="F35" s="3269"/>
      <c r="G35" s="3269"/>
      <c r="H35" s="3269"/>
      <c r="I35" s="3269"/>
      <c r="J35" s="3269"/>
      <c r="K35" s="3269"/>
      <c r="L35" s="3269"/>
      <c r="M35" s="3269"/>
      <c r="N35" s="3269"/>
      <c r="O35" s="1492">
        <f>E35+F35+G35+H35+I35+J35+K35+L35+M35+N35</f>
        <v>0</v>
      </c>
      <c r="P35" s="1469"/>
      <c r="Q35" s="2293"/>
      <c r="R35" s="1430"/>
      <c r="S35" s="1491"/>
      <c r="T35" s="1041"/>
      <c r="U35" s="2172" t="s">
        <v>19</v>
      </c>
      <c r="V35" s="3276" t="str">
        <f t="shared" si="2"/>
        <v xml:space="preserve"> </v>
      </c>
      <c r="W35" s="3276" t="str">
        <f t="shared" si="2"/>
        <v xml:space="preserve"> </v>
      </c>
      <c r="X35" s="3276" t="str">
        <f t="shared" si="2"/>
        <v xml:space="preserve"> </v>
      </c>
      <c r="Y35" s="3276" t="str">
        <f t="shared" si="2"/>
        <v xml:space="preserve"> </v>
      </c>
      <c r="Z35" s="3276" t="str">
        <f t="shared" si="2"/>
        <v xml:space="preserve"> </v>
      </c>
      <c r="AA35" s="3276" t="str">
        <f t="shared" si="2"/>
        <v xml:space="preserve"> </v>
      </c>
      <c r="AB35" s="3276" t="str">
        <f t="shared" si="2"/>
        <v xml:space="preserve"> </v>
      </c>
      <c r="AC35" s="3276" t="str">
        <f t="shared" si="2"/>
        <v xml:space="preserve"> </v>
      </c>
      <c r="AD35" s="3276" t="str">
        <f t="shared" si="2"/>
        <v xml:space="preserve"> </v>
      </c>
      <c r="AE35" s="3276" t="str">
        <f t="shared" si="2"/>
        <v xml:space="preserve"> </v>
      </c>
      <c r="AF35" s="1041"/>
      <c r="AG35" s="1041"/>
      <c r="AH35" s="1420"/>
    </row>
    <row r="36" spans="1:34" ht="9.9" customHeight="1">
      <c r="A36" s="1418"/>
      <c r="B36" s="1425"/>
      <c r="C36" s="1464"/>
      <c r="D36" s="1920"/>
      <c r="E36" s="1495"/>
      <c r="F36" s="1495"/>
      <c r="G36" s="1495"/>
      <c r="H36" s="1495"/>
      <c r="I36" s="1495"/>
      <c r="J36" s="1495"/>
      <c r="K36" s="1495"/>
      <c r="L36" s="1495"/>
      <c r="M36" s="1495"/>
      <c r="N36" s="1495"/>
      <c r="O36" s="1494"/>
      <c r="P36" s="1469"/>
      <c r="Q36" s="2293"/>
      <c r="R36" s="1430"/>
      <c r="S36" s="1491"/>
      <c r="T36" s="4214" t="s">
        <v>1391</v>
      </c>
      <c r="U36" s="4214"/>
      <c r="V36" s="4214"/>
      <c r="W36" s="4214"/>
      <c r="X36" s="4214"/>
      <c r="Y36" s="4214"/>
      <c r="Z36" s="4214"/>
      <c r="AA36" s="4214"/>
      <c r="AB36" s="4214"/>
      <c r="AC36" s="4214"/>
      <c r="AD36" s="4214"/>
      <c r="AE36" s="4214"/>
      <c r="AF36" s="3285"/>
      <c r="AG36" s="1041"/>
      <c r="AH36" s="1420"/>
    </row>
    <row r="37" spans="1:34" ht="9.9" customHeight="1">
      <c r="A37" s="1418"/>
      <c r="B37" s="1425"/>
      <c r="C37" s="1464"/>
      <c r="D37" s="1471"/>
      <c r="E37" s="1470"/>
      <c r="F37" s="1470"/>
      <c r="G37" s="1470"/>
      <c r="H37" s="1470"/>
      <c r="I37" s="1470"/>
      <c r="J37" s="1470"/>
      <c r="K37" s="1470"/>
      <c r="L37" s="1470"/>
      <c r="M37" s="1470"/>
      <c r="N37" s="1470"/>
      <c r="O37" s="1471"/>
      <c r="P37" s="649"/>
      <c r="Q37" s="2293"/>
      <c r="R37" s="1430"/>
      <c r="S37" s="1491"/>
      <c r="T37" s="4214"/>
      <c r="U37" s="4214"/>
      <c r="V37" s="4214"/>
      <c r="W37" s="4214"/>
      <c r="X37" s="4214"/>
      <c r="Y37" s="4214"/>
      <c r="Z37" s="4214"/>
      <c r="AA37" s="4214"/>
      <c r="AB37" s="4214"/>
      <c r="AC37" s="4214"/>
      <c r="AD37" s="4214"/>
      <c r="AE37" s="4214"/>
      <c r="AF37" s="3285"/>
      <c r="AG37" s="1041"/>
      <c r="AH37" s="1420"/>
    </row>
    <row r="38" spans="1:34" ht="18.75" customHeight="1">
      <c r="A38" s="1418"/>
      <c r="B38" s="1425"/>
      <c r="C38" s="1464"/>
      <c r="D38" s="2281"/>
      <c r="E38" s="2028" t="s">
        <v>967</v>
      </c>
      <c r="F38" s="1472"/>
      <c r="G38" s="1473"/>
      <c r="H38" s="1474"/>
      <c r="I38" s="1472"/>
      <c r="J38" s="1472"/>
      <c r="K38" s="1472"/>
      <c r="L38" s="1472"/>
      <c r="M38" s="1475"/>
      <c r="N38" s="1475" t="s">
        <v>792</v>
      </c>
      <c r="O38" s="2275"/>
      <c r="P38" s="649"/>
      <c r="Q38" s="2293"/>
      <c r="R38" s="1430"/>
      <c r="S38" s="1491"/>
      <c r="T38" s="3286"/>
      <c r="U38" s="2407" t="s">
        <v>790</v>
      </c>
      <c r="V38" s="1488" t="s">
        <v>17</v>
      </c>
      <c r="W38" s="1488" t="s">
        <v>16</v>
      </c>
      <c r="X38" s="1488" t="s">
        <v>15</v>
      </c>
      <c r="Y38" s="1488" t="s">
        <v>14</v>
      </c>
      <c r="Z38" s="1488" t="s">
        <v>13</v>
      </c>
      <c r="AA38" s="1488" t="s">
        <v>12</v>
      </c>
      <c r="AB38" s="1488" t="s">
        <v>11</v>
      </c>
      <c r="AC38" s="1488" t="s">
        <v>10</v>
      </c>
      <c r="AD38" s="1488" t="s">
        <v>9</v>
      </c>
      <c r="AE38" s="1488" t="s">
        <v>28</v>
      </c>
      <c r="AF38" s="3285"/>
      <c r="AG38" s="1041"/>
      <c r="AH38" s="1420"/>
    </row>
    <row r="39" spans="1:34" ht="3.9" customHeight="1">
      <c r="A39" s="1418"/>
      <c r="B39" s="1425"/>
      <c r="C39" s="1464"/>
      <c r="D39" s="2282"/>
      <c r="E39" s="1476"/>
      <c r="F39" s="1477"/>
      <c r="G39" s="1478"/>
      <c r="H39" s="1479"/>
      <c r="I39" s="1477"/>
      <c r="J39" s="1477"/>
      <c r="K39" s="1477"/>
      <c r="L39" s="1477"/>
      <c r="M39" s="1480"/>
      <c r="N39" s="1480"/>
      <c r="O39" s="2276"/>
      <c r="P39" s="649"/>
      <c r="Q39" s="2293"/>
      <c r="R39" s="1430"/>
      <c r="S39" s="1491"/>
      <c r="T39" s="3286"/>
      <c r="U39" s="4207" t="s">
        <v>761</v>
      </c>
      <c r="V39" s="4211">
        <f t="shared" ref="V39:AE39" si="3">V43-V46</f>
        <v>0</v>
      </c>
      <c r="W39" s="4211">
        <f t="shared" si="3"/>
        <v>0</v>
      </c>
      <c r="X39" s="4211">
        <f t="shared" si="3"/>
        <v>-4</v>
      </c>
      <c r="Y39" s="4211">
        <f t="shared" si="3"/>
        <v>-7</v>
      </c>
      <c r="Z39" s="4211">
        <f t="shared" si="3"/>
        <v>7</v>
      </c>
      <c r="AA39" s="4211">
        <f t="shared" si="3"/>
        <v>13</v>
      </c>
      <c r="AB39" s="4211">
        <f t="shared" si="3"/>
        <v>0</v>
      </c>
      <c r="AC39" s="4211">
        <f t="shared" si="3"/>
        <v>1</v>
      </c>
      <c r="AD39" s="4211">
        <f t="shared" si="3"/>
        <v>0</v>
      </c>
      <c r="AE39" s="4211">
        <f t="shared" si="3"/>
        <v>10</v>
      </c>
      <c r="AF39" s="3285"/>
      <c r="AH39" s="1420"/>
    </row>
    <row r="40" spans="1:34" ht="18" customHeight="1">
      <c r="A40" s="1418"/>
      <c r="B40" s="1425"/>
      <c r="C40" s="1464"/>
      <c r="D40" s="2277" t="s">
        <v>1061</v>
      </c>
      <c r="E40" s="1496"/>
      <c r="F40" s="1496"/>
      <c r="G40" s="1496"/>
      <c r="H40" s="1497"/>
      <c r="I40" s="1496"/>
      <c r="J40" s="1496"/>
      <c r="K40" s="1496"/>
      <c r="L40" s="1496"/>
      <c r="M40" s="1496"/>
      <c r="N40" s="1496"/>
      <c r="O40" s="1484" t="s">
        <v>1064</v>
      </c>
      <c r="P40" s="649"/>
      <c r="Q40" s="2293"/>
      <c r="R40" s="1430"/>
      <c r="S40" s="1491"/>
      <c r="T40" s="3286"/>
      <c r="U40" s="4207"/>
      <c r="V40" s="4211"/>
      <c r="W40" s="4211"/>
      <c r="X40" s="4211"/>
      <c r="Y40" s="4211"/>
      <c r="Z40" s="4211"/>
      <c r="AA40" s="4211"/>
      <c r="AB40" s="4211"/>
      <c r="AC40" s="4211"/>
      <c r="AD40" s="4211"/>
      <c r="AE40" s="4211"/>
      <c r="AF40" s="3285"/>
      <c r="AG40" s="1041"/>
      <c r="AH40" s="1420"/>
    </row>
    <row r="41" spans="1:34" ht="6.9" customHeight="1">
      <c r="A41" s="1418"/>
      <c r="B41" s="1425"/>
      <c r="C41" s="1464"/>
      <c r="D41" s="2279"/>
      <c r="E41" s="1446"/>
      <c r="F41" s="1446"/>
      <c r="G41" s="1446"/>
      <c r="H41" s="1446"/>
      <c r="I41" s="1446"/>
      <c r="J41" s="1446"/>
      <c r="K41" s="1446"/>
      <c r="L41" s="1446"/>
      <c r="M41" s="1446"/>
      <c r="N41" s="1446"/>
      <c r="O41" s="649"/>
      <c r="P41" s="649"/>
      <c r="Q41" s="2293"/>
      <c r="R41" s="1430"/>
      <c r="S41" s="1491"/>
      <c r="T41" s="3286"/>
      <c r="U41" s="4207"/>
      <c r="V41" s="4209" t="str">
        <f t="shared" ref="V41:AE41" si="4">IF((V39)&lt;0,"خطأ","")</f>
        <v/>
      </c>
      <c r="W41" s="4209" t="str">
        <f t="shared" si="4"/>
        <v/>
      </c>
      <c r="X41" s="4209" t="str">
        <f t="shared" si="4"/>
        <v>خطأ</v>
      </c>
      <c r="Y41" s="4209" t="str">
        <f t="shared" si="4"/>
        <v>خطأ</v>
      </c>
      <c r="Z41" s="4209" t="str">
        <f t="shared" si="4"/>
        <v/>
      </c>
      <c r="AA41" s="4209" t="str">
        <f t="shared" si="4"/>
        <v/>
      </c>
      <c r="AB41" s="4209" t="str">
        <f t="shared" si="4"/>
        <v/>
      </c>
      <c r="AC41" s="4209" t="str">
        <f t="shared" si="4"/>
        <v/>
      </c>
      <c r="AD41" s="4209" t="str">
        <f t="shared" si="4"/>
        <v/>
      </c>
      <c r="AE41" s="4209" t="str">
        <f t="shared" si="4"/>
        <v/>
      </c>
      <c r="AF41" s="3285"/>
      <c r="AG41" s="1041"/>
      <c r="AH41" s="1420"/>
    </row>
    <row r="42" spans="1:34" ht="12.9" customHeight="1" thickBot="1">
      <c r="A42" s="1418"/>
      <c r="B42" s="1425"/>
      <c r="C42" s="1464"/>
      <c r="D42" s="2172" t="s">
        <v>20</v>
      </c>
      <c r="E42" s="3209"/>
      <c r="F42" s="3210"/>
      <c r="G42" s="3210"/>
      <c r="H42" s="3210"/>
      <c r="I42" s="3210">
        <v>1</v>
      </c>
      <c r="J42" s="3210">
        <v>21</v>
      </c>
      <c r="K42" s="3210">
        <v>11</v>
      </c>
      <c r="L42" s="3210"/>
      <c r="M42" s="3210"/>
      <c r="N42" s="3210"/>
      <c r="O42" s="3211">
        <f>E42+F42+G42+H42+I42+J42+K42+L42+M42+N42</f>
        <v>33</v>
      </c>
      <c r="P42" s="1469"/>
      <c r="Q42" s="2293"/>
      <c r="R42" s="1430"/>
      <c r="S42" s="1491"/>
      <c r="T42" s="3286"/>
      <c r="U42" s="4216"/>
      <c r="V42" s="4210"/>
      <c r="W42" s="4210"/>
      <c r="X42" s="4210"/>
      <c r="Y42" s="4210"/>
      <c r="Z42" s="4210"/>
      <c r="AA42" s="4210"/>
      <c r="AB42" s="4210"/>
      <c r="AC42" s="4210"/>
      <c r="AD42" s="4210"/>
      <c r="AE42" s="4210"/>
      <c r="AF42" s="3285"/>
      <c r="AG42" s="1041"/>
      <c r="AH42" s="1420"/>
    </row>
    <row r="43" spans="1:34" ht="12.9" customHeight="1">
      <c r="A43" s="1418"/>
      <c r="B43" s="1425"/>
      <c r="C43" s="1464"/>
      <c r="D43" s="2172" t="s">
        <v>19</v>
      </c>
      <c r="E43" s="3209"/>
      <c r="F43" s="3210"/>
      <c r="G43" s="3210"/>
      <c r="H43" s="3210"/>
      <c r="I43" s="3210">
        <v>1</v>
      </c>
      <c r="J43" s="3210">
        <v>6</v>
      </c>
      <c r="K43" s="3210">
        <v>1</v>
      </c>
      <c r="L43" s="3210"/>
      <c r="M43" s="3210"/>
      <c r="N43" s="3210"/>
      <c r="O43" s="3211">
        <f>E43+F43+G43+H43+I43+J43+K43+L43+M43+N43</f>
        <v>8</v>
      </c>
      <c r="P43" s="1469"/>
      <c r="Q43" s="2293"/>
      <c r="R43" s="1430"/>
      <c r="S43" s="1491"/>
      <c r="T43" s="3286"/>
      <c r="U43" s="4206" t="s">
        <v>20</v>
      </c>
      <c r="V43" s="4212">
        <f>('الصفحة 8'!E13-'الصفحة 8'!E17)-((((F26-F30)-(F42-F46)))+('الصفحة 8'!F42-'الصفحة 8'!F46))</f>
        <v>0</v>
      </c>
      <c r="W43" s="4212">
        <f>('الصفحة 8'!F13-'الصفحة 8'!F17)-((((G26-G30)-(G42-G46)))+('الصفحة 8'!G42-'الصفحة 8'!G46))</f>
        <v>0</v>
      </c>
      <c r="X43" s="4212">
        <f>('الصفحة 8'!G13-'الصفحة 8'!G17)-((((H26-H30)-(H42-H46)))+('الصفحة 8'!H42-'الصفحة 8'!H46))</f>
        <v>5</v>
      </c>
      <c r="Y43" s="4212">
        <f>('الصفحة 8'!H13-'الصفحة 8'!H17)-((((I26-I30)-(I42-I46)))+('الصفحة 8'!I42-'الصفحة 8'!I46))</f>
        <v>-10</v>
      </c>
      <c r="Z43" s="4212">
        <f>('الصفحة 8'!I13-'الصفحة 8'!I17)-((((J26-J30)-(J42-J46)))+('الصفحة 8'!J42-'الصفحة 8'!J46))</f>
        <v>12</v>
      </c>
      <c r="AA43" s="4212">
        <f>('الصفحة 8'!J13-'الصفحة 8'!J17)-((((K26-K30)-(K42-K46)))+('الصفحة 8'!K42-'الصفحة 8'!K46))</f>
        <v>16</v>
      </c>
      <c r="AB43" s="4212">
        <f>('الصفحة 8'!K13-'الصفحة 8'!K17)-((((L26-L30)-(L42-L46)))+('الصفحة 8'!L42-'الصفحة 8'!L46))</f>
        <v>2</v>
      </c>
      <c r="AC43" s="4212">
        <f>('الصفحة 8'!L13-'الصفحة 8'!L17)-((((M26-M30)-(M42-M46)))+('الصفحة 8'!M42-'الصفحة 8'!M46))</f>
        <v>2</v>
      </c>
      <c r="AD43" s="4212">
        <f>('الصفحة 8'!M13-'الصفحة 8'!M17)-((((N26-N30)-(N42-N46)))+('الصفحة 8'!N42-'الصفحة 8'!N46))</f>
        <v>0</v>
      </c>
      <c r="AE43" s="4212">
        <f>'حوصلة الانتقال والتسرب'!Y15</f>
        <v>27</v>
      </c>
      <c r="AF43" s="3285"/>
      <c r="AH43" s="1420"/>
    </row>
    <row r="44" spans="1:34" ht="9.9" customHeight="1">
      <c r="A44" s="1418"/>
      <c r="B44" s="1425"/>
      <c r="C44" s="1464"/>
      <c r="D44" s="2280"/>
      <c r="E44" s="1468"/>
      <c r="F44" s="1468"/>
      <c r="G44" s="1468"/>
      <c r="H44" s="1468"/>
      <c r="I44" s="1468"/>
      <c r="J44" s="1468"/>
      <c r="K44" s="1468"/>
      <c r="L44" s="1468"/>
      <c r="M44" s="1468"/>
      <c r="N44" s="1468"/>
      <c r="O44" s="1469"/>
      <c r="P44" s="1469"/>
      <c r="Q44" s="2293"/>
      <c r="R44" s="1430"/>
      <c r="S44" s="1491"/>
      <c r="T44" s="3286"/>
      <c r="U44" s="4207"/>
      <c r="V44" s="4213"/>
      <c r="W44" s="4213"/>
      <c r="X44" s="4213"/>
      <c r="Y44" s="4213"/>
      <c r="Z44" s="4213"/>
      <c r="AA44" s="4213"/>
      <c r="AB44" s="4213"/>
      <c r="AC44" s="4213"/>
      <c r="AD44" s="4213"/>
      <c r="AE44" s="4213"/>
      <c r="AF44" s="3285"/>
      <c r="AG44" s="1041"/>
      <c r="AH44" s="1420"/>
    </row>
    <row r="45" spans="1:34" ht="15" customHeight="1" thickBot="1">
      <c r="A45" s="1418"/>
      <c r="B45" s="1425"/>
      <c r="C45" s="1464"/>
      <c r="D45" s="2284" t="s">
        <v>1062</v>
      </c>
      <c r="E45" s="1465"/>
      <c r="F45" s="1465"/>
      <c r="G45" s="1465"/>
      <c r="H45" s="1465"/>
      <c r="I45" s="1465"/>
      <c r="J45" s="1465"/>
      <c r="K45" s="1465"/>
      <c r="L45" s="1465"/>
      <c r="M45" s="1465"/>
      <c r="N45" s="1466"/>
      <c r="O45" s="1508" t="s">
        <v>1063</v>
      </c>
      <c r="P45" s="2292"/>
      <c r="Q45" s="2293"/>
      <c r="R45" s="1430"/>
      <c r="S45" s="1491"/>
      <c r="T45" s="3288"/>
      <c r="U45" s="4208"/>
      <c r="V45" s="3331" t="str">
        <f t="shared" ref="V45:AE45" si="5">IF((V43)&lt;0,"خطأ","")</f>
        <v/>
      </c>
      <c r="W45" s="3331" t="str">
        <f t="shared" si="5"/>
        <v/>
      </c>
      <c r="X45" s="3331" t="str">
        <f t="shared" si="5"/>
        <v/>
      </c>
      <c r="Y45" s="3331" t="str">
        <f t="shared" si="5"/>
        <v>خطأ</v>
      </c>
      <c r="Z45" s="3331" t="str">
        <f t="shared" si="5"/>
        <v/>
      </c>
      <c r="AA45" s="3331" t="str">
        <f t="shared" si="5"/>
        <v/>
      </c>
      <c r="AB45" s="3331" t="str">
        <f t="shared" si="5"/>
        <v/>
      </c>
      <c r="AC45" s="3331" t="str">
        <f t="shared" si="5"/>
        <v/>
      </c>
      <c r="AD45" s="3331" t="str">
        <f t="shared" si="5"/>
        <v/>
      </c>
      <c r="AE45" s="3331" t="str">
        <f t="shared" si="5"/>
        <v/>
      </c>
      <c r="AF45" s="3286"/>
      <c r="AG45" s="1041"/>
      <c r="AH45" s="1420"/>
    </row>
    <row r="46" spans="1:34" ht="12.9" customHeight="1">
      <c r="A46" s="1418"/>
      <c r="B46" s="1425"/>
      <c r="C46" s="1464"/>
      <c r="D46" s="2172" t="s">
        <v>20</v>
      </c>
      <c r="E46" s="3209"/>
      <c r="F46" s="3210"/>
      <c r="G46" s="3210"/>
      <c r="H46" s="3210"/>
      <c r="I46" s="3210"/>
      <c r="J46" s="3210"/>
      <c r="K46" s="3210"/>
      <c r="L46" s="3210"/>
      <c r="M46" s="3210"/>
      <c r="N46" s="3210"/>
      <c r="O46" s="3211">
        <f>E46+F46+G46+H46+I46+J46+K46+L46+M46+N46</f>
        <v>0</v>
      </c>
      <c r="P46" s="1469"/>
      <c r="Q46" s="2293"/>
      <c r="R46" s="1430"/>
      <c r="S46" s="1491"/>
      <c r="T46" s="3288"/>
      <c r="U46" s="4215" t="s">
        <v>19</v>
      </c>
      <c r="V46" s="3330">
        <f>('الصفحة 8'!E14-'الصفحة 8'!E18)-((((F27-F31)-(F43-F47)))+('الصفحة 8'!F43-'الصفحة 8'!F47))</f>
        <v>0</v>
      </c>
      <c r="W46" s="3330">
        <f>('الصفحة 8'!F14-'الصفحة 8'!F18)-((((G27-G31)-(G43-G47)))+('الصفحة 8'!G43-'الصفحة 8'!G47))</f>
        <v>0</v>
      </c>
      <c r="X46" s="3330">
        <f>('الصفحة 8'!G14-'الصفحة 8'!G18)-((((H27-H31)-(H43-H47)))+('الصفحة 8'!H43-'الصفحة 8'!H47))</f>
        <v>9</v>
      </c>
      <c r="Y46" s="3330">
        <f>('الصفحة 8'!H14-'الصفحة 8'!H18)-((((I27-I31)-(I43-I47)))+('الصفحة 8'!I43-'الصفحة 8'!I47))</f>
        <v>-3</v>
      </c>
      <c r="Z46" s="3330">
        <f>('الصفحة 8'!I14-'الصفحة 8'!I18)-((((J27-J31)-(J43-J47)))+('الصفحة 8'!J43-'الصفحة 8'!J47))</f>
        <v>5</v>
      </c>
      <c r="AA46" s="3330">
        <f>('الصفحة 8'!J14-'الصفحة 8'!J18)-((((K27-K31)-(K43-K47)))+('الصفحة 8'!K43-'الصفحة 8'!K47))</f>
        <v>3</v>
      </c>
      <c r="AB46" s="3330">
        <f>('الصفحة 8'!K14-'الصفحة 8'!K18)-((((L27-L31)-(L43-L47)))+('الصفحة 8'!L43-'الصفحة 8'!L47))</f>
        <v>2</v>
      </c>
      <c r="AC46" s="3330">
        <f>('الصفحة 8'!L14-'الصفحة 8'!L18)-((((M27-M31)-(M43-M47)))+('الصفحة 8'!M43-'الصفحة 8'!M47))</f>
        <v>1</v>
      </c>
      <c r="AD46" s="3330">
        <f>('الصفحة 8'!M14-'الصفحة 8'!M18)-((((N27-N31)-(N43-N47)))+('الصفحة 8'!N43-'الصفحة 8'!N47))</f>
        <v>0</v>
      </c>
      <c r="AE46" s="3330">
        <f>'حوصلة الانتقال والتسرب'!U15</f>
        <v>17</v>
      </c>
      <c r="AF46" s="3286"/>
      <c r="AG46" s="1041"/>
      <c r="AH46" s="1420"/>
    </row>
    <row r="47" spans="1:34" ht="12.9" customHeight="1">
      <c r="A47" s="1418"/>
      <c r="B47" s="1425"/>
      <c r="C47" s="1464"/>
      <c r="D47" s="2172" t="s">
        <v>19</v>
      </c>
      <c r="E47" s="3209"/>
      <c r="F47" s="3210"/>
      <c r="G47" s="3210"/>
      <c r="H47" s="3210"/>
      <c r="I47" s="3210"/>
      <c r="J47" s="3210"/>
      <c r="K47" s="3210"/>
      <c r="L47" s="3210"/>
      <c r="M47" s="3210"/>
      <c r="N47" s="3210"/>
      <c r="O47" s="3211">
        <f>E47+F47+G47+H47+I47+J47+K47+L47+M47+N47</f>
        <v>0</v>
      </c>
      <c r="P47" s="1469"/>
      <c r="Q47" s="2293"/>
      <c r="R47" s="1430"/>
      <c r="S47" s="1491"/>
      <c r="T47" s="3288"/>
      <c r="U47" s="4207"/>
      <c r="V47" s="3287" t="str">
        <f t="shared" ref="V47:AE47" si="6">IF((V46)&lt;0,"خطأ","")</f>
        <v/>
      </c>
      <c r="W47" s="3287" t="str">
        <f t="shared" si="6"/>
        <v/>
      </c>
      <c r="X47" s="3287" t="str">
        <f t="shared" si="6"/>
        <v/>
      </c>
      <c r="Y47" s="3287" t="str">
        <f t="shared" si="6"/>
        <v>خطأ</v>
      </c>
      <c r="Z47" s="3287" t="str">
        <f t="shared" si="6"/>
        <v/>
      </c>
      <c r="AA47" s="3287" t="str">
        <f t="shared" si="6"/>
        <v/>
      </c>
      <c r="AB47" s="3287" t="str">
        <f t="shared" si="6"/>
        <v/>
      </c>
      <c r="AC47" s="3287" t="str">
        <f t="shared" si="6"/>
        <v/>
      </c>
      <c r="AD47" s="3287" t="str">
        <f t="shared" si="6"/>
        <v/>
      </c>
      <c r="AE47" s="3287" t="str">
        <f t="shared" si="6"/>
        <v/>
      </c>
      <c r="AF47" s="3286"/>
      <c r="AG47" s="1041"/>
      <c r="AH47" s="1420"/>
    </row>
    <row r="48" spans="1:34" ht="9.9" customHeight="1" thickBot="1">
      <c r="A48" s="1418"/>
      <c r="B48" s="1425"/>
      <c r="C48" s="1498"/>
      <c r="D48" s="2298"/>
      <c r="E48" s="2299"/>
      <c r="F48" s="2299"/>
      <c r="G48" s="2299"/>
      <c r="H48" s="2299"/>
      <c r="I48" s="2299"/>
      <c r="J48" s="2299"/>
      <c r="K48" s="2299"/>
      <c r="L48" s="2299"/>
      <c r="M48" s="2299"/>
      <c r="N48" s="2299"/>
      <c r="O48" s="2299"/>
      <c r="P48" s="2299"/>
      <c r="Q48" s="2300"/>
      <c r="R48" s="1430"/>
      <c r="S48" s="1491"/>
      <c r="T48" s="3288"/>
      <c r="U48" s="3286"/>
      <c r="V48" s="3286"/>
      <c r="W48" s="3286"/>
      <c r="X48" s="3286"/>
      <c r="Y48" s="3286"/>
      <c r="Z48" s="3286"/>
      <c r="AA48" s="3286"/>
      <c r="AB48" s="3286"/>
      <c r="AC48" s="3286"/>
      <c r="AD48" s="3286"/>
      <c r="AE48" s="3286"/>
      <c r="AF48" s="3286"/>
      <c r="AG48" s="1041"/>
      <c r="AH48" s="1420"/>
    </row>
    <row r="49" spans="1:34" ht="12" customHeight="1" thickBot="1">
      <c r="A49" s="1418"/>
      <c r="B49" s="1502"/>
      <c r="C49" s="4200">
        <v>9</v>
      </c>
      <c r="D49" s="4200"/>
      <c r="E49" s="4200"/>
      <c r="F49" s="4200"/>
      <c r="G49" s="4200"/>
      <c r="H49" s="4200"/>
      <c r="I49" s="4200"/>
      <c r="J49" s="4200"/>
      <c r="K49" s="4200"/>
      <c r="L49" s="4200"/>
      <c r="M49" s="4200"/>
      <c r="N49" s="4200"/>
      <c r="O49" s="4200"/>
      <c r="P49" s="4200"/>
      <c r="Q49" s="4200"/>
      <c r="R49" s="1503"/>
      <c r="S49" s="1416"/>
      <c r="T49" s="3328"/>
      <c r="U49" s="2283" t="s">
        <v>1072</v>
      </c>
      <c r="V49" s="3328"/>
      <c r="W49" s="3328"/>
      <c r="X49" s="3328"/>
      <c r="Y49" s="3328"/>
      <c r="Z49" s="3328"/>
      <c r="AA49" s="3328"/>
      <c r="AB49" s="3328"/>
      <c r="AC49" s="3328"/>
      <c r="AD49" s="3328"/>
      <c r="AE49" s="3328"/>
      <c r="AF49" s="1041"/>
      <c r="AG49" s="1041"/>
      <c r="AH49" s="1420"/>
    </row>
    <row r="50" spans="1:34" ht="15" customHeight="1">
      <c r="A50" s="1418"/>
      <c r="B50" s="3151" t="str">
        <f>'الصفحة 1'!$B$101</f>
        <v>السنة الدراسية  2022 - 2023</v>
      </c>
      <c r="C50" s="1417"/>
      <c r="D50" s="1417"/>
      <c r="E50" s="1417"/>
      <c r="F50" s="1417"/>
      <c r="G50" s="1417"/>
      <c r="H50" s="1417"/>
      <c r="I50" s="1417"/>
      <c r="J50" s="1417"/>
      <c r="K50" s="1417"/>
      <c r="L50" s="1417"/>
      <c r="M50" s="1417"/>
      <c r="N50" s="1417"/>
      <c r="O50" s="1417"/>
      <c r="P50" s="1417"/>
      <c r="Q50" s="1417"/>
      <c r="R50" s="1416"/>
      <c r="S50" s="1418"/>
      <c r="T50" s="1419"/>
      <c r="U50" s="1419"/>
      <c r="V50" s="1419"/>
      <c r="W50" s="1419"/>
      <c r="X50" s="1419"/>
      <c r="Y50" s="1419"/>
      <c r="Z50" s="1419"/>
      <c r="AA50" s="1419"/>
      <c r="AB50" s="1419"/>
      <c r="AC50" s="1419"/>
      <c r="AD50" s="1419"/>
      <c r="AE50" s="3329" t="s">
        <v>1073</v>
      </c>
      <c r="AF50" s="1419"/>
      <c r="AG50" s="1419"/>
      <c r="AH50" s="1420"/>
    </row>
  </sheetData>
  <sheetProtection password="D8D3" sheet="1" objects="1" scenarios="1"/>
  <mergeCells count="38">
    <mergeCell ref="T2:AE8"/>
    <mergeCell ref="U19:AC20"/>
    <mergeCell ref="U27:AA28"/>
    <mergeCell ref="C49:Q49"/>
    <mergeCell ref="T36:AE37"/>
    <mergeCell ref="V43:V44"/>
    <mergeCell ref="W43:W44"/>
    <mergeCell ref="X43:X44"/>
    <mergeCell ref="Y43:Y44"/>
    <mergeCell ref="Z43:Z44"/>
    <mergeCell ref="AA43:AA44"/>
    <mergeCell ref="AB43:AB44"/>
    <mergeCell ref="AC43:AC44"/>
    <mergeCell ref="AD43:AD44"/>
    <mergeCell ref="AE43:AE44"/>
    <mergeCell ref="V41:V42"/>
    <mergeCell ref="AC41:AC42"/>
    <mergeCell ref="AD41:AD42"/>
    <mergeCell ref="AE41:AE42"/>
    <mergeCell ref="AC39:AC40"/>
    <mergeCell ref="AD39:AD40"/>
    <mergeCell ref="AE39:AE40"/>
    <mergeCell ref="U39:U42"/>
    <mergeCell ref="U43:U45"/>
    <mergeCell ref="U46:U47"/>
    <mergeCell ref="AA39:AA40"/>
    <mergeCell ref="AB39:AB40"/>
    <mergeCell ref="V39:V40"/>
    <mergeCell ref="W39:W40"/>
    <mergeCell ref="X39:X40"/>
    <mergeCell ref="Y39:Y40"/>
    <mergeCell ref="Z39:Z40"/>
    <mergeCell ref="AB41:AB42"/>
    <mergeCell ref="W41:W42"/>
    <mergeCell ref="X41:X42"/>
    <mergeCell ref="Y41:Y42"/>
    <mergeCell ref="Z41:Z42"/>
    <mergeCell ref="AA41:AA42"/>
  </mergeCells>
  <conditionalFormatting sqref="E14:O14 W46:AE46">
    <cfRule type="cellIs" dxfId="21455" priority="294" operator="greaterThan">
      <formula>E13</formula>
    </cfRule>
    <cfRule type="cellIs" dxfId="21454" priority="295" operator="equal">
      <formula>0</formula>
    </cfRule>
  </conditionalFormatting>
  <conditionalFormatting sqref="E17:O17">
    <cfRule type="cellIs" dxfId="21453" priority="292" operator="greaterThan">
      <formula>E13</formula>
    </cfRule>
    <cfRule type="cellIs" dxfId="21452" priority="293" operator="equal">
      <formula>0</formula>
    </cfRule>
  </conditionalFormatting>
  <conditionalFormatting sqref="E18">
    <cfRule type="cellIs" dxfId="21451" priority="290" operator="greaterThan">
      <formula>E17</formula>
    </cfRule>
    <cfRule type="cellIs" dxfId="21450" priority="291" operator="equal">
      <formula>0</formula>
    </cfRule>
  </conditionalFormatting>
  <conditionalFormatting sqref="F18:O18">
    <cfRule type="cellIs" dxfId="21449" priority="289" operator="greaterThan">
      <formula>F14</formula>
    </cfRule>
  </conditionalFormatting>
  <conditionalFormatting sqref="E27">
    <cfRule type="cellIs" dxfId="21448" priority="287" operator="greaterThan">
      <formula>E26</formula>
    </cfRule>
    <cfRule type="cellIs" dxfId="21447" priority="288" operator="equal">
      <formula>0</formula>
    </cfRule>
  </conditionalFormatting>
  <conditionalFormatting sqref="E34">
    <cfRule type="cellIs" dxfId="21446" priority="280" operator="greaterThan">
      <formula>E26</formula>
    </cfRule>
    <cfRule type="cellIs" dxfId="21445" priority="281" operator="equal">
      <formula>0</formula>
    </cfRule>
  </conditionalFormatting>
  <conditionalFormatting sqref="E35:E36">
    <cfRule type="cellIs" dxfId="21444" priority="277" operator="greaterThan">
      <formula>E27</formula>
    </cfRule>
    <cfRule type="cellIs" dxfId="21443" priority="278" operator="greaterThan">
      <formula>E34</formula>
    </cfRule>
    <cfRule type="cellIs" dxfId="21442" priority="279" operator="equal">
      <formula>0</formula>
    </cfRule>
  </conditionalFormatting>
  <conditionalFormatting sqref="V45:AE47 F26:O27 F18:O18 F13:O13">
    <cfRule type="cellIs" dxfId="21441" priority="276" operator="equal">
      <formula>0</formula>
    </cfRule>
  </conditionalFormatting>
  <conditionalFormatting sqref="F34">
    <cfRule type="cellIs" dxfId="21440" priority="224" operator="greaterThan">
      <formula>F26</formula>
    </cfRule>
    <cfRule type="cellIs" dxfId="21439" priority="225" operator="equal">
      <formula>0</formula>
    </cfRule>
  </conditionalFormatting>
  <conditionalFormatting sqref="G34">
    <cfRule type="cellIs" dxfId="21438" priority="222" operator="greaterThan">
      <formula>G26</formula>
    </cfRule>
    <cfRule type="cellIs" dxfId="21437" priority="223" operator="equal">
      <formula>0</formula>
    </cfRule>
  </conditionalFormatting>
  <conditionalFormatting sqref="H34">
    <cfRule type="cellIs" dxfId="21436" priority="220" operator="greaterThan">
      <formula>H26</formula>
    </cfRule>
    <cfRule type="cellIs" dxfId="21435" priority="221" operator="equal">
      <formula>0</formula>
    </cfRule>
  </conditionalFormatting>
  <conditionalFormatting sqref="I34">
    <cfRule type="cellIs" dxfId="21434" priority="218" operator="greaterThan">
      <formula>I26</formula>
    </cfRule>
    <cfRule type="cellIs" dxfId="21433" priority="219" operator="equal">
      <formula>0</formula>
    </cfRule>
  </conditionalFormatting>
  <conditionalFormatting sqref="J34">
    <cfRule type="cellIs" dxfId="21432" priority="216" operator="greaterThan">
      <formula>J26</formula>
    </cfRule>
    <cfRule type="cellIs" dxfId="21431" priority="217" operator="equal">
      <formula>0</formula>
    </cfRule>
  </conditionalFormatting>
  <conditionalFormatting sqref="K34">
    <cfRule type="cellIs" dxfId="21430" priority="214" operator="greaterThan">
      <formula>K26</formula>
    </cfRule>
    <cfRule type="cellIs" dxfId="21429" priority="215" operator="equal">
      <formula>0</formula>
    </cfRule>
  </conditionalFormatting>
  <conditionalFormatting sqref="L34">
    <cfRule type="cellIs" dxfId="21428" priority="212" operator="greaterThan">
      <formula>L26</formula>
    </cfRule>
    <cfRule type="cellIs" dxfId="21427" priority="213" operator="equal">
      <formula>0</formula>
    </cfRule>
  </conditionalFormatting>
  <conditionalFormatting sqref="M34">
    <cfRule type="cellIs" dxfId="21426" priority="210" operator="greaterThan">
      <formula>M26</formula>
    </cfRule>
    <cfRule type="cellIs" dxfId="21425" priority="211" operator="equal">
      <formula>0</formula>
    </cfRule>
  </conditionalFormatting>
  <conditionalFormatting sqref="N34">
    <cfRule type="cellIs" dxfId="21424" priority="208" operator="greaterThan">
      <formula>N26</formula>
    </cfRule>
    <cfRule type="cellIs" dxfId="21423" priority="209" operator="equal">
      <formula>0</formula>
    </cfRule>
  </conditionalFormatting>
  <conditionalFormatting sqref="O34">
    <cfRule type="cellIs" dxfId="21422" priority="206" operator="greaterThan">
      <formula>O26</formula>
    </cfRule>
    <cfRule type="cellIs" dxfId="21421" priority="207" operator="equal">
      <formula>0</formula>
    </cfRule>
  </conditionalFormatting>
  <conditionalFormatting sqref="F35:F36">
    <cfRule type="cellIs" dxfId="21420" priority="203" operator="greaterThan">
      <formula>F27</formula>
    </cfRule>
    <cfRule type="cellIs" dxfId="21419" priority="204" operator="greaterThan">
      <formula>F34</formula>
    </cfRule>
    <cfRule type="cellIs" dxfId="21418" priority="205" operator="equal">
      <formula>0</formula>
    </cfRule>
  </conditionalFormatting>
  <conditionalFormatting sqref="G35:G36">
    <cfRule type="cellIs" dxfId="21417" priority="200" operator="greaterThan">
      <formula>G27</formula>
    </cfRule>
    <cfRule type="cellIs" dxfId="21416" priority="201" operator="greaterThan">
      <formula>G34</formula>
    </cfRule>
    <cfRule type="cellIs" dxfId="21415" priority="202" operator="equal">
      <formula>0</formula>
    </cfRule>
  </conditionalFormatting>
  <conditionalFormatting sqref="H35:H36">
    <cfRule type="cellIs" dxfId="21414" priority="197" operator="greaterThan">
      <formula>H27</formula>
    </cfRule>
    <cfRule type="cellIs" dxfId="21413" priority="198" operator="greaterThan">
      <formula>H34</formula>
    </cfRule>
    <cfRule type="cellIs" dxfId="21412" priority="199" operator="equal">
      <formula>0</formula>
    </cfRule>
  </conditionalFormatting>
  <conditionalFormatting sqref="I35:I36">
    <cfRule type="cellIs" dxfId="21411" priority="194" operator="greaterThan">
      <formula>I27</formula>
    </cfRule>
    <cfRule type="cellIs" dxfId="21410" priority="195" operator="greaterThan">
      <formula>I34</formula>
    </cfRule>
    <cfRule type="cellIs" dxfId="21409" priority="196" operator="equal">
      <formula>0</formula>
    </cfRule>
  </conditionalFormatting>
  <conditionalFormatting sqref="J35:J36">
    <cfRule type="cellIs" dxfId="21408" priority="191" operator="greaterThan">
      <formula>J27</formula>
    </cfRule>
    <cfRule type="cellIs" dxfId="21407" priority="192" operator="greaterThan">
      <formula>J34</formula>
    </cfRule>
    <cfRule type="cellIs" dxfId="21406" priority="193" operator="equal">
      <formula>0</formula>
    </cfRule>
  </conditionalFormatting>
  <conditionalFormatting sqref="K35:K36">
    <cfRule type="cellIs" dxfId="21405" priority="188" operator="greaterThan">
      <formula>K27</formula>
    </cfRule>
    <cfRule type="cellIs" dxfId="21404" priority="189" operator="greaterThan">
      <formula>K34</formula>
    </cfRule>
    <cfRule type="cellIs" dxfId="21403" priority="190" operator="equal">
      <formula>0</formula>
    </cfRule>
  </conditionalFormatting>
  <conditionalFormatting sqref="L35:L36">
    <cfRule type="cellIs" dxfId="21402" priority="185" operator="greaterThan">
      <formula>L27</formula>
    </cfRule>
    <cfRule type="cellIs" dxfId="21401" priority="186" operator="greaterThan">
      <formula>L34</formula>
    </cfRule>
    <cfRule type="cellIs" dxfId="21400" priority="187" operator="equal">
      <formula>0</formula>
    </cfRule>
  </conditionalFormatting>
  <conditionalFormatting sqref="M35:M36">
    <cfRule type="cellIs" dxfId="21399" priority="182" operator="greaterThan">
      <formula>M27</formula>
    </cfRule>
    <cfRule type="cellIs" dxfId="21398" priority="183" operator="greaterThan">
      <formula>M34</formula>
    </cfRule>
    <cfRule type="cellIs" dxfId="21397" priority="184" operator="equal">
      <formula>0</formula>
    </cfRule>
  </conditionalFormatting>
  <conditionalFormatting sqref="N35:N36">
    <cfRule type="cellIs" dxfId="21396" priority="179" operator="greaterThan">
      <formula>N27</formula>
    </cfRule>
    <cfRule type="cellIs" dxfId="21395" priority="180" operator="greaterThan">
      <formula>N34</formula>
    </cfRule>
    <cfRule type="cellIs" dxfId="21394" priority="181" operator="equal">
      <formula>0</formula>
    </cfRule>
  </conditionalFormatting>
  <conditionalFormatting sqref="O35:O36">
    <cfRule type="cellIs" dxfId="21393" priority="176" operator="greaterThan">
      <formula>O27</formula>
    </cfRule>
    <cfRule type="cellIs" dxfId="21392" priority="177" operator="greaterThan">
      <formula>O34</formula>
    </cfRule>
    <cfRule type="cellIs" dxfId="21391" priority="178" operator="equal">
      <formula>0</formula>
    </cfRule>
  </conditionalFormatting>
  <conditionalFormatting sqref="V26">
    <cfRule type="cellIs" dxfId="21390" priority="97" operator="greaterThan">
      <formula>V25</formula>
    </cfRule>
    <cfRule type="cellIs" dxfId="21389" priority="98" operator="equal">
      <formula>0</formula>
    </cfRule>
  </conditionalFormatting>
  <conditionalFormatting sqref="W26">
    <cfRule type="cellIs" dxfId="21388" priority="95" operator="greaterThan">
      <formula>W25</formula>
    </cfRule>
    <cfRule type="cellIs" dxfId="21387" priority="96" operator="equal">
      <formula>0</formula>
    </cfRule>
  </conditionalFormatting>
  <conditionalFormatting sqref="X26">
    <cfRule type="cellIs" dxfId="21386" priority="93" operator="greaterThan">
      <formula>X25</formula>
    </cfRule>
    <cfRule type="cellIs" dxfId="21385" priority="94" operator="equal">
      <formula>0</formula>
    </cfRule>
  </conditionalFormatting>
  <conditionalFormatting sqref="Y26">
    <cfRule type="cellIs" dxfId="21384" priority="91" operator="greaterThan">
      <formula>Y25</formula>
    </cfRule>
    <cfRule type="cellIs" dxfId="21383" priority="92" operator="equal">
      <formula>0</formula>
    </cfRule>
  </conditionalFormatting>
  <conditionalFormatting sqref="Z26">
    <cfRule type="cellIs" dxfId="21382" priority="89" operator="greaterThan">
      <formula>Z25</formula>
    </cfRule>
    <cfRule type="cellIs" dxfId="21381" priority="90" operator="equal">
      <formula>0</formula>
    </cfRule>
  </conditionalFormatting>
  <conditionalFormatting sqref="AA26">
    <cfRule type="cellIs" dxfId="21380" priority="87" operator="greaterThan">
      <formula>AA25</formula>
    </cfRule>
    <cfRule type="cellIs" dxfId="21379" priority="88" operator="equal">
      <formula>0</formula>
    </cfRule>
  </conditionalFormatting>
  <conditionalFormatting sqref="AB26">
    <cfRule type="cellIs" dxfId="21378" priority="85" operator="greaterThan">
      <formula>AB25</formula>
    </cfRule>
    <cfRule type="cellIs" dxfId="21377" priority="86" operator="equal">
      <formula>0</formula>
    </cfRule>
  </conditionalFormatting>
  <conditionalFormatting sqref="AC26">
    <cfRule type="cellIs" dxfId="21376" priority="83" operator="greaterThan">
      <formula>AC25</formula>
    </cfRule>
    <cfRule type="cellIs" dxfId="21375" priority="84" operator="equal">
      <formula>0</formula>
    </cfRule>
  </conditionalFormatting>
  <conditionalFormatting sqref="AD26">
    <cfRule type="cellIs" dxfId="21374" priority="81" operator="greaterThan">
      <formula>AD25</formula>
    </cfRule>
    <cfRule type="cellIs" dxfId="21373" priority="82" operator="equal">
      <formula>0</formula>
    </cfRule>
  </conditionalFormatting>
  <conditionalFormatting sqref="AE26">
    <cfRule type="cellIs" dxfId="21372" priority="79" operator="greaterThan">
      <formula>AE25</formula>
    </cfRule>
    <cfRule type="cellIs" dxfId="21371" priority="80" operator="equal">
      <formula>0</formula>
    </cfRule>
  </conditionalFormatting>
  <conditionalFormatting sqref="V35">
    <cfRule type="cellIs" dxfId="21370" priority="77" operator="greaterThan">
      <formula>V34</formula>
    </cfRule>
    <cfRule type="cellIs" dxfId="21369" priority="78" operator="equal">
      <formula>0</formula>
    </cfRule>
  </conditionalFormatting>
  <conditionalFormatting sqref="W35">
    <cfRule type="cellIs" dxfId="21368" priority="75" operator="greaterThan">
      <formula>W34</formula>
    </cfRule>
    <cfRule type="cellIs" dxfId="21367" priority="76" operator="equal">
      <formula>0</formula>
    </cfRule>
  </conditionalFormatting>
  <conditionalFormatting sqref="X35">
    <cfRule type="cellIs" dxfId="21366" priority="73" operator="greaterThan">
      <formula>X34</formula>
    </cfRule>
    <cfRule type="cellIs" dxfId="21365" priority="74" operator="equal">
      <formula>0</formula>
    </cfRule>
  </conditionalFormatting>
  <conditionalFormatting sqref="Y35">
    <cfRule type="cellIs" dxfId="21364" priority="71" operator="greaterThan">
      <formula>Y34</formula>
    </cfRule>
    <cfRule type="cellIs" dxfId="21363" priority="72" operator="equal">
      <formula>0</formula>
    </cfRule>
  </conditionalFormatting>
  <conditionalFormatting sqref="Z35">
    <cfRule type="cellIs" dxfId="21362" priority="69" operator="greaterThan">
      <formula>Z34</formula>
    </cfRule>
    <cfRule type="cellIs" dxfId="21361" priority="70" operator="equal">
      <formula>0</formula>
    </cfRule>
  </conditionalFormatting>
  <conditionalFormatting sqref="AA35">
    <cfRule type="cellIs" dxfId="21360" priority="67" operator="greaterThan">
      <formula>AA34</formula>
    </cfRule>
    <cfRule type="cellIs" dxfId="21359" priority="68" operator="equal">
      <formula>0</formula>
    </cfRule>
  </conditionalFormatting>
  <conditionalFormatting sqref="AB35">
    <cfRule type="cellIs" dxfId="21358" priority="65" operator="greaterThan">
      <formula>AB34</formula>
    </cfRule>
    <cfRule type="cellIs" dxfId="21357" priority="66" operator="equal">
      <formula>0</formula>
    </cfRule>
  </conditionalFormatting>
  <conditionalFormatting sqref="AC35">
    <cfRule type="cellIs" dxfId="21356" priority="63" operator="greaterThan">
      <formula>AC34</formula>
    </cfRule>
    <cfRule type="cellIs" dxfId="21355" priority="64" operator="equal">
      <formula>0</formula>
    </cfRule>
  </conditionalFormatting>
  <conditionalFormatting sqref="AD35">
    <cfRule type="cellIs" dxfId="21354" priority="61" operator="greaterThan">
      <formula>AD34</formula>
    </cfRule>
    <cfRule type="cellIs" dxfId="21353" priority="62" operator="equal">
      <formula>0</formula>
    </cfRule>
  </conditionalFormatting>
  <conditionalFormatting sqref="AE35">
    <cfRule type="cellIs" dxfId="21352" priority="59" operator="greaterThan">
      <formula>AE34</formula>
    </cfRule>
    <cfRule type="cellIs" dxfId="21351" priority="60" operator="equal">
      <formula>0</formula>
    </cfRule>
  </conditionalFormatting>
  <conditionalFormatting sqref="V14">
    <cfRule type="cellIs" dxfId="21350" priority="57" operator="greaterThan">
      <formula>V13</formula>
    </cfRule>
    <cfRule type="cellIs" dxfId="21349" priority="58" operator="equal">
      <formula>0</formula>
    </cfRule>
  </conditionalFormatting>
  <conditionalFormatting sqref="W14">
    <cfRule type="cellIs" dxfId="21348" priority="55" operator="greaterThan">
      <formula>W13</formula>
    </cfRule>
    <cfRule type="cellIs" dxfId="21347" priority="56" operator="equal">
      <formula>0</formula>
    </cfRule>
  </conditionalFormatting>
  <conditionalFormatting sqref="X14">
    <cfRule type="cellIs" dxfId="21346" priority="53" operator="greaterThan">
      <formula>X13</formula>
    </cfRule>
    <cfRule type="cellIs" dxfId="21345" priority="54" operator="equal">
      <formula>0</formula>
    </cfRule>
  </conditionalFormatting>
  <conditionalFormatting sqref="Y14">
    <cfRule type="cellIs" dxfId="21344" priority="51" operator="greaterThan">
      <formula>Y13</formula>
    </cfRule>
    <cfRule type="cellIs" dxfId="21343" priority="52" operator="equal">
      <formula>0</formula>
    </cfRule>
  </conditionalFormatting>
  <conditionalFormatting sqref="Z14">
    <cfRule type="cellIs" dxfId="21342" priority="49" operator="greaterThan">
      <formula>Z13</formula>
    </cfRule>
    <cfRule type="cellIs" dxfId="21341" priority="50" operator="equal">
      <formula>0</formula>
    </cfRule>
  </conditionalFormatting>
  <conditionalFormatting sqref="AA14">
    <cfRule type="cellIs" dxfId="21340" priority="47" operator="greaterThan">
      <formula>AA13</formula>
    </cfRule>
    <cfRule type="cellIs" dxfId="21339" priority="48" operator="equal">
      <formula>0</formula>
    </cfRule>
  </conditionalFormatting>
  <conditionalFormatting sqref="AB14">
    <cfRule type="cellIs" dxfId="21338" priority="45" operator="greaterThan">
      <formula>AB13</formula>
    </cfRule>
    <cfRule type="cellIs" dxfId="21337" priority="46" operator="equal">
      <formula>0</formula>
    </cfRule>
  </conditionalFormatting>
  <conditionalFormatting sqref="AC14">
    <cfRule type="cellIs" dxfId="21336" priority="43" operator="greaterThan">
      <formula>AC13</formula>
    </cfRule>
    <cfRule type="cellIs" dxfId="21335" priority="44" operator="equal">
      <formula>0</formula>
    </cfRule>
  </conditionalFormatting>
  <conditionalFormatting sqref="AD14">
    <cfRule type="cellIs" dxfId="21334" priority="41" operator="greaterThan">
      <formula>AD13</formula>
    </cfRule>
    <cfRule type="cellIs" dxfId="21333" priority="42" operator="equal">
      <formula>0</formula>
    </cfRule>
  </conditionalFormatting>
  <conditionalFormatting sqref="AE14">
    <cfRule type="cellIs" dxfId="21332" priority="39" operator="greaterThan">
      <formula>AE13</formula>
    </cfRule>
    <cfRule type="cellIs" dxfId="21331" priority="40" operator="equal">
      <formula>0</formula>
    </cfRule>
  </conditionalFormatting>
  <conditionalFormatting sqref="V35">
    <cfRule type="cellIs" dxfId="21330" priority="37" operator="greaterThan">
      <formula>V34</formula>
    </cfRule>
    <cfRule type="cellIs" dxfId="21329" priority="38" operator="equal">
      <formula>0</formula>
    </cfRule>
  </conditionalFormatting>
  <conditionalFormatting sqref="F35:F36">
    <cfRule type="cellIs" dxfId="21328" priority="33" operator="greaterThan">
      <formula>F34</formula>
    </cfRule>
    <cfRule type="cellIs" dxfId="21327" priority="34" operator="equal">
      <formula>0</formula>
    </cfRule>
  </conditionalFormatting>
  <conditionalFormatting sqref="F27:O27">
    <cfRule type="cellIs" dxfId="21326" priority="32" operator="greaterThan">
      <formula>F26</formula>
    </cfRule>
  </conditionalFormatting>
  <conditionalFormatting sqref="E46:O46">
    <cfRule type="cellIs" dxfId="21325" priority="24" operator="greaterThan">
      <formula>E42</formula>
    </cfRule>
    <cfRule type="cellIs" dxfId="21324" priority="25" operator="greaterThan">
      <formula>E30</formula>
    </cfRule>
    <cfRule type="cellIs" dxfId="21323" priority="26" operator="equal">
      <formula>0</formula>
    </cfRule>
  </conditionalFormatting>
  <conditionalFormatting sqref="E47:O47">
    <cfRule type="cellIs" dxfId="21322" priority="20" operator="greaterThan">
      <formula>E43</formula>
    </cfRule>
    <cfRule type="cellIs" dxfId="21321" priority="21" operator="greaterThan">
      <formula>E46</formula>
    </cfRule>
    <cfRule type="cellIs" dxfId="21320" priority="22" operator="greaterThan">
      <formula>E31</formula>
    </cfRule>
    <cfRule type="cellIs" dxfId="21319" priority="23" operator="equal">
      <formula>0</formula>
    </cfRule>
  </conditionalFormatting>
  <conditionalFormatting sqref="E42:O42">
    <cfRule type="cellIs" dxfId="21318" priority="18" operator="greaterThan">
      <formula>E26</formula>
    </cfRule>
    <cfRule type="cellIs" dxfId="21317" priority="19" operator="equal">
      <formula>0</formula>
    </cfRule>
  </conditionalFormatting>
  <conditionalFormatting sqref="E43:O43">
    <cfRule type="cellIs" dxfId="21316" priority="15" operator="greaterThan">
      <formula>E42</formula>
    </cfRule>
    <cfRule type="cellIs" dxfId="21315" priority="16" operator="greaterThan">
      <formula>E27</formula>
    </cfRule>
    <cfRule type="cellIs" dxfId="21314" priority="17" operator="equal">
      <formula>0</formula>
    </cfRule>
  </conditionalFormatting>
  <conditionalFormatting sqref="E30:O30">
    <cfRule type="cellIs" dxfId="21313" priority="13" operator="greaterThan">
      <formula>E26</formula>
    </cfRule>
    <cfRule type="cellIs" dxfId="21312" priority="14" operator="equal">
      <formula>0</formula>
    </cfRule>
  </conditionalFormatting>
  <conditionalFormatting sqref="E31:O31">
    <cfRule type="cellIs" dxfId="21311" priority="10" operator="greaterThan">
      <formula>E30</formula>
    </cfRule>
    <cfRule type="cellIs" dxfId="21310" priority="11" operator="greaterThan">
      <formula>E27</formula>
    </cfRule>
    <cfRule type="cellIs" dxfId="21309" priority="12" operator="equal">
      <formula>0</formula>
    </cfRule>
  </conditionalFormatting>
  <conditionalFormatting sqref="W46:AE46">
    <cfRule type="cellIs" dxfId="21308" priority="8" operator="greaterThan">
      <formula>W45</formula>
    </cfRule>
    <cfRule type="cellIs" dxfId="21307" priority="9" operator="equal">
      <formula>0</formula>
    </cfRule>
  </conditionalFormatting>
  <conditionalFormatting sqref="V45:AE47">
    <cfRule type="cellIs" dxfId="21306" priority="7" operator="equal">
      <formula>0</formula>
    </cfRule>
  </conditionalFormatting>
  <conditionalFormatting sqref="W46:AE46">
    <cfRule type="cellIs" dxfId="21305" priority="5" operator="greaterThan">
      <formula>W45</formula>
    </cfRule>
    <cfRule type="cellIs" dxfId="21304" priority="6" operator="equal">
      <formula>0</formula>
    </cfRule>
  </conditionalFormatting>
  <conditionalFormatting sqref="V45:AE47">
    <cfRule type="cellIs" dxfId="21303" priority="4" operator="equal">
      <formula>0</formula>
    </cfRule>
  </conditionalFormatting>
  <conditionalFormatting sqref="V39:AE47">
    <cfRule type="cellIs" dxfId="21302" priority="2" operator="equal">
      <formula>0</formula>
    </cfRule>
    <cfRule type="cellIs" dxfId="21301" priority="3" operator="equal">
      <formula>0</formula>
    </cfRule>
  </conditionalFormatting>
  <conditionalFormatting sqref="V39:AE40">
    <cfRule type="cellIs" dxfId="21300" priority="1" operator="equal">
      <formula>0</formula>
    </cfRule>
  </conditionalFormatting>
  <dataValidations count="23">
    <dataValidation type="whole" allowBlank="1" showInputMessage="1" showErrorMessage="1" sqref="W34:AE35 W25:AE26 V26 V14 W13:AE14">
      <formula1>0</formula1>
      <formula2>5000</formula2>
    </dataValidation>
    <dataValidation type="whole" errorStyle="information" operator="greaterThanOrEqual" showInputMessage="1" showErrorMessage="1" errorTitle="تلاميذ 5 سنوات" error="ضع العدد المناسب" sqref="E26 E30 E42 E46 E34 E13 E17">
      <formula1>0</formula1>
    </dataValidation>
    <dataValidation type="whole" errorStyle="information" operator="greaterThanOrEqual" showInputMessage="1" showErrorMessage="1" errorTitle="إناث 5 سنوات" error="ضع العدد المناسب" sqref="E27 E31 E43 E47 E35:E36 E14 E18">
      <formula1>0</formula1>
    </dataValidation>
    <dataValidation type="whole" errorStyle="information" operator="greaterThanOrEqual" showInputMessage="1" showErrorMessage="1" errorTitle="تلاميذ 7 سنوات" error="ضع العدد المناسب" sqref="F46 F42">
      <formula1>0</formula1>
    </dataValidation>
    <dataValidation type="whole" errorStyle="information" operator="greaterThanOrEqual" showInputMessage="1" showErrorMessage="1" errorTitle="تلاميذ 8 سنوات" error="ضع العدد المناسب" sqref="G42 F26:G26 F30:G30 F34:G34 F13:G13 F17:G17 G46">
      <formula1>0</formula1>
    </dataValidation>
    <dataValidation type="whole" errorStyle="information" operator="greaterThanOrEqual" showInputMessage="1" showErrorMessage="1" errorTitle="تلاميذ 9 سنوات" error="ضع العدد المناسب" sqref="H26 H17 H13 H46 H42 H34 H30">
      <formula1>0</formula1>
    </dataValidation>
    <dataValidation type="whole" errorStyle="information" operator="greaterThanOrEqual" showInputMessage="1" showErrorMessage="1" errorTitle="تلاميذ 10 سنوات" error="ضع العدد المناسب" sqref="I26 I17 I13 I46 I42 I34 I30">
      <formula1>0</formula1>
    </dataValidation>
    <dataValidation type="whole" errorStyle="information" operator="greaterThanOrEqual" showInputMessage="1" showErrorMessage="1" errorTitle="تلاميذ 11 سنة" error="ضع العدد المناسب" sqref="J26 J17 J13 J46 J42 J34 J30">
      <formula1>0</formula1>
    </dataValidation>
    <dataValidation type="whole" errorStyle="information" operator="greaterThanOrEqual" showInputMessage="1" showErrorMessage="1" errorTitle="تلاميذ 12 سنة" error="ضع العدد المناسب" sqref="K26 K17 K13 K46 K42 K34 K30">
      <formula1>0</formula1>
    </dataValidation>
    <dataValidation type="whole" errorStyle="information" operator="greaterThanOrEqual" showInputMessage="1" showErrorMessage="1" errorTitle="تلاميذ 14 سنة" error="ضع العدد المناسب" sqref="M26 M17 M13 M46 M42 M34 M30">
      <formula1>0</formula1>
    </dataValidation>
    <dataValidation type="whole" errorStyle="information" operator="greaterThanOrEqual" showInputMessage="1" showErrorMessage="1" errorTitle="تلاميذ 13 سنة" error="ضع العدد المناسب" sqref="L26 L17 L13 L46 L42 L34 L30">
      <formula1>0</formula1>
    </dataValidation>
    <dataValidation type="whole" errorStyle="information" operator="greaterThanOrEqual" showInputMessage="1" showErrorMessage="1" errorTitle="تلاميذ 15 سنة فأكثر" error="ضع العدد المناسب" sqref="N26 N17 N13 N46 N42 N34 N30">
      <formula1>0</formula1>
    </dataValidation>
    <dataValidation type="whole" operator="greaterThanOrEqual" allowBlank="1" showInputMessage="1" showErrorMessage="1" errorTitle="المجموع" error="العدد المناسب" sqref="O26 O17 O13 O46 O42 O34 O30">
      <formula1>0</formula1>
    </dataValidation>
    <dataValidation type="whole" errorStyle="information" operator="greaterThanOrEqual" showInputMessage="1" showErrorMessage="1" errorTitle="إناث 7 سنوات" error="ضع العدد المناسب" sqref="F47 F43">
      <formula1>0</formula1>
    </dataValidation>
    <dataValidation type="whole" errorStyle="information" operator="greaterThanOrEqual" showInputMessage="1" showErrorMessage="1" errorTitle="إناث 8 سنوات" error="ضع العدد المناسب" sqref="G43 F27:G27 F31:G31 F35:G36 F14:G14 F18:G18 G47">
      <formula1>0</formula1>
    </dataValidation>
    <dataValidation type="whole" errorStyle="information" operator="greaterThanOrEqual" showInputMessage="1" showErrorMessage="1" errorTitle="إناث 9 سنوات" error="ضع العدد المناسب" sqref="H27 H18 H14 H47 H43 H35:H36 H31">
      <formula1>0</formula1>
    </dataValidation>
    <dataValidation type="whole" errorStyle="information" operator="greaterThanOrEqual" showInputMessage="1" showErrorMessage="1" errorTitle="إناث 10 سنوات" error="ضع العدد المناسب" sqref="I27 I18 I14 I47 I43 I35:I36 I31">
      <formula1>0</formula1>
    </dataValidation>
    <dataValidation type="whole" errorStyle="information" operator="greaterThanOrEqual" showInputMessage="1" showErrorMessage="1" errorTitle="إناث11 سنة" error="ضع العدد المناسب" sqref="J27 J18 J14 J47 J43 J35:J36 J31">
      <formula1>0</formula1>
    </dataValidation>
    <dataValidation type="whole" errorStyle="information" operator="greaterThanOrEqual" showInputMessage="1" showErrorMessage="1" errorTitle="إناث 12 سنة" error="ضع العدد المناسب" sqref="K27 K18 K14 K47 K43 K35:K36 K31">
      <formula1>0</formula1>
    </dataValidation>
    <dataValidation type="whole" errorStyle="information" operator="greaterThanOrEqual" showInputMessage="1" showErrorMessage="1" errorTitle="إناث 13 سنة" error="ضع العدد المناسب" sqref="L27 L18 L14 L47 L43 L35:L36 L31">
      <formula1>0</formula1>
    </dataValidation>
    <dataValidation type="whole" errorStyle="information" operator="greaterThanOrEqual" showInputMessage="1" showErrorMessage="1" errorTitle="إناث 14 سنة" error="ضع العدد المناسب" sqref="M27 M18 M14 M47 M43 M35:M36 M31">
      <formula1>0</formula1>
    </dataValidation>
    <dataValidation type="whole" errorStyle="information" operator="greaterThanOrEqual" showInputMessage="1" showErrorMessage="1" errorTitle="إناث 15 سنة فأكثر" error="ضع العدد المناسب" sqref="N27 N18 N14 N47 N43 N35:N36 N31">
      <formula1>0</formula1>
    </dataValidation>
    <dataValidation type="whole" operator="greaterThanOrEqual" allowBlank="1" showInputMessage="1" showErrorMessage="1" errorTitle="مجموع البنات" error="العدد المناسب" sqref="O27 O18 O14 O47 O43 O35:O36 O31">
      <formula1>0</formula1>
    </dataValidation>
  </dataValidations>
  <printOptions horizontalCentered="1" verticalCentered="1"/>
  <pageMargins left="0.19685039370078741" right="0.19685039370078741" top="0.19685039370078741" bottom="0.19685039370078741" header="0" footer="0.31496062992125984"/>
  <pageSetup paperSize="9" orientation="landscape" r:id="rId1"/>
  <headerFooter>
    <oddFooter xml:space="preserve">&amp;R&amp;"-,Gras"&amp;8&amp;K00-033Echamil V.08      &amp;F                                                                 </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rgb="FFFF0000"/>
  </sheetPr>
  <dimension ref="A1:AM114"/>
  <sheetViews>
    <sheetView showGridLines="0" rightToLeft="1" workbookViewId="0">
      <selection activeCell="I30" sqref="I30"/>
    </sheetView>
  </sheetViews>
  <sheetFormatPr baseColWidth="10" defaultColWidth="0" defaultRowHeight="14.4" zeroHeight="1"/>
  <cols>
    <col min="1" max="1" width="2.6640625" customWidth="1"/>
    <col min="2" max="3" width="1.6640625" customWidth="1"/>
    <col min="4" max="4" width="7.6640625" customWidth="1"/>
    <col min="5" max="5" width="8.6640625" customWidth="1"/>
    <col min="6" max="6" width="6.44140625" customWidth="1"/>
    <col min="7" max="7" width="6.33203125" customWidth="1"/>
    <col min="8" max="8" width="6.44140625" customWidth="1"/>
    <col min="9" max="9" width="6.33203125" customWidth="1"/>
    <col min="10" max="10" width="6.44140625" customWidth="1"/>
    <col min="11" max="11" width="6.33203125" customWidth="1"/>
    <col min="12" max="13" width="5.6640625" customWidth="1"/>
    <col min="14" max="14" width="6.6640625" customWidth="1"/>
    <col min="15" max="15" width="6.33203125" customWidth="1"/>
    <col min="16" max="17" width="5.6640625" customWidth="1"/>
    <col min="18" max="18" width="0.88671875" customWidth="1"/>
    <col min="19" max="19" width="1.6640625" customWidth="1"/>
    <col min="20" max="20" width="2.6640625" customWidth="1"/>
    <col min="21" max="21" width="14" style="1041" customWidth="1"/>
    <col min="22" max="22" width="1.109375" style="1041" customWidth="1"/>
    <col min="23" max="24" width="6.6640625" style="1041" customWidth="1"/>
    <col min="25" max="25" width="1.44140625" style="1041" customWidth="1"/>
    <col min="26" max="26" width="1.33203125" style="1041" customWidth="1"/>
    <col min="27" max="28" width="6.6640625" style="1041" customWidth="1"/>
    <col min="29" max="29" width="1.33203125" style="1041" customWidth="1"/>
    <col min="30" max="30" width="1.5546875" style="1041" customWidth="1"/>
    <col min="31" max="32" width="6.6640625" style="1041" customWidth="1"/>
    <col min="33" max="33" width="1.5546875" style="1041" customWidth="1"/>
    <col min="34" max="34" width="1" style="1041" customWidth="1"/>
    <col min="35" max="36" width="6.6640625" style="1041" customWidth="1"/>
    <col min="37" max="38" width="1.5546875" style="1041" customWidth="1"/>
    <col min="39" max="39" width="4.44140625" customWidth="1"/>
  </cols>
  <sheetData>
    <row r="1" spans="1:39" ht="12.9" customHeight="1" thickBot="1">
      <c r="A1" s="788"/>
      <c r="B1" s="789"/>
      <c r="C1" s="815"/>
      <c r="D1" s="815"/>
      <c r="E1" s="815"/>
      <c r="F1" s="815"/>
      <c r="G1" s="815"/>
      <c r="H1" s="815"/>
      <c r="I1" s="815"/>
      <c r="J1" s="815"/>
      <c r="K1" s="815"/>
      <c r="L1" s="815"/>
      <c r="M1" s="815"/>
      <c r="N1" s="815"/>
      <c r="O1" s="815"/>
      <c r="P1" s="815"/>
      <c r="Q1" s="815"/>
      <c r="R1" s="815"/>
      <c r="S1" s="789"/>
      <c r="T1" s="788"/>
      <c r="U1" s="2674"/>
      <c r="V1" s="3160" t="str">
        <f>+'الصفحة 1'!$AB$1</f>
        <v xml:space="preserve"> تم مراجعة نسخة هذا الدفتر في30 ماي 2022 </v>
      </c>
      <c r="W1" s="3159"/>
      <c r="X1" s="2674"/>
      <c r="Y1" s="2674"/>
      <c r="Z1" s="2674"/>
      <c r="AA1" s="2674"/>
      <c r="AB1" s="2674"/>
      <c r="AC1" s="2609"/>
      <c r="AD1" s="2674"/>
      <c r="AE1" s="2675"/>
      <c r="AF1" s="2674"/>
      <c r="AG1" s="2674"/>
      <c r="AH1" s="2674"/>
      <c r="AI1" s="2674"/>
      <c r="AJ1" s="2674"/>
      <c r="AK1" s="2674"/>
      <c r="AL1" s="2674"/>
      <c r="AM1" s="796"/>
    </row>
    <row r="2" spans="1:39" ht="8.1" customHeight="1" thickBot="1">
      <c r="A2" s="788"/>
      <c r="B2" s="900"/>
      <c r="C2" s="891"/>
      <c r="D2" s="891"/>
      <c r="E2" s="891"/>
      <c r="F2" s="891"/>
      <c r="G2" s="891"/>
      <c r="H2" s="891"/>
      <c r="I2" s="891"/>
      <c r="J2" s="891"/>
      <c r="K2" s="891"/>
      <c r="L2" s="891"/>
      <c r="M2" s="891"/>
      <c r="N2" s="891"/>
      <c r="O2" s="891"/>
      <c r="P2" s="891"/>
      <c r="Q2" s="891"/>
      <c r="R2" s="817"/>
      <c r="S2" s="818"/>
      <c r="T2" s="790"/>
      <c r="U2" s="1950"/>
      <c r="V2" s="1950"/>
      <c r="W2" s="1950"/>
      <c r="X2" s="1950"/>
      <c r="Y2" s="1950"/>
      <c r="Z2" s="1950"/>
      <c r="AA2" s="1950"/>
      <c r="AB2" s="1950"/>
      <c r="AC2" s="1950"/>
      <c r="AD2" s="1950"/>
      <c r="AE2" s="1950"/>
      <c r="AF2" s="1950"/>
      <c r="AG2" s="1950"/>
      <c r="AH2" s="1950"/>
      <c r="AI2" s="1950"/>
      <c r="AJ2" s="1950"/>
      <c r="AK2" s="1950"/>
      <c r="AL2" s="1950"/>
      <c r="AM2" s="796"/>
    </row>
    <row r="3" spans="1:39" ht="2.1" customHeight="1">
      <c r="A3" s="788"/>
      <c r="B3" s="894"/>
      <c r="C3" s="876"/>
      <c r="D3" s="877"/>
      <c r="E3" s="2320"/>
      <c r="F3" s="2320"/>
      <c r="G3" s="2320"/>
      <c r="H3" s="878"/>
      <c r="I3" s="879"/>
      <c r="J3" s="878"/>
      <c r="K3" s="878"/>
      <c r="L3" s="878"/>
      <c r="M3" s="878"/>
      <c r="N3" s="2320"/>
      <c r="O3" s="2320"/>
      <c r="P3" s="2320"/>
      <c r="Q3" s="878"/>
      <c r="R3" s="809"/>
      <c r="S3" s="820"/>
      <c r="T3" s="790"/>
      <c r="U3" s="4053" t="s">
        <v>603</v>
      </c>
      <c r="V3" s="4053"/>
      <c r="W3" s="4053"/>
      <c r="X3" s="4053"/>
      <c r="Y3" s="4053"/>
      <c r="Z3" s="4053"/>
      <c r="AA3" s="4053"/>
      <c r="AB3" s="4053"/>
      <c r="AC3" s="4053"/>
      <c r="AD3" s="4053"/>
      <c r="AE3" s="4053"/>
      <c r="AF3" s="4053"/>
      <c r="AG3" s="4053"/>
      <c r="AH3" s="4053"/>
      <c r="AI3" s="4053"/>
      <c r="AJ3" s="4053"/>
      <c r="AK3" s="4053"/>
      <c r="AL3" s="4053"/>
      <c r="AM3" s="796"/>
    </row>
    <row r="4" spans="1:39" ht="15.9" customHeight="1">
      <c r="A4" s="788"/>
      <c r="B4" s="893"/>
      <c r="C4" s="2321" t="s">
        <v>1457</v>
      </c>
      <c r="D4" s="650"/>
      <c r="E4" s="650"/>
      <c r="F4" s="650"/>
      <c r="G4" s="650"/>
      <c r="H4" s="4217" t="str">
        <f>'الصفحة 1'!$E$16</f>
        <v>بلحاتم رابح</v>
      </c>
      <c r="I4" s="4218"/>
      <c r="J4" s="4218"/>
      <c r="K4" s="3165"/>
      <c r="L4" s="3166"/>
      <c r="M4" s="652"/>
      <c r="N4" s="652"/>
      <c r="O4" s="664"/>
      <c r="P4" s="652"/>
      <c r="Q4" s="652"/>
      <c r="R4" s="2216" t="s">
        <v>1458</v>
      </c>
      <c r="S4" s="820"/>
      <c r="T4" s="790"/>
      <c r="U4" s="4053"/>
      <c r="V4" s="4053"/>
      <c r="W4" s="4053"/>
      <c r="X4" s="4053"/>
      <c r="Y4" s="4053"/>
      <c r="Z4" s="4053"/>
      <c r="AA4" s="4053"/>
      <c r="AB4" s="4053"/>
      <c r="AC4" s="4053"/>
      <c r="AD4" s="4053"/>
      <c r="AE4" s="4053"/>
      <c r="AF4" s="4053"/>
      <c r="AG4" s="4053"/>
      <c r="AH4" s="4053"/>
      <c r="AI4" s="4053"/>
      <c r="AJ4" s="4053"/>
      <c r="AK4" s="4053"/>
      <c r="AL4" s="4053"/>
      <c r="AM4" s="796"/>
    </row>
    <row r="5" spans="1:39" ht="2.1" customHeight="1">
      <c r="A5" s="788"/>
      <c r="B5" s="894"/>
      <c r="C5" s="881"/>
      <c r="D5" s="659"/>
      <c r="E5" s="659"/>
      <c r="F5" s="659"/>
      <c r="G5" s="659"/>
      <c r="H5" s="649"/>
      <c r="I5" s="649"/>
      <c r="J5" s="652"/>
      <c r="K5" s="660"/>
      <c r="L5" s="660"/>
      <c r="M5" s="660"/>
      <c r="N5" s="660"/>
      <c r="O5" s="660"/>
      <c r="P5" s="660"/>
      <c r="Q5" s="660"/>
      <c r="R5" s="856"/>
      <c r="S5" s="820"/>
      <c r="T5" s="791"/>
      <c r="U5" s="4053"/>
      <c r="V5" s="4053"/>
      <c r="W5" s="4053"/>
      <c r="X5" s="4053"/>
      <c r="Y5" s="4053"/>
      <c r="Z5" s="4053"/>
      <c r="AA5" s="4053"/>
      <c r="AB5" s="4053"/>
      <c r="AC5" s="4053"/>
      <c r="AD5" s="4053"/>
      <c r="AE5" s="4053"/>
      <c r="AF5" s="4053"/>
      <c r="AG5" s="4053"/>
      <c r="AH5" s="4053"/>
      <c r="AI5" s="4053"/>
      <c r="AJ5" s="4053"/>
      <c r="AK5" s="4053"/>
      <c r="AL5" s="4053"/>
      <c r="AM5" s="796"/>
    </row>
    <row r="6" spans="1:39" ht="14.1" customHeight="1">
      <c r="A6" s="788"/>
      <c r="B6" s="894"/>
      <c r="C6" s="954"/>
      <c r="D6" s="2322" t="s">
        <v>1420</v>
      </c>
      <c r="E6" s="955"/>
      <c r="F6" s="955"/>
      <c r="G6" s="955"/>
      <c r="H6" s="955"/>
      <c r="I6" s="776"/>
      <c r="J6" s="955"/>
      <c r="K6" s="955"/>
      <c r="L6" s="955"/>
      <c r="M6" s="955"/>
      <c r="N6" s="955"/>
      <c r="O6" s="955"/>
      <c r="P6" s="4284" t="s">
        <v>1208</v>
      </c>
      <c r="Q6" s="4284"/>
      <c r="R6" s="801"/>
      <c r="S6" s="820"/>
      <c r="T6" s="792"/>
      <c r="U6" s="4053"/>
      <c r="V6" s="4053"/>
      <c r="W6" s="4053"/>
      <c r="X6" s="4053"/>
      <c r="Y6" s="4053"/>
      <c r="Z6" s="4053"/>
      <c r="AA6" s="4053"/>
      <c r="AB6" s="4053"/>
      <c r="AC6" s="4053"/>
      <c r="AD6" s="4053"/>
      <c r="AE6" s="4053"/>
      <c r="AF6" s="4053"/>
      <c r="AG6" s="4053"/>
      <c r="AH6" s="4053"/>
      <c r="AI6" s="4053"/>
      <c r="AJ6" s="4053"/>
      <c r="AK6" s="4053"/>
      <c r="AL6" s="4053"/>
      <c r="AM6" s="796"/>
    </row>
    <row r="7" spans="1:39" ht="3" customHeight="1">
      <c r="A7" s="788"/>
      <c r="B7" s="895"/>
      <c r="C7" s="884"/>
      <c r="D7" s="2267"/>
      <c r="E7" s="649"/>
      <c r="F7" s="649"/>
      <c r="G7" s="649"/>
      <c r="H7" s="649"/>
      <c r="I7" s="649"/>
      <c r="J7" s="649"/>
      <c r="K7" s="649"/>
      <c r="L7" s="649"/>
      <c r="M7" s="649"/>
      <c r="N7" s="649"/>
      <c r="O7" s="649"/>
      <c r="P7" s="649"/>
      <c r="Q7" s="649"/>
      <c r="R7" s="811"/>
      <c r="S7" s="820"/>
      <c r="T7" s="792"/>
      <c r="U7" s="3921" t="s">
        <v>780</v>
      </c>
      <c r="V7" s="3921"/>
      <c r="W7" s="3921"/>
      <c r="X7" s="3921"/>
      <c r="Y7" s="3921"/>
      <c r="Z7" s="3921"/>
      <c r="AA7" s="3921"/>
      <c r="AB7" s="3921"/>
      <c r="AC7" s="3921"/>
      <c r="AD7" s="3921"/>
      <c r="AE7" s="3921"/>
      <c r="AF7" s="3921"/>
      <c r="AG7" s="3921"/>
      <c r="AH7" s="3921"/>
      <c r="AI7" s="3921"/>
      <c r="AJ7" s="3921"/>
      <c r="AK7" s="3921"/>
      <c r="AL7" s="3921"/>
      <c r="AM7" s="796"/>
    </row>
    <row r="8" spans="1:39" ht="14.1" customHeight="1">
      <c r="A8" s="788"/>
      <c r="B8" s="894"/>
      <c r="C8" s="2323" t="s">
        <v>1036</v>
      </c>
      <c r="D8" s="2324"/>
      <c r="E8" s="2325"/>
      <c r="F8" s="4234" t="s">
        <v>25</v>
      </c>
      <c r="G8" s="4235"/>
      <c r="H8" s="4232" t="s">
        <v>24</v>
      </c>
      <c r="I8" s="4233"/>
      <c r="J8" s="4234" t="s">
        <v>23</v>
      </c>
      <c r="K8" s="4235"/>
      <c r="L8" s="4232" t="s">
        <v>22</v>
      </c>
      <c r="M8" s="4233"/>
      <c r="N8" s="4273" t="s">
        <v>610</v>
      </c>
      <c r="O8" s="4274"/>
      <c r="P8" s="4292" t="s">
        <v>27</v>
      </c>
      <c r="Q8" s="4293"/>
      <c r="R8" s="811"/>
      <c r="S8" s="820"/>
      <c r="T8" s="793"/>
      <c r="U8" s="3921"/>
      <c r="V8" s="3921"/>
      <c r="W8" s="3921"/>
      <c r="X8" s="3921"/>
      <c r="Y8" s="3921"/>
      <c r="Z8" s="3921"/>
      <c r="AA8" s="3921"/>
      <c r="AB8" s="3921"/>
      <c r="AC8" s="3921"/>
      <c r="AD8" s="3921"/>
      <c r="AE8" s="3921"/>
      <c r="AF8" s="3921"/>
      <c r="AG8" s="3921"/>
      <c r="AH8" s="3921"/>
      <c r="AI8" s="3921"/>
      <c r="AJ8" s="3921"/>
      <c r="AK8" s="3921"/>
      <c r="AL8" s="3921"/>
      <c r="AM8" s="796"/>
    </row>
    <row r="9" spans="1:39" ht="9.9" customHeight="1">
      <c r="A9" s="788"/>
      <c r="B9" s="895"/>
      <c r="C9" s="884"/>
      <c r="D9" s="4227" t="s">
        <v>21</v>
      </c>
      <c r="E9" s="4227"/>
      <c r="F9" s="2326" t="s">
        <v>20</v>
      </c>
      <c r="G9" s="2327" t="s">
        <v>19</v>
      </c>
      <c r="H9" s="2328" t="s">
        <v>20</v>
      </c>
      <c r="I9" s="2329" t="s">
        <v>19</v>
      </c>
      <c r="J9" s="2326" t="s">
        <v>20</v>
      </c>
      <c r="K9" s="2327" t="s">
        <v>19</v>
      </c>
      <c r="L9" s="2328" t="s">
        <v>20</v>
      </c>
      <c r="M9" s="2329" t="s">
        <v>19</v>
      </c>
      <c r="N9" s="2330" t="s">
        <v>20</v>
      </c>
      <c r="O9" s="2331" t="s">
        <v>19</v>
      </c>
      <c r="P9" s="2326" t="s">
        <v>20</v>
      </c>
      <c r="Q9" s="2327" t="s">
        <v>500</v>
      </c>
      <c r="R9" s="764"/>
      <c r="S9" s="820"/>
      <c r="T9" s="793"/>
      <c r="U9" s="3921"/>
      <c r="V9" s="3921"/>
      <c r="W9" s="3921"/>
      <c r="X9" s="3921"/>
      <c r="Y9" s="3921"/>
      <c r="Z9" s="3921"/>
      <c r="AA9" s="3921"/>
      <c r="AB9" s="3921"/>
      <c r="AC9" s="3921"/>
      <c r="AD9" s="3921"/>
      <c r="AE9" s="3921"/>
      <c r="AF9" s="3921"/>
      <c r="AG9" s="3921"/>
      <c r="AH9" s="3921"/>
      <c r="AI9" s="3921"/>
      <c r="AJ9" s="3921"/>
      <c r="AK9" s="3921"/>
      <c r="AL9" s="3921"/>
      <c r="AM9" s="796"/>
    </row>
    <row r="10" spans="1:39" ht="12" customHeight="1">
      <c r="A10" s="788"/>
      <c r="B10" s="895"/>
      <c r="C10" s="884"/>
      <c r="D10" s="4228" t="s">
        <v>18</v>
      </c>
      <c r="E10" s="4228"/>
      <c r="F10" s="2067">
        <f>'الصفحة 6'!$E$26</f>
        <v>28</v>
      </c>
      <c r="G10" s="2068">
        <f>'الصفحة 6'!$E$27</f>
        <v>13</v>
      </c>
      <c r="H10" s="2067">
        <f>'الصفحة 7'!$E$26</f>
        <v>0</v>
      </c>
      <c r="I10" s="2068">
        <f>'الصفحة 7'!$E$27</f>
        <v>0</v>
      </c>
      <c r="J10" s="2067">
        <f>'الصفحة 8'!$E$26</f>
        <v>0</v>
      </c>
      <c r="K10" s="2068">
        <f>'الصفحة 8'!$E$27</f>
        <v>0</v>
      </c>
      <c r="L10" s="2067">
        <f>'الصفحة 9'!$E$26</f>
        <v>0</v>
      </c>
      <c r="M10" s="2068">
        <f>'الصفحة 9'!$E$27</f>
        <v>0</v>
      </c>
      <c r="N10" s="2067">
        <f t="shared" ref="N10:N19" si="0">L10+J10+H10+F10</f>
        <v>28</v>
      </c>
      <c r="O10" s="2068">
        <f t="shared" ref="O10:O19" si="1">M10+K10+I10+G10</f>
        <v>13</v>
      </c>
      <c r="P10" s="2067">
        <f>'الصفحة 6'!$E$34+'الصفحة 7'!$E$34+'الصفحة 8'!$E$34+'الصفحة 9'!$E$34</f>
        <v>0</v>
      </c>
      <c r="Q10" s="2068">
        <f>'الصفحة 6'!$E$35+'الصفحة 7'!$E$35+'الصفحة 8'!$E$35+'الصفحة 9'!$E$35</f>
        <v>0</v>
      </c>
      <c r="R10" s="764"/>
      <c r="S10" s="820"/>
      <c r="T10" s="793"/>
      <c r="U10" s="4289" t="s">
        <v>18</v>
      </c>
      <c r="V10" s="4289"/>
      <c r="W10" s="4286" t="str">
        <f>IF(('الصفحة 1'!$Q$14&gt;0),((IF((F10=""),"ضع عدد التلاميذ",IF((F10=0)," ",IF((F10&gt;0),""))))),"")</f>
        <v/>
      </c>
      <c r="X10" s="4287"/>
      <c r="Y10" s="4288"/>
      <c r="Z10" s="464"/>
      <c r="AA10" s="4286" t="str">
        <f>IF(('الصفحة 1'!$Q$14&gt;0),((IF((G10=""),"ضع عدد التلاميذ",IF((G10=0)," ",IF((G10&gt;0),""))))),"")</f>
        <v/>
      </c>
      <c r="AB10" s="4287"/>
      <c r="AC10" s="4288"/>
      <c r="AD10" s="464"/>
      <c r="AE10" s="464"/>
      <c r="AF10" s="464"/>
      <c r="AG10" s="464"/>
      <c r="AH10" s="464"/>
      <c r="AI10" s="464"/>
      <c r="AJ10" s="464"/>
      <c r="AK10" s="464"/>
      <c r="AL10" s="1950"/>
      <c r="AM10" s="796"/>
    </row>
    <row r="11" spans="1:39" ht="12" customHeight="1">
      <c r="A11" s="788"/>
      <c r="B11" s="895"/>
      <c r="C11" s="884"/>
      <c r="D11" s="4227" t="s">
        <v>17</v>
      </c>
      <c r="E11" s="4227"/>
      <c r="F11" s="2069">
        <f>'الصفحة 6'!$F$26</f>
        <v>152</v>
      </c>
      <c r="G11" s="2070">
        <f>'الصفحة 6'!$F$27</f>
        <v>73</v>
      </c>
      <c r="H11" s="2069">
        <f>'الصفحة 7'!$F$26</f>
        <v>34</v>
      </c>
      <c r="I11" s="2070">
        <f>'الصفحة 7'!$F$27</f>
        <v>11</v>
      </c>
      <c r="J11" s="2069">
        <f>'الصفحة 8'!$F$26</f>
        <v>0</v>
      </c>
      <c r="K11" s="2070">
        <f>'الصفحة 8'!$F$27</f>
        <v>0</v>
      </c>
      <c r="L11" s="2069">
        <f>'الصفحة 9'!$F$26</f>
        <v>0</v>
      </c>
      <c r="M11" s="2070">
        <f>'الصفحة 9'!$F$27</f>
        <v>0</v>
      </c>
      <c r="N11" s="2069">
        <f t="shared" si="0"/>
        <v>186</v>
      </c>
      <c r="O11" s="2070">
        <f t="shared" si="1"/>
        <v>84</v>
      </c>
      <c r="P11" s="2069">
        <f>'الصفحة 6'!$F$34+'الصفحة 7'!$F$34+'الصفحة 8'!$F$34+'الصفحة 9'!$F$34</f>
        <v>0</v>
      </c>
      <c r="Q11" s="2070">
        <f>'الصفحة 6'!$F$35+'الصفحة 7'!$F$35+'الصفحة 8'!$F$35+'الصفحة 9'!$F$35</f>
        <v>0</v>
      </c>
      <c r="R11" s="764"/>
      <c r="S11" s="820"/>
      <c r="T11" s="793"/>
      <c r="U11" s="4290" t="s">
        <v>17</v>
      </c>
      <c r="V11" s="4290"/>
      <c r="W11" s="4286" t="str">
        <f>IF(('الصفحة 1'!$Q$14&gt;0),((IF((F11=""),"ضع عدد التلاميذ",IF((F11=0)," ",IF((F11&gt;0),""))))),"")</f>
        <v/>
      </c>
      <c r="X11" s="4287"/>
      <c r="Y11" s="4288"/>
      <c r="Z11" s="464"/>
      <c r="AA11" s="4286" t="str">
        <f>IF(('الصفحة 1'!$Q$14&gt;0),((IF((G11=""),"ضع عدد التلاميذ",IF((G11=0)," ",IF((G11&gt;0),""))))),"")</f>
        <v/>
      </c>
      <c r="AB11" s="4287"/>
      <c r="AC11" s="4288"/>
      <c r="AD11" s="464"/>
      <c r="AE11" s="4286" t="str">
        <f>IF(('الصفحة 1'!$Q$14&gt;0),((IF((H11=""),"ضع عدد التلاميذ",IF((H11=0)," ",IF((H11&gt;0),""))))),"")</f>
        <v/>
      </c>
      <c r="AF11" s="4287"/>
      <c r="AG11" s="4288"/>
      <c r="AI11" s="4286" t="str">
        <f>IF(('الصفحة 1'!$Q$14&gt;0),((IF((I11=""),"ضع عدد التلاميذ",IF((I11=0)," ",IF((I11&gt;0),""))))),"")</f>
        <v/>
      </c>
      <c r="AJ11" s="4287"/>
      <c r="AK11" s="4288"/>
      <c r="AL11" s="1950"/>
      <c r="AM11" s="796"/>
    </row>
    <row r="12" spans="1:39" ht="12" customHeight="1">
      <c r="A12" s="788"/>
      <c r="B12" s="895"/>
      <c r="C12" s="884"/>
      <c r="D12" s="4228" t="s">
        <v>16</v>
      </c>
      <c r="E12" s="4228"/>
      <c r="F12" s="2069">
        <f>'الصفحة 6'!$G$26</f>
        <v>27</v>
      </c>
      <c r="G12" s="2070">
        <f>'الصفحة 6'!$G$27</f>
        <v>11</v>
      </c>
      <c r="H12" s="2069">
        <f>'الصفحة 7'!$G$26</f>
        <v>106</v>
      </c>
      <c r="I12" s="2070">
        <f>'الصفحة 7'!$G$27</f>
        <v>64</v>
      </c>
      <c r="J12" s="2069">
        <f>'الصفحة 8'!$G$26</f>
        <v>26</v>
      </c>
      <c r="K12" s="2070">
        <f>'الصفحة 8'!$G$27</f>
        <v>17</v>
      </c>
      <c r="L12" s="2069">
        <f>'الصفحة 9'!$G$26</f>
        <v>0</v>
      </c>
      <c r="M12" s="2070">
        <f>'الصفحة 9'!$G$27</f>
        <v>0</v>
      </c>
      <c r="N12" s="2069">
        <f t="shared" si="0"/>
        <v>159</v>
      </c>
      <c r="O12" s="2070">
        <f t="shared" si="1"/>
        <v>92</v>
      </c>
      <c r="P12" s="2069">
        <f>'الصفحة 6'!$G$34+'الصفحة 7'!$G$34+'الصفحة 8'!$G$34+'الصفحة 9'!$G$34</f>
        <v>0</v>
      </c>
      <c r="Q12" s="2070">
        <f>'الصفحة 6'!$G$35+'الصفحة 7'!$G$35+'الصفحة 8'!$G$35+'الصفحة 9'!$G$35</f>
        <v>0</v>
      </c>
      <c r="R12" s="764"/>
      <c r="S12" s="820"/>
      <c r="T12" s="793"/>
      <c r="U12" s="4289" t="s">
        <v>16</v>
      </c>
      <c r="V12" s="4289"/>
      <c r="W12" s="4286" t="str">
        <f>IF(('الصفحة 1'!$Q$14&gt;0),((IF((F12=""),"ضع عدد التلاميذ",IF((F12=0)," ",IF((F12&gt;0),""))))),"")</f>
        <v/>
      </c>
      <c r="X12" s="4287"/>
      <c r="Y12" s="4288"/>
      <c r="Z12" s="464"/>
      <c r="AA12" s="4286" t="str">
        <f>IF(('الصفحة 1'!$Q$14&gt;0),((IF((G12=""),"ضع عدد التلاميذ",IF((G12=0)," ",IF((G12&gt;0),""))))),"")</f>
        <v/>
      </c>
      <c r="AB12" s="4287"/>
      <c r="AC12" s="4288"/>
      <c r="AD12" s="464"/>
      <c r="AE12" s="4286" t="str">
        <f>IF(('الصفحة 1'!$Q$14&gt;0),((IF((H12=""),"ضع عدد التلاميذ",IF((H12=0)," ",IF((H12&gt;0),""))))),"")</f>
        <v/>
      </c>
      <c r="AF12" s="4287"/>
      <c r="AG12" s="4288"/>
      <c r="AH12" s="464"/>
      <c r="AI12" s="4286" t="str">
        <f>IF(('الصفحة 1'!$Q$14&gt;0),((IF((I12=""),"ضع عدد التلاميذ",IF((I12=0)," ",IF((I12&gt;0),""))))),"")</f>
        <v/>
      </c>
      <c r="AJ12" s="4287"/>
      <c r="AK12" s="4288"/>
      <c r="AL12" s="1950"/>
      <c r="AM12" s="796"/>
    </row>
    <row r="13" spans="1:39" ht="12" customHeight="1">
      <c r="A13" s="788"/>
      <c r="B13" s="895"/>
      <c r="C13" s="884"/>
      <c r="D13" s="4227" t="s">
        <v>15</v>
      </c>
      <c r="E13" s="4227"/>
      <c r="F13" s="2069">
        <f>'الصفحة 6'!$H$26</f>
        <v>15</v>
      </c>
      <c r="G13" s="2070">
        <f>'الصفحة 6'!$H$27</f>
        <v>5</v>
      </c>
      <c r="H13" s="2069">
        <f>'الصفحة 7'!$H$26</f>
        <v>18</v>
      </c>
      <c r="I13" s="2070">
        <f>'الصفحة 7'!$H$27</f>
        <v>7</v>
      </c>
      <c r="J13" s="2069">
        <f>'الصفحة 8'!$H$26</f>
        <v>98</v>
      </c>
      <c r="K13" s="2070">
        <f>'الصفحة 8'!$H$27</f>
        <v>61</v>
      </c>
      <c r="L13" s="2069">
        <f>'الصفحة 9'!$H$26</f>
        <v>20</v>
      </c>
      <c r="M13" s="2070">
        <f>'الصفحة 9'!$H$27</f>
        <v>6</v>
      </c>
      <c r="N13" s="2069">
        <f t="shared" si="0"/>
        <v>151</v>
      </c>
      <c r="O13" s="2070">
        <f t="shared" si="1"/>
        <v>79</v>
      </c>
      <c r="P13" s="2069">
        <f>'الصفحة 6'!$H$34+'الصفحة 7'!$H$34+'الصفحة 8'!$H$34+'الصفحة 9'!$H$34</f>
        <v>0</v>
      </c>
      <c r="Q13" s="2070">
        <f>'الصفحة 6'!$H$35+'الصفحة 7'!$H$35+'الصفحة 8'!$H$35+'الصفحة 9'!$H$35</f>
        <v>0</v>
      </c>
      <c r="R13" s="764"/>
      <c r="S13" s="820"/>
      <c r="T13" s="793"/>
      <c r="U13" s="4290" t="s">
        <v>15</v>
      </c>
      <c r="V13" s="4290"/>
      <c r="W13" s="4286" t="str">
        <f>IF(('الصفحة 1'!$Q$14&gt;0),((IF((H13=""),"ضع عدد التلاميذ",IF((H13=0)," ",IF((H13&gt;0),""))))),"")</f>
        <v/>
      </c>
      <c r="X13" s="4287"/>
      <c r="Y13" s="4288"/>
      <c r="Z13" s="464"/>
      <c r="AA13" s="4286" t="str">
        <f>IF(('الصفحة 1'!$Q$14&gt;0),((IF((I13=""),"ضع عدد التلاميذ",IF((I13=0)," ",IF((I13&gt;0),""))))),"")</f>
        <v/>
      </c>
      <c r="AB13" s="4287"/>
      <c r="AC13" s="4288"/>
      <c r="AE13" s="4286" t="str">
        <f>IF(('الصفحة 1'!$Q$14&gt;0),((IF((J13=""),"ضع عدد التلاميذ",IF((J13=0)," ",IF((J13&gt;0),""))))),"")</f>
        <v/>
      </c>
      <c r="AF13" s="4287"/>
      <c r="AG13" s="4288"/>
      <c r="AI13" s="4286" t="str">
        <f>IF(('الصفحة 1'!$Q$14&gt;0),((IF((K13=""),"ضع عدد التلاميذ",IF((K13=0)," ",IF((K13&gt;0),""))))),"")</f>
        <v/>
      </c>
      <c r="AJ13" s="4287"/>
      <c r="AK13" s="4288"/>
      <c r="AL13" s="1950"/>
      <c r="AM13" s="796"/>
    </row>
    <row r="14" spans="1:39" ht="12" customHeight="1">
      <c r="A14" s="788"/>
      <c r="B14" s="895"/>
      <c r="C14" s="884"/>
      <c r="D14" s="4228" t="s">
        <v>14</v>
      </c>
      <c r="E14" s="4228"/>
      <c r="F14" s="2069">
        <f>'الصفحة 6'!$I$26</f>
        <v>10</v>
      </c>
      <c r="G14" s="2070">
        <f>'الصفحة 6'!$I$27</f>
        <v>1</v>
      </c>
      <c r="H14" s="2069">
        <f>'الصفحة 7'!$I$26</f>
        <v>6</v>
      </c>
      <c r="I14" s="2070">
        <f>'الصفحة 7'!$I$27</f>
        <v>1</v>
      </c>
      <c r="J14" s="2069">
        <f>'الصفحة 8'!$I$26</f>
        <v>22</v>
      </c>
      <c r="K14" s="2070">
        <f>'الصفحة 8'!$I$27</f>
        <v>10</v>
      </c>
      <c r="L14" s="2069">
        <f>'الصفحة 9'!$I$26</f>
        <v>92</v>
      </c>
      <c r="M14" s="2070">
        <f>'الصفحة 9'!$I$27</f>
        <v>55</v>
      </c>
      <c r="N14" s="2069">
        <f t="shared" si="0"/>
        <v>130</v>
      </c>
      <c r="O14" s="2070">
        <f t="shared" si="1"/>
        <v>67</v>
      </c>
      <c r="P14" s="2069">
        <f>'الصفحة 6'!$I$34+'الصفحة 7'!$I$34+'الصفحة 8'!$I$34+'الصفحة 9'!$I$34</f>
        <v>0</v>
      </c>
      <c r="Q14" s="2070">
        <f>'الصفحة 6'!$I$35+'الصفحة 7'!$I$35+'الصفحة 8'!$I$35+'الصفحة 9'!$I$35</f>
        <v>0</v>
      </c>
      <c r="R14" s="764"/>
      <c r="S14" s="820"/>
      <c r="T14" s="793"/>
      <c r="U14" s="4289" t="s">
        <v>14</v>
      </c>
      <c r="V14" s="4289"/>
      <c r="W14" s="4286" t="str">
        <f>IF(('الصفحة 1'!$Q$14&gt;0),((IF((H14=""),"ضع عدد التلاميذ",IF((H14=0)," ",IF((H14&gt;0),""))))),"")</f>
        <v/>
      </c>
      <c r="X14" s="4287"/>
      <c r="Y14" s="4288"/>
      <c r="Z14" s="464"/>
      <c r="AA14" s="4286" t="str">
        <f>IF(('الصفحة 1'!$Q$14&gt;0),((IF((I14=""),"ضع عدد التلاميذ",IF((I14=0)," ",IF((I14&gt;0),""))))),"")</f>
        <v/>
      </c>
      <c r="AB14" s="4287"/>
      <c r="AC14" s="4288"/>
      <c r="AE14" s="4286" t="str">
        <f>IF(('الصفحة 1'!$Q$14&gt;0),((IF((J14=""),"ضع عدد التلاميذ",IF((J14=0)," ",IF((J14&gt;0),""))))),"")</f>
        <v/>
      </c>
      <c r="AF14" s="4287"/>
      <c r="AG14" s="4288"/>
      <c r="AI14" s="4286" t="str">
        <f>IF(('الصفحة 1'!$Q$14&gt;0),((IF((K14=""),"ضع عدد التلاميذ",IF((K14=0)," ",IF((K14&gt;0),""))))),"")</f>
        <v/>
      </c>
      <c r="AJ14" s="4287"/>
      <c r="AK14" s="4288"/>
      <c r="AL14" s="1950"/>
      <c r="AM14" s="796"/>
    </row>
    <row r="15" spans="1:39" ht="12" customHeight="1">
      <c r="A15" s="788"/>
      <c r="B15" s="895"/>
      <c r="C15" s="884"/>
      <c r="D15" s="4227" t="s">
        <v>13</v>
      </c>
      <c r="E15" s="4227"/>
      <c r="F15" s="2069">
        <f>'الصفحة 6'!$J$26</f>
        <v>5</v>
      </c>
      <c r="G15" s="2070">
        <f>'الصفحة 6'!$J$27</f>
        <v>0</v>
      </c>
      <c r="H15" s="2069">
        <f>'الصفحة 7'!$J$26</f>
        <v>7</v>
      </c>
      <c r="I15" s="2070">
        <f>'الصفحة 7'!$J$27</f>
        <v>2</v>
      </c>
      <c r="J15" s="2069">
        <f>'الصفحة 8'!$J$26</f>
        <v>15</v>
      </c>
      <c r="K15" s="2070">
        <f>'الصفحة 8'!$J$27</f>
        <v>7</v>
      </c>
      <c r="L15" s="2069">
        <f>'الصفحة 9'!$J$26</f>
        <v>33</v>
      </c>
      <c r="M15" s="2070">
        <f>'الصفحة 9'!$J$27</f>
        <v>10</v>
      </c>
      <c r="N15" s="2069">
        <f t="shared" si="0"/>
        <v>60</v>
      </c>
      <c r="O15" s="2070">
        <f t="shared" si="1"/>
        <v>19</v>
      </c>
      <c r="P15" s="2069">
        <f>'الصفحة 6'!$J$34+'الصفحة 7'!$J$34+'الصفحة 8'!$J$34+'الصفحة 9'!$J$34</f>
        <v>0</v>
      </c>
      <c r="Q15" s="2070">
        <f>'الصفحة 6'!$J$35+'الصفحة 7'!$J$35+'الصفحة 8'!$J$35+'الصفحة 9'!$J$35</f>
        <v>0</v>
      </c>
      <c r="R15" s="764"/>
      <c r="S15" s="820"/>
      <c r="T15" s="793"/>
      <c r="U15" s="4290" t="s">
        <v>13</v>
      </c>
      <c r="V15" s="4290"/>
      <c r="W15" s="4286" t="str">
        <f>IF(('الصفحة 1'!$Q$14&gt;0),((IF((H15=""),"ضع عدد التلاميذ",IF((H15=0)," ",IF((H15&gt;0),""))))),"")</f>
        <v/>
      </c>
      <c r="X15" s="4287"/>
      <c r="Y15" s="4288"/>
      <c r="Z15" s="464"/>
      <c r="AA15" s="4286" t="str">
        <f>IF(('الصفحة 1'!$Q$14&gt;0),((IF((I15=""),"ضع عدد التلاميذ",IF((I15=0)," ",IF((I15&gt;0),""))))),"")</f>
        <v/>
      </c>
      <c r="AB15" s="4287"/>
      <c r="AC15" s="4288"/>
      <c r="AE15" s="4286" t="str">
        <f>IF(('الصفحة 1'!$Q$14&gt;0),((IF((J15=""),"ضع عدد التلاميذ",IF((J15=0)," ",IF((J15&gt;0),""))))),"")</f>
        <v/>
      </c>
      <c r="AF15" s="4287"/>
      <c r="AG15" s="4288"/>
      <c r="AI15" s="4286" t="str">
        <f>IF(('الصفحة 1'!$Q$14&gt;0),((IF((K15=""),"ضع عدد التلاميذ",IF((K15=0)," ",IF((K15&gt;0),""))))),"")</f>
        <v/>
      </c>
      <c r="AJ15" s="4287"/>
      <c r="AK15" s="4288"/>
      <c r="AL15" s="1950"/>
      <c r="AM15" s="796"/>
    </row>
    <row r="16" spans="1:39" ht="12" customHeight="1">
      <c r="A16" s="788"/>
      <c r="B16" s="895"/>
      <c r="C16" s="884"/>
      <c r="D16" s="4228" t="s">
        <v>12</v>
      </c>
      <c r="E16" s="4228"/>
      <c r="F16" s="2069">
        <f>'الصفحة 6'!$K$26</f>
        <v>1</v>
      </c>
      <c r="G16" s="2070">
        <f>'الصفحة 6'!$K$27</f>
        <v>0</v>
      </c>
      <c r="H16" s="2069">
        <f>'الصفحة 7'!$K$26</f>
        <v>2</v>
      </c>
      <c r="I16" s="2070">
        <f>'الصفحة 7'!$K$27</f>
        <v>0</v>
      </c>
      <c r="J16" s="2069">
        <f>'الصفحة 8'!$K$26</f>
        <v>2</v>
      </c>
      <c r="K16" s="2070">
        <f>'الصفحة 8'!$K$27</f>
        <v>1</v>
      </c>
      <c r="L16" s="2069">
        <f>'الصفحة 9'!$K$26</f>
        <v>15</v>
      </c>
      <c r="M16" s="2070">
        <f>'الصفحة 9'!$K$27</f>
        <v>4</v>
      </c>
      <c r="N16" s="2069">
        <f t="shared" si="0"/>
        <v>20</v>
      </c>
      <c r="O16" s="2070">
        <f t="shared" si="1"/>
        <v>5</v>
      </c>
      <c r="P16" s="2069">
        <f>'الصفحة 6'!$K$34+'الصفحة 7'!$K$34+'الصفحة 8'!$K$34+'الصفحة 9'!$K$34</f>
        <v>0</v>
      </c>
      <c r="Q16" s="2070">
        <f>'الصفحة 6'!$K$35+'الصفحة 7'!$K$35+'الصفحة 8'!$K$35+'الصفحة 9'!$K$35</f>
        <v>0</v>
      </c>
      <c r="R16" s="764"/>
      <c r="S16" s="820"/>
      <c r="T16" s="793"/>
      <c r="U16" s="4289" t="s">
        <v>12</v>
      </c>
      <c r="V16" s="4289"/>
      <c r="W16" s="4286" t="str">
        <f>IF(('الصفحة 1'!$Q$14&gt;0),((IF((J16=""),"ضع عدد التلاميذ",IF((J16=0)," ",IF((J16&gt;0),""))))),"")</f>
        <v/>
      </c>
      <c r="X16" s="4287"/>
      <c r="Y16" s="4288"/>
      <c r="Z16" s="464"/>
      <c r="AA16" s="4286" t="str">
        <f>IF(('الصفحة 1'!$Q$14&gt;0),((IF((K16=""),"ضع عدد التلاميذ",IF((K16=0)," ",IF((K16&gt;0),""))))),"")</f>
        <v/>
      </c>
      <c r="AB16" s="4287"/>
      <c r="AC16" s="4288"/>
      <c r="AD16" s="464"/>
      <c r="AE16" s="4286" t="str">
        <f>IF(('الصفحة 1'!$Q$14&gt;0),((IF((L16=""),"ضع عدد التلاميذ",IF((L16=0)," ",IF((L16&gt;0),""))))),"")</f>
        <v/>
      </c>
      <c r="AF16" s="4287"/>
      <c r="AG16" s="4288"/>
      <c r="AI16" s="4286" t="str">
        <f>IF(('الصفحة 1'!$Q$14&gt;0),((IF((M16=""),"ضع عدد التلاميذ",IF((M16=0)," ",IF((M16&gt;0),""))))),"")</f>
        <v/>
      </c>
      <c r="AJ16" s="4287"/>
      <c r="AK16" s="4288"/>
      <c r="AL16" s="1950"/>
      <c r="AM16" s="796"/>
    </row>
    <row r="17" spans="1:39" ht="12" customHeight="1">
      <c r="A17" s="788"/>
      <c r="B17" s="895"/>
      <c r="C17" s="884"/>
      <c r="D17" s="4227" t="s">
        <v>11</v>
      </c>
      <c r="E17" s="4227"/>
      <c r="F17" s="2069">
        <f>'الصفحة 6'!$L$26</f>
        <v>0</v>
      </c>
      <c r="G17" s="2070">
        <f>'الصفحة 6'!$L$27</f>
        <v>0</v>
      </c>
      <c r="H17" s="2069">
        <f>'الصفحة 7'!$L$26</f>
        <v>0</v>
      </c>
      <c r="I17" s="2070">
        <f>'الصفحة 7'!$L$27</f>
        <v>0</v>
      </c>
      <c r="J17" s="2069">
        <f>'الصفحة 8'!$L$26</f>
        <v>1</v>
      </c>
      <c r="K17" s="2070">
        <f>'الصفحة 8'!$L$27</f>
        <v>0</v>
      </c>
      <c r="L17" s="2069">
        <f>'الصفحة 9'!$L$26</f>
        <v>3</v>
      </c>
      <c r="M17" s="2070">
        <f>'الصفحة 9'!$L$27</f>
        <v>0</v>
      </c>
      <c r="N17" s="2069">
        <f t="shared" si="0"/>
        <v>4</v>
      </c>
      <c r="O17" s="2070">
        <f t="shared" si="1"/>
        <v>0</v>
      </c>
      <c r="P17" s="2069">
        <f>'الصفحة 6'!$L$34+'الصفحة 7'!$L$34+'الصفحة 8'!$L$34+'الصفحة 9'!$L$34</f>
        <v>0</v>
      </c>
      <c r="Q17" s="2070">
        <f>'الصفحة 6'!$L$35+'الصفحة 7'!$L$35+'الصفحة 8'!$L$35+'الصفحة 9'!$L$35</f>
        <v>0</v>
      </c>
      <c r="R17" s="764"/>
      <c r="S17" s="820"/>
      <c r="T17" s="793"/>
      <c r="U17" s="4290" t="s">
        <v>11</v>
      </c>
      <c r="V17" s="4290"/>
      <c r="W17" s="4286" t="str">
        <f>IF(('الصفحة 1'!$Q$14&gt;0),((IF((J17=""),"ضع عدد التلاميذ",IF((J17=0)," ",IF((J17&gt;0),""))))),"")</f>
        <v/>
      </c>
      <c r="X17" s="4287"/>
      <c r="Y17" s="4288"/>
      <c r="Z17" s="464"/>
      <c r="AA17" s="4286" t="str">
        <f>IF(('الصفحة 1'!$Q$14&gt;0),((IF((K17=""),"ضع عدد التلاميذ",IF((K17=0)," ",IF((K17&gt;0),""))))),"")</f>
        <v xml:space="preserve"> </v>
      </c>
      <c r="AB17" s="4287"/>
      <c r="AC17" s="4288"/>
      <c r="AD17" s="464"/>
      <c r="AE17" s="4286" t="str">
        <f>IF(('الصفحة 1'!$Q$14&gt;0),((IF((L17=""),"ضع عدد التلاميذ",IF((L17=0)," ",IF((L17&gt;0),""))))),"")</f>
        <v/>
      </c>
      <c r="AF17" s="4287"/>
      <c r="AG17" s="4288"/>
      <c r="AI17" s="4286" t="str">
        <f>IF(('الصفحة 1'!$Q$14&gt;0),((IF((M17=""),"ضع عدد التلاميذ",IF((M17=0)," ",IF((M17&gt;0),""))))),"")</f>
        <v xml:space="preserve"> </v>
      </c>
      <c r="AJ17" s="4287"/>
      <c r="AK17" s="4288"/>
      <c r="AL17" s="1950"/>
      <c r="AM17" s="796"/>
    </row>
    <row r="18" spans="1:39" ht="12" customHeight="1">
      <c r="A18" s="788"/>
      <c r="B18" s="895"/>
      <c r="C18" s="884"/>
      <c r="D18" s="4228" t="s">
        <v>10</v>
      </c>
      <c r="E18" s="4228"/>
      <c r="F18" s="2069">
        <f>'الصفحة 6'!$M$26</f>
        <v>0</v>
      </c>
      <c r="G18" s="2070">
        <f>'الصفحة 6'!$M$27</f>
        <v>0</v>
      </c>
      <c r="H18" s="2069">
        <f>'الصفحة 7'!$M$26</f>
        <v>0</v>
      </c>
      <c r="I18" s="2070">
        <f>'الصفحة 7'!$M$27</f>
        <v>0</v>
      </c>
      <c r="J18" s="2069">
        <f>'الصفحة 8'!$M$26</f>
        <v>0</v>
      </c>
      <c r="K18" s="2070">
        <f>'الصفحة 8'!$M$27</f>
        <v>0</v>
      </c>
      <c r="L18" s="2069">
        <f>'الصفحة 9'!$M$26</f>
        <v>0</v>
      </c>
      <c r="M18" s="2070">
        <f>'الصفحة 9'!$M$27</f>
        <v>0</v>
      </c>
      <c r="N18" s="2069">
        <f t="shared" si="0"/>
        <v>0</v>
      </c>
      <c r="O18" s="2070">
        <f t="shared" si="1"/>
        <v>0</v>
      </c>
      <c r="P18" s="2069">
        <f>'الصفحة 6'!$M$34+'الصفحة 7'!$M$34+'الصفحة 8'!$M$34+'الصفحة 9'!$M$34</f>
        <v>0</v>
      </c>
      <c r="Q18" s="2070">
        <f>'الصفحة 6'!$M$35+'الصفحة 7'!$M$35+'الصفحة 8'!$M$35+'الصفحة 9'!$M$35</f>
        <v>0</v>
      </c>
      <c r="R18" s="764"/>
      <c r="S18" s="820"/>
      <c r="T18" s="793"/>
      <c r="U18" s="4289" t="s">
        <v>10</v>
      </c>
      <c r="V18" s="4289"/>
      <c r="W18" s="4286" t="str">
        <f>IF(('الصفحة 1'!$Q$14&gt;0),((IF((J18=""),"ضع عدد التلاميذ",IF((J18=0)," ",IF((J18&gt;0),""))))),"")</f>
        <v xml:space="preserve"> </v>
      </c>
      <c r="X18" s="4287"/>
      <c r="Y18" s="4288"/>
      <c r="Z18" s="464"/>
      <c r="AA18" s="4286" t="str">
        <f>IF(('الصفحة 1'!$Q$14&gt;0),((IF((K18=""),"ضع عدد التلاميذ",IF((K18=0)," ",IF((K18&gt;0),""))))),"")</f>
        <v xml:space="preserve"> </v>
      </c>
      <c r="AB18" s="4287"/>
      <c r="AC18" s="4288"/>
      <c r="AD18" s="464"/>
      <c r="AE18" s="4286" t="str">
        <f>IF(('الصفحة 1'!$Q$14&gt;0),((IF((L18=""),"ضع عدد التلاميذ",IF((L18=0)," ",IF((L18&gt;0),""))))),"")</f>
        <v xml:space="preserve"> </v>
      </c>
      <c r="AF18" s="4287"/>
      <c r="AG18" s="4288"/>
      <c r="AI18" s="4286" t="str">
        <f>IF(('الصفحة 1'!$Q$14&gt;0),((IF((M18=""),"ضع عدد التلاميذ",IF((M18=0)," ",IF((M18&gt;0),""))))),"")</f>
        <v xml:space="preserve"> </v>
      </c>
      <c r="AJ18" s="4287"/>
      <c r="AK18" s="4288"/>
      <c r="AL18" s="1950"/>
      <c r="AM18" s="796"/>
    </row>
    <row r="19" spans="1:39" ht="12" customHeight="1">
      <c r="A19" s="788"/>
      <c r="B19" s="895"/>
      <c r="C19" s="884"/>
      <c r="D19" s="4227" t="s">
        <v>9</v>
      </c>
      <c r="E19" s="4227"/>
      <c r="F19" s="2071">
        <f>'الصفحة 6'!$N$26</f>
        <v>0</v>
      </c>
      <c r="G19" s="2072">
        <f>'الصفحة 6'!$N$27</f>
        <v>0</v>
      </c>
      <c r="H19" s="2071">
        <f>'الصفحة 7'!$N$26</f>
        <v>0</v>
      </c>
      <c r="I19" s="2072">
        <f>'الصفحة 7'!$N$27</f>
        <v>0</v>
      </c>
      <c r="J19" s="2071">
        <f>'الصفحة 8'!$N$26</f>
        <v>0</v>
      </c>
      <c r="K19" s="2072">
        <f>'الصفحة 8'!$N$27</f>
        <v>0</v>
      </c>
      <c r="L19" s="2071">
        <f>'الصفحة 9'!$N$26</f>
        <v>0</v>
      </c>
      <c r="M19" s="2072">
        <f>'الصفحة 9'!$N$27</f>
        <v>0</v>
      </c>
      <c r="N19" s="2071">
        <f t="shared" si="0"/>
        <v>0</v>
      </c>
      <c r="O19" s="2072">
        <f t="shared" si="1"/>
        <v>0</v>
      </c>
      <c r="P19" s="2071">
        <f>'الصفحة 6'!$N$34+'الصفحة 7'!$N$34+'الصفحة 8'!$N$34+'الصفحة 9'!$N$34</f>
        <v>0</v>
      </c>
      <c r="Q19" s="2072">
        <f>'الصفحة 6'!$N$35+'الصفحة 7'!$N$35+'الصفحة 8'!$N$35+'الصفحة 9'!$N$35</f>
        <v>0</v>
      </c>
      <c r="R19" s="764"/>
      <c r="S19" s="820"/>
      <c r="T19" s="793"/>
      <c r="U19" s="4290" t="s">
        <v>9</v>
      </c>
      <c r="V19" s="4290"/>
      <c r="W19" s="4286" t="str">
        <f>IF(('الصفحة 1'!$Q$14&gt;0),((IF((J19=""),"ضع عدد التلاميذ",IF((J19=0)," ",IF((J19&gt;0),""))))),"")</f>
        <v xml:space="preserve"> </v>
      </c>
      <c r="X19" s="4287"/>
      <c r="Y19" s="4288"/>
      <c r="Z19" s="464"/>
      <c r="AA19" s="4286" t="str">
        <f>IF(('الصفحة 1'!$Q$14&gt;0),((IF((K19=""),"ضع عدد التلاميذ",IF((K19=0)," ",IF((K19&gt;0),""))))),"")</f>
        <v xml:space="preserve"> </v>
      </c>
      <c r="AB19" s="4287"/>
      <c r="AC19" s="4288"/>
      <c r="AD19" s="464"/>
      <c r="AE19" s="4286" t="str">
        <f>IF(('الصفحة 1'!$Q$14&gt;0),((IF((L19=""),"ضع عدد التلاميذ",IF((L19=0)," ",IF((L19&gt;0),""))))),"")</f>
        <v xml:space="preserve"> </v>
      </c>
      <c r="AF19" s="4287"/>
      <c r="AG19" s="4288"/>
      <c r="AI19" s="4286" t="str">
        <f>IF(('الصفحة 1'!$Q$14&gt;0),((IF((M19=""),"ضع عدد التلاميذ",IF((M19=0)," ",IF((M19&gt;0),""))))),"")</f>
        <v xml:space="preserve"> </v>
      </c>
      <c r="AJ19" s="4287"/>
      <c r="AK19" s="4288"/>
      <c r="AL19" s="1950"/>
      <c r="AM19" s="796"/>
    </row>
    <row r="20" spans="1:39" ht="12" customHeight="1">
      <c r="A20" s="788"/>
      <c r="B20" s="895"/>
      <c r="C20" s="884"/>
      <c r="D20" s="4230" t="s">
        <v>28</v>
      </c>
      <c r="E20" s="4231"/>
      <c r="F20" s="2082">
        <f t="shared" ref="F20:Q20" si="2">SUM(F10:F19)</f>
        <v>238</v>
      </c>
      <c r="G20" s="2151">
        <f t="shared" si="2"/>
        <v>103</v>
      </c>
      <c r="H20" s="2082">
        <f t="shared" si="2"/>
        <v>173</v>
      </c>
      <c r="I20" s="2151">
        <f t="shared" si="2"/>
        <v>85</v>
      </c>
      <c r="J20" s="2082">
        <f t="shared" si="2"/>
        <v>164</v>
      </c>
      <c r="K20" s="2151">
        <f t="shared" si="2"/>
        <v>96</v>
      </c>
      <c r="L20" s="2082">
        <f t="shared" si="2"/>
        <v>163</v>
      </c>
      <c r="M20" s="2151">
        <f t="shared" si="2"/>
        <v>75</v>
      </c>
      <c r="N20" s="2082">
        <f t="shared" si="2"/>
        <v>738</v>
      </c>
      <c r="O20" s="2151">
        <f t="shared" si="2"/>
        <v>359</v>
      </c>
      <c r="P20" s="2082">
        <f t="shared" si="2"/>
        <v>0</v>
      </c>
      <c r="Q20" s="2151">
        <f t="shared" si="2"/>
        <v>0</v>
      </c>
      <c r="R20" s="764"/>
      <c r="S20" s="820"/>
      <c r="T20" s="793"/>
      <c r="U20" s="1950"/>
      <c r="V20" s="1950"/>
      <c r="W20" s="4286" t="str">
        <f>IF(('الصفحة 1'!$Q$14&gt;0),((IF((N20=0),"",IF((N20&lt;'الصفحة 12'!M9)," خطء في عدد التلاميذ",IF((N20&gt;'الصفحة 12'!M9),""))))),"")</f>
        <v/>
      </c>
      <c r="X20" s="4287"/>
      <c r="Y20" s="4288"/>
      <c r="Z20" s="464"/>
      <c r="AA20" s="4286" t="str">
        <f>IF(('الصفحة 1'!$Q$14&gt;0),((IF((N20=0),"",IF((N20&lt;N21)," خطء في عدد الأجانب",IF((N20&gt;N21),""))))),"")</f>
        <v/>
      </c>
      <c r="AB20" s="4287"/>
      <c r="AC20" s="4288"/>
      <c r="AD20" s="464"/>
      <c r="AE20" s="464"/>
      <c r="AF20" s="464"/>
      <c r="AG20" s="464"/>
      <c r="AH20" s="464"/>
      <c r="AI20" s="464"/>
      <c r="AJ20" s="464"/>
      <c r="AK20" s="464"/>
      <c r="AL20" s="1950"/>
      <c r="AM20" s="796"/>
    </row>
    <row r="21" spans="1:39" ht="12" customHeight="1">
      <c r="A21" s="788"/>
      <c r="B21" s="895"/>
      <c r="C21" s="884"/>
      <c r="D21" s="4229" t="s">
        <v>561</v>
      </c>
      <c r="E21" s="4229"/>
      <c r="F21" s="2083">
        <f>'الصفحة 6'!$O$34</f>
        <v>0</v>
      </c>
      <c r="G21" s="2152">
        <f>'الصفحة 6'!$O$35</f>
        <v>0</v>
      </c>
      <c r="H21" s="2083">
        <f>'الصفحة 7'!$O$34</f>
        <v>0</v>
      </c>
      <c r="I21" s="2152">
        <f>'الصفحة 7'!$O$35</f>
        <v>0</v>
      </c>
      <c r="J21" s="2083">
        <f>'الصفحة 8'!$O$34</f>
        <v>0</v>
      </c>
      <c r="K21" s="2152">
        <f>'الصفحة 8'!$O$35</f>
        <v>0</v>
      </c>
      <c r="L21" s="2083">
        <f>'الصفحة 9'!$O$34</f>
        <v>0</v>
      </c>
      <c r="M21" s="2152">
        <f>'الصفحة 9'!$O$35</f>
        <v>0</v>
      </c>
      <c r="N21" s="2083">
        <f>L21+J21+H21+F21</f>
        <v>0</v>
      </c>
      <c r="O21" s="2152">
        <f>M21+K21+I21+G21</f>
        <v>0</v>
      </c>
      <c r="P21" s="1923" t="str">
        <f>IF(('الصفحة 1'!$Q$14&gt;0),IF((P20&gt;0),IF((P20&lt;&gt;N21),"خطء الأجانب",""),""),"")</f>
        <v/>
      </c>
      <c r="Q21" s="1923" t="str">
        <f>IF(('الصفحة 1'!$Q$14&gt;0),IF((Q20&gt;0),IF((Q20&lt;&gt;O21),"خطء الأجانب",""),""),"")</f>
        <v/>
      </c>
      <c r="R21" s="764"/>
      <c r="S21" s="820"/>
      <c r="T21" s="793"/>
      <c r="U21" s="2676"/>
      <c r="V21" s="2677"/>
      <c r="W21" s="2678"/>
      <c r="X21" s="1624"/>
      <c r="Y21" s="1624"/>
      <c r="Z21" s="1624"/>
      <c r="AA21" s="1624"/>
      <c r="AB21" s="1624"/>
      <c r="AC21" s="1624"/>
      <c r="AD21" s="1624"/>
      <c r="AE21" s="1624"/>
      <c r="AF21" s="1624"/>
      <c r="AG21" s="2679"/>
      <c r="AH21" s="2679"/>
      <c r="AI21" s="4285"/>
      <c r="AJ21" s="4285"/>
      <c r="AK21" s="4285"/>
      <c r="AL21" s="1950"/>
      <c r="AM21" s="796"/>
    </row>
    <row r="22" spans="1:39" ht="8.1" customHeight="1">
      <c r="A22" s="788"/>
      <c r="B22" s="895"/>
      <c r="C22" s="884"/>
      <c r="D22" s="649"/>
      <c r="E22" s="649"/>
      <c r="F22" s="2332" t="str">
        <f>IF(('الصفحة 1'!$Q$14&gt;0),IF((F21&gt;0),IF((F21&gt;F20),"خطء الأجانب",""),""),"")</f>
        <v/>
      </c>
      <c r="G22" s="2332" t="str">
        <f>IF(('الصفحة 1'!$Q$14&gt;0),IF((G21&gt;0),IF((G21&gt;G20),"خطء الأجانب",""),""),"")</f>
        <v/>
      </c>
      <c r="H22" s="2332" t="str">
        <f>IF(('الصفحة 1'!$Q$14&gt;0),IF((H21&gt;0),IF((H21&gt;H20),"خطء الأجانب",""),""),"")</f>
        <v/>
      </c>
      <c r="I22" s="2332" t="str">
        <f>IF(('الصفحة 1'!$Q$14&gt;0),IF((I21&gt;0),IF((I21&gt;I20),"خطء الأجانب",""),""),"")</f>
        <v/>
      </c>
      <c r="J22" s="2332" t="str">
        <f>IF(('الصفحة 1'!$Q$14&gt;0),IF((J21&gt;0),IF((J21&gt;J20),"خطء الأجانب",""),""),"")</f>
        <v/>
      </c>
      <c r="K22" s="2332" t="str">
        <f>IF(('الصفحة 1'!$Q$14&gt;0),IF((K21&gt;0),IF((K21&gt;K20),"خطء الأجانب",""),""),"")</f>
        <v/>
      </c>
      <c r="L22" s="2332" t="str">
        <f>IF(('الصفحة 1'!$Q$14&gt;0),IF((L21&gt;0),IF((L21&gt;L20),"خطء الأجانب",""),""),"")</f>
        <v/>
      </c>
      <c r="M22" s="2332" t="str">
        <f>IF(('الصفحة 1'!$Q$14&gt;0),IF((M21&gt;0),IF((M21&gt;M20),"خطء الأجانب",""),""),"")</f>
        <v/>
      </c>
      <c r="N22" s="2332" t="str">
        <f>IF(('الصفحة 1'!$Q$14&gt;0),IF((N21&gt;0),IF((N21&gt;N20),"خطء الأجانب",""),""),"")</f>
        <v/>
      </c>
      <c r="O22" s="2332" t="str">
        <f>IF(('الصفحة 1'!$Q$14&gt;0),IF((O21&gt;0),IF((O21&gt;O20),"خطء الأجانب",""),""),"")</f>
        <v/>
      </c>
      <c r="P22" s="649"/>
      <c r="Q22" s="649"/>
      <c r="R22" s="764"/>
      <c r="S22" s="820"/>
      <c r="T22" s="793"/>
      <c r="U22" s="2676"/>
      <c r="V22" s="2677"/>
      <c r="W22" s="2678"/>
      <c r="X22" s="2680"/>
      <c r="Y22" s="2680"/>
      <c r="Z22" s="2680"/>
      <c r="AA22" s="2680"/>
      <c r="AB22" s="2680"/>
      <c r="AC22" s="2680"/>
      <c r="AD22" s="2680"/>
      <c r="AE22" s="2680"/>
      <c r="AF22" s="2680"/>
      <c r="AG22" s="2679"/>
      <c r="AH22" s="2679"/>
      <c r="AI22" s="4285"/>
      <c r="AJ22" s="4285"/>
      <c r="AK22" s="4285"/>
      <c r="AL22" s="1950"/>
      <c r="AM22" s="796"/>
    </row>
    <row r="23" spans="1:39" ht="14.1" customHeight="1" thickBot="1">
      <c r="A23" s="788"/>
      <c r="B23" s="895"/>
      <c r="C23" s="954"/>
      <c r="D23" s="2322" t="s">
        <v>1419</v>
      </c>
      <c r="E23" s="989"/>
      <c r="F23" s="955"/>
      <c r="G23" s="955"/>
      <c r="H23" s="955"/>
      <c r="I23" s="776"/>
      <c r="J23" s="955"/>
      <c r="K23" s="955"/>
      <c r="L23" s="955"/>
      <c r="M23" s="955"/>
      <c r="N23" s="955"/>
      <c r="O23" s="955"/>
      <c r="P23" s="4284" t="s">
        <v>1208</v>
      </c>
      <c r="Q23" s="4284"/>
      <c r="R23" s="801"/>
      <c r="S23" s="820"/>
      <c r="T23" s="793"/>
      <c r="U23" s="2681"/>
      <c r="V23" s="4291" t="s">
        <v>1270</v>
      </c>
      <c r="W23" s="4291"/>
      <c r="X23" s="4291"/>
      <c r="Y23" s="4291"/>
      <c r="Z23" s="4291"/>
      <c r="AA23" s="4291"/>
      <c r="AB23" s="4291"/>
      <c r="AC23" s="4291"/>
      <c r="AD23" s="4291"/>
      <c r="AE23" s="4291"/>
      <c r="AF23" s="4291"/>
      <c r="AG23" s="4291"/>
      <c r="AH23" s="2681"/>
      <c r="AI23" s="2681"/>
      <c r="AJ23" s="2681"/>
      <c r="AK23" s="2681"/>
      <c r="AL23" s="1950"/>
      <c r="AM23" s="796"/>
    </row>
    <row r="24" spans="1:39" ht="2.1" customHeight="1">
      <c r="A24" s="788"/>
      <c r="B24" s="895"/>
      <c r="C24" s="884"/>
      <c r="D24" s="2267"/>
      <c r="E24" s="649"/>
      <c r="F24" s="649"/>
      <c r="G24" s="649"/>
      <c r="H24" s="649"/>
      <c r="I24" s="649"/>
      <c r="J24" s="649"/>
      <c r="K24" s="649"/>
      <c r="L24" s="649"/>
      <c r="M24" s="649"/>
      <c r="N24" s="649"/>
      <c r="O24" s="649"/>
      <c r="P24" s="649"/>
      <c r="Q24" s="649"/>
      <c r="R24" s="811"/>
      <c r="S24" s="820"/>
      <c r="T24" s="793"/>
      <c r="U24" s="2682"/>
      <c r="V24" s="4291"/>
      <c r="W24" s="4291"/>
      <c r="X24" s="4291"/>
      <c r="Y24" s="4291"/>
      <c r="Z24" s="4291"/>
      <c r="AA24" s="4291"/>
      <c r="AB24" s="4291"/>
      <c r="AC24" s="4291"/>
      <c r="AD24" s="4291"/>
      <c r="AE24" s="4291"/>
      <c r="AF24" s="4291"/>
      <c r="AG24" s="4291"/>
      <c r="AH24" s="2683"/>
      <c r="AI24" s="2684"/>
      <c r="AJ24" s="2684"/>
      <c r="AK24" s="2685"/>
      <c r="AL24" s="1950"/>
      <c r="AM24" s="796"/>
    </row>
    <row r="25" spans="1:39" ht="14.1" customHeight="1">
      <c r="A25" s="788"/>
      <c r="B25" s="895"/>
      <c r="C25" s="2323" t="s">
        <v>1036</v>
      </c>
      <c r="D25" s="2324"/>
      <c r="E25" s="2325"/>
      <c r="F25" s="4234" t="s">
        <v>25</v>
      </c>
      <c r="G25" s="4235"/>
      <c r="H25" s="4232" t="s">
        <v>24</v>
      </c>
      <c r="I25" s="4233"/>
      <c r="J25" s="4234" t="s">
        <v>23</v>
      </c>
      <c r="K25" s="4235"/>
      <c r="L25" s="4232" t="s">
        <v>22</v>
      </c>
      <c r="M25" s="4233"/>
      <c r="N25" s="4273" t="s">
        <v>28</v>
      </c>
      <c r="O25" s="4274"/>
      <c r="P25" s="4271"/>
      <c r="Q25" s="4272"/>
      <c r="R25" s="811"/>
      <c r="S25" s="820"/>
      <c r="T25" s="793"/>
      <c r="U25" s="2686" t="s">
        <v>562</v>
      </c>
      <c r="V25" s="2687"/>
      <c r="W25" s="4236" t="s">
        <v>25</v>
      </c>
      <c r="X25" s="4237"/>
      <c r="Y25" s="2531"/>
      <c r="Z25" s="2688"/>
      <c r="AA25" s="4236" t="s">
        <v>24</v>
      </c>
      <c r="AB25" s="4237"/>
      <c r="AC25" s="2689"/>
      <c r="AD25" s="2531"/>
      <c r="AE25" s="4236" t="s">
        <v>23</v>
      </c>
      <c r="AF25" s="4237"/>
      <c r="AG25" s="2531"/>
      <c r="AH25" s="2688"/>
      <c r="AI25" s="4236" t="s">
        <v>22</v>
      </c>
      <c r="AJ25" s="4237"/>
      <c r="AK25" s="2690"/>
      <c r="AL25" s="1950"/>
      <c r="AM25" s="796"/>
    </row>
    <row r="26" spans="1:39" ht="9.9" customHeight="1">
      <c r="A26" s="788"/>
      <c r="B26" s="895"/>
      <c r="C26" s="884"/>
      <c r="D26" s="4227" t="s">
        <v>21</v>
      </c>
      <c r="E26" s="4227"/>
      <c r="F26" s="2326" t="s">
        <v>20</v>
      </c>
      <c r="G26" s="2327" t="s">
        <v>19</v>
      </c>
      <c r="H26" s="2328" t="s">
        <v>20</v>
      </c>
      <c r="I26" s="2329" t="s">
        <v>19</v>
      </c>
      <c r="J26" s="2326" t="s">
        <v>20</v>
      </c>
      <c r="K26" s="2327" t="s">
        <v>19</v>
      </c>
      <c r="L26" s="2328" t="s">
        <v>20</v>
      </c>
      <c r="M26" s="2329" t="s">
        <v>19</v>
      </c>
      <c r="N26" s="2330" t="s">
        <v>20</v>
      </c>
      <c r="O26" s="2331" t="s">
        <v>19</v>
      </c>
      <c r="P26" s="1919"/>
      <c r="Q26" s="1920"/>
      <c r="R26" s="764"/>
      <c r="S26" s="820"/>
      <c r="T26" s="793"/>
      <c r="U26" s="2686"/>
      <c r="V26" s="2691"/>
      <c r="W26" s="2692" t="s">
        <v>20</v>
      </c>
      <c r="X26" s="2693" t="s">
        <v>19</v>
      </c>
      <c r="Y26" s="2531"/>
      <c r="Z26" s="2694"/>
      <c r="AA26" s="2692" t="s">
        <v>20</v>
      </c>
      <c r="AB26" s="2693" t="s">
        <v>19</v>
      </c>
      <c r="AC26" s="2689"/>
      <c r="AD26" s="2695"/>
      <c r="AE26" s="2692" t="s">
        <v>20</v>
      </c>
      <c r="AF26" s="2693" t="s">
        <v>19</v>
      </c>
      <c r="AG26" s="2531"/>
      <c r="AH26" s="2694"/>
      <c r="AI26" s="2692" t="s">
        <v>20</v>
      </c>
      <c r="AJ26" s="2693" t="s">
        <v>19</v>
      </c>
      <c r="AK26" s="2690"/>
      <c r="AL26" s="1950"/>
      <c r="AM26" s="796"/>
    </row>
    <row r="27" spans="1:39" ht="12" customHeight="1">
      <c r="A27" s="788"/>
      <c r="B27" s="895"/>
      <c r="C27" s="884"/>
      <c r="D27" s="4228" t="s">
        <v>18</v>
      </c>
      <c r="E27" s="4228"/>
      <c r="F27" s="2069">
        <f>'الصفحة 6'!$E$42</f>
        <v>0</v>
      </c>
      <c r="G27" s="2070">
        <f>'الصفحة 6'!$E$43</f>
        <v>0</v>
      </c>
      <c r="H27" s="2067">
        <f>'الصفحة 7'!$E$42</f>
        <v>0</v>
      </c>
      <c r="I27" s="2068">
        <f>'الصفحة 7'!$E$43</f>
        <v>0</v>
      </c>
      <c r="J27" s="2067">
        <f>'الصفحة 8'!$E$42</f>
        <v>0</v>
      </c>
      <c r="K27" s="2068">
        <f>'الصفحة 8'!$E$43</f>
        <v>0</v>
      </c>
      <c r="L27" s="2067">
        <f>'الصفحة 9'!$E$42</f>
        <v>0</v>
      </c>
      <c r="M27" s="2068">
        <f>'الصفحة 9'!$E$43</f>
        <v>0</v>
      </c>
      <c r="N27" s="2067">
        <f t="shared" ref="N27:N36" si="3">L27+J27+H27+F27</f>
        <v>0</v>
      </c>
      <c r="O27" s="2068">
        <f t="shared" ref="O27:O36" si="4">M27+K27+I27+G27</f>
        <v>0</v>
      </c>
      <c r="P27" s="1921"/>
      <c r="Q27" s="1922"/>
      <c r="R27" s="764"/>
      <c r="S27" s="820"/>
      <c r="T27" s="793"/>
      <c r="U27" s="2696" t="s">
        <v>18</v>
      </c>
      <c r="V27" s="2697"/>
      <c r="W27" s="3755" t="str">
        <f>IF(F10&gt;=F27," ","خطأ")</f>
        <v xml:space="preserve"> </v>
      </c>
      <c r="X27" s="3756" t="str">
        <f t="shared" ref="X27:X36" si="5">IF(G10&gt;=G27," ","خطأ")</f>
        <v xml:space="preserve"> </v>
      </c>
      <c r="Y27" s="3757"/>
      <c r="Z27" s="3758"/>
      <c r="AA27" s="3755" t="str">
        <f t="shared" ref="AA27:AA36" si="6">IF(H10&gt;=H27," ","خطأ")</f>
        <v xml:space="preserve"> </v>
      </c>
      <c r="AB27" s="3756" t="str">
        <f t="shared" ref="AB27:AB36" si="7">IF(I10&gt;=I27," ","خطأ")</f>
        <v xml:space="preserve"> </v>
      </c>
      <c r="AC27" s="3759"/>
      <c r="AD27" s="3757"/>
      <c r="AE27" s="3755" t="str">
        <f t="shared" ref="AE27:AE36" si="8">IF(J10&gt;=J27," ","خطأ")</f>
        <v xml:space="preserve"> </v>
      </c>
      <c r="AF27" s="3756" t="str">
        <f t="shared" ref="AF27:AF36" si="9">IF(K10&gt;=K27," ","خطأ")</f>
        <v xml:space="preserve"> </v>
      </c>
      <c r="AG27" s="3757"/>
      <c r="AH27" s="3758"/>
      <c r="AI27" s="3755" t="str">
        <f t="shared" ref="AI27:AI36" si="10">IF(L10&gt;=L27," ","خطأ")</f>
        <v xml:space="preserve"> </v>
      </c>
      <c r="AJ27" s="3756" t="str">
        <f t="shared" ref="AJ27:AJ36" si="11">IF(M10&gt;=M27," ","خطأ")</f>
        <v xml:space="preserve"> </v>
      </c>
      <c r="AK27" s="2698"/>
      <c r="AL27" s="1950"/>
      <c r="AM27" s="796"/>
    </row>
    <row r="28" spans="1:39" ht="12" customHeight="1">
      <c r="A28" s="788"/>
      <c r="B28" s="895"/>
      <c r="C28" s="884"/>
      <c r="D28" s="4227" t="s">
        <v>17</v>
      </c>
      <c r="E28" s="4227"/>
      <c r="F28" s="2069">
        <f>'الصفحة 6'!$F$42</f>
        <v>4</v>
      </c>
      <c r="G28" s="2070">
        <f>'الصفحة 6'!$F$43</f>
        <v>0</v>
      </c>
      <c r="H28" s="2069">
        <f>'الصفحة 7'!$F$42</f>
        <v>0</v>
      </c>
      <c r="I28" s="2070">
        <f>'الصفحة 7'!$F$43</f>
        <v>0</v>
      </c>
      <c r="J28" s="2069">
        <f>'الصفحة 8'!$F$42</f>
        <v>0</v>
      </c>
      <c r="K28" s="2070">
        <f>'الصفحة 8'!$F$43</f>
        <v>0</v>
      </c>
      <c r="L28" s="2069">
        <f>'الصفحة 9'!$F$42</f>
        <v>0</v>
      </c>
      <c r="M28" s="2070">
        <f>'الصفحة 9'!$F$43</f>
        <v>0</v>
      </c>
      <c r="N28" s="2069">
        <f t="shared" si="3"/>
        <v>4</v>
      </c>
      <c r="O28" s="2070">
        <f t="shared" si="4"/>
        <v>0</v>
      </c>
      <c r="P28" s="1921"/>
      <c r="Q28" s="1922"/>
      <c r="R28" s="764"/>
      <c r="S28" s="820"/>
      <c r="T28" s="793"/>
      <c r="U28" s="2699" t="s">
        <v>17</v>
      </c>
      <c r="V28" s="2697"/>
      <c r="W28" s="3760" t="str">
        <f t="shared" ref="W28:W36" si="12">IF(F11&gt;=F28," ","خطأ")</f>
        <v xml:space="preserve"> </v>
      </c>
      <c r="X28" s="3761" t="str">
        <f t="shared" si="5"/>
        <v xml:space="preserve"> </v>
      </c>
      <c r="Y28" s="3757"/>
      <c r="Z28" s="3758"/>
      <c r="AA28" s="3760" t="str">
        <f t="shared" si="6"/>
        <v xml:space="preserve"> </v>
      </c>
      <c r="AB28" s="3761" t="str">
        <f t="shared" si="7"/>
        <v xml:space="preserve"> </v>
      </c>
      <c r="AC28" s="3759"/>
      <c r="AD28" s="3757"/>
      <c r="AE28" s="3760" t="str">
        <f t="shared" si="8"/>
        <v xml:space="preserve"> </v>
      </c>
      <c r="AF28" s="3761" t="str">
        <f t="shared" si="9"/>
        <v xml:space="preserve"> </v>
      </c>
      <c r="AG28" s="3757"/>
      <c r="AH28" s="3758"/>
      <c r="AI28" s="3760" t="str">
        <f t="shared" si="10"/>
        <v xml:space="preserve"> </v>
      </c>
      <c r="AJ28" s="3761" t="str">
        <f t="shared" si="11"/>
        <v xml:space="preserve"> </v>
      </c>
      <c r="AK28" s="2698"/>
      <c r="AL28" s="1950"/>
      <c r="AM28" s="796"/>
    </row>
    <row r="29" spans="1:39" ht="12" customHeight="1">
      <c r="A29" s="788"/>
      <c r="B29" s="895"/>
      <c r="C29" s="884"/>
      <c r="D29" s="4228" t="s">
        <v>16</v>
      </c>
      <c r="E29" s="4228"/>
      <c r="F29" s="2069">
        <f>'الصفحة 6'!$G$42</f>
        <v>10</v>
      </c>
      <c r="G29" s="2070">
        <f>'الصفحة 6'!$G$43</f>
        <v>3</v>
      </c>
      <c r="H29" s="2069">
        <f>'الصفحة 7'!$G$42</f>
        <v>0</v>
      </c>
      <c r="I29" s="2070">
        <f>'الصفحة 7'!$G$43</f>
        <v>0</v>
      </c>
      <c r="J29" s="2069">
        <f>'الصفحة 8'!$G$42</f>
        <v>0</v>
      </c>
      <c r="K29" s="2070">
        <f>'الصفحة 8'!$G$43</f>
        <v>0</v>
      </c>
      <c r="L29" s="2069">
        <f>'الصفحة 9'!$G$42</f>
        <v>0</v>
      </c>
      <c r="M29" s="2070">
        <f>'الصفحة 9'!$G$43</f>
        <v>0</v>
      </c>
      <c r="N29" s="2069">
        <f t="shared" si="3"/>
        <v>10</v>
      </c>
      <c r="O29" s="2070">
        <f t="shared" si="4"/>
        <v>3</v>
      </c>
      <c r="P29" s="1921"/>
      <c r="Q29" s="1922"/>
      <c r="R29" s="764"/>
      <c r="S29" s="820"/>
      <c r="T29" s="793"/>
      <c r="U29" s="2696" t="s">
        <v>16</v>
      </c>
      <c r="V29" s="2697"/>
      <c r="W29" s="3760" t="str">
        <f t="shared" si="12"/>
        <v xml:space="preserve"> </v>
      </c>
      <c r="X29" s="3761" t="str">
        <f t="shared" si="5"/>
        <v xml:space="preserve"> </v>
      </c>
      <c r="Y29" s="3757"/>
      <c r="Z29" s="3758"/>
      <c r="AA29" s="3760" t="str">
        <f t="shared" si="6"/>
        <v xml:space="preserve"> </v>
      </c>
      <c r="AB29" s="3761" t="str">
        <f t="shared" si="7"/>
        <v xml:space="preserve"> </v>
      </c>
      <c r="AC29" s="3759"/>
      <c r="AD29" s="3757"/>
      <c r="AE29" s="3760" t="str">
        <f t="shared" si="8"/>
        <v xml:space="preserve"> </v>
      </c>
      <c r="AF29" s="3761" t="str">
        <f t="shared" si="9"/>
        <v xml:space="preserve"> </v>
      </c>
      <c r="AG29" s="3757"/>
      <c r="AH29" s="3758"/>
      <c r="AI29" s="3760" t="str">
        <f t="shared" si="10"/>
        <v xml:space="preserve"> </v>
      </c>
      <c r="AJ29" s="3761" t="str">
        <f t="shared" si="11"/>
        <v xml:space="preserve"> </v>
      </c>
      <c r="AK29" s="2698"/>
      <c r="AL29" s="1950"/>
      <c r="AM29" s="796"/>
    </row>
    <row r="30" spans="1:39" ht="12" customHeight="1">
      <c r="A30" s="788"/>
      <c r="B30" s="895"/>
      <c r="C30" s="884"/>
      <c r="D30" s="4227" t="s">
        <v>15</v>
      </c>
      <c r="E30" s="4227"/>
      <c r="F30" s="2069">
        <f>'الصفحة 6'!$H$42</f>
        <v>11</v>
      </c>
      <c r="G30" s="2070">
        <f>'الصفحة 6'!$H$43</f>
        <v>2</v>
      </c>
      <c r="H30" s="2069">
        <f>'الصفحة 7'!$H$42</f>
        <v>26</v>
      </c>
      <c r="I30" s="2070">
        <f>'الصفحة 7'!$H$43</f>
        <v>4</v>
      </c>
      <c r="J30" s="2069">
        <f>'الصفحة 8'!$H$42</f>
        <v>0</v>
      </c>
      <c r="K30" s="2070">
        <f>'الصفحة 8'!$H$43</f>
        <v>0</v>
      </c>
      <c r="L30" s="2069">
        <f>'الصفحة 9'!$H$42</f>
        <v>0</v>
      </c>
      <c r="M30" s="2070">
        <f>'الصفحة 9'!$H$43</f>
        <v>0</v>
      </c>
      <c r="N30" s="2069">
        <f t="shared" si="3"/>
        <v>37</v>
      </c>
      <c r="O30" s="2070">
        <f t="shared" si="4"/>
        <v>6</v>
      </c>
      <c r="P30" s="1921"/>
      <c r="Q30" s="1922"/>
      <c r="R30" s="764"/>
      <c r="S30" s="820"/>
      <c r="T30" s="793"/>
      <c r="U30" s="2699" t="s">
        <v>15</v>
      </c>
      <c r="V30" s="2697"/>
      <c r="W30" s="3760" t="str">
        <f t="shared" si="12"/>
        <v xml:space="preserve"> </v>
      </c>
      <c r="X30" s="3761" t="str">
        <f t="shared" si="5"/>
        <v xml:space="preserve"> </v>
      </c>
      <c r="Y30" s="3757"/>
      <c r="Z30" s="3758"/>
      <c r="AA30" s="3760" t="str">
        <f t="shared" si="6"/>
        <v>خطأ</v>
      </c>
      <c r="AB30" s="3761" t="str">
        <f t="shared" si="7"/>
        <v xml:space="preserve"> </v>
      </c>
      <c r="AC30" s="3759"/>
      <c r="AD30" s="3757"/>
      <c r="AE30" s="3760" t="str">
        <f t="shared" si="8"/>
        <v xml:space="preserve"> </v>
      </c>
      <c r="AF30" s="3761" t="str">
        <f t="shared" si="9"/>
        <v xml:space="preserve"> </v>
      </c>
      <c r="AG30" s="3757"/>
      <c r="AH30" s="3758"/>
      <c r="AI30" s="3760" t="str">
        <f t="shared" si="10"/>
        <v xml:space="preserve"> </v>
      </c>
      <c r="AJ30" s="3761" t="str">
        <f t="shared" si="11"/>
        <v xml:space="preserve"> </v>
      </c>
      <c r="AK30" s="2698"/>
      <c r="AL30" s="1950"/>
      <c r="AM30" s="796"/>
    </row>
    <row r="31" spans="1:39" ht="12" customHeight="1">
      <c r="A31" s="788"/>
      <c r="B31" s="895"/>
      <c r="C31" s="884"/>
      <c r="D31" s="4228" t="s">
        <v>14</v>
      </c>
      <c r="E31" s="4228"/>
      <c r="F31" s="2069">
        <f>'الصفحة 6'!$I$42</f>
        <v>9</v>
      </c>
      <c r="G31" s="2070">
        <f>'الصفحة 6'!$I$43</f>
        <v>1</v>
      </c>
      <c r="H31" s="2069">
        <f>'الصفحة 7'!$I$42</f>
        <v>0</v>
      </c>
      <c r="I31" s="2070">
        <f>'الصفحة 7'!$I$43</f>
        <v>0</v>
      </c>
      <c r="J31" s="2069">
        <f>'الصفحة 8'!$I$42</f>
        <v>13</v>
      </c>
      <c r="K31" s="2070">
        <f>'الصفحة 8'!$I$43</f>
        <v>2</v>
      </c>
      <c r="L31" s="2069">
        <f>'الصفحة 9'!$I$42</f>
        <v>1</v>
      </c>
      <c r="M31" s="2070">
        <f>'الصفحة 9'!$I$43</f>
        <v>1</v>
      </c>
      <c r="N31" s="2069">
        <f t="shared" si="3"/>
        <v>23</v>
      </c>
      <c r="O31" s="2070">
        <f t="shared" si="4"/>
        <v>4</v>
      </c>
      <c r="P31" s="1921"/>
      <c r="Q31" s="1922"/>
      <c r="R31" s="764"/>
      <c r="S31" s="820"/>
      <c r="T31" s="794"/>
      <c r="U31" s="2696" t="s">
        <v>14</v>
      </c>
      <c r="V31" s="2697"/>
      <c r="W31" s="3760" t="str">
        <f t="shared" si="12"/>
        <v xml:space="preserve"> </v>
      </c>
      <c r="X31" s="3761" t="str">
        <f t="shared" si="5"/>
        <v xml:space="preserve"> </v>
      </c>
      <c r="Y31" s="3757"/>
      <c r="Z31" s="3758"/>
      <c r="AA31" s="3760" t="str">
        <f t="shared" si="6"/>
        <v xml:space="preserve"> </v>
      </c>
      <c r="AB31" s="3761" t="str">
        <f t="shared" si="7"/>
        <v xml:space="preserve"> </v>
      </c>
      <c r="AC31" s="3759"/>
      <c r="AD31" s="3757"/>
      <c r="AE31" s="3760" t="str">
        <f t="shared" si="8"/>
        <v xml:space="preserve"> </v>
      </c>
      <c r="AF31" s="3761" t="str">
        <f t="shared" si="9"/>
        <v xml:space="preserve"> </v>
      </c>
      <c r="AG31" s="3757"/>
      <c r="AH31" s="3758"/>
      <c r="AI31" s="3760" t="str">
        <f t="shared" si="10"/>
        <v xml:space="preserve"> </v>
      </c>
      <c r="AJ31" s="3761" t="str">
        <f t="shared" si="11"/>
        <v xml:space="preserve"> </v>
      </c>
      <c r="AK31" s="2698"/>
      <c r="AL31" s="1950"/>
      <c r="AM31" s="796"/>
    </row>
    <row r="32" spans="1:39" ht="12" customHeight="1">
      <c r="A32" s="788"/>
      <c r="B32" s="895"/>
      <c r="C32" s="884"/>
      <c r="D32" s="4227" t="s">
        <v>13</v>
      </c>
      <c r="E32" s="4227"/>
      <c r="F32" s="2069">
        <f>'الصفحة 6'!$J$42</f>
        <v>4</v>
      </c>
      <c r="G32" s="2070">
        <f>'الصفحة 6'!$J$43</f>
        <v>0</v>
      </c>
      <c r="H32" s="2069">
        <f>'الصفحة 7'!$J$42</f>
        <v>0</v>
      </c>
      <c r="I32" s="2070">
        <f>'الصفحة 7'!$J$43</f>
        <v>0</v>
      </c>
      <c r="J32" s="2069">
        <f>'الصفحة 8'!$J$42</f>
        <v>0</v>
      </c>
      <c r="K32" s="2070">
        <f>'الصفحة 8'!$J$43</f>
        <v>0</v>
      </c>
      <c r="L32" s="2069">
        <f>'الصفحة 9'!$J$42</f>
        <v>21</v>
      </c>
      <c r="M32" s="2070">
        <f>'الصفحة 9'!$J$43</f>
        <v>6</v>
      </c>
      <c r="N32" s="2069">
        <f t="shared" si="3"/>
        <v>25</v>
      </c>
      <c r="O32" s="2070">
        <f t="shared" si="4"/>
        <v>6</v>
      </c>
      <c r="P32" s="1921"/>
      <c r="Q32" s="1922"/>
      <c r="R32" s="764"/>
      <c r="S32" s="820"/>
      <c r="T32" s="794"/>
      <c r="U32" s="2699" t="s">
        <v>13</v>
      </c>
      <c r="V32" s="2697"/>
      <c r="W32" s="3760" t="str">
        <f t="shared" si="12"/>
        <v xml:space="preserve"> </v>
      </c>
      <c r="X32" s="3761" t="str">
        <f t="shared" si="5"/>
        <v xml:space="preserve"> </v>
      </c>
      <c r="Y32" s="3757"/>
      <c r="Z32" s="3758"/>
      <c r="AA32" s="3760" t="str">
        <f t="shared" si="6"/>
        <v xml:space="preserve"> </v>
      </c>
      <c r="AB32" s="3761" t="str">
        <f t="shared" si="7"/>
        <v xml:space="preserve"> </v>
      </c>
      <c r="AC32" s="3759"/>
      <c r="AD32" s="3757"/>
      <c r="AE32" s="3760" t="str">
        <f t="shared" si="8"/>
        <v xml:space="preserve"> </v>
      </c>
      <c r="AF32" s="3761" t="str">
        <f t="shared" si="9"/>
        <v xml:space="preserve"> </v>
      </c>
      <c r="AG32" s="3757"/>
      <c r="AH32" s="3758"/>
      <c r="AI32" s="3760" t="str">
        <f t="shared" si="10"/>
        <v xml:space="preserve"> </v>
      </c>
      <c r="AJ32" s="3761" t="str">
        <f t="shared" si="11"/>
        <v xml:space="preserve"> </v>
      </c>
      <c r="AK32" s="2698"/>
      <c r="AL32" s="1950"/>
      <c r="AM32" s="796"/>
    </row>
    <row r="33" spans="1:39" ht="12" customHeight="1">
      <c r="A33" s="788"/>
      <c r="B33" s="895"/>
      <c r="C33" s="884"/>
      <c r="D33" s="4228" t="s">
        <v>12</v>
      </c>
      <c r="E33" s="4228"/>
      <c r="F33" s="2069">
        <f>'الصفحة 6'!$K$42</f>
        <v>1</v>
      </c>
      <c r="G33" s="2070">
        <f>'الصفحة 6'!$K$43</f>
        <v>0</v>
      </c>
      <c r="H33" s="2069">
        <f>'الصفحة 7'!$K$42</f>
        <v>0</v>
      </c>
      <c r="I33" s="2070">
        <f>'الصفحة 7'!$K$43</f>
        <v>0</v>
      </c>
      <c r="J33" s="2069">
        <f>'الصفحة 8'!$K$42</f>
        <v>0</v>
      </c>
      <c r="K33" s="2070">
        <f>'الصفحة 8'!$K$43</f>
        <v>0</v>
      </c>
      <c r="L33" s="2069">
        <f>'الصفحة 9'!$K$42</f>
        <v>11</v>
      </c>
      <c r="M33" s="2070">
        <f>'الصفحة 9'!$K$43</f>
        <v>1</v>
      </c>
      <c r="N33" s="2069">
        <f t="shared" si="3"/>
        <v>12</v>
      </c>
      <c r="O33" s="2070">
        <f t="shared" si="4"/>
        <v>1</v>
      </c>
      <c r="P33" s="1921"/>
      <c r="Q33" s="1922"/>
      <c r="R33" s="764"/>
      <c r="S33" s="820"/>
      <c r="T33" s="794"/>
      <c r="U33" s="2696" t="s">
        <v>12</v>
      </c>
      <c r="V33" s="2697"/>
      <c r="W33" s="3760" t="str">
        <f t="shared" si="12"/>
        <v xml:space="preserve"> </v>
      </c>
      <c r="X33" s="3761" t="str">
        <f t="shared" si="5"/>
        <v xml:space="preserve"> </v>
      </c>
      <c r="Y33" s="3757"/>
      <c r="Z33" s="3758"/>
      <c r="AA33" s="3760" t="str">
        <f t="shared" si="6"/>
        <v xml:space="preserve"> </v>
      </c>
      <c r="AB33" s="3761" t="str">
        <f t="shared" si="7"/>
        <v xml:space="preserve"> </v>
      </c>
      <c r="AC33" s="3759"/>
      <c r="AD33" s="3757"/>
      <c r="AE33" s="3760" t="str">
        <f t="shared" si="8"/>
        <v xml:space="preserve"> </v>
      </c>
      <c r="AF33" s="3761" t="str">
        <f t="shared" si="9"/>
        <v xml:space="preserve"> </v>
      </c>
      <c r="AG33" s="3757"/>
      <c r="AH33" s="3758"/>
      <c r="AI33" s="3760" t="str">
        <f t="shared" si="10"/>
        <v xml:space="preserve"> </v>
      </c>
      <c r="AJ33" s="3761" t="str">
        <f t="shared" si="11"/>
        <v xml:space="preserve"> </v>
      </c>
      <c r="AK33" s="2698"/>
      <c r="AL33" s="1950"/>
      <c r="AM33" s="796"/>
    </row>
    <row r="34" spans="1:39" ht="12" customHeight="1">
      <c r="A34" s="788"/>
      <c r="B34" s="895"/>
      <c r="C34" s="884"/>
      <c r="D34" s="4227" t="s">
        <v>11</v>
      </c>
      <c r="E34" s="4227"/>
      <c r="F34" s="2069">
        <f>'الصفحة 6'!$L$42</f>
        <v>0</v>
      </c>
      <c r="G34" s="2070">
        <f>'الصفحة 6'!$L$43</f>
        <v>0</v>
      </c>
      <c r="H34" s="2069">
        <f>'الصفحة 7'!$L$42</f>
        <v>0</v>
      </c>
      <c r="I34" s="2070">
        <f>'الصفحة 7'!$L$43</f>
        <v>0</v>
      </c>
      <c r="J34" s="2069">
        <f>'الصفحة 8'!$L$42</f>
        <v>0</v>
      </c>
      <c r="K34" s="2070">
        <f>'الصفحة 8'!$L$43</f>
        <v>0</v>
      </c>
      <c r="L34" s="2069">
        <f>'الصفحة 9'!$L$42</f>
        <v>0</v>
      </c>
      <c r="M34" s="2070">
        <f>'الصفحة 9'!$L$43</f>
        <v>0</v>
      </c>
      <c r="N34" s="2069">
        <f t="shared" si="3"/>
        <v>0</v>
      </c>
      <c r="O34" s="2070">
        <f t="shared" si="4"/>
        <v>0</v>
      </c>
      <c r="P34" s="1921"/>
      <c r="Q34" s="1922"/>
      <c r="R34" s="764"/>
      <c r="S34" s="820"/>
      <c r="T34" s="794"/>
      <c r="U34" s="2699" t="s">
        <v>11</v>
      </c>
      <c r="V34" s="2697"/>
      <c r="W34" s="3760" t="str">
        <f t="shared" si="12"/>
        <v xml:space="preserve"> </v>
      </c>
      <c r="X34" s="3761" t="str">
        <f t="shared" si="5"/>
        <v xml:space="preserve"> </v>
      </c>
      <c r="Y34" s="3757"/>
      <c r="Z34" s="3758"/>
      <c r="AA34" s="3760" t="str">
        <f t="shared" si="6"/>
        <v xml:space="preserve"> </v>
      </c>
      <c r="AB34" s="3761" t="str">
        <f t="shared" si="7"/>
        <v xml:space="preserve"> </v>
      </c>
      <c r="AC34" s="3759"/>
      <c r="AD34" s="3757"/>
      <c r="AE34" s="3760" t="str">
        <f t="shared" si="8"/>
        <v xml:space="preserve"> </v>
      </c>
      <c r="AF34" s="3761" t="str">
        <f t="shared" si="9"/>
        <v xml:space="preserve"> </v>
      </c>
      <c r="AG34" s="3757"/>
      <c r="AH34" s="3758"/>
      <c r="AI34" s="3760" t="str">
        <f t="shared" si="10"/>
        <v xml:space="preserve"> </v>
      </c>
      <c r="AJ34" s="3761" t="str">
        <f t="shared" si="11"/>
        <v xml:space="preserve"> </v>
      </c>
      <c r="AK34" s="2698"/>
      <c r="AL34" s="1950"/>
      <c r="AM34" s="796"/>
    </row>
    <row r="35" spans="1:39" ht="12" customHeight="1">
      <c r="A35" s="788"/>
      <c r="B35" s="895"/>
      <c r="C35" s="884"/>
      <c r="D35" s="4228" t="s">
        <v>10</v>
      </c>
      <c r="E35" s="4228"/>
      <c r="F35" s="2069">
        <f>'الصفحة 6'!$M$42</f>
        <v>0</v>
      </c>
      <c r="G35" s="2070">
        <f>'الصفحة 6'!$M$43</f>
        <v>0</v>
      </c>
      <c r="H35" s="2069">
        <f>'الصفحة 7'!$M$42</f>
        <v>0</v>
      </c>
      <c r="I35" s="2070">
        <f>'الصفحة 7'!$M$43</f>
        <v>0</v>
      </c>
      <c r="J35" s="2069">
        <f>'الصفحة 8'!$M$42</f>
        <v>0</v>
      </c>
      <c r="K35" s="2070">
        <f>'الصفحة 8'!$M$43</f>
        <v>0</v>
      </c>
      <c r="L35" s="2069">
        <f>'الصفحة 9'!$M$42</f>
        <v>0</v>
      </c>
      <c r="M35" s="2070">
        <f>'الصفحة 9'!$M$43</f>
        <v>0</v>
      </c>
      <c r="N35" s="2069">
        <f t="shared" si="3"/>
        <v>0</v>
      </c>
      <c r="O35" s="2070">
        <f t="shared" si="4"/>
        <v>0</v>
      </c>
      <c r="P35" s="1921"/>
      <c r="Q35" s="1922"/>
      <c r="R35" s="764"/>
      <c r="S35" s="820"/>
      <c r="T35" s="794"/>
      <c r="U35" s="2696" t="s">
        <v>10</v>
      </c>
      <c r="V35" s="2697"/>
      <c r="W35" s="3760" t="str">
        <f t="shared" si="12"/>
        <v xml:space="preserve"> </v>
      </c>
      <c r="X35" s="3761" t="str">
        <f t="shared" si="5"/>
        <v xml:space="preserve"> </v>
      </c>
      <c r="Y35" s="3757"/>
      <c r="Z35" s="3758"/>
      <c r="AA35" s="3760" t="str">
        <f t="shared" si="6"/>
        <v xml:space="preserve"> </v>
      </c>
      <c r="AB35" s="3761" t="str">
        <f t="shared" si="7"/>
        <v xml:space="preserve"> </v>
      </c>
      <c r="AC35" s="3759"/>
      <c r="AD35" s="3757"/>
      <c r="AE35" s="3760" t="str">
        <f t="shared" si="8"/>
        <v xml:space="preserve"> </v>
      </c>
      <c r="AF35" s="3761" t="str">
        <f t="shared" si="9"/>
        <v xml:space="preserve"> </v>
      </c>
      <c r="AG35" s="3757"/>
      <c r="AH35" s="3758"/>
      <c r="AI35" s="3760" t="str">
        <f t="shared" si="10"/>
        <v xml:space="preserve"> </v>
      </c>
      <c r="AJ35" s="3761" t="str">
        <f t="shared" si="11"/>
        <v xml:space="preserve"> </v>
      </c>
      <c r="AK35" s="2698"/>
      <c r="AL35" s="1950"/>
      <c r="AM35" s="796"/>
    </row>
    <row r="36" spans="1:39" ht="12" customHeight="1">
      <c r="A36" s="788"/>
      <c r="B36" s="895"/>
      <c r="C36" s="884"/>
      <c r="D36" s="4227" t="s">
        <v>9</v>
      </c>
      <c r="E36" s="4227"/>
      <c r="F36" s="2071">
        <f>'الصفحة 6'!$N$42</f>
        <v>0</v>
      </c>
      <c r="G36" s="2072">
        <f>'الصفحة 6'!$N$43</f>
        <v>0</v>
      </c>
      <c r="H36" s="2071">
        <f>'الصفحة 7'!$N$42</f>
        <v>0</v>
      </c>
      <c r="I36" s="2072">
        <f>'الصفحة 7'!$N$43</f>
        <v>0</v>
      </c>
      <c r="J36" s="2071">
        <f>'الصفحة 8'!$N$42</f>
        <v>0</v>
      </c>
      <c r="K36" s="2072">
        <f>'الصفحة 8'!$N$43</f>
        <v>0</v>
      </c>
      <c r="L36" s="2071">
        <f>'الصفحة 9'!$N$42</f>
        <v>0</v>
      </c>
      <c r="M36" s="2072">
        <f>'الصفحة 9'!$N$43</f>
        <v>0</v>
      </c>
      <c r="N36" s="2071">
        <f t="shared" si="3"/>
        <v>0</v>
      </c>
      <c r="O36" s="2072">
        <f t="shared" si="4"/>
        <v>0</v>
      </c>
      <c r="P36" s="1921"/>
      <c r="Q36" s="1922"/>
      <c r="R36" s="764"/>
      <c r="S36" s="820"/>
      <c r="T36" s="794"/>
      <c r="U36" s="2699" t="s">
        <v>9</v>
      </c>
      <c r="V36" s="2697"/>
      <c r="W36" s="3762" t="str">
        <f t="shared" si="12"/>
        <v xml:space="preserve"> </v>
      </c>
      <c r="X36" s="3763" t="str">
        <f t="shared" si="5"/>
        <v xml:space="preserve"> </v>
      </c>
      <c r="Y36" s="3757"/>
      <c r="Z36" s="3758"/>
      <c r="AA36" s="3762" t="str">
        <f t="shared" si="6"/>
        <v xml:space="preserve"> </v>
      </c>
      <c r="AB36" s="3763" t="str">
        <f t="shared" si="7"/>
        <v xml:space="preserve"> </v>
      </c>
      <c r="AC36" s="3759"/>
      <c r="AD36" s="3757"/>
      <c r="AE36" s="3762" t="str">
        <f t="shared" si="8"/>
        <v xml:space="preserve"> </v>
      </c>
      <c r="AF36" s="3763" t="str">
        <f t="shared" si="9"/>
        <v xml:space="preserve"> </v>
      </c>
      <c r="AG36" s="3757"/>
      <c r="AH36" s="3758"/>
      <c r="AI36" s="3762" t="str">
        <f t="shared" si="10"/>
        <v xml:space="preserve"> </v>
      </c>
      <c r="AJ36" s="3763" t="str">
        <f t="shared" si="11"/>
        <v xml:space="preserve"> </v>
      </c>
      <c r="AK36" s="2698"/>
      <c r="AL36" s="1950"/>
      <c r="AM36" s="796"/>
    </row>
    <row r="37" spans="1:39" ht="12" customHeight="1" thickBot="1">
      <c r="A37" s="788"/>
      <c r="B37" s="895"/>
      <c r="C37" s="884"/>
      <c r="D37" s="4230" t="s">
        <v>28</v>
      </c>
      <c r="E37" s="4231"/>
      <c r="F37" s="2082">
        <f>SUM(F26:F36)</f>
        <v>39</v>
      </c>
      <c r="G37" s="2151">
        <f>SUM(G26:G36)</f>
        <v>6</v>
      </c>
      <c r="H37" s="2082">
        <f>SUM(H27:H36)</f>
        <v>26</v>
      </c>
      <c r="I37" s="2151">
        <f>SUM(I27:I36)</f>
        <v>4</v>
      </c>
      <c r="J37" s="2082">
        <f>SUM(J26:J36)</f>
        <v>13</v>
      </c>
      <c r="K37" s="2151">
        <f>SUM(K26:K36)</f>
        <v>2</v>
      </c>
      <c r="L37" s="2082">
        <f>SUM(L27:L36)</f>
        <v>33</v>
      </c>
      <c r="M37" s="2151">
        <f>SUM(M27:M36)</f>
        <v>8</v>
      </c>
      <c r="N37" s="2082">
        <f>SUM(N27:N36)</f>
        <v>111</v>
      </c>
      <c r="O37" s="2151">
        <f>SUM(O27:O36)</f>
        <v>20</v>
      </c>
      <c r="P37" s="1921"/>
      <c r="Q37" s="1922"/>
      <c r="R37" s="764"/>
      <c r="S37" s="820"/>
      <c r="T37" s="794"/>
      <c r="U37" s="2700"/>
      <c r="V37" s="2701"/>
      <c r="W37" s="2702"/>
      <c r="X37" s="2702"/>
      <c r="Y37" s="2701"/>
      <c r="Z37" s="2703"/>
      <c r="AA37" s="2702"/>
      <c r="AB37" s="2702"/>
      <c r="AC37" s="2704"/>
      <c r="AD37" s="2701"/>
      <c r="AE37" s="2702"/>
      <c r="AF37" s="2702"/>
      <c r="AG37" s="2701"/>
      <c r="AH37" s="2703"/>
      <c r="AI37" s="2702"/>
      <c r="AJ37" s="2702"/>
      <c r="AK37" s="2704"/>
      <c r="AL37" s="1950"/>
      <c r="AM37" s="796"/>
    </row>
    <row r="38" spans="1:39" ht="0.9" customHeight="1">
      <c r="A38" s="788"/>
      <c r="B38" s="895"/>
      <c r="C38" s="884"/>
      <c r="D38" s="4275"/>
      <c r="E38" s="4275"/>
      <c r="F38" s="1922"/>
      <c r="G38" s="1922"/>
      <c r="H38" s="1922"/>
      <c r="I38" s="1922"/>
      <c r="J38" s="1922"/>
      <c r="K38" s="1922"/>
      <c r="L38" s="1922"/>
      <c r="M38" s="1922"/>
      <c r="N38" s="1922"/>
      <c r="O38" s="1922"/>
      <c r="P38" s="1923"/>
      <c r="Q38" s="1923"/>
      <c r="R38" s="764"/>
      <c r="S38" s="820"/>
      <c r="T38" s="794"/>
      <c r="U38" s="2705"/>
      <c r="V38" s="2706"/>
      <c r="W38" s="2706"/>
      <c r="X38" s="2706"/>
      <c r="Y38" s="2706"/>
      <c r="Z38" s="2706"/>
      <c r="AA38" s="2707"/>
      <c r="AB38" s="2707"/>
      <c r="AC38" s="2706"/>
      <c r="AD38" s="2706"/>
      <c r="AE38" s="2706"/>
      <c r="AF38" s="2706"/>
      <c r="AG38" s="2708"/>
      <c r="AH38" s="2708"/>
      <c r="AI38" s="2706"/>
      <c r="AJ38" s="2706"/>
      <c r="AK38" s="2706"/>
      <c r="AL38" s="1950"/>
      <c r="AM38" s="796"/>
    </row>
    <row r="39" spans="1:39" ht="8.1" customHeight="1">
      <c r="A39" s="788"/>
      <c r="B39" s="895"/>
      <c r="C39" s="1389"/>
      <c r="D39" s="2336"/>
      <c r="E39" s="1469"/>
      <c r="F39" s="2226" t="str">
        <f>IF(('الصفحة 1'!$Q$14&gt;0),IF((F37&gt;0),IF((F37&gt;F20),"خطء المعدين",""),""),"")</f>
        <v/>
      </c>
      <c r="G39" s="2226" t="str">
        <f>IF(('الصفحة 1'!$Q$14&gt;0),IF((G37&gt;0),IF((G37&gt;G20),"خطء المعدين",""),""),"")</f>
        <v/>
      </c>
      <c r="H39" s="2226" t="str">
        <f>IF(('الصفحة 1'!$Q$14&gt;0),IF((H37&gt;0),IF((H37&gt;H20),"خطء المعدين",""),""),"")</f>
        <v/>
      </c>
      <c r="I39" s="2226" t="str">
        <f>IF(('الصفحة 1'!$Q$14&gt;0),IF((I37&gt;0),IF((I37&gt;I20),"خطء المعدين",""),""),"")</f>
        <v/>
      </c>
      <c r="J39" s="2226" t="str">
        <f>IF(('الصفحة 1'!$Q$14&gt;0),IF((J37&gt;0),IF((J37&gt;J20),"خطء المعدين",""),""),"")</f>
        <v/>
      </c>
      <c r="K39" s="2226" t="str">
        <f>IF(('الصفحة 1'!$Q$14&gt;0),IF((K37&gt;0),IF((K37&gt;K20),"خطء المعدين",""),""),"")</f>
        <v/>
      </c>
      <c r="L39" s="2226" t="str">
        <f>IF(('الصفحة 1'!$Q$14&gt;0),IF((L37&gt;0),IF((L37&gt;L20),"خطء المعدين",""),""),"")</f>
        <v/>
      </c>
      <c r="M39" s="2226" t="str">
        <f>IF(('الصفحة 1'!$Q$14&gt;0),IF((M37&gt;0),IF((M37&gt;M20),"خطء المعدين",""),""),"")</f>
        <v/>
      </c>
      <c r="N39" s="2226" t="str">
        <f>IF(('الصفحة 1'!$Q$14&gt;0),IF((N37&gt;0),IF((N37&gt;N20),"خطء المعدين",""),""),"")</f>
        <v/>
      </c>
      <c r="O39" s="2226" t="str">
        <f>IF(('الصفحة 1'!$Q$14&gt;0),IF((O37&gt;0),IF((O37&gt;O20),"خطء المعدين",""),""),"")</f>
        <v/>
      </c>
      <c r="P39" s="2227"/>
      <c r="Q39" s="2227"/>
      <c r="R39" s="1927"/>
      <c r="S39" s="820"/>
      <c r="T39" s="794"/>
      <c r="U39" s="1950"/>
      <c r="V39" s="1950"/>
      <c r="W39" s="1950"/>
      <c r="X39" s="1950"/>
      <c r="Y39" s="1950"/>
      <c r="Z39" s="1950"/>
      <c r="AA39" s="1950"/>
      <c r="AB39" s="1950"/>
      <c r="AC39" s="1950"/>
      <c r="AD39" s="1950"/>
      <c r="AE39" s="1950"/>
      <c r="AF39" s="1950"/>
      <c r="AG39" s="1950"/>
      <c r="AH39" s="1950"/>
      <c r="AI39" s="1950"/>
      <c r="AJ39" s="1950"/>
      <c r="AK39" s="1950"/>
      <c r="AL39" s="1950"/>
      <c r="AM39" s="796"/>
    </row>
    <row r="40" spans="1:39" ht="0.9" customHeight="1">
      <c r="A40" s="788"/>
      <c r="B40" s="895"/>
      <c r="C40" s="1389"/>
      <c r="D40" s="2336"/>
      <c r="E40" s="1469"/>
      <c r="F40" s="2226"/>
      <c r="G40" s="2226"/>
      <c r="H40" s="2226"/>
      <c r="I40" s="2226"/>
      <c r="J40" s="2226"/>
      <c r="K40" s="2226"/>
      <c r="L40" s="2226"/>
      <c r="M40" s="2226"/>
      <c r="N40" s="2226"/>
      <c r="O40" s="2226"/>
      <c r="P40" s="2227"/>
      <c r="Q40" s="2227"/>
      <c r="R40" s="1927"/>
      <c r="S40" s="820"/>
      <c r="T40" s="794"/>
      <c r="U40" s="1950"/>
      <c r="V40" s="1950"/>
      <c r="W40" s="1950"/>
      <c r="X40" s="1950"/>
      <c r="Y40" s="1950"/>
      <c r="Z40" s="1950"/>
      <c r="AA40" s="1950"/>
      <c r="AB40" s="1950"/>
      <c r="AC40" s="1950"/>
      <c r="AD40" s="1950"/>
      <c r="AE40" s="1950"/>
      <c r="AF40" s="1950"/>
      <c r="AG40" s="1950"/>
      <c r="AH40" s="1950"/>
      <c r="AI40" s="1950"/>
      <c r="AJ40" s="1950"/>
      <c r="AK40" s="1950"/>
      <c r="AL40" s="1950"/>
      <c r="AM40" s="796"/>
    </row>
    <row r="41" spans="1:39" ht="15" customHeight="1">
      <c r="A41" s="788"/>
      <c r="B41" s="907"/>
      <c r="C41" s="954"/>
      <c r="D41" s="979" t="s">
        <v>1416</v>
      </c>
      <c r="E41" s="1008"/>
      <c r="F41" s="1008"/>
      <c r="G41" s="1008"/>
      <c r="H41" s="1009"/>
      <c r="I41" s="1008"/>
      <c r="J41" s="1008"/>
      <c r="K41" s="1008"/>
      <c r="L41" s="1008"/>
      <c r="M41" s="1008"/>
      <c r="N41" s="1008"/>
      <c r="O41" s="1008"/>
      <c r="P41" s="1008"/>
      <c r="Q41" s="1008"/>
      <c r="R41" s="1010"/>
      <c r="S41" s="860"/>
      <c r="T41" s="794"/>
      <c r="U41" s="4248" t="s">
        <v>1269</v>
      </c>
      <c r="V41" s="4248"/>
      <c r="W41" s="4248"/>
      <c r="X41" s="4248"/>
      <c r="Y41" s="4248"/>
      <c r="Z41" s="4248"/>
      <c r="AA41" s="4248"/>
      <c r="AB41" s="4248"/>
      <c r="AC41" s="4248"/>
      <c r="AD41" s="4248"/>
      <c r="AE41" s="4248"/>
      <c r="AF41" s="4248"/>
      <c r="AG41" s="4248"/>
      <c r="AH41" s="4248"/>
      <c r="AI41" s="4248"/>
      <c r="AJ41" s="4248"/>
      <c r="AK41" s="2709"/>
      <c r="AL41" s="1950"/>
      <c r="AM41" s="796"/>
    </row>
    <row r="42" spans="1:39" ht="2.1" customHeight="1">
      <c r="A42" s="788"/>
      <c r="B42" s="926"/>
      <c r="C42" s="865"/>
      <c r="D42" s="640"/>
      <c r="E42" s="640"/>
      <c r="F42" s="640"/>
      <c r="G42" s="640"/>
      <c r="H42" s="640"/>
      <c r="I42" s="640"/>
      <c r="J42" s="640"/>
      <c r="K42" s="640"/>
      <c r="L42" s="640"/>
      <c r="M42" s="640"/>
      <c r="N42" s="640"/>
      <c r="O42" s="641"/>
      <c r="P42" s="641"/>
      <c r="Q42" s="641"/>
      <c r="R42" s="860"/>
      <c r="S42" s="759"/>
      <c r="T42" s="794"/>
      <c r="U42" s="4249"/>
      <c r="V42" s="4249"/>
      <c r="W42" s="4249"/>
      <c r="X42" s="4249"/>
      <c r="Y42" s="4249"/>
      <c r="Z42" s="4249"/>
      <c r="AA42" s="4249"/>
      <c r="AB42" s="4249"/>
      <c r="AC42" s="4249"/>
      <c r="AD42" s="4249"/>
      <c r="AE42" s="4249"/>
      <c r="AF42" s="4249"/>
      <c r="AG42" s="4249"/>
      <c r="AH42" s="4249"/>
      <c r="AI42" s="4249"/>
      <c r="AJ42" s="4249"/>
      <c r="AK42" s="1718"/>
      <c r="AL42" s="1950"/>
      <c r="AM42" s="796"/>
    </row>
    <row r="43" spans="1:39" ht="14.1" customHeight="1">
      <c r="A43" s="788"/>
      <c r="B43" s="926"/>
      <c r="C43" s="865"/>
      <c r="D43" s="4225" t="s">
        <v>26</v>
      </c>
      <c r="E43" s="4226"/>
      <c r="F43" s="4238" t="s">
        <v>25</v>
      </c>
      <c r="G43" s="4239"/>
      <c r="H43" s="4240" t="s">
        <v>24</v>
      </c>
      <c r="I43" s="4241"/>
      <c r="J43" s="4238" t="s">
        <v>23</v>
      </c>
      <c r="K43" s="4239"/>
      <c r="L43" s="4240" t="s">
        <v>22</v>
      </c>
      <c r="M43" s="4241"/>
      <c r="N43" s="4250" t="s">
        <v>28</v>
      </c>
      <c r="O43" s="4251"/>
      <c r="P43" s="641"/>
      <c r="Q43" s="641"/>
      <c r="R43" s="860"/>
      <c r="S43" s="759"/>
      <c r="T43" s="794"/>
      <c r="U43" s="4257" t="s">
        <v>562</v>
      </c>
      <c r="V43" s="2710"/>
      <c r="W43" s="4243" t="s">
        <v>25</v>
      </c>
      <c r="X43" s="4244"/>
      <c r="Y43" s="2711"/>
      <c r="Z43" s="2711"/>
      <c r="AA43" s="4255" t="s">
        <v>191</v>
      </c>
      <c r="AB43" s="4256"/>
      <c r="AC43" s="2711"/>
      <c r="AD43" s="2711"/>
      <c r="AE43" s="4243" t="s">
        <v>190</v>
      </c>
      <c r="AF43" s="4244"/>
      <c r="AG43" s="2711"/>
      <c r="AH43" s="2711"/>
      <c r="AI43" s="4294" t="s">
        <v>188</v>
      </c>
      <c r="AJ43" s="4295"/>
      <c r="AK43" s="2709"/>
      <c r="AL43" s="1950"/>
      <c r="AM43" s="796"/>
    </row>
    <row r="44" spans="1:39" ht="9.9" customHeight="1">
      <c r="A44" s="788"/>
      <c r="B44" s="907"/>
      <c r="C44" s="865"/>
      <c r="D44" s="4279" t="s">
        <v>580</v>
      </c>
      <c r="E44" s="4280"/>
      <c r="F44" s="2234" t="s">
        <v>20</v>
      </c>
      <c r="G44" s="2235" t="s">
        <v>19</v>
      </c>
      <c r="H44" s="2236" t="s">
        <v>20</v>
      </c>
      <c r="I44" s="2237" t="s">
        <v>19</v>
      </c>
      <c r="J44" s="2234" t="s">
        <v>20</v>
      </c>
      <c r="K44" s="2235" t="s">
        <v>19</v>
      </c>
      <c r="L44" s="2236" t="s">
        <v>20</v>
      </c>
      <c r="M44" s="2237" t="s">
        <v>19</v>
      </c>
      <c r="N44" s="2238" t="s">
        <v>20</v>
      </c>
      <c r="O44" s="2239" t="s">
        <v>19</v>
      </c>
      <c r="P44" s="641"/>
      <c r="Q44" s="641"/>
      <c r="R44" s="860"/>
      <c r="S44" s="759"/>
      <c r="T44" s="794"/>
      <c r="U44" s="4257"/>
      <c r="V44" s="2710"/>
      <c r="W44" s="2998" t="s">
        <v>20</v>
      </c>
      <c r="X44" s="2999" t="s">
        <v>500</v>
      </c>
      <c r="Y44" s="2712"/>
      <c r="Z44" s="2712"/>
      <c r="AA44" s="2713" t="s">
        <v>20</v>
      </c>
      <c r="AB44" s="2714" t="s">
        <v>500</v>
      </c>
      <c r="AC44" s="2712"/>
      <c r="AD44" s="2712"/>
      <c r="AE44" s="2998" t="s">
        <v>20</v>
      </c>
      <c r="AF44" s="2999" t="s">
        <v>500</v>
      </c>
      <c r="AG44" s="2712"/>
      <c r="AH44" s="2712"/>
      <c r="AI44" s="2715" t="s">
        <v>20</v>
      </c>
      <c r="AJ44" s="2716" t="s">
        <v>500</v>
      </c>
      <c r="AK44" s="2717"/>
      <c r="AL44" s="1950"/>
      <c r="AM44" s="796"/>
    </row>
    <row r="45" spans="1:39" ht="12" customHeight="1">
      <c r="A45" s="788"/>
      <c r="B45" s="907"/>
      <c r="C45" s="2217"/>
      <c r="D45" s="4276" t="s">
        <v>579</v>
      </c>
      <c r="E45" s="644" t="s">
        <v>274</v>
      </c>
      <c r="F45" s="2153"/>
      <c r="G45" s="2154"/>
      <c r="H45" s="2153"/>
      <c r="I45" s="2154"/>
      <c r="J45" s="2153"/>
      <c r="K45" s="2154"/>
      <c r="L45" s="2153"/>
      <c r="M45" s="2154"/>
      <c r="N45" s="2069">
        <f t="shared" ref="N45:O47" si="13">L45+J45+H45+F45</f>
        <v>0</v>
      </c>
      <c r="O45" s="2070">
        <f t="shared" si="13"/>
        <v>0</v>
      </c>
      <c r="P45" s="641"/>
      <c r="Q45" s="641"/>
      <c r="R45" s="860"/>
      <c r="S45" s="759"/>
      <c r="T45" s="794"/>
      <c r="U45" s="4253" t="s">
        <v>578</v>
      </c>
      <c r="V45" s="4254"/>
      <c r="W45" s="3748" t="str">
        <f>IF('الصفحة 10'!F48-'الصفحة 10'!F20&lt;&gt;0,"خطأ"," ")</f>
        <v>خطأ</v>
      </c>
      <c r="X45" s="3749" t="str">
        <f>IF('الصفحة 10'!G48-'الصفحة 10'!G20&lt;&gt;0,"خطأ"," ")</f>
        <v>خطأ</v>
      </c>
      <c r="Y45" s="3750"/>
      <c r="Z45" s="3751"/>
      <c r="AA45" s="3752" t="str">
        <f>IF('الصفحة 10'!H48-'الصفحة 10'!H20&lt;&gt;0,"خطأ"," ")</f>
        <v>خطأ</v>
      </c>
      <c r="AB45" s="3749" t="str">
        <f>IF('الصفحة 10'!I48-'الصفحة 10'!I20&lt;&gt;0,"خطأ"," ")</f>
        <v>خطأ</v>
      </c>
      <c r="AC45" s="3750"/>
      <c r="AD45" s="3751"/>
      <c r="AE45" s="3748" t="str">
        <f>IF('الصفحة 10'!J48-'الصفحة 10'!J20&lt;&gt;0,"خطأ"," ")</f>
        <v>خطأ</v>
      </c>
      <c r="AF45" s="3749" t="str">
        <f>IF('الصفحة 10'!K48-'الصفحة 10'!K20&lt;&gt;0,"خطأ"," ")</f>
        <v>خطأ</v>
      </c>
      <c r="AG45" s="3750"/>
      <c r="AH45" s="3751"/>
      <c r="AI45" s="3748" t="str">
        <f>IF('الصفحة 10'!L48-'الصفحة 10'!L20&lt;&gt;0,"خطأ"," ")</f>
        <v>خطأ</v>
      </c>
      <c r="AJ45" s="3749" t="str">
        <f>IF('الصفحة 10'!M48-'الصفحة 10'!M20&lt;&gt;0,"خطأ"," ")</f>
        <v>خطأ</v>
      </c>
      <c r="AK45" s="2718"/>
      <c r="AL45" s="1950"/>
      <c r="AM45" s="796"/>
    </row>
    <row r="46" spans="1:39" ht="12" customHeight="1">
      <c r="A46" s="788"/>
      <c r="B46" s="910"/>
      <c r="C46" s="2217"/>
      <c r="D46" s="4277"/>
      <c r="E46" s="1326" t="s">
        <v>273</v>
      </c>
      <c r="F46" s="2153"/>
      <c r="G46" s="2154"/>
      <c r="H46" s="2153"/>
      <c r="I46" s="2154"/>
      <c r="J46" s="2153"/>
      <c r="K46" s="2154"/>
      <c r="L46" s="2153"/>
      <c r="M46" s="2154"/>
      <c r="N46" s="2069">
        <f t="shared" si="13"/>
        <v>0</v>
      </c>
      <c r="O46" s="2070">
        <f t="shared" si="13"/>
        <v>0</v>
      </c>
      <c r="P46" s="641"/>
      <c r="Q46" s="641"/>
      <c r="R46" s="866"/>
      <c r="S46" s="861"/>
      <c r="T46" s="794"/>
      <c r="U46" s="4248" t="s">
        <v>1271</v>
      </c>
      <c r="V46" s="4248"/>
      <c r="W46" s="4248"/>
      <c r="X46" s="4248"/>
      <c r="Y46" s="4248"/>
      <c r="Z46" s="4248"/>
      <c r="AA46" s="4248"/>
      <c r="AB46" s="4248"/>
      <c r="AC46" s="4248"/>
      <c r="AD46" s="4248"/>
      <c r="AE46" s="4248"/>
      <c r="AF46" s="4248"/>
      <c r="AG46" s="4248"/>
      <c r="AH46" s="4248"/>
      <c r="AI46" s="4248"/>
      <c r="AJ46" s="4248"/>
      <c r="AK46" s="1718"/>
      <c r="AL46" s="1950"/>
      <c r="AM46" s="796"/>
    </row>
    <row r="47" spans="1:39" ht="12" customHeight="1">
      <c r="A47" s="788"/>
      <c r="B47" s="907"/>
      <c r="C47" s="2217"/>
      <c r="D47" s="4277"/>
      <c r="E47" s="644" t="s">
        <v>275</v>
      </c>
      <c r="F47" s="2157"/>
      <c r="G47" s="2158"/>
      <c r="H47" s="2157"/>
      <c r="I47" s="2158"/>
      <c r="J47" s="2157"/>
      <c r="K47" s="2158"/>
      <c r="L47" s="2157"/>
      <c r="M47" s="2158"/>
      <c r="N47" s="2071">
        <f t="shared" si="13"/>
        <v>0</v>
      </c>
      <c r="O47" s="2072">
        <f t="shared" si="13"/>
        <v>0</v>
      </c>
      <c r="P47" s="641"/>
      <c r="Q47" s="641"/>
      <c r="R47" s="866"/>
      <c r="S47" s="759"/>
      <c r="T47" s="794"/>
      <c r="U47" s="4249"/>
      <c r="V47" s="4249"/>
      <c r="W47" s="4249"/>
      <c r="X47" s="4249"/>
      <c r="Y47" s="4249"/>
      <c r="Z47" s="4249"/>
      <c r="AA47" s="4249"/>
      <c r="AB47" s="4249"/>
      <c r="AC47" s="4249"/>
      <c r="AD47" s="4249"/>
      <c r="AE47" s="4249"/>
      <c r="AF47" s="4249"/>
      <c r="AG47" s="4249"/>
      <c r="AH47" s="4249"/>
      <c r="AI47" s="4249"/>
      <c r="AJ47" s="4249"/>
      <c r="AK47" s="1718"/>
      <c r="AL47" s="1950"/>
      <c r="AM47" s="796"/>
    </row>
    <row r="48" spans="1:39" ht="12" customHeight="1">
      <c r="A48" s="788"/>
      <c r="B48" s="926"/>
      <c r="C48" s="2217"/>
      <c r="D48" s="4278"/>
      <c r="E48" s="1007" t="s">
        <v>28</v>
      </c>
      <c r="F48" s="2082">
        <f t="shared" ref="F48:O48" si="14">SUM(F45:F47)</f>
        <v>0</v>
      </c>
      <c r="G48" s="2151">
        <f t="shared" si="14"/>
        <v>0</v>
      </c>
      <c r="H48" s="2082">
        <f t="shared" si="14"/>
        <v>0</v>
      </c>
      <c r="I48" s="2151">
        <f t="shared" si="14"/>
        <v>0</v>
      </c>
      <c r="J48" s="2082">
        <f t="shared" si="14"/>
        <v>0</v>
      </c>
      <c r="K48" s="2151">
        <f t="shared" si="14"/>
        <v>0</v>
      </c>
      <c r="L48" s="2082">
        <f t="shared" si="14"/>
        <v>0</v>
      </c>
      <c r="M48" s="2151">
        <f t="shared" si="14"/>
        <v>0</v>
      </c>
      <c r="N48" s="2082">
        <f t="shared" si="14"/>
        <v>0</v>
      </c>
      <c r="O48" s="2151">
        <f t="shared" si="14"/>
        <v>0</v>
      </c>
      <c r="P48" s="641"/>
      <c r="Q48" s="641"/>
      <c r="R48" s="866"/>
      <c r="S48" s="759"/>
      <c r="T48" s="794"/>
      <c r="U48" s="4257"/>
      <c r="V48" s="2710"/>
      <c r="W48" s="4243" t="s">
        <v>651</v>
      </c>
      <c r="X48" s="4244"/>
      <c r="Y48" s="2711"/>
      <c r="Z48" s="2719"/>
      <c r="AA48" s="2719"/>
      <c r="AB48" s="2719"/>
      <c r="AC48" s="2710"/>
      <c r="AE48" s="4243" t="s">
        <v>651</v>
      </c>
      <c r="AF48" s="4244"/>
      <c r="AG48" s="1032"/>
      <c r="AH48" s="1032"/>
      <c r="AI48" s="1032"/>
      <c r="AJ48" s="1032"/>
      <c r="AK48" s="2709"/>
      <c r="AL48" s="1950"/>
      <c r="AM48" s="796"/>
    </row>
    <row r="49" spans="1:39" ht="12" customHeight="1">
      <c r="A49" s="788"/>
      <c r="B49" s="907"/>
      <c r="C49" s="2218"/>
      <c r="D49" s="4281" t="s">
        <v>577</v>
      </c>
      <c r="E49" s="644" t="s">
        <v>274</v>
      </c>
      <c r="F49" s="2153"/>
      <c r="G49" s="2154"/>
      <c r="H49" s="2153"/>
      <c r="I49" s="2154"/>
      <c r="J49" s="2153"/>
      <c r="K49" s="2154"/>
      <c r="L49" s="2153"/>
      <c r="M49" s="2154"/>
      <c r="N49" s="2069">
        <f>L49+J49+H49+F49</f>
        <v>0</v>
      </c>
      <c r="O49" s="2070">
        <f>M49+K49+I49+G49</f>
        <v>0</v>
      </c>
      <c r="P49" s="641"/>
      <c r="Q49" s="641"/>
      <c r="R49" s="866"/>
      <c r="S49" s="759"/>
      <c r="T49" s="794"/>
      <c r="U49" s="4257"/>
      <c r="V49" s="2710"/>
      <c r="W49" s="2995" t="s">
        <v>20</v>
      </c>
      <c r="X49" s="2996" t="s">
        <v>500</v>
      </c>
      <c r="Y49" s="2720"/>
      <c r="Z49" s="2719"/>
      <c r="AA49" s="2719"/>
      <c r="AB49" s="2719"/>
      <c r="AC49" s="2710"/>
      <c r="AE49" s="2995" t="s">
        <v>20</v>
      </c>
      <c r="AF49" s="2996" t="s">
        <v>500</v>
      </c>
      <c r="AG49" s="1032"/>
      <c r="AH49" s="1032"/>
      <c r="AI49" s="1032"/>
      <c r="AJ49" s="1032"/>
      <c r="AK49" s="2709"/>
      <c r="AL49" s="1950"/>
      <c r="AM49" s="796"/>
    </row>
    <row r="50" spans="1:39" ht="12" customHeight="1">
      <c r="A50" s="788"/>
      <c r="B50" s="926"/>
      <c r="C50" s="2218"/>
      <c r="D50" s="4282"/>
      <c r="E50" s="1326" t="s">
        <v>273</v>
      </c>
      <c r="F50" s="2157"/>
      <c r="G50" s="2158"/>
      <c r="H50" s="2157"/>
      <c r="I50" s="2158"/>
      <c r="J50" s="2157"/>
      <c r="K50" s="2158"/>
      <c r="L50" s="2157"/>
      <c r="M50" s="2158"/>
      <c r="N50" s="2071">
        <f>L50+J50+H50+F50</f>
        <v>0</v>
      </c>
      <c r="O50" s="2072">
        <f>M50+K50+I50+G50</f>
        <v>0</v>
      </c>
      <c r="P50" s="641"/>
      <c r="Q50" s="641"/>
      <c r="R50" s="866"/>
      <c r="S50" s="759"/>
      <c r="T50" s="794"/>
      <c r="U50" s="4253" t="s">
        <v>273</v>
      </c>
      <c r="V50" s="4254"/>
      <c r="W50" s="3748" t="str">
        <f>IF(N46-('الصفحة 3'!E32+'الصفحة 3-1'!F69)&lt;&gt;0,"خطأ"," ")</f>
        <v>خطأ</v>
      </c>
      <c r="X50" s="3749" t="str">
        <f>IF(O46-('الصفحة 3'!J32+'الصفحة 3-1'!K69)&lt;&gt;0,"خطأ"," ")</f>
        <v>خطأ</v>
      </c>
      <c r="Y50" s="3753"/>
      <c r="Z50" s="3754"/>
      <c r="AA50" s="4252" t="s">
        <v>274</v>
      </c>
      <c r="AB50" s="4252"/>
      <c r="AC50" s="4252"/>
      <c r="AD50" s="2997"/>
      <c r="AE50" s="3748" t="str">
        <f>IF(N45-('الصفحة 3-1'!F34)&lt;&gt;0,"خطأ"," ")</f>
        <v xml:space="preserve"> </v>
      </c>
      <c r="AF50" s="3749" t="str">
        <f>IF(O45-('الصفحة 3-1'!K34)&lt;&gt;0,"خطأ"," ")</f>
        <v xml:space="preserve"> </v>
      </c>
      <c r="AG50" s="3284"/>
      <c r="AH50" s="3284"/>
      <c r="AI50" s="3284"/>
      <c r="AJ50" s="3284"/>
      <c r="AK50" s="1718"/>
      <c r="AL50" s="1950"/>
      <c r="AM50" s="796"/>
    </row>
    <row r="51" spans="1:39" ht="12" customHeight="1">
      <c r="A51" s="788"/>
      <c r="B51" s="926"/>
      <c r="C51" s="2218"/>
      <c r="D51" s="4283"/>
      <c r="E51" s="1007" t="s">
        <v>28</v>
      </c>
      <c r="F51" s="2082">
        <f t="shared" ref="F51:O51" si="15">SUM(F49:F50)</f>
        <v>0</v>
      </c>
      <c r="G51" s="2151">
        <f t="shared" si="15"/>
        <v>0</v>
      </c>
      <c r="H51" s="2082">
        <f t="shared" si="15"/>
        <v>0</v>
      </c>
      <c r="I51" s="2151">
        <f t="shared" si="15"/>
        <v>0</v>
      </c>
      <c r="J51" s="2082">
        <f t="shared" si="15"/>
        <v>0</v>
      </c>
      <c r="K51" s="2151">
        <f t="shared" si="15"/>
        <v>0</v>
      </c>
      <c r="L51" s="2082">
        <f t="shared" si="15"/>
        <v>0</v>
      </c>
      <c r="M51" s="2151">
        <f t="shared" si="15"/>
        <v>0</v>
      </c>
      <c r="N51" s="2082">
        <f t="shared" si="15"/>
        <v>0</v>
      </c>
      <c r="O51" s="2151">
        <f t="shared" si="15"/>
        <v>0</v>
      </c>
      <c r="P51" s="641"/>
      <c r="Q51" s="641"/>
      <c r="R51" s="866"/>
      <c r="S51" s="759"/>
      <c r="T51" s="794"/>
      <c r="U51" s="1032"/>
      <c r="V51" s="1032"/>
      <c r="W51" s="4242" t="str">
        <f>IF(('الصفحة 1'!$Q$14&gt;0),(IF((('الصفحة 12'!M41)&gt;'الصفحة 10'!N45),("خطء داخليين أقسام الرياضة"),IF((('الصفحة 12'!M41)&gt;'الصفحة 10'!N45),("خطء داخليين أقسام الرياضة"),IF((('الصفحة 12'!M41)&gt;'الصفحة 10'!N45),(" خطء داخليين أقسام الرياضة  "),"")))),"")</f>
        <v/>
      </c>
      <c r="X51" s="4242"/>
      <c r="Y51" s="4242"/>
      <c r="Z51" s="4242"/>
      <c r="AA51" s="4242"/>
      <c r="AB51" s="4242"/>
      <c r="AC51" s="4242"/>
      <c r="AD51" s="1032"/>
      <c r="AG51" s="1032"/>
      <c r="AH51" s="1032"/>
      <c r="AI51" s="1032"/>
      <c r="AJ51" s="1032"/>
      <c r="AK51" s="1718"/>
      <c r="AL51" s="1950"/>
      <c r="AM51" s="796"/>
    </row>
    <row r="52" spans="1:39" ht="8.1" customHeight="1">
      <c r="A52" s="788"/>
      <c r="B52" s="926"/>
      <c r="C52" s="2219"/>
      <c r="D52" s="2220"/>
      <c r="E52" s="2220"/>
      <c r="F52" s="2232" t="str">
        <f>IF(('الصفحة 1'!$Q$14&gt;0),IF(('الصفحة 6'!O26&gt;0),IF(('الصفحة 6'!O26&lt;&gt;$F$48),"خطء ",""),""),(""))</f>
        <v xml:space="preserve">خطء </v>
      </c>
      <c r="G52" s="2232" t="str">
        <f>IF(('الصفحة 1'!$Q$14&gt;0),IF(('الصفحة 6'!O27&gt;0),IF(('الصفحة 6'!O27&lt;&gt;$G$48),"خطء ",""),""),(""))</f>
        <v xml:space="preserve">خطء </v>
      </c>
      <c r="H52" s="2232" t="str">
        <f>IF(('الصفحة 1'!$Q$14&gt;0),IF(('الصفحة 7'!O26&gt;0),IF(('الصفحة 7'!O26&lt;&gt;$H$48),"خطء ",""),""),(""))</f>
        <v xml:space="preserve">خطء </v>
      </c>
      <c r="I52" s="2232" t="str">
        <f>IF(('الصفحة 1'!$Q$14&gt;0),IF(('الصفحة 7'!O27&gt;0),IF(('الصفحة 7'!O27&lt;&gt;$I$48),"خطء ",""),""),(""))</f>
        <v xml:space="preserve">خطء </v>
      </c>
      <c r="J52" s="2232" t="str">
        <f>IF(('الصفحة 1'!$Q$14&gt;0),IF(('الصفحة 8'!O26&gt;0),IF(('الصفحة 8'!O26&lt;&gt;$J$48),"خطء ",""),""),(""))</f>
        <v xml:space="preserve">خطء </v>
      </c>
      <c r="K52" s="2232" t="str">
        <f>IF(('الصفحة 1'!$Q$14&gt;0),IF(('الصفحة 8'!O27&gt;0),IF(('الصفحة 8'!O27&lt;&gt;$K$48),"خطء ",""),""),(""))</f>
        <v xml:space="preserve">خطء </v>
      </c>
      <c r="L52" s="2232" t="str">
        <f>IF(('الصفحة 1'!$Q$14&gt;0),IF(('الصفحة 9'!O26&gt;0),IF(('الصفحة 9'!O26&lt;&gt;$L$48),"خطء ",""),""),(""))</f>
        <v xml:space="preserve">خطء </v>
      </c>
      <c r="M52" s="2232" t="str">
        <f>IF(('الصفحة 1'!$Q$14&gt;0),IF(('الصفحة 9'!O27&gt;0),IF(('الصفحة 9'!O27&lt;&gt;$M$48),"خطء ",""),""),(""))</f>
        <v xml:space="preserve">خطء </v>
      </c>
      <c r="N52" s="2233"/>
      <c r="O52" s="2233"/>
      <c r="P52" s="2221"/>
      <c r="Q52" s="2221"/>
      <c r="R52" s="2222"/>
      <c r="S52" s="759"/>
      <c r="T52" s="794"/>
      <c r="U52" s="1032"/>
      <c r="V52" s="1032"/>
      <c r="W52" s="1032"/>
      <c r="X52" s="1032"/>
      <c r="Y52" s="1032"/>
      <c r="Z52" s="1032"/>
      <c r="AA52" s="1032"/>
      <c r="AB52" s="1032"/>
      <c r="AC52" s="1032"/>
      <c r="AD52" s="1032"/>
      <c r="AG52" s="1032"/>
      <c r="AH52" s="1032"/>
      <c r="AI52" s="1032"/>
      <c r="AJ52" s="1032"/>
      <c r="AK52" s="1718"/>
      <c r="AL52" s="1950"/>
      <c r="AM52" s="796"/>
    </row>
    <row r="53" spans="1:39" ht="2.1" customHeight="1">
      <c r="A53" s="788"/>
      <c r="B53" s="895"/>
      <c r="C53" s="2333"/>
      <c r="D53" s="2334"/>
      <c r="E53" s="2335"/>
      <c r="F53" s="2223"/>
      <c r="G53" s="2223"/>
      <c r="H53" s="2223"/>
      <c r="I53" s="2223"/>
      <c r="J53" s="2223"/>
      <c r="K53" s="2223"/>
      <c r="L53" s="2223"/>
      <c r="M53" s="2223"/>
      <c r="N53" s="2223"/>
      <c r="O53" s="2223"/>
      <c r="P53" s="2224"/>
      <c r="Q53" s="2224"/>
      <c r="R53" s="2225"/>
      <c r="S53" s="820"/>
      <c r="T53" s="794"/>
      <c r="U53" s="1950"/>
      <c r="V53" s="1950"/>
      <c r="W53" s="1950"/>
      <c r="X53" s="1950"/>
      <c r="Y53" s="1950"/>
      <c r="Z53" s="1950"/>
      <c r="AA53" s="1950"/>
      <c r="AB53" s="1950"/>
      <c r="AC53" s="1950"/>
      <c r="AD53" s="1950"/>
      <c r="AG53" s="1950"/>
      <c r="AH53" s="1950"/>
      <c r="AI53" s="1950"/>
      <c r="AJ53" s="1950"/>
      <c r="AK53" s="1950"/>
      <c r="AL53" s="1950"/>
      <c r="AM53" s="796"/>
    </row>
    <row r="54" spans="1:39" ht="2.1" customHeight="1">
      <c r="A54" s="788"/>
      <c r="B54" s="895"/>
      <c r="C54" s="884"/>
      <c r="D54" s="2337"/>
      <c r="E54" s="2264"/>
      <c r="F54" s="1924"/>
      <c r="G54" s="1924"/>
      <c r="H54" s="1924"/>
      <c r="I54" s="1924"/>
      <c r="J54" s="1924"/>
      <c r="K54" s="1924"/>
      <c r="L54" s="1924"/>
      <c r="M54" s="1924"/>
      <c r="N54" s="1924"/>
      <c r="O54" s="1924"/>
      <c r="P54" s="1925"/>
      <c r="Q54" s="1925"/>
      <c r="R54" s="764"/>
      <c r="S54" s="820"/>
      <c r="T54" s="794"/>
      <c r="U54" s="1950"/>
      <c r="V54" s="1950"/>
      <c r="W54" s="1950"/>
      <c r="X54" s="1950"/>
      <c r="Y54" s="1950"/>
      <c r="Z54" s="1950"/>
      <c r="AA54" s="1950"/>
      <c r="AB54" s="1950"/>
      <c r="AC54" s="1950"/>
      <c r="AD54" s="1950"/>
      <c r="AE54" s="1950"/>
      <c r="AF54" s="1950"/>
      <c r="AG54" s="1950"/>
      <c r="AH54" s="1950"/>
      <c r="AI54" s="1950"/>
      <c r="AJ54" s="1950"/>
      <c r="AK54" s="1950"/>
      <c r="AL54" s="1950"/>
      <c r="AM54" s="796"/>
    </row>
    <row r="55" spans="1:39" ht="14.1" customHeight="1">
      <c r="A55" s="788"/>
      <c r="B55" s="895"/>
      <c r="C55" s="1011"/>
      <c r="D55" s="1940" t="s">
        <v>1417</v>
      </c>
      <c r="E55" s="1012"/>
      <c r="F55" s="1012"/>
      <c r="G55" s="1012"/>
      <c r="H55" s="1013"/>
      <c r="I55" s="1012"/>
      <c r="J55" s="1012"/>
      <c r="K55" s="1012"/>
      <c r="L55" s="1012"/>
      <c r="M55" s="1012"/>
      <c r="N55" s="1012"/>
      <c r="O55" s="1012"/>
      <c r="P55" s="1012"/>
      <c r="Q55" s="1012"/>
      <c r="R55" s="1010"/>
      <c r="S55" s="820"/>
      <c r="T55" s="794"/>
      <c r="U55" s="1032"/>
      <c r="V55" s="1032"/>
      <c r="W55" s="1032"/>
      <c r="X55" s="1032"/>
      <c r="Y55" s="1032"/>
      <c r="Z55" s="1032"/>
      <c r="AA55" s="1032"/>
      <c r="AB55" s="1032"/>
      <c r="AC55" s="1032"/>
      <c r="AD55" s="1032"/>
      <c r="AE55" s="1032"/>
      <c r="AF55" s="1032"/>
      <c r="AG55" s="1032"/>
      <c r="AH55" s="1032"/>
      <c r="AI55" s="1032"/>
      <c r="AJ55" s="1032"/>
      <c r="AK55" s="1950"/>
      <c r="AL55" s="1950"/>
      <c r="AM55" s="796"/>
    </row>
    <row r="56" spans="1:39" ht="2.1" customHeight="1" thickBot="1">
      <c r="A56" s="788"/>
      <c r="B56" s="895"/>
      <c r="C56" s="884"/>
      <c r="D56" s="2337"/>
      <c r="E56" s="2264"/>
      <c r="F56" s="1924"/>
      <c r="G56" s="1924"/>
      <c r="H56" s="1924"/>
      <c r="I56" s="1924"/>
      <c r="J56" s="1924"/>
      <c r="K56" s="1924"/>
      <c r="L56" s="1924"/>
      <c r="M56" s="1924"/>
      <c r="N56" s="1924"/>
      <c r="O56" s="1924"/>
      <c r="P56" s="1925"/>
      <c r="Q56" s="1925"/>
      <c r="R56" s="764"/>
      <c r="S56" s="820"/>
      <c r="T56" s="794"/>
      <c r="U56" s="1032"/>
      <c r="V56" s="1032"/>
      <c r="W56" s="1032"/>
      <c r="X56" s="1032"/>
      <c r="Y56" s="1032"/>
      <c r="Z56" s="1032"/>
      <c r="AA56" s="1032"/>
      <c r="AB56" s="1032"/>
      <c r="AC56" s="1032"/>
      <c r="AD56" s="1032"/>
      <c r="AE56" s="1032"/>
      <c r="AF56" s="1032"/>
      <c r="AG56" s="1032"/>
      <c r="AH56" s="1032"/>
      <c r="AI56" s="1032"/>
      <c r="AJ56" s="1032"/>
      <c r="AK56" s="1950"/>
      <c r="AL56" s="1950"/>
      <c r="AM56" s="796"/>
    </row>
    <row r="57" spans="1:39" ht="14.1" customHeight="1">
      <c r="A57" s="788"/>
      <c r="B57" s="926"/>
      <c r="C57" s="868"/>
      <c r="D57" s="4225" t="s">
        <v>26</v>
      </c>
      <c r="E57" s="4226"/>
      <c r="F57" s="4238" t="s">
        <v>25</v>
      </c>
      <c r="G57" s="4239"/>
      <c r="H57" s="4240" t="s">
        <v>24</v>
      </c>
      <c r="I57" s="4241"/>
      <c r="J57" s="4238" t="s">
        <v>23</v>
      </c>
      <c r="K57" s="4239"/>
      <c r="L57" s="4240" t="s">
        <v>22</v>
      </c>
      <c r="M57" s="4241"/>
      <c r="N57" s="4250" t="s">
        <v>610</v>
      </c>
      <c r="O57" s="4251"/>
      <c r="P57" s="641"/>
      <c r="Q57" s="641"/>
      <c r="R57" s="866"/>
      <c r="S57" s="759"/>
      <c r="T57" s="794"/>
      <c r="U57" s="2682"/>
      <c r="V57" s="2683"/>
      <c r="W57" s="2684"/>
      <c r="X57" s="2684"/>
      <c r="Y57" s="2684"/>
      <c r="Z57" s="2683"/>
      <c r="AA57" s="2684"/>
      <c r="AB57" s="2684"/>
      <c r="AC57" s="2685"/>
      <c r="AD57" s="2684"/>
      <c r="AE57" s="2684"/>
      <c r="AF57" s="2684"/>
      <c r="AG57" s="2684"/>
      <c r="AH57" s="2683"/>
      <c r="AI57" s="2684"/>
      <c r="AJ57" s="2684"/>
      <c r="AK57" s="2685"/>
      <c r="AL57" s="1950"/>
      <c r="AM57" s="796"/>
    </row>
    <row r="58" spans="1:39" ht="9.9" customHeight="1">
      <c r="A58" s="788"/>
      <c r="B58" s="926"/>
      <c r="C58" s="868"/>
      <c r="D58" s="4262" t="s">
        <v>576</v>
      </c>
      <c r="E58" s="4263"/>
      <c r="F58" s="2234" t="s">
        <v>20</v>
      </c>
      <c r="G58" s="2235" t="s">
        <v>19</v>
      </c>
      <c r="H58" s="2236" t="s">
        <v>20</v>
      </c>
      <c r="I58" s="2237" t="s">
        <v>19</v>
      </c>
      <c r="J58" s="2234" t="s">
        <v>20</v>
      </c>
      <c r="K58" s="2235" t="s">
        <v>19</v>
      </c>
      <c r="L58" s="2236" t="s">
        <v>20</v>
      </c>
      <c r="M58" s="2237" t="s">
        <v>19</v>
      </c>
      <c r="N58" s="2238" t="s">
        <v>20</v>
      </c>
      <c r="O58" s="2239" t="s">
        <v>19</v>
      </c>
      <c r="P58" s="641"/>
      <c r="Q58" s="641"/>
      <c r="R58" s="866"/>
      <c r="S58" s="759"/>
      <c r="T58" s="794"/>
      <c r="U58" s="2721" t="s">
        <v>562</v>
      </c>
      <c r="V58" s="2687"/>
      <c r="W58" s="4236" t="s">
        <v>25</v>
      </c>
      <c r="X58" s="4237"/>
      <c r="Y58" s="2531"/>
      <c r="Z58" s="2688"/>
      <c r="AA58" s="4236" t="s">
        <v>24</v>
      </c>
      <c r="AB58" s="4237"/>
      <c r="AC58" s="2689"/>
      <c r="AD58" s="2531"/>
      <c r="AE58" s="4236" t="s">
        <v>23</v>
      </c>
      <c r="AF58" s="4237"/>
      <c r="AG58" s="2531"/>
      <c r="AH58" s="2688"/>
      <c r="AI58" s="4236" t="s">
        <v>22</v>
      </c>
      <c r="AJ58" s="4237"/>
      <c r="AK58" s="2690"/>
      <c r="AL58" s="1950"/>
      <c r="AM58" s="796"/>
    </row>
    <row r="59" spans="1:39" ht="12" customHeight="1">
      <c r="A59" s="788"/>
      <c r="B59" s="926"/>
      <c r="C59" s="868"/>
      <c r="D59" s="4260" t="s">
        <v>575</v>
      </c>
      <c r="E59" s="4261"/>
      <c r="F59" s="2155"/>
      <c r="G59" s="2156"/>
      <c r="H59" s="2155"/>
      <c r="I59" s="2156"/>
      <c r="J59" s="2155"/>
      <c r="K59" s="2156"/>
      <c r="L59" s="2155"/>
      <c r="M59" s="2156"/>
      <c r="N59" s="2067">
        <f t="shared" ref="N59:N68" si="16">L59+J59+H59+F59</f>
        <v>0</v>
      </c>
      <c r="O59" s="2068">
        <f t="shared" ref="O59:O68" si="17">M59+K59+I59+G59</f>
        <v>0</v>
      </c>
      <c r="P59" s="641"/>
      <c r="Q59" s="641"/>
      <c r="R59" s="866"/>
      <c r="S59" s="759"/>
      <c r="T59" s="794"/>
      <c r="U59" s="2721"/>
      <c r="V59" s="2691"/>
      <c r="W59" s="2722" t="s">
        <v>20</v>
      </c>
      <c r="X59" s="2723" t="s">
        <v>19</v>
      </c>
      <c r="Y59" s="2724"/>
      <c r="Z59" s="2725"/>
      <c r="AA59" s="2722" t="s">
        <v>20</v>
      </c>
      <c r="AB59" s="2723" t="s">
        <v>19</v>
      </c>
      <c r="AC59" s="2726"/>
      <c r="AD59" s="2724"/>
      <c r="AE59" s="2722" t="s">
        <v>20</v>
      </c>
      <c r="AF59" s="2723" t="s">
        <v>19</v>
      </c>
      <c r="AG59" s="2724"/>
      <c r="AH59" s="2725"/>
      <c r="AI59" s="2722" t="s">
        <v>20</v>
      </c>
      <c r="AJ59" s="2723" t="s">
        <v>19</v>
      </c>
      <c r="AK59" s="2690"/>
      <c r="AL59" s="1950"/>
      <c r="AM59" s="796"/>
    </row>
    <row r="60" spans="1:39" ht="12" customHeight="1">
      <c r="A60" s="788"/>
      <c r="B60" s="926"/>
      <c r="C60" s="868"/>
      <c r="D60" s="4258" t="s">
        <v>574</v>
      </c>
      <c r="E60" s="4259"/>
      <c r="F60" s="2153"/>
      <c r="G60" s="2154"/>
      <c r="H60" s="2153"/>
      <c r="I60" s="2154"/>
      <c r="J60" s="2153"/>
      <c r="K60" s="2154"/>
      <c r="L60" s="2153"/>
      <c r="M60" s="2154"/>
      <c r="N60" s="2069">
        <f t="shared" si="16"/>
        <v>0</v>
      </c>
      <c r="O60" s="2070">
        <f t="shared" si="17"/>
        <v>0</v>
      </c>
      <c r="P60" s="641"/>
      <c r="Q60" s="641"/>
      <c r="R60" s="866"/>
      <c r="S60" s="759"/>
      <c r="T60" s="794"/>
      <c r="U60" s="2727" t="s">
        <v>274</v>
      </c>
      <c r="V60" s="2697"/>
      <c r="W60" s="3764" t="str">
        <f>IF(F49&lt;=F45," ","خطأ")</f>
        <v xml:space="preserve"> </v>
      </c>
      <c r="X60" s="3765" t="str">
        <f>IF(G49&lt;=G45," ","خطأ")</f>
        <v xml:space="preserve"> </v>
      </c>
      <c r="Y60" s="3766"/>
      <c r="Z60" s="3767"/>
      <c r="AA60" s="3764" t="str">
        <f>IF(H49&lt;=H45," ","خطأ")</f>
        <v xml:space="preserve"> </v>
      </c>
      <c r="AB60" s="3765" t="str">
        <f>IF(I49&lt;=I45," ","خطأ")</f>
        <v xml:space="preserve"> </v>
      </c>
      <c r="AC60" s="3768"/>
      <c r="AD60" s="3766"/>
      <c r="AE60" s="3764" t="str">
        <f>IF(J49&lt;=J45," ","خطأ")</f>
        <v xml:space="preserve"> </v>
      </c>
      <c r="AF60" s="3765" t="str">
        <f>IF(K49&lt;=K45," ","خطأ")</f>
        <v xml:space="preserve"> </v>
      </c>
      <c r="AG60" s="3766"/>
      <c r="AH60" s="3767"/>
      <c r="AI60" s="3764" t="str">
        <f>IF(L49&lt;=L45," ","خطأ")</f>
        <v xml:space="preserve"> </v>
      </c>
      <c r="AJ60" s="3765" t="str">
        <f>IF(M49&lt;=M45," ","خطأ")</f>
        <v xml:space="preserve"> </v>
      </c>
      <c r="AK60" s="2698"/>
      <c r="AL60" s="1950"/>
      <c r="AM60" s="796"/>
    </row>
    <row r="61" spans="1:39" ht="12" customHeight="1">
      <c r="A61" s="788"/>
      <c r="B61" s="926"/>
      <c r="C61" s="868"/>
      <c r="D61" s="4260" t="s">
        <v>573</v>
      </c>
      <c r="E61" s="4261"/>
      <c r="F61" s="2153"/>
      <c r="G61" s="2154"/>
      <c r="H61" s="2153"/>
      <c r="I61" s="2154"/>
      <c r="J61" s="2153"/>
      <c r="K61" s="2154"/>
      <c r="L61" s="2153"/>
      <c r="M61" s="2154"/>
      <c r="N61" s="2069">
        <f t="shared" si="16"/>
        <v>0</v>
      </c>
      <c r="O61" s="2070">
        <f t="shared" si="17"/>
        <v>0</v>
      </c>
      <c r="P61" s="641"/>
      <c r="Q61" s="641"/>
      <c r="R61" s="866"/>
      <c r="S61" s="759"/>
      <c r="T61" s="794"/>
      <c r="U61" s="2727" t="s">
        <v>273</v>
      </c>
      <c r="V61" s="2697"/>
      <c r="W61" s="3769" t="str">
        <f>IF(F50&lt;=F46," ","خطأ")</f>
        <v xml:space="preserve"> </v>
      </c>
      <c r="X61" s="3770" t="str">
        <f>IF(G50&lt;=G46," ","خطأ")</f>
        <v xml:space="preserve"> </v>
      </c>
      <c r="Y61" s="3766"/>
      <c r="Z61" s="3767"/>
      <c r="AA61" s="3769" t="str">
        <f>IF(H50&lt;=H46," ","خطأ")</f>
        <v xml:space="preserve"> </v>
      </c>
      <c r="AB61" s="3770" t="str">
        <f>IF(I50&lt;=I46," ","خطأ")</f>
        <v xml:space="preserve"> </v>
      </c>
      <c r="AC61" s="3768"/>
      <c r="AD61" s="3766"/>
      <c r="AE61" s="3769" t="str">
        <f>IF(J50&lt;=J46," ","خطأ")</f>
        <v xml:space="preserve"> </v>
      </c>
      <c r="AF61" s="3770" t="str">
        <f>IF(K50&lt;=K46," ","خطأ")</f>
        <v xml:space="preserve"> </v>
      </c>
      <c r="AG61" s="3766"/>
      <c r="AH61" s="3767"/>
      <c r="AI61" s="3769" t="str">
        <f>IF(L50&lt;=L46," ","خطأ")</f>
        <v xml:space="preserve"> </v>
      </c>
      <c r="AJ61" s="3770" t="str">
        <f>IF(M50&lt;=M46," ","خطأ")</f>
        <v xml:space="preserve"> </v>
      </c>
      <c r="AK61" s="2698"/>
      <c r="AL61" s="1950"/>
      <c r="AM61" s="796"/>
    </row>
    <row r="62" spans="1:39" ht="12" customHeight="1" thickBot="1">
      <c r="A62" s="788"/>
      <c r="B62" s="926"/>
      <c r="C62" s="868"/>
      <c r="D62" s="4258" t="s">
        <v>639</v>
      </c>
      <c r="E62" s="4259"/>
      <c r="F62" s="2153"/>
      <c r="G62" s="2154"/>
      <c r="H62" s="2153"/>
      <c r="I62" s="2154"/>
      <c r="J62" s="2153"/>
      <c r="K62" s="2154"/>
      <c r="L62" s="2153"/>
      <c r="M62" s="2154"/>
      <c r="N62" s="2069">
        <f t="shared" si="16"/>
        <v>0</v>
      </c>
      <c r="O62" s="2070">
        <f t="shared" si="17"/>
        <v>0</v>
      </c>
      <c r="P62" s="641"/>
      <c r="Q62" s="641"/>
      <c r="R62" s="866"/>
      <c r="S62" s="759"/>
      <c r="T62" s="794"/>
      <c r="U62" s="2728"/>
      <c r="V62" s="2729"/>
      <c r="W62" s="2730"/>
      <c r="X62" s="2730"/>
      <c r="Y62" s="2730"/>
      <c r="Z62" s="2729"/>
      <c r="AA62" s="2731"/>
      <c r="AB62" s="2731"/>
      <c r="AC62" s="2732"/>
      <c r="AD62" s="2730"/>
      <c r="AE62" s="2730"/>
      <c r="AF62" s="2730"/>
      <c r="AG62" s="2733"/>
      <c r="AH62" s="2734"/>
      <c r="AI62" s="2730"/>
      <c r="AJ62" s="2730"/>
      <c r="AK62" s="2732"/>
      <c r="AL62" s="1950"/>
      <c r="AM62" s="796"/>
    </row>
    <row r="63" spans="1:39" ht="12" customHeight="1">
      <c r="A63" s="788"/>
      <c r="B63" s="926"/>
      <c r="C63" s="868"/>
      <c r="D63" s="4260" t="s">
        <v>572</v>
      </c>
      <c r="E63" s="4261"/>
      <c r="F63" s="2153"/>
      <c r="G63" s="2154"/>
      <c r="H63" s="2153"/>
      <c r="I63" s="2154"/>
      <c r="J63" s="2153"/>
      <c r="K63" s="2154"/>
      <c r="L63" s="2153"/>
      <c r="M63" s="2154"/>
      <c r="N63" s="2069">
        <f t="shared" si="16"/>
        <v>0</v>
      </c>
      <c r="O63" s="2070">
        <f t="shared" si="17"/>
        <v>0</v>
      </c>
      <c r="P63" s="641"/>
      <c r="Q63" s="641"/>
      <c r="R63" s="866"/>
      <c r="S63" s="759"/>
      <c r="T63" s="794"/>
      <c r="U63" s="1950"/>
      <c r="V63" s="1950"/>
      <c r="W63" s="1950"/>
      <c r="X63" s="1950"/>
      <c r="Y63" s="1950"/>
      <c r="Z63" s="1950"/>
      <c r="AA63" s="1950"/>
      <c r="AB63" s="1950"/>
      <c r="AC63" s="1950"/>
      <c r="AD63" s="1950"/>
      <c r="AE63" s="1950"/>
      <c r="AF63" s="1950"/>
      <c r="AG63" s="1950"/>
      <c r="AH63" s="1950"/>
      <c r="AI63" s="1950"/>
      <c r="AJ63" s="1950"/>
      <c r="AK63" s="1950"/>
      <c r="AL63" s="1950"/>
      <c r="AM63" s="796"/>
    </row>
    <row r="64" spans="1:39" ht="12" customHeight="1">
      <c r="A64" s="788"/>
      <c r="B64" s="926"/>
      <c r="C64" s="868"/>
      <c r="D64" s="4258" t="s">
        <v>571</v>
      </c>
      <c r="E64" s="4259"/>
      <c r="F64" s="2153"/>
      <c r="G64" s="2154"/>
      <c r="H64" s="2153"/>
      <c r="I64" s="2154"/>
      <c r="J64" s="2153"/>
      <c r="K64" s="2154"/>
      <c r="L64" s="2153"/>
      <c r="M64" s="2154"/>
      <c r="N64" s="2069">
        <f t="shared" si="16"/>
        <v>0</v>
      </c>
      <c r="O64" s="2070">
        <f t="shared" si="17"/>
        <v>0</v>
      </c>
      <c r="P64" s="641"/>
      <c r="Q64" s="641"/>
      <c r="R64" s="866"/>
      <c r="S64" s="759"/>
      <c r="T64" s="794"/>
      <c r="U64" s="1950"/>
      <c r="V64" s="1950"/>
      <c r="W64" s="1950"/>
      <c r="X64" s="1950"/>
      <c r="Y64" s="1950"/>
      <c r="Z64" s="1950"/>
      <c r="AA64" s="1950"/>
      <c r="AB64" s="1950"/>
      <c r="AC64" s="1950"/>
      <c r="AD64" s="1950"/>
      <c r="AE64" s="1950"/>
      <c r="AF64" s="1950"/>
      <c r="AG64" s="1950"/>
      <c r="AH64" s="1950"/>
      <c r="AI64" s="1950"/>
      <c r="AJ64" s="1950"/>
      <c r="AK64" s="1950"/>
      <c r="AL64" s="1950"/>
      <c r="AM64" s="796"/>
    </row>
    <row r="65" spans="1:39" ht="12" customHeight="1">
      <c r="A65" s="788"/>
      <c r="B65" s="926"/>
      <c r="C65" s="868"/>
      <c r="D65" s="4260" t="s">
        <v>627</v>
      </c>
      <c r="E65" s="4261"/>
      <c r="F65" s="2153"/>
      <c r="G65" s="2154"/>
      <c r="H65" s="2153"/>
      <c r="I65" s="2154"/>
      <c r="J65" s="2153"/>
      <c r="K65" s="2154"/>
      <c r="L65" s="2153"/>
      <c r="M65" s="2154"/>
      <c r="N65" s="2069">
        <f t="shared" si="16"/>
        <v>0</v>
      </c>
      <c r="O65" s="2070">
        <f t="shared" si="17"/>
        <v>0</v>
      </c>
      <c r="P65" s="641"/>
      <c r="Q65" s="641"/>
      <c r="R65" s="866"/>
      <c r="S65" s="759"/>
      <c r="T65" s="794"/>
      <c r="U65" s="1950"/>
      <c r="V65" s="1950"/>
      <c r="W65" s="1950"/>
      <c r="X65" s="1950"/>
      <c r="Y65" s="1950"/>
      <c r="Z65" s="1950"/>
      <c r="AA65" s="1950"/>
      <c r="AB65" s="1950"/>
      <c r="AC65" s="1950"/>
      <c r="AD65" s="1950"/>
      <c r="AE65" s="1950"/>
      <c r="AF65" s="1950"/>
      <c r="AG65" s="1950"/>
      <c r="AH65" s="1950"/>
      <c r="AI65" s="1950"/>
      <c r="AJ65" s="1950"/>
      <c r="AK65" s="1950"/>
      <c r="AL65" s="1950"/>
      <c r="AM65" s="796"/>
    </row>
    <row r="66" spans="1:39" ht="12" customHeight="1">
      <c r="A66" s="788"/>
      <c r="B66" s="926"/>
      <c r="C66" s="868"/>
      <c r="D66" s="4258" t="s">
        <v>570</v>
      </c>
      <c r="E66" s="4259"/>
      <c r="F66" s="2153"/>
      <c r="G66" s="2154"/>
      <c r="H66" s="2153"/>
      <c r="I66" s="2154"/>
      <c r="J66" s="2153"/>
      <c r="K66" s="2154"/>
      <c r="L66" s="2153"/>
      <c r="M66" s="2154"/>
      <c r="N66" s="2069">
        <f t="shared" si="16"/>
        <v>0</v>
      </c>
      <c r="O66" s="2070">
        <f t="shared" si="17"/>
        <v>0</v>
      </c>
      <c r="P66" s="641"/>
      <c r="Q66" s="641"/>
      <c r="R66" s="866"/>
      <c r="S66" s="759"/>
      <c r="T66" s="794"/>
      <c r="U66" s="1950"/>
      <c r="V66" s="1950"/>
      <c r="W66" s="1950"/>
      <c r="X66" s="1950"/>
      <c r="Y66" s="1950"/>
      <c r="Z66" s="1950"/>
      <c r="AA66" s="1950"/>
      <c r="AB66" s="1950"/>
      <c r="AC66" s="1950"/>
      <c r="AD66" s="1950"/>
      <c r="AE66" s="1950"/>
      <c r="AF66" s="1950"/>
      <c r="AG66" s="1950"/>
      <c r="AH66" s="1950"/>
      <c r="AI66" s="1950"/>
      <c r="AJ66" s="1950"/>
      <c r="AK66" s="1950"/>
      <c r="AL66" s="1950"/>
      <c r="AM66" s="796"/>
    </row>
    <row r="67" spans="1:39" ht="12" customHeight="1">
      <c r="A67" s="788"/>
      <c r="B67" s="926"/>
      <c r="C67" s="868"/>
      <c r="D67" s="4260" t="s">
        <v>602</v>
      </c>
      <c r="E67" s="4261"/>
      <c r="F67" s="2153"/>
      <c r="G67" s="2154"/>
      <c r="H67" s="2153"/>
      <c r="I67" s="2154"/>
      <c r="J67" s="2153"/>
      <c r="K67" s="2154"/>
      <c r="L67" s="2153"/>
      <c r="M67" s="2154"/>
      <c r="N67" s="2069">
        <f t="shared" si="16"/>
        <v>0</v>
      </c>
      <c r="O67" s="2070">
        <f t="shared" si="17"/>
        <v>0</v>
      </c>
      <c r="P67" s="641"/>
      <c r="Q67" s="641"/>
      <c r="R67" s="866"/>
      <c r="S67" s="759"/>
      <c r="T67" s="794"/>
      <c r="U67" s="1950"/>
      <c r="V67" s="1950"/>
      <c r="W67" s="1950"/>
      <c r="X67" s="1950"/>
      <c r="Y67" s="1950"/>
      <c r="Z67" s="1950"/>
      <c r="AA67" s="1950"/>
      <c r="AB67" s="1950"/>
      <c r="AC67" s="1950"/>
      <c r="AD67" s="1950"/>
      <c r="AE67" s="1950"/>
      <c r="AF67" s="1950"/>
      <c r="AG67" s="1950"/>
      <c r="AH67" s="1950"/>
      <c r="AI67" s="1950"/>
      <c r="AJ67" s="1950"/>
      <c r="AK67" s="1950"/>
      <c r="AL67" s="1950"/>
      <c r="AM67" s="796"/>
    </row>
    <row r="68" spans="1:39" ht="12" customHeight="1">
      <c r="A68" s="788"/>
      <c r="B68" s="926"/>
      <c r="C68" s="868"/>
      <c r="D68" s="4258" t="s">
        <v>569</v>
      </c>
      <c r="E68" s="4259"/>
      <c r="F68" s="2157"/>
      <c r="G68" s="2158"/>
      <c r="H68" s="2157"/>
      <c r="I68" s="2158"/>
      <c r="J68" s="2157"/>
      <c r="K68" s="2158"/>
      <c r="L68" s="2157"/>
      <c r="M68" s="2158"/>
      <c r="N68" s="2071">
        <f t="shared" si="16"/>
        <v>0</v>
      </c>
      <c r="O68" s="2072">
        <f t="shared" si="17"/>
        <v>0</v>
      </c>
      <c r="P68" s="641"/>
      <c r="Q68" s="641"/>
      <c r="R68" s="866"/>
      <c r="S68" s="759"/>
      <c r="T68" s="794"/>
      <c r="U68" s="1950"/>
      <c r="V68" s="1950"/>
      <c r="W68" s="1950"/>
      <c r="X68" s="1950"/>
      <c r="Y68" s="1950"/>
      <c r="Z68" s="1950"/>
      <c r="AA68" s="1950"/>
      <c r="AB68" s="1950"/>
      <c r="AC68" s="1950"/>
      <c r="AD68" s="1950"/>
      <c r="AE68" s="1950"/>
      <c r="AF68" s="1950"/>
      <c r="AG68" s="1950"/>
      <c r="AH68" s="1950"/>
      <c r="AI68" s="1950"/>
      <c r="AJ68" s="1950"/>
      <c r="AK68" s="1950"/>
      <c r="AL68" s="1950"/>
      <c r="AM68" s="796"/>
    </row>
    <row r="69" spans="1:39" ht="12" customHeight="1">
      <c r="A69" s="788"/>
      <c r="B69" s="926"/>
      <c r="C69" s="868"/>
      <c r="D69" s="4268" t="s">
        <v>28</v>
      </c>
      <c r="E69" s="4269"/>
      <c r="F69" s="2082">
        <f t="shared" ref="F69:O69" si="18">SUM(F59:F68)</f>
        <v>0</v>
      </c>
      <c r="G69" s="2151">
        <f t="shared" si="18"/>
        <v>0</v>
      </c>
      <c r="H69" s="2082">
        <f t="shared" si="18"/>
        <v>0</v>
      </c>
      <c r="I69" s="2151">
        <f t="shared" si="18"/>
        <v>0</v>
      </c>
      <c r="J69" s="2082">
        <f t="shared" si="18"/>
        <v>0</v>
      </c>
      <c r="K69" s="2151">
        <f t="shared" si="18"/>
        <v>0</v>
      </c>
      <c r="L69" s="2082">
        <f t="shared" si="18"/>
        <v>0</v>
      </c>
      <c r="M69" s="2151">
        <f t="shared" si="18"/>
        <v>0</v>
      </c>
      <c r="N69" s="2082">
        <f t="shared" si="18"/>
        <v>0</v>
      </c>
      <c r="O69" s="2151">
        <f t="shared" si="18"/>
        <v>0</v>
      </c>
      <c r="P69" s="641"/>
      <c r="Q69" s="641"/>
      <c r="R69" s="866"/>
      <c r="S69" s="759"/>
      <c r="T69" s="794"/>
      <c r="U69" s="1950"/>
      <c r="V69" s="1950"/>
      <c r="W69" s="1950"/>
      <c r="X69" s="1950"/>
      <c r="Y69" s="1950"/>
      <c r="Z69" s="1950"/>
      <c r="AA69" s="1950"/>
      <c r="AB69" s="1950"/>
      <c r="AC69" s="1950"/>
      <c r="AD69" s="1950"/>
      <c r="AE69" s="1950"/>
      <c r="AF69" s="1950"/>
      <c r="AG69" s="1950"/>
      <c r="AH69" s="1950"/>
      <c r="AI69" s="1950"/>
      <c r="AJ69" s="1950"/>
      <c r="AK69" s="1950"/>
      <c r="AL69" s="1950"/>
      <c r="AM69" s="796"/>
    </row>
    <row r="70" spans="1:39" ht="12" customHeight="1">
      <c r="A70" s="788"/>
      <c r="B70" s="926"/>
      <c r="C70" s="868"/>
      <c r="D70" s="4264" t="s">
        <v>568</v>
      </c>
      <c r="E70" s="4265"/>
      <c r="F70" s="2159"/>
      <c r="G70" s="2160"/>
      <c r="H70" s="2159"/>
      <c r="I70" s="2160"/>
      <c r="J70" s="2159"/>
      <c r="K70" s="2160"/>
      <c r="L70" s="2159"/>
      <c r="M70" s="2160"/>
      <c r="N70" s="2082">
        <f>L70+J70+H70+F70</f>
        <v>0</v>
      </c>
      <c r="O70" s="2151">
        <f>M70+K70+I70+G70</f>
        <v>0</v>
      </c>
      <c r="P70" s="641"/>
      <c r="Q70" s="641"/>
      <c r="R70" s="866"/>
      <c r="S70" s="759"/>
      <c r="T70" s="794"/>
      <c r="U70" s="1950"/>
      <c r="V70" s="1950"/>
      <c r="W70" s="1950"/>
      <c r="X70" s="1950"/>
      <c r="Y70" s="1950"/>
      <c r="Z70" s="1950"/>
      <c r="AA70" s="1950"/>
      <c r="AB70" s="1950"/>
      <c r="AC70" s="1950"/>
      <c r="AD70" s="1950"/>
      <c r="AE70" s="1950"/>
      <c r="AF70" s="1950"/>
      <c r="AG70" s="1950"/>
      <c r="AH70" s="1950"/>
      <c r="AI70" s="1950"/>
      <c r="AJ70" s="1950"/>
      <c r="AK70" s="1950"/>
      <c r="AL70" s="1950"/>
      <c r="AM70" s="796"/>
    </row>
    <row r="71" spans="1:39" ht="2.1" customHeight="1">
      <c r="A71" s="788"/>
      <c r="B71" s="926"/>
      <c r="C71" s="868"/>
      <c r="D71" s="646"/>
      <c r="E71" s="646"/>
      <c r="F71" s="646"/>
      <c r="G71" s="646"/>
      <c r="H71" s="646"/>
      <c r="I71" s="646"/>
      <c r="J71" s="646"/>
      <c r="K71" s="646"/>
      <c r="L71" s="646"/>
      <c r="M71" s="646"/>
      <c r="N71" s="646"/>
      <c r="O71" s="645"/>
      <c r="P71" s="645"/>
      <c r="Q71" s="645"/>
      <c r="R71" s="866"/>
      <c r="S71" s="759"/>
      <c r="T71" s="794"/>
      <c r="U71" s="1950"/>
      <c r="V71" s="1950"/>
      <c r="W71" s="1950"/>
      <c r="X71" s="1950"/>
      <c r="Y71" s="1950"/>
      <c r="Z71" s="1950"/>
      <c r="AA71" s="1950"/>
      <c r="AB71" s="1950"/>
      <c r="AC71" s="1950"/>
      <c r="AD71" s="1950"/>
      <c r="AE71" s="1950"/>
      <c r="AF71" s="1950"/>
      <c r="AG71" s="1950"/>
      <c r="AH71" s="1950"/>
      <c r="AI71" s="1950"/>
      <c r="AJ71" s="1950"/>
      <c r="AK71" s="1950"/>
      <c r="AL71" s="1950"/>
      <c r="AM71" s="796"/>
    </row>
    <row r="72" spans="1:39" ht="15" customHeight="1">
      <c r="A72" s="788"/>
      <c r="B72" s="926"/>
      <c r="C72" s="1011"/>
      <c r="D72" s="1940" t="s">
        <v>1418</v>
      </c>
      <c r="E72" s="1012"/>
      <c r="F72" s="1012"/>
      <c r="G72" s="1012"/>
      <c r="H72" s="1013"/>
      <c r="I72" s="1012"/>
      <c r="J72" s="1012"/>
      <c r="K72" s="1012"/>
      <c r="L72" s="1012"/>
      <c r="M72" s="1012"/>
      <c r="N72" s="1012"/>
      <c r="O72" s="1012"/>
      <c r="P72" s="1012"/>
      <c r="Q72" s="1012"/>
      <c r="R72" s="1010"/>
      <c r="S72" s="759"/>
      <c r="T72" s="794"/>
      <c r="U72" s="1950"/>
      <c r="V72" s="1950"/>
      <c r="W72" s="1950"/>
      <c r="X72" s="1950"/>
      <c r="Y72" s="1950"/>
      <c r="Z72" s="1950"/>
      <c r="AA72" s="1950"/>
      <c r="AB72" s="1950"/>
      <c r="AC72" s="1950"/>
      <c r="AD72" s="1950"/>
      <c r="AE72" s="1950"/>
      <c r="AF72" s="1950"/>
      <c r="AG72" s="1950"/>
      <c r="AH72" s="1950"/>
      <c r="AI72" s="1950"/>
      <c r="AJ72" s="1950"/>
      <c r="AK72" s="1950"/>
      <c r="AL72" s="1950"/>
      <c r="AM72" s="796"/>
    </row>
    <row r="73" spans="1:39" ht="2.1" customHeight="1">
      <c r="A73" s="788"/>
      <c r="B73" s="926"/>
      <c r="C73" s="868"/>
      <c r="D73" s="646"/>
      <c r="E73" s="646"/>
      <c r="F73" s="646"/>
      <c r="G73" s="646"/>
      <c r="H73" s="646"/>
      <c r="I73" s="646"/>
      <c r="J73" s="646"/>
      <c r="K73" s="646"/>
      <c r="L73" s="646"/>
      <c r="M73" s="646"/>
      <c r="N73" s="646"/>
      <c r="O73" s="645"/>
      <c r="P73" s="645"/>
      <c r="Q73" s="645"/>
      <c r="R73" s="866"/>
      <c r="S73" s="759"/>
      <c r="T73" s="794"/>
      <c r="U73" s="1950"/>
      <c r="V73" s="1950"/>
      <c r="W73" s="1950"/>
      <c r="X73" s="1950"/>
      <c r="Y73" s="1950"/>
      <c r="Z73" s="1950"/>
      <c r="AA73" s="1950"/>
      <c r="AB73" s="1950"/>
      <c r="AC73" s="1950"/>
      <c r="AD73" s="1950"/>
      <c r="AE73" s="1950"/>
      <c r="AF73" s="1950"/>
      <c r="AG73" s="1950"/>
      <c r="AH73" s="1950"/>
      <c r="AI73" s="1950"/>
      <c r="AJ73" s="1950"/>
      <c r="AK73" s="1950"/>
      <c r="AL73" s="1950"/>
      <c r="AM73" s="796"/>
    </row>
    <row r="74" spans="1:39" ht="14.1" customHeight="1">
      <c r="A74" s="788"/>
      <c r="B74" s="926"/>
      <c r="C74" s="868"/>
      <c r="D74" s="4225" t="s">
        <v>26</v>
      </c>
      <c r="E74" s="4226"/>
      <c r="F74" s="4238" t="s">
        <v>25</v>
      </c>
      <c r="G74" s="4239"/>
      <c r="H74" s="4240" t="s">
        <v>24</v>
      </c>
      <c r="I74" s="4241"/>
      <c r="J74" s="4238" t="s">
        <v>23</v>
      </c>
      <c r="K74" s="4239"/>
      <c r="L74" s="4240" t="s">
        <v>22</v>
      </c>
      <c r="M74" s="4241"/>
      <c r="N74" s="4250" t="s">
        <v>28</v>
      </c>
      <c r="O74" s="4251"/>
      <c r="P74" s="4240" t="s">
        <v>567</v>
      </c>
      <c r="Q74" s="4241"/>
      <c r="R74" s="866"/>
      <c r="S74" s="759"/>
      <c r="T74" s="794"/>
      <c r="U74" s="1950"/>
      <c r="V74" s="1950"/>
      <c r="W74" s="1950"/>
      <c r="X74" s="1950"/>
      <c r="Y74" s="1950"/>
      <c r="Z74" s="1950"/>
      <c r="AA74" s="1950"/>
      <c r="AB74" s="1950"/>
      <c r="AC74" s="1950"/>
      <c r="AD74" s="1950"/>
      <c r="AE74" s="1950"/>
      <c r="AF74" s="1950"/>
      <c r="AG74" s="1950"/>
      <c r="AH74" s="1950"/>
      <c r="AI74" s="1950"/>
      <c r="AJ74" s="1950"/>
      <c r="AK74" s="1950"/>
      <c r="AL74" s="1950"/>
      <c r="AM74" s="796"/>
    </row>
    <row r="75" spans="1:39" ht="9.9" customHeight="1">
      <c r="A75" s="788"/>
      <c r="B75" s="926"/>
      <c r="C75" s="868"/>
      <c r="D75" s="4221" t="s">
        <v>566</v>
      </c>
      <c r="E75" s="4222"/>
      <c r="F75" s="2234" t="s">
        <v>20</v>
      </c>
      <c r="G75" s="2235" t="s">
        <v>19</v>
      </c>
      <c r="H75" s="2236" t="s">
        <v>20</v>
      </c>
      <c r="I75" s="2237" t="s">
        <v>19</v>
      </c>
      <c r="J75" s="2234" t="s">
        <v>20</v>
      </c>
      <c r="K75" s="2235" t="s">
        <v>19</v>
      </c>
      <c r="L75" s="2236" t="s">
        <v>20</v>
      </c>
      <c r="M75" s="2237" t="s">
        <v>19</v>
      </c>
      <c r="N75" s="2238" t="s">
        <v>20</v>
      </c>
      <c r="O75" s="2239" t="s">
        <v>19</v>
      </c>
      <c r="P75" s="2236" t="s">
        <v>20</v>
      </c>
      <c r="Q75" s="2237" t="s">
        <v>565</v>
      </c>
      <c r="R75" s="866"/>
      <c r="S75" s="759"/>
      <c r="T75" s="794"/>
      <c r="U75" s="1950"/>
      <c r="V75" s="1950"/>
      <c r="W75" s="1950"/>
      <c r="X75" s="1950"/>
      <c r="Y75" s="1950"/>
      <c r="Z75" s="1950"/>
      <c r="AA75" s="1950"/>
      <c r="AB75" s="1950"/>
      <c r="AC75" s="1950"/>
      <c r="AD75" s="1950"/>
      <c r="AE75" s="1950"/>
      <c r="AF75" s="1950"/>
      <c r="AG75" s="1950"/>
      <c r="AH75" s="1950"/>
      <c r="AI75" s="1950"/>
      <c r="AJ75" s="1950"/>
      <c r="AK75" s="1950"/>
      <c r="AL75" s="1950"/>
      <c r="AM75" s="796"/>
    </row>
    <row r="76" spans="1:39" ht="12" customHeight="1">
      <c r="A76" s="788"/>
      <c r="B76" s="926"/>
      <c r="C76" s="868"/>
      <c r="D76" s="4223" t="s">
        <v>252</v>
      </c>
      <c r="E76" s="4224"/>
      <c r="F76" s="2153"/>
      <c r="G76" s="2154"/>
      <c r="H76" s="2153"/>
      <c r="I76" s="2154"/>
      <c r="J76" s="2153"/>
      <c r="K76" s="2154"/>
      <c r="L76" s="2153"/>
      <c r="M76" s="2154"/>
      <c r="N76" s="2069">
        <f t="shared" ref="N76:O78" si="19">L76+J76+H76+F76</f>
        <v>0</v>
      </c>
      <c r="O76" s="2070">
        <f t="shared" si="19"/>
        <v>0</v>
      </c>
      <c r="P76" s="2153"/>
      <c r="Q76" s="2154"/>
      <c r="R76" s="866"/>
      <c r="S76" s="759"/>
      <c r="T76" s="794"/>
      <c r="U76" s="1950"/>
      <c r="V76" s="1950"/>
      <c r="W76" s="1950"/>
      <c r="X76" s="1950"/>
      <c r="Y76" s="1950"/>
      <c r="Z76" s="1950"/>
      <c r="AA76" s="1950"/>
      <c r="AB76" s="1950"/>
      <c r="AC76" s="1950"/>
      <c r="AD76" s="1950"/>
      <c r="AE76" s="1950"/>
      <c r="AF76" s="1950"/>
      <c r="AG76" s="1950"/>
      <c r="AH76" s="1950"/>
      <c r="AI76" s="1950"/>
      <c r="AJ76" s="1950"/>
      <c r="AK76" s="1950"/>
      <c r="AL76" s="1950"/>
      <c r="AM76" s="796"/>
    </row>
    <row r="77" spans="1:39" ht="12" customHeight="1">
      <c r="A77" s="788"/>
      <c r="B77" s="926"/>
      <c r="C77" s="868"/>
      <c r="D77" s="4219" t="s">
        <v>251</v>
      </c>
      <c r="E77" s="4220"/>
      <c r="F77" s="2153"/>
      <c r="G77" s="2154"/>
      <c r="H77" s="2153"/>
      <c r="I77" s="2154"/>
      <c r="J77" s="2153"/>
      <c r="K77" s="2154"/>
      <c r="L77" s="2153"/>
      <c r="M77" s="2154"/>
      <c r="N77" s="2069">
        <f t="shared" si="19"/>
        <v>0</v>
      </c>
      <c r="O77" s="2070">
        <f t="shared" si="19"/>
        <v>0</v>
      </c>
      <c r="P77" s="2153"/>
      <c r="Q77" s="2154"/>
      <c r="R77" s="866"/>
      <c r="S77" s="759"/>
      <c r="T77" s="794"/>
      <c r="U77" s="1950"/>
      <c r="V77" s="1950"/>
      <c r="W77" s="1950"/>
      <c r="X77" s="1950"/>
      <c r="Y77" s="1950"/>
      <c r="Z77" s="1950"/>
      <c r="AA77" s="1950"/>
      <c r="AB77" s="1950"/>
      <c r="AC77" s="1950"/>
      <c r="AD77" s="1950"/>
      <c r="AE77" s="1950"/>
      <c r="AF77" s="1950"/>
      <c r="AG77" s="1950"/>
      <c r="AH77" s="1950"/>
      <c r="AI77" s="1950"/>
      <c r="AJ77" s="1950"/>
      <c r="AK77" s="1950"/>
      <c r="AL77" s="1950"/>
      <c r="AM77" s="796"/>
    </row>
    <row r="78" spans="1:39" ht="12" customHeight="1">
      <c r="A78" s="788"/>
      <c r="B78" s="926"/>
      <c r="C78" s="868"/>
      <c r="D78" s="4223" t="s">
        <v>250</v>
      </c>
      <c r="E78" s="4224"/>
      <c r="F78" s="2157"/>
      <c r="G78" s="2158"/>
      <c r="H78" s="2157"/>
      <c r="I78" s="2158"/>
      <c r="J78" s="2157"/>
      <c r="K78" s="2158"/>
      <c r="L78" s="2157"/>
      <c r="M78" s="2158"/>
      <c r="N78" s="2071">
        <f t="shared" si="19"/>
        <v>0</v>
      </c>
      <c r="O78" s="2072">
        <f t="shared" si="19"/>
        <v>0</v>
      </c>
      <c r="P78" s="2157"/>
      <c r="Q78" s="2158"/>
      <c r="R78" s="866"/>
      <c r="S78" s="759"/>
      <c r="T78" s="794"/>
      <c r="U78" s="1950"/>
      <c r="V78" s="1950"/>
      <c r="W78" s="4245" t="str">
        <f>IF(('الصفحة 1'!$Q$14&gt;0),(IF(((H20)&lt;('الصفحة 12'!G9)),("خطء التلاميذ 2 متوسط"),IF((('الصفحة 12'!G9)&gt;(0)),(IF((H20&gt;0),(""),("خطء الأفواج 2 متوسط"))),("")))),"")</f>
        <v/>
      </c>
      <c r="X78" s="4246"/>
      <c r="Y78" s="4247"/>
      <c r="Z78" s="4245" t="str">
        <f>IF(('الصفحة 1'!$Q$14&gt;0),(IF((H20&gt;0),(IF((('الصفحة 12'!G9)&gt;0),(""),("خطء الأفواج 2 متوسط"))),(""))),(""))</f>
        <v/>
      </c>
      <c r="AA78" s="4246"/>
      <c r="AB78" s="4247"/>
      <c r="AC78" s="1950"/>
      <c r="AD78" s="1950"/>
      <c r="AE78" s="1950"/>
      <c r="AF78" s="1950"/>
      <c r="AG78" s="1950"/>
      <c r="AH78" s="1950"/>
      <c r="AI78" s="1950"/>
      <c r="AJ78" s="1950"/>
      <c r="AK78" s="1950"/>
      <c r="AL78" s="1950"/>
      <c r="AM78" s="796"/>
    </row>
    <row r="79" spans="1:39" ht="12" customHeight="1">
      <c r="A79" s="788"/>
      <c r="B79" s="926"/>
      <c r="C79" s="868"/>
      <c r="D79" s="4266" t="s">
        <v>28</v>
      </c>
      <c r="E79" s="4267"/>
      <c r="F79" s="2082">
        <f t="shared" ref="F79:Q79" si="20">SUM(F76:F78)</f>
        <v>0</v>
      </c>
      <c r="G79" s="2151">
        <f t="shared" si="20"/>
        <v>0</v>
      </c>
      <c r="H79" s="2082">
        <f t="shared" si="20"/>
        <v>0</v>
      </c>
      <c r="I79" s="2151">
        <f t="shared" si="20"/>
        <v>0</v>
      </c>
      <c r="J79" s="2082">
        <f t="shared" si="20"/>
        <v>0</v>
      </c>
      <c r="K79" s="2151">
        <f t="shared" si="20"/>
        <v>0</v>
      </c>
      <c r="L79" s="2082">
        <f t="shared" si="20"/>
        <v>0</v>
      </c>
      <c r="M79" s="2151">
        <f t="shared" si="20"/>
        <v>0</v>
      </c>
      <c r="N79" s="2082">
        <f t="shared" si="20"/>
        <v>0</v>
      </c>
      <c r="O79" s="2151">
        <f t="shared" si="20"/>
        <v>0</v>
      </c>
      <c r="P79" s="2082">
        <f t="shared" si="20"/>
        <v>0</v>
      </c>
      <c r="Q79" s="2151">
        <f t="shared" si="20"/>
        <v>0</v>
      </c>
      <c r="R79" s="866"/>
      <c r="S79" s="759"/>
      <c r="T79" s="794"/>
      <c r="U79" s="1950"/>
      <c r="V79" s="1950"/>
      <c r="W79" s="4245" t="str">
        <f>IF(('الصفحة 1'!$Q$14&gt;0),(IF(((L20)&lt;('الصفحة 12'!K9)),("خطء التلاميذ 4 متوسط"),IF((('الصفحة 12'!K9)&gt;(0)),(IF((L20&gt;0),(""),("خطء الأفواج 4 متوسط"))),("")))),"")</f>
        <v/>
      </c>
      <c r="X79" s="4246"/>
      <c r="Y79" s="4247"/>
      <c r="Z79" s="4245" t="str">
        <f>IF(('الصفحة 1'!$Q$14&gt;0),(IF((L20&gt;0),(IF((('الصفحة 12'!K9)&gt;0),(""),("خطء الأفواج 4 متوسط"))),(""))),(""))</f>
        <v/>
      </c>
      <c r="AA79" s="4246"/>
      <c r="AB79" s="4247"/>
      <c r="AC79" s="1950"/>
      <c r="AD79" s="1950"/>
      <c r="AE79" s="1950"/>
      <c r="AF79" s="1950"/>
      <c r="AG79" s="1950"/>
      <c r="AH79" s="1950"/>
      <c r="AI79" s="1950"/>
      <c r="AJ79" s="1950"/>
      <c r="AK79" s="1950"/>
      <c r="AL79" s="1950"/>
      <c r="AM79" s="796"/>
    </row>
    <row r="80" spans="1:39" ht="0.9" customHeight="1">
      <c r="A80" s="788"/>
      <c r="B80" s="895"/>
      <c r="C80" s="884"/>
      <c r="D80" s="2337"/>
      <c r="E80" s="2263"/>
      <c r="F80" s="1924"/>
      <c r="G80" s="1924"/>
      <c r="H80" s="1924"/>
      <c r="I80" s="1924"/>
      <c r="J80" s="1924"/>
      <c r="K80" s="1924"/>
      <c r="L80" s="1924"/>
      <c r="M80" s="1924"/>
      <c r="N80" s="1924"/>
      <c r="O80" s="1924"/>
      <c r="P80" s="1925"/>
      <c r="Q80" s="1925"/>
      <c r="R80" s="764"/>
      <c r="S80" s="820"/>
      <c r="T80" s="794"/>
      <c r="U80" s="1950"/>
      <c r="V80" s="1950"/>
      <c r="W80" s="1950"/>
      <c r="X80" s="1950"/>
      <c r="Y80" s="1950"/>
      <c r="Z80" s="1950"/>
      <c r="AA80" s="1950"/>
      <c r="AB80" s="1950"/>
      <c r="AC80" s="1950"/>
      <c r="AD80" s="1950"/>
      <c r="AE80" s="1950"/>
      <c r="AF80" s="1950"/>
      <c r="AG80" s="1950"/>
      <c r="AH80" s="1950"/>
      <c r="AI80" s="1950"/>
      <c r="AJ80" s="1950"/>
      <c r="AK80" s="1950"/>
      <c r="AL80" s="1950"/>
      <c r="AM80" s="796"/>
    </row>
    <row r="81" spans="1:39" ht="0.9" customHeight="1">
      <c r="A81" s="788"/>
      <c r="B81" s="822"/>
      <c r="C81" s="763"/>
      <c r="D81" s="1014"/>
      <c r="E81" s="1014"/>
      <c r="F81" s="1015"/>
      <c r="G81" s="1015"/>
      <c r="H81" s="1015"/>
      <c r="I81" s="1015"/>
      <c r="J81" s="1015"/>
      <c r="K81" s="1015"/>
      <c r="L81" s="1015"/>
      <c r="M81" s="1015"/>
      <c r="N81" s="1015"/>
      <c r="O81" s="1015"/>
      <c r="P81" s="1015"/>
      <c r="Q81" s="1015"/>
      <c r="R81" s="764"/>
      <c r="S81" s="820"/>
      <c r="T81" s="794"/>
      <c r="U81" s="1032"/>
      <c r="V81" s="1032"/>
      <c r="W81" s="1032"/>
      <c r="X81" s="1032"/>
      <c r="Y81" s="1032"/>
      <c r="Z81" s="1032"/>
      <c r="AA81" s="1032"/>
      <c r="AB81" s="1032"/>
      <c r="AC81" s="1032"/>
      <c r="AD81" s="1032"/>
      <c r="AE81" s="1032"/>
      <c r="AF81" s="1032"/>
      <c r="AG81" s="1032"/>
      <c r="AH81" s="1032"/>
      <c r="AI81" s="1032"/>
      <c r="AJ81" s="1032"/>
      <c r="AK81" s="1032"/>
      <c r="AL81" s="1950"/>
      <c r="AM81" s="796"/>
    </row>
    <row r="82" spans="1:39" ht="2.1" customHeight="1" thickBot="1">
      <c r="A82" s="788"/>
      <c r="B82" s="822"/>
      <c r="C82" s="812"/>
      <c r="D82" s="813"/>
      <c r="E82" s="813"/>
      <c r="F82" s="813"/>
      <c r="G82" s="813"/>
      <c r="H82" s="813"/>
      <c r="I82" s="813"/>
      <c r="J82" s="813"/>
      <c r="K82" s="813"/>
      <c r="L82" s="813"/>
      <c r="M82" s="813"/>
      <c r="N82" s="813"/>
      <c r="O82" s="813"/>
      <c r="P82" s="813"/>
      <c r="Q82" s="813"/>
      <c r="R82" s="814"/>
      <c r="S82" s="820"/>
      <c r="T82" s="794"/>
      <c r="U82" s="1950"/>
      <c r="V82" s="1950"/>
      <c r="W82" s="1950"/>
      <c r="X82" s="1950"/>
      <c r="Y82" s="1950"/>
      <c r="Z82" s="1950"/>
      <c r="AA82" s="1950"/>
      <c r="AB82" s="1950"/>
      <c r="AC82" s="1950"/>
      <c r="AD82" s="1950"/>
      <c r="AE82" s="1950"/>
      <c r="AF82" s="1950"/>
      <c r="AG82" s="1950"/>
      <c r="AH82" s="1950"/>
      <c r="AI82" s="1950"/>
      <c r="AJ82" s="1950"/>
      <c r="AK82" s="1950"/>
      <c r="AL82" s="1950"/>
      <c r="AM82" s="796"/>
    </row>
    <row r="83" spans="1:39" ht="12.9" customHeight="1" thickBot="1">
      <c r="A83" s="788"/>
      <c r="B83" s="823"/>
      <c r="C83" s="4270">
        <v>10</v>
      </c>
      <c r="D83" s="4270"/>
      <c r="E83" s="4270"/>
      <c r="F83" s="4270"/>
      <c r="G83" s="4270"/>
      <c r="H83" s="4270"/>
      <c r="I83" s="4270"/>
      <c r="J83" s="4270"/>
      <c r="K83" s="4270"/>
      <c r="L83" s="4270"/>
      <c r="M83" s="4270"/>
      <c r="N83" s="4270"/>
      <c r="O83" s="4270"/>
      <c r="P83" s="4270"/>
      <c r="Q83" s="4270"/>
      <c r="R83" s="4270"/>
      <c r="S83" s="824"/>
      <c r="T83" s="789"/>
      <c r="U83" s="1950"/>
      <c r="V83" s="1950"/>
      <c r="W83" s="1950"/>
      <c r="X83" s="1950"/>
      <c r="Y83" s="1950"/>
      <c r="Z83" s="1950"/>
      <c r="AA83" s="1950"/>
      <c r="AB83" s="1950"/>
      <c r="AC83" s="1950"/>
      <c r="AD83" s="1950"/>
      <c r="AE83" s="1950"/>
      <c r="AF83" s="1950"/>
      <c r="AG83" s="1950"/>
      <c r="AH83" s="1950"/>
      <c r="AI83" s="1950"/>
      <c r="AJ83" s="1950"/>
      <c r="AK83" s="1950"/>
      <c r="AL83" s="1950"/>
      <c r="AM83" s="796"/>
    </row>
    <row r="84" spans="1:39" ht="12.9" customHeight="1">
      <c r="A84" s="795"/>
      <c r="B84" s="1027" t="str">
        <f>'صفحة الدفتـر'!$B$68</f>
        <v>السنة الدراسية  2022 - 2023</v>
      </c>
      <c r="C84" s="795"/>
      <c r="D84" s="795"/>
      <c r="E84" s="795"/>
      <c r="F84" s="795"/>
      <c r="G84" s="795"/>
      <c r="H84" s="795"/>
      <c r="I84" s="795"/>
      <c r="J84" s="795"/>
      <c r="K84" s="795"/>
      <c r="L84" s="795"/>
      <c r="M84" s="795"/>
      <c r="N84" s="795"/>
      <c r="O84" s="795"/>
      <c r="P84" s="795"/>
      <c r="Q84" s="795"/>
      <c r="R84" s="795"/>
      <c r="S84" s="795"/>
      <c r="T84" s="795"/>
      <c r="U84" s="1056"/>
      <c r="V84" s="1056"/>
      <c r="W84" s="1056"/>
      <c r="X84" s="1056"/>
      <c r="Y84" s="1056"/>
      <c r="Z84" s="1056"/>
      <c r="AA84" s="1056"/>
      <c r="AB84" s="1056"/>
      <c r="AC84" s="1056"/>
      <c r="AD84" s="1056"/>
      <c r="AE84" s="1056"/>
      <c r="AF84" s="1056"/>
      <c r="AG84" s="1056"/>
      <c r="AH84" s="1056"/>
      <c r="AI84" s="1056"/>
      <c r="AJ84" s="1056"/>
      <c r="AK84" s="1056"/>
      <c r="AL84" s="1056"/>
      <c r="AM84" s="796"/>
    </row>
    <row r="85" spans="1:39" hidden="1"/>
    <row r="86" spans="1:39" hidden="1"/>
    <row r="87" spans="1:39" hidden="1"/>
    <row r="88" spans="1:39" hidden="1"/>
    <row r="89" spans="1:39" hidden="1"/>
    <row r="90" spans="1:39" hidden="1"/>
    <row r="91" spans="1:39" hidden="1"/>
    <row r="92" spans="1:39" hidden="1"/>
    <row r="93" spans="1:39" hidden="1"/>
    <row r="94" spans="1:39" hidden="1"/>
    <row r="95" spans="1:39" hidden="1"/>
    <row r="96" spans="1:39"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sheetData>
  <sheetProtection password="D8D3" sheet="1" objects="1" scenarios="1"/>
  <mergeCells count="163">
    <mergeCell ref="W15:Y15"/>
    <mergeCell ref="W19:Y19"/>
    <mergeCell ref="W16:Y16"/>
    <mergeCell ref="U13:V13"/>
    <mergeCell ref="W17:Y17"/>
    <mergeCell ref="U17:V17"/>
    <mergeCell ref="U3:AL6"/>
    <mergeCell ref="AE12:AG12"/>
    <mergeCell ref="AE13:AG13"/>
    <mergeCell ref="AE14:AG14"/>
    <mergeCell ref="AI15:AK15"/>
    <mergeCell ref="AI19:AK19"/>
    <mergeCell ref="AE16:AG16"/>
    <mergeCell ref="AE17:AG17"/>
    <mergeCell ref="AE18:AG18"/>
    <mergeCell ref="AE19:AG19"/>
    <mergeCell ref="AI16:AK16"/>
    <mergeCell ref="AI17:AK17"/>
    <mergeCell ref="AI18:AK18"/>
    <mergeCell ref="AA13:AC13"/>
    <mergeCell ref="U14:V14"/>
    <mergeCell ref="AA11:AC11"/>
    <mergeCell ref="U41:AJ42"/>
    <mergeCell ref="L8:M8"/>
    <mergeCell ref="J25:K25"/>
    <mergeCell ref="N8:O8"/>
    <mergeCell ref="W11:Y11"/>
    <mergeCell ref="U7:AL9"/>
    <mergeCell ref="F25:G25"/>
    <mergeCell ref="AE48:AF48"/>
    <mergeCell ref="AI43:AJ43"/>
    <mergeCell ref="W43:X43"/>
    <mergeCell ref="W20:Y20"/>
    <mergeCell ref="AA20:AC20"/>
    <mergeCell ref="AA16:AC16"/>
    <mergeCell ref="AA18:AC18"/>
    <mergeCell ref="AA12:AC12"/>
    <mergeCell ref="W18:Y18"/>
    <mergeCell ref="AA14:AC14"/>
    <mergeCell ref="AA15:AC15"/>
    <mergeCell ref="W12:Y12"/>
    <mergeCell ref="U19:V19"/>
    <mergeCell ref="U16:V16"/>
    <mergeCell ref="AA17:AC17"/>
    <mergeCell ref="AA19:AC19"/>
    <mergeCell ref="W14:Y14"/>
    <mergeCell ref="P6:Q6"/>
    <mergeCell ref="P23:Q23"/>
    <mergeCell ref="AI25:AJ25"/>
    <mergeCell ref="AE25:AF25"/>
    <mergeCell ref="AI21:AK21"/>
    <mergeCell ref="AI22:AK22"/>
    <mergeCell ref="AE15:AG15"/>
    <mergeCell ref="AI11:AK11"/>
    <mergeCell ref="AI12:AK12"/>
    <mergeCell ref="AI13:AK13"/>
    <mergeCell ref="AI14:AK14"/>
    <mergeCell ref="AE11:AG11"/>
    <mergeCell ref="W10:Y10"/>
    <mergeCell ref="U10:V10"/>
    <mergeCell ref="U11:V11"/>
    <mergeCell ref="AA10:AC10"/>
    <mergeCell ref="V23:AG24"/>
    <mergeCell ref="P8:Q8"/>
    <mergeCell ref="AA25:AB25"/>
    <mergeCell ref="W25:X25"/>
    <mergeCell ref="W13:Y13"/>
    <mergeCell ref="U15:V15"/>
    <mergeCell ref="U18:V18"/>
    <mergeCell ref="U12:V12"/>
    <mergeCell ref="C83:R83"/>
    <mergeCell ref="P25:Q25"/>
    <mergeCell ref="L25:M25"/>
    <mergeCell ref="D36:E36"/>
    <mergeCell ref="D28:E28"/>
    <mergeCell ref="D33:E33"/>
    <mergeCell ref="N25:O25"/>
    <mergeCell ref="D14:E14"/>
    <mergeCell ref="D15:E15"/>
    <mergeCell ref="D16:E16"/>
    <mergeCell ref="D26:E26"/>
    <mergeCell ref="D37:E37"/>
    <mergeCell ref="D34:E34"/>
    <mergeCell ref="D31:E31"/>
    <mergeCell ref="D38:E38"/>
    <mergeCell ref="D45:D48"/>
    <mergeCell ref="N43:O43"/>
    <mergeCell ref="J43:K43"/>
    <mergeCell ref="D44:E44"/>
    <mergeCell ref="L43:M43"/>
    <mergeCell ref="H43:I43"/>
    <mergeCell ref="D49:D51"/>
    <mergeCell ref="D43:E43"/>
    <mergeCell ref="F43:G43"/>
    <mergeCell ref="W79:Y79"/>
    <mergeCell ref="Z79:AB79"/>
    <mergeCell ref="W78:Y78"/>
    <mergeCell ref="D68:E68"/>
    <mergeCell ref="D63:E63"/>
    <mergeCell ref="D66:E66"/>
    <mergeCell ref="D57:E57"/>
    <mergeCell ref="N57:O57"/>
    <mergeCell ref="H57:I57"/>
    <mergeCell ref="J57:K57"/>
    <mergeCell ref="L57:M57"/>
    <mergeCell ref="F57:G57"/>
    <mergeCell ref="D58:E58"/>
    <mergeCell ref="D59:E59"/>
    <mergeCell ref="D60:E60"/>
    <mergeCell ref="D64:E64"/>
    <mergeCell ref="D62:E62"/>
    <mergeCell ref="D61:E61"/>
    <mergeCell ref="D65:E65"/>
    <mergeCell ref="D70:E70"/>
    <mergeCell ref="D79:E79"/>
    <mergeCell ref="D78:E78"/>
    <mergeCell ref="D69:E69"/>
    <mergeCell ref="D67:E67"/>
    <mergeCell ref="AI58:AJ58"/>
    <mergeCell ref="W58:X58"/>
    <mergeCell ref="AA58:AB58"/>
    <mergeCell ref="AE58:AF58"/>
    <mergeCell ref="F74:G74"/>
    <mergeCell ref="H74:I74"/>
    <mergeCell ref="W51:AC51"/>
    <mergeCell ref="AE43:AF43"/>
    <mergeCell ref="Z78:AB78"/>
    <mergeCell ref="W48:X48"/>
    <mergeCell ref="U46:AJ47"/>
    <mergeCell ref="P74:Q74"/>
    <mergeCell ref="J74:K74"/>
    <mergeCell ref="L74:M74"/>
    <mergeCell ref="N74:O74"/>
    <mergeCell ref="AA50:AC50"/>
    <mergeCell ref="U50:V50"/>
    <mergeCell ref="AA43:AB43"/>
    <mergeCell ref="U48:U49"/>
    <mergeCell ref="U43:U44"/>
    <mergeCell ref="U45:V45"/>
    <mergeCell ref="H4:J4"/>
    <mergeCell ref="D77:E77"/>
    <mergeCell ref="D75:E75"/>
    <mergeCell ref="D76:E76"/>
    <mergeCell ref="D74:E74"/>
    <mergeCell ref="D30:E30"/>
    <mergeCell ref="D35:E35"/>
    <mergeCell ref="D32:E32"/>
    <mergeCell ref="D19:E19"/>
    <mergeCell ref="D29:E29"/>
    <mergeCell ref="D21:E21"/>
    <mergeCell ref="D27:E27"/>
    <mergeCell ref="D20:E20"/>
    <mergeCell ref="D9:E9"/>
    <mergeCell ref="D11:E11"/>
    <mergeCell ref="D12:E12"/>
    <mergeCell ref="D10:E10"/>
    <mergeCell ref="D18:E18"/>
    <mergeCell ref="D17:E17"/>
    <mergeCell ref="D13:E13"/>
    <mergeCell ref="H8:I8"/>
    <mergeCell ref="J8:K8"/>
    <mergeCell ref="F8:G8"/>
    <mergeCell ref="H25:I25"/>
  </mergeCells>
  <conditionalFormatting sqref="J81 L81 F81 N81:P81 H81 N45:N51 F45:F51 H45:H51 J45:J51 L45:L51 P27:P37 F10:F21 H10:H21 J10:J21 L10:L21 N10:N21 P10:P20 F27:F38 H27:H38 J27:J38 L27:L38 N27:O38 F59:F70 H59:H70 J59:J70 L59:L70 N59:N70 J76:J79 L76:L79 N76:N79 P76:P79 F76:F79 H76:H79">
    <cfRule type="cellIs" dxfId="21299" priority="328" stopIfTrue="1" operator="equal">
      <formula>0</formula>
    </cfRule>
  </conditionalFormatting>
  <conditionalFormatting sqref="G10:G19 I27:I38 K27:K38 M27:M38 O27:O38 Q27:Q37 G27:G38 G45:G51 I45:I51 K45:K51 M45:M51 O45:O51 G59:G70 I59:I70 K59:K70 M59:M70 O59:O70 G76:G79 I76:I79 K76:K79 M76:M79 O76:O79 Q76:Q79">
    <cfRule type="cellIs" dxfId="21298" priority="325" stopIfTrue="1" operator="greaterThan">
      <formula>F10</formula>
    </cfRule>
    <cfRule type="cellIs" dxfId="21297" priority="326" stopIfTrue="1" operator="equal">
      <formula>0</formula>
    </cfRule>
  </conditionalFormatting>
  <conditionalFormatting sqref="G21">
    <cfRule type="cellIs" dxfId="21296" priority="322" stopIfTrue="1" operator="greaterThan">
      <formula>F21</formula>
    </cfRule>
    <cfRule type="cellIs" dxfId="21295" priority="323" stopIfTrue="1" operator="equal">
      <formula>0</formula>
    </cfRule>
  </conditionalFormatting>
  <conditionalFormatting sqref="I10:I19">
    <cfRule type="cellIs" dxfId="21294" priority="316" stopIfTrue="1" operator="greaterThan">
      <formula>H10</formula>
    </cfRule>
    <cfRule type="cellIs" dxfId="21293" priority="317" stopIfTrue="1" operator="equal">
      <formula>0</formula>
    </cfRule>
  </conditionalFormatting>
  <conditionalFormatting sqref="I21">
    <cfRule type="cellIs" dxfId="21292" priority="313" stopIfTrue="1" operator="greaterThan">
      <formula>H21</formula>
    </cfRule>
    <cfRule type="cellIs" dxfId="21291" priority="314" stopIfTrue="1" operator="equal">
      <formula>0</formula>
    </cfRule>
  </conditionalFormatting>
  <conditionalFormatting sqref="K10:K19">
    <cfRule type="cellIs" dxfId="21290" priority="307" stopIfTrue="1" operator="greaterThan">
      <formula>J10</formula>
    </cfRule>
    <cfRule type="cellIs" dxfId="21289" priority="308" stopIfTrue="1" operator="equal">
      <formula>0</formula>
    </cfRule>
  </conditionalFormatting>
  <conditionalFormatting sqref="K21">
    <cfRule type="cellIs" dxfId="21288" priority="304" stopIfTrue="1" operator="greaterThan">
      <formula>J21</formula>
    </cfRule>
    <cfRule type="cellIs" dxfId="21287" priority="305" stopIfTrue="1" operator="equal">
      <formula>0</formula>
    </cfRule>
  </conditionalFormatting>
  <conditionalFormatting sqref="M10:M19">
    <cfRule type="cellIs" dxfId="21286" priority="298" stopIfTrue="1" operator="greaterThan">
      <formula>L10</formula>
    </cfRule>
    <cfRule type="cellIs" dxfId="21285" priority="299" stopIfTrue="1" operator="equal">
      <formula>0</formula>
    </cfRule>
  </conditionalFormatting>
  <conditionalFormatting sqref="M21">
    <cfRule type="cellIs" dxfId="21284" priority="295" stopIfTrue="1" operator="greaterThan">
      <formula>L21</formula>
    </cfRule>
    <cfRule type="cellIs" dxfId="21283" priority="296" stopIfTrue="1" operator="equal">
      <formula>0</formula>
    </cfRule>
  </conditionalFormatting>
  <conditionalFormatting sqref="Q10:Q19">
    <cfRule type="cellIs" dxfId="21282" priority="289" stopIfTrue="1" operator="greaterThan">
      <formula>P10</formula>
    </cfRule>
    <cfRule type="cellIs" dxfId="21281" priority="290" stopIfTrue="1" operator="equal">
      <formula>0</formula>
    </cfRule>
  </conditionalFormatting>
  <conditionalFormatting sqref="O21 O38">
    <cfRule type="cellIs" dxfId="21280" priority="280" stopIfTrue="1" operator="greaterThan">
      <formula>N21</formula>
    </cfRule>
  </conditionalFormatting>
  <conditionalFormatting sqref="Q37">
    <cfRule type="cellIs" dxfId="21279" priority="235" stopIfTrue="1" operator="greaterThan">
      <formula>P37</formula>
    </cfRule>
    <cfRule type="cellIs" dxfId="21278" priority="236" stopIfTrue="1" operator="equal">
      <formula>0</formula>
    </cfRule>
  </conditionalFormatting>
  <conditionalFormatting sqref="G20 I20 K20 M20 O10:O21 Q20">
    <cfRule type="cellIs" dxfId="21277" priority="189" stopIfTrue="1" operator="greaterThan">
      <formula>F10</formula>
    </cfRule>
    <cfRule type="cellIs" dxfId="21276" priority="190" stopIfTrue="1" operator="equal">
      <formula>0</formula>
    </cfRule>
  </conditionalFormatting>
  <conditionalFormatting sqref="G81">
    <cfRule type="cellIs" dxfId="21275" priority="111" stopIfTrue="1" operator="greaterThan">
      <formula>F81</formula>
    </cfRule>
    <cfRule type="cellIs" dxfId="21274" priority="112" stopIfTrue="1" operator="equal">
      <formula>0</formula>
    </cfRule>
  </conditionalFormatting>
  <conditionalFormatting sqref="I81">
    <cfRule type="cellIs" dxfId="21273" priority="109" stopIfTrue="1" operator="greaterThan">
      <formula>H81</formula>
    </cfRule>
    <cfRule type="cellIs" dxfId="21272" priority="110" stopIfTrue="1" operator="equal">
      <formula>0</formula>
    </cfRule>
  </conditionalFormatting>
  <conditionalFormatting sqref="K81">
    <cfRule type="cellIs" dxfId="21271" priority="107" stopIfTrue="1" operator="greaterThan">
      <formula>J81</formula>
    </cfRule>
    <cfRule type="cellIs" dxfId="21270" priority="108" stopIfTrue="1" operator="equal">
      <formula>0</formula>
    </cfRule>
  </conditionalFormatting>
  <conditionalFormatting sqref="M81">
    <cfRule type="cellIs" dxfId="21269" priority="105" stopIfTrue="1" operator="greaterThan">
      <formula>L81</formula>
    </cfRule>
    <cfRule type="cellIs" dxfId="21268" priority="106" stopIfTrue="1" operator="equal">
      <formula>0</formula>
    </cfRule>
  </conditionalFormatting>
  <conditionalFormatting sqref="Q81">
    <cfRule type="cellIs" dxfId="21267" priority="103" stopIfTrue="1" operator="greaterThan">
      <formula>P81</formula>
    </cfRule>
    <cfRule type="cellIs" dxfId="21266" priority="104" stopIfTrue="1" operator="equal">
      <formula>0</formula>
    </cfRule>
  </conditionalFormatting>
  <conditionalFormatting sqref="O81">
    <cfRule type="cellIs" dxfId="21265" priority="101" stopIfTrue="1" operator="greaterThan">
      <formula>N81</formula>
    </cfRule>
    <cfRule type="cellIs" dxfId="21264" priority="102" stopIfTrue="1" operator="equal">
      <formula>0</formula>
    </cfRule>
  </conditionalFormatting>
  <conditionalFormatting sqref="G81">
    <cfRule type="cellIs" dxfId="21263" priority="96" stopIfTrue="1" operator="greaterThan">
      <formula>F81</formula>
    </cfRule>
    <cfRule type="cellIs" dxfId="21262" priority="97" stopIfTrue="1" operator="equal">
      <formula>0</formula>
    </cfRule>
  </conditionalFormatting>
  <conditionalFormatting sqref="I81">
    <cfRule type="cellIs" dxfId="21261" priority="94" stopIfTrue="1" operator="greaterThan">
      <formula>H81</formula>
    </cfRule>
    <cfRule type="cellIs" dxfId="21260" priority="95" stopIfTrue="1" operator="equal">
      <formula>0</formula>
    </cfRule>
  </conditionalFormatting>
  <conditionalFormatting sqref="K81">
    <cfRule type="cellIs" dxfId="21259" priority="92" stopIfTrue="1" operator="greaterThan">
      <formula>J81</formula>
    </cfRule>
    <cfRule type="cellIs" dxfId="21258" priority="93" stopIfTrue="1" operator="equal">
      <formula>0</formula>
    </cfRule>
  </conditionalFormatting>
  <conditionalFormatting sqref="M81">
    <cfRule type="cellIs" dxfId="21257" priority="90" stopIfTrue="1" operator="greaterThan">
      <formula>L81</formula>
    </cfRule>
    <cfRule type="cellIs" dxfId="21256" priority="91" stopIfTrue="1" operator="equal">
      <formula>0</formula>
    </cfRule>
  </conditionalFormatting>
  <conditionalFormatting sqref="Q81">
    <cfRule type="cellIs" dxfId="21255" priority="88" stopIfTrue="1" operator="greaterThan">
      <formula>P81</formula>
    </cfRule>
    <cfRule type="cellIs" dxfId="21254" priority="89" stopIfTrue="1" operator="equal">
      <formula>0</formula>
    </cfRule>
  </conditionalFormatting>
  <conditionalFormatting sqref="O81">
    <cfRule type="cellIs" dxfId="21253" priority="86" stopIfTrue="1" operator="greaterThan">
      <formula>N81</formula>
    </cfRule>
    <cfRule type="cellIs" dxfId="21252" priority="87" stopIfTrue="1" operator="equal">
      <formula>0</formula>
    </cfRule>
  </conditionalFormatting>
  <conditionalFormatting sqref="K81 M81 O81 Q81 G81 I81">
    <cfRule type="cellIs" dxfId="21251" priority="84" stopIfTrue="1" operator="greaterThan">
      <formula>F81</formula>
    </cfRule>
    <cfRule type="cellIs" dxfId="21250" priority="85" stopIfTrue="1" operator="equal">
      <formula>0</formula>
    </cfRule>
  </conditionalFormatting>
  <conditionalFormatting sqref="H4">
    <cfRule type="cellIs" dxfId="21249" priority="17" operator="equal">
      <formula>0</formula>
    </cfRule>
  </conditionalFormatting>
  <conditionalFormatting sqref="F69">
    <cfRule type="cellIs" dxfId="21248" priority="16" operator="greaterThan">
      <formula>$F$20</formula>
    </cfRule>
  </conditionalFormatting>
  <conditionalFormatting sqref="G69">
    <cfRule type="cellIs" dxfId="21247" priority="15" operator="greaterThan">
      <formula>$G$20</formula>
    </cfRule>
  </conditionalFormatting>
  <conditionalFormatting sqref="H69">
    <cfRule type="cellIs" dxfId="21246" priority="14" operator="greaterThan">
      <formula>$H$20</formula>
    </cfRule>
  </conditionalFormatting>
  <conditionalFormatting sqref="I69">
    <cfRule type="cellIs" dxfId="21245" priority="13" operator="greaterThan">
      <formula>$I$20</formula>
    </cfRule>
  </conditionalFormatting>
  <conditionalFormatting sqref="J69">
    <cfRule type="cellIs" dxfId="21244" priority="12" operator="greaterThan">
      <formula>$J$20</formula>
    </cfRule>
  </conditionalFormatting>
  <conditionalFormatting sqref="K69">
    <cfRule type="cellIs" dxfId="21243" priority="11" operator="greaterThan">
      <formula>$K$20</formula>
    </cfRule>
  </conditionalFormatting>
  <conditionalFormatting sqref="L69">
    <cfRule type="cellIs" dxfId="21242" priority="10" operator="greaterThan">
      <formula>$L$20</formula>
    </cfRule>
  </conditionalFormatting>
  <conditionalFormatting sqref="M69">
    <cfRule type="cellIs" dxfId="21241" priority="9" operator="greaterThan">
      <formula>$M$20</formula>
    </cfRule>
  </conditionalFormatting>
  <conditionalFormatting sqref="F79">
    <cfRule type="cellIs" dxfId="21240" priority="8" operator="greaterThan">
      <formula>$F$20</formula>
    </cfRule>
  </conditionalFormatting>
  <conditionalFormatting sqref="G79">
    <cfRule type="cellIs" dxfId="21239" priority="7" operator="greaterThan">
      <formula>$G$20</formula>
    </cfRule>
  </conditionalFormatting>
  <conditionalFormatting sqref="H79">
    <cfRule type="cellIs" dxfId="21238" priority="6" operator="greaterThan">
      <formula>$H$20</formula>
    </cfRule>
  </conditionalFormatting>
  <conditionalFormatting sqref="I79">
    <cfRule type="cellIs" dxfId="21237" priority="5" operator="greaterThan">
      <formula>$I$20</formula>
    </cfRule>
  </conditionalFormatting>
  <conditionalFormatting sqref="J79">
    <cfRule type="cellIs" dxfId="21236" priority="4" operator="greaterThan">
      <formula>$J$20</formula>
    </cfRule>
  </conditionalFormatting>
  <conditionalFormatting sqref="K79">
    <cfRule type="cellIs" dxfId="21235" priority="3" operator="greaterThan">
      <formula>$K$20</formula>
    </cfRule>
  </conditionalFormatting>
  <conditionalFormatting sqref="L79">
    <cfRule type="cellIs" dxfId="21234" priority="2" operator="greaterThan">
      <formula>$L$20</formula>
    </cfRule>
  </conditionalFormatting>
  <conditionalFormatting sqref="M79">
    <cfRule type="cellIs" dxfId="21233" priority="1" operator="greaterThan">
      <formula>$M$20</formula>
    </cfRule>
  </conditionalFormatting>
  <dataValidations count="16">
    <dataValidation type="whole" operator="greaterThanOrEqual" allowBlank="1" showInputMessage="1" showErrorMessage="1" errorTitle="المجموع" error="المجموع" sqref="F81:Q81">
      <formula1>0</formula1>
    </dataValidation>
    <dataValidation type="whole" operator="greaterThanOrEqual" allowBlank="1" showInputMessage="1" showErrorMessage="1" errorTitle="التلاميذ المعيدين" error="ضع العدد المناسب" sqref="F27:O38 P27:Q37">
      <formula1>0</formula1>
    </dataValidation>
    <dataValidation type="whole" operator="greaterThanOrEqual" allowBlank="1" showInputMessage="1" showErrorMessage="1" errorTitle="التلاميذ المسجلين" error="ضع العدد المناسب" sqref="F10:O21 P10:Q20">
      <formula1>0</formula1>
    </dataValidation>
    <dataValidation allowBlank="1" showInputMessage="1" showErrorMessage="1" errorTitle="خانة مخصصة لسنــة الإنشاء" error="ضع سنة الإنشـاء الرسمية، أربعة أرقام  " sqref="F52:M52"/>
    <dataValidation type="whole" operator="greaterThanOrEqual" allowBlank="1" showInputMessage="1" showErrorMessage="1" errorTitle="التلاميذ حسب النظام الدراسي" error="ضع العدد المناسب لنصف الداخليين المستفدين من المنحة المدرسية حسب الجنس و  السنة الدراسية، مع مراعاة تطابق المعطيات " sqref="F50:O50">
      <formula1>0</formula1>
    </dataValidation>
    <dataValidation type="whole" operator="greaterThanOrEqual" allowBlank="1" showInputMessage="1" showErrorMessage="1" errorTitle="التلاميذ حسب النظام الدراسي" error="ضع العدد المناسب لداخليين المستفدين من المنحة المدرسية حسب الجنس و  السنة الدراسية، مع مراعاة تطابق المعطيات " sqref="F49:O49">
      <formula1>0</formula1>
    </dataValidation>
    <dataValidation type="whole" operator="greaterThanOrEqual" allowBlank="1" showInputMessage="1" showErrorMessage="1" errorTitle="التلاميذ حسب النظام الدراسي" error="ضع العدد المناسب للخارجيين حسب الجنس و  السنة الدراسية، مع مراعاة تطابق المعطيات " sqref="F47:O47">
      <formula1>0</formula1>
    </dataValidation>
    <dataValidation type="whole" operator="greaterThanOrEqual" allowBlank="1" showInputMessage="1" showErrorMessage="1" errorTitle="التلاميذ حسب النظام الدراسي" error="ضع العدد المناسب لنصف الداخليين حسب الجنس و  السنة الدراسية، مع مراعاة تطابق المعطيات " sqref="F46:O46">
      <formula1>0</formula1>
    </dataValidation>
    <dataValidation type="whole" operator="greaterThanOrEqual" allowBlank="1" showInputMessage="1" showErrorMessage="1" errorTitle="التلاميذ حسب النظام الدراسي" error="ضع العدد المناسب لداخليين حسب الجنس و  السنة الدراسية، مع مراعاة تطابق المعطيات " sqref="F45:O45">
      <formula1>0</formula1>
    </dataValidation>
    <dataValidation type="whole" operator="greaterThanOrEqual" allowBlank="1" showInputMessage="1" showErrorMessage="1" errorTitle="التلاميذ حسب النظام الدراسي" sqref="F48:O48 F51:O51">
      <formula1>0</formula1>
    </dataValidation>
    <dataValidation type="whole" operator="greaterThanOrEqual" allowBlank="1" showInputMessage="1" showErrorMessage="1" errorTitle="التلاميذ و الإضطراب الصحي" error="ضع العدد المناسب وفق الحالات المسجلة في المتوسطة مع مراعاة تطابق المعطيات" sqref="F59:O70">
      <formula1>0</formula1>
    </dataValidation>
    <dataValidation type="whole" operator="greaterThanOrEqual" allowBlank="1" showInputMessage="1" showErrorMessage="1" errorTitle="المؤطرون لتلاميذ المرض" error="ضع عدد الأساتذة الذين يؤطرون التلاميذ المرض في أماكن إستشفائهم" sqref="P76:Q78">
      <formula1>0</formula1>
    </dataValidation>
    <dataValidation type="whole" operator="greaterThanOrEqual" allowBlank="1" showInputMessage="1" showErrorMessage="1" errorTitle="التلاميذ المرضى المتكفل بهم" error="ضع العدد التلاميذ في منازلهم المتكفل بهم مع مراعاة تطابق المعطيات" sqref="F78:O78">
      <formula1>0</formula1>
    </dataValidation>
    <dataValidation type="whole" operator="greaterThanOrEqual" allowBlank="1" showInputMessage="1" showErrorMessage="1" errorTitle="التلاميذ المرضى المتكفل بهم" error="ضع العدد التلاميذ في مراكز العلاج المتكفل بهم مع مراعاة تطابق المعطيات" sqref="F77:O77">
      <formula1>0</formula1>
    </dataValidation>
    <dataValidation type="whole" operator="greaterThanOrEqual" allowBlank="1" showInputMessage="1" showErrorMessage="1" errorTitle="التلاميذ المرضى المتكفل بهم" error="ضع العدد التلاميذ في المستشفى المتكفل بهم مع مراعاة تطابق المعطيات" sqref="F76:O76">
      <formula1>0</formula1>
    </dataValidation>
    <dataValidation type="whole" operator="greaterThanOrEqual" allowBlank="1" showInputMessage="1" showErrorMessage="1" errorTitle="التلاميذ المرضى المتكفل بهم" error="ضع العدد وفق الحالات المسجلة مع مراعاة تطابق المعطيات" sqref="F79:Q79">
      <formula1>0</formula1>
    </dataValidation>
  </dataValidations>
  <printOptions horizontalCentered="1" verticalCentered="1"/>
  <pageMargins left="0.19685039370078741" right="0.19685039370078741" top="0.19685039370078741" bottom="0.19685039370078741" header="0.19685039370078741" footer="0.31496062992125984"/>
  <pageSetup paperSize="9" orientation="portrait" r:id="rId1"/>
  <headerFooter>
    <oddFooter xml:space="preserve">&amp;R&amp;"-,Gras"&amp;8&amp;K00-029Echamil V.08   &amp;F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6">
    <tabColor rgb="FF002060"/>
  </sheetPr>
  <dimension ref="A1:AM73"/>
  <sheetViews>
    <sheetView showGridLines="0" rightToLeft="1" workbookViewId="0">
      <selection activeCell="B2" sqref="B2"/>
    </sheetView>
  </sheetViews>
  <sheetFormatPr baseColWidth="10" defaultColWidth="0" defaultRowHeight="0" customHeight="1" zeroHeight="1"/>
  <cols>
    <col min="1" max="1" width="2.6640625" customWidth="1"/>
    <col min="2" max="2" width="1.6640625" customWidth="1"/>
    <col min="3" max="3" width="0.88671875" customWidth="1"/>
    <col min="4" max="4" width="3.6640625" customWidth="1"/>
    <col min="5" max="5" width="15.33203125" customWidth="1"/>
    <col min="6" max="13" width="6.44140625" customWidth="1"/>
    <col min="14" max="15" width="7.33203125" customWidth="1"/>
    <col min="16" max="17" width="5.6640625" customWidth="1"/>
    <col min="18" max="18" width="0.88671875" customWidth="1"/>
    <col min="19" max="19" width="1.6640625" customWidth="1"/>
    <col min="20" max="20" width="2.6640625" customWidth="1"/>
    <col min="21" max="21" width="14" hidden="1" customWidth="1"/>
    <col min="22" max="22" width="4" hidden="1" customWidth="1"/>
    <col min="23" max="24" width="6.6640625" hidden="1" customWidth="1"/>
    <col min="25" max="25" width="3.33203125" hidden="1" customWidth="1"/>
    <col min="26" max="26" width="2.88671875" hidden="1" customWidth="1"/>
    <col min="27" max="28" width="6.6640625" hidden="1" customWidth="1"/>
    <col min="29" max="29" width="3" hidden="1" customWidth="1"/>
    <col min="30" max="30" width="3.44140625" hidden="1" customWidth="1"/>
    <col min="31" max="32" width="6.6640625" hidden="1" customWidth="1"/>
    <col min="33" max="33" width="2.88671875" hidden="1" customWidth="1"/>
    <col min="34" max="34" width="2.6640625" hidden="1" customWidth="1"/>
    <col min="35" max="36" width="6.6640625" hidden="1" customWidth="1"/>
    <col min="37" max="38" width="1.5546875" hidden="1" customWidth="1"/>
    <col min="39" max="39" width="4.44140625" style="1385" hidden="1" customWidth="1"/>
  </cols>
  <sheetData>
    <row r="1" spans="1:39" ht="12.9" customHeight="1" thickBot="1">
      <c r="A1" s="788"/>
      <c r="B1" s="789"/>
      <c r="C1" s="815"/>
      <c r="D1" s="815"/>
      <c r="E1" s="815"/>
      <c r="F1" s="815"/>
      <c r="G1" s="815"/>
      <c r="H1" s="815"/>
      <c r="I1" s="815"/>
      <c r="J1" s="815"/>
      <c r="K1" s="815"/>
      <c r="L1" s="815"/>
      <c r="M1" s="815"/>
      <c r="N1" s="815"/>
      <c r="O1" s="815"/>
      <c r="P1" s="815"/>
      <c r="Q1" s="815"/>
      <c r="R1" s="815"/>
      <c r="S1" s="789"/>
      <c r="T1" s="788"/>
      <c r="AM1" s="1384"/>
    </row>
    <row r="2" spans="1:39" ht="8.1" customHeight="1" thickBot="1">
      <c r="A2" s="788"/>
      <c r="B2" s="816"/>
      <c r="C2" s="817"/>
      <c r="D2" s="817"/>
      <c r="E2" s="817"/>
      <c r="F2" s="817"/>
      <c r="G2" s="817"/>
      <c r="H2" s="817"/>
      <c r="I2" s="817"/>
      <c r="J2" s="817"/>
      <c r="K2" s="817"/>
      <c r="L2" s="817"/>
      <c r="M2" s="817"/>
      <c r="N2" s="817"/>
      <c r="O2" s="817"/>
      <c r="P2" s="817"/>
      <c r="Q2" s="817"/>
      <c r="R2" s="817"/>
      <c r="S2" s="818"/>
      <c r="T2" s="790"/>
      <c r="AM2" s="1384"/>
    </row>
    <row r="3" spans="1:39" ht="12.9" customHeight="1">
      <c r="A3" s="788"/>
      <c r="B3" s="819"/>
      <c r="C3" s="805"/>
      <c r="D3" s="806"/>
      <c r="E3" s="855"/>
      <c r="F3" s="855"/>
      <c r="G3" s="855"/>
      <c r="H3" s="807"/>
      <c r="I3" s="808"/>
      <c r="J3" s="807"/>
      <c r="K3" s="807"/>
      <c r="L3" s="807"/>
      <c r="M3" s="807"/>
      <c r="N3" s="855"/>
      <c r="O3" s="855"/>
      <c r="P3" s="855"/>
      <c r="Q3" s="807"/>
      <c r="R3" s="809"/>
      <c r="S3" s="820"/>
      <c r="T3" s="790"/>
      <c r="AM3" s="1384"/>
    </row>
    <row r="4" spans="1:39" ht="20.25" customHeight="1">
      <c r="A4" s="788"/>
      <c r="B4" s="821"/>
      <c r="C4" s="1432" t="s">
        <v>1457</v>
      </c>
      <c r="D4" s="650"/>
      <c r="E4" s="650"/>
      <c r="F4" s="650"/>
      <c r="G4" s="650"/>
      <c r="H4" s="651"/>
      <c r="I4" s="651"/>
      <c r="J4" s="649"/>
      <c r="K4" s="649"/>
      <c r="L4" s="652"/>
      <c r="M4" s="652"/>
      <c r="N4" s="652"/>
      <c r="O4" s="664"/>
      <c r="P4" s="652"/>
      <c r="Q4" s="652"/>
      <c r="R4" s="2216" t="s">
        <v>1458</v>
      </c>
      <c r="S4" s="820"/>
      <c r="T4" s="790"/>
      <c r="AM4" s="1384"/>
    </row>
    <row r="5" spans="1:39" ht="15" customHeight="1">
      <c r="A5" s="788"/>
      <c r="B5" s="819"/>
      <c r="C5" s="810"/>
      <c r="D5" s="659"/>
      <c r="E5" s="659"/>
      <c r="F5" s="659"/>
      <c r="G5" s="659"/>
      <c r="H5" s="649"/>
      <c r="I5" s="649"/>
      <c r="J5" s="652"/>
      <c r="K5" s="660"/>
      <c r="L5" s="660"/>
      <c r="M5" s="660"/>
      <c r="N5" s="660"/>
      <c r="O5" s="660"/>
      <c r="P5" s="660"/>
      <c r="Q5" s="660"/>
      <c r="R5" s="856"/>
      <c r="S5" s="820"/>
      <c r="T5" s="791"/>
      <c r="AM5" s="1384"/>
    </row>
    <row r="6" spans="1:39" ht="12.9" customHeight="1">
      <c r="A6" s="788"/>
      <c r="B6" s="819"/>
      <c r="C6" s="800"/>
      <c r="D6" s="979"/>
      <c r="E6" s="955"/>
      <c r="F6" s="955"/>
      <c r="G6" s="955"/>
      <c r="H6" s="955"/>
      <c r="I6" s="776"/>
      <c r="J6" s="955"/>
      <c r="K6" s="955"/>
      <c r="L6" s="955"/>
      <c r="M6" s="955"/>
      <c r="N6" s="955"/>
      <c r="O6" s="955"/>
      <c r="P6" s="955"/>
      <c r="Q6" s="955"/>
      <c r="R6" s="801"/>
      <c r="S6" s="811"/>
      <c r="T6" s="791"/>
      <c r="AM6" s="1384"/>
    </row>
    <row r="7" spans="1:39" ht="8.1" customHeight="1">
      <c r="A7" s="788"/>
      <c r="B7" s="822"/>
      <c r="C7" s="763"/>
      <c r="D7" s="2267"/>
      <c r="E7" s="649"/>
      <c r="F7" s="649"/>
      <c r="G7" s="649"/>
      <c r="H7" s="649"/>
      <c r="I7" s="649"/>
      <c r="J7" s="649"/>
      <c r="K7" s="649"/>
      <c r="L7" s="649"/>
      <c r="M7" s="649"/>
      <c r="N7" s="649"/>
      <c r="O7" s="649"/>
      <c r="P7" s="649"/>
      <c r="Q7" s="649"/>
      <c r="R7" s="811"/>
      <c r="S7" s="820"/>
      <c r="T7" s="791"/>
      <c r="AM7" s="1384"/>
    </row>
    <row r="8" spans="1:39" ht="3" customHeight="1">
      <c r="A8" s="788"/>
      <c r="B8" s="819"/>
      <c r="C8" s="763"/>
      <c r="D8" s="2351"/>
      <c r="E8" s="2351"/>
      <c r="F8" s="2351"/>
      <c r="G8" s="2351"/>
      <c r="H8" s="2351"/>
      <c r="I8" s="2351"/>
      <c r="J8" s="2351"/>
      <c r="K8" s="2351"/>
      <c r="L8" s="2351"/>
      <c r="M8" s="2351"/>
      <c r="N8" s="2351"/>
      <c r="O8" s="2351"/>
      <c r="P8" s="2351"/>
      <c r="Q8" s="2351"/>
      <c r="R8" s="811"/>
      <c r="S8" s="820"/>
      <c r="T8" s="788"/>
      <c r="AM8" s="1384"/>
    </row>
    <row r="9" spans="1:39" ht="23.1" customHeight="1">
      <c r="A9" s="788"/>
      <c r="B9" s="819"/>
      <c r="C9" s="1386"/>
      <c r="D9" s="1314" t="s">
        <v>1412</v>
      </c>
      <c r="E9" s="955"/>
      <c r="F9" s="955"/>
      <c r="G9" s="955"/>
      <c r="H9" s="955"/>
      <c r="I9" s="776"/>
      <c r="J9" s="955"/>
      <c r="K9" s="955"/>
      <c r="L9" s="955"/>
      <c r="M9" s="955"/>
      <c r="N9" s="955"/>
      <c r="O9" s="955"/>
      <c r="P9" s="955"/>
      <c r="Q9" s="955"/>
      <c r="R9" s="801"/>
      <c r="S9" s="820"/>
      <c r="T9" s="792"/>
      <c r="AM9" s="1384"/>
    </row>
    <row r="10" spans="1:39" ht="5.0999999999999996" customHeight="1">
      <c r="A10" s="788"/>
      <c r="B10" s="819"/>
      <c r="C10" s="763"/>
      <c r="D10" s="2352"/>
      <c r="E10" s="2352"/>
      <c r="F10" s="2352"/>
      <c r="G10" s="2352"/>
      <c r="H10" s="2352"/>
      <c r="I10" s="2352"/>
      <c r="J10" s="2352"/>
      <c r="K10" s="2352"/>
      <c r="L10" s="2352"/>
      <c r="M10" s="2352"/>
      <c r="N10" s="2352"/>
      <c r="O10" s="2352"/>
      <c r="P10" s="2352"/>
      <c r="Q10" s="2352"/>
      <c r="R10" s="811"/>
      <c r="S10" s="820"/>
      <c r="T10" s="792"/>
      <c r="AM10" s="1384"/>
    </row>
    <row r="11" spans="1:39" ht="23.1" customHeight="1">
      <c r="A11" s="788"/>
      <c r="B11" s="819"/>
      <c r="C11" s="1386"/>
      <c r="D11" s="979"/>
      <c r="E11" s="955"/>
      <c r="F11" s="955"/>
      <c r="G11" s="955"/>
      <c r="H11" s="955"/>
      <c r="I11" s="776"/>
      <c r="J11" s="955"/>
      <c r="K11" s="955"/>
      <c r="L11" s="955"/>
      <c r="M11" s="955"/>
      <c r="N11" s="955"/>
      <c r="O11" s="955"/>
      <c r="P11" s="955"/>
      <c r="Q11" s="2353" t="s">
        <v>1413</v>
      </c>
      <c r="R11" s="801"/>
      <c r="S11" s="820"/>
      <c r="T11" s="792"/>
      <c r="AM11" s="1384"/>
    </row>
    <row r="12" spans="1:39" ht="8.1" customHeight="1">
      <c r="A12" s="788"/>
      <c r="B12" s="822"/>
      <c r="C12" s="763"/>
      <c r="D12" s="2267"/>
      <c r="E12" s="649"/>
      <c r="F12" s="3368">
        <f>'الصفحة 6'!O30</f>
        <v>44</v>
      </c>
      <c r="G12" s="3368">
        <f>'الصفحة 6'!O31</f>
        <v>20</v>
      </c>
      <c r="H12" s="3368">
        <f>+'الصفحة 7'!O30</f>
        <v>8</v>
      </c>
      <c r="I12" s="3368">
        <f>+'الصفحة 7'!O31</f>
        <v>5</v>
      </c>
      <c r="J12" s="3368">
        <f>+'الصفحة 8'!O30</f>
        <v>5</v>
      </c>
      <c r="K12" s="3368">
        <f>+'الصفحة 8'!O31</f>
        <v>1</v>
      </c>
      <c r="L12" s="3368">
        <f>+'الصفحة 9'!O30</f>
        <v>5</v>
      </c>
      <c r="M12" s="3368">
        <f>+'الصفحة 9'!O31</f>
        <v>3</v>
      </c>
      <c r="N12" s="649"/>
      <c r="O12" s="649"/>
      <c r="P12" s="649"/>
      <c r="Q12" s="649"/>
      <c r="R12" s="811"/>
      <c r="S12" s="820"/>
      <c r="T12" s="792"/>
      <c r="AM12" s="1384"/>
    </row>
    <row r="13" spans="1:39" ht="12.9" customHeight="1">
      <c r="A13" s="788"/>
      <c r="B13" s="819"/>
      <c r="C13" s="763"/>
      <c r="D13" s="4225" t="s">
        <v>26</v>
      </c>
      <c r="E13" s="4226"/>
      <c r="F13" s="4234" t="s">
        <v>25</v>
      </c>
      <c r="G13" s="4235"/>
      <c r="H13" s="4232" t="s">
        <v>24</v>
      </c>
      <c r="I13" s="4233"/>
      <c r="J13" s="4234" t="s">
        <v>23</v>
      </c>
      <c r="K13" s="4235"/>
      <c r="L13" s="4232" t="s">
        <v>22</v>
      </c>
      <c r="M13" s="4233"/>
      <c r="N13" s="4273" t="s">
        <v>610</v>
      </c>
      <c r="O13" s="4274"/>
      <c r="P13" s="4292" t="s">
        <v>27</v>
      </c>
      <c r="Q13" s="4293"/>
      <c r="R13" s="811"/>
      <c r="S13" s="820"/>
      <c r="T13" s="793"/>
      <c r="AM13" s="1384"/>
    </row>
    <row r="14" spans="1:39" ht="12.9" customHeight="1">
      <c r="A14" s="788"/>
      <c r="B14" s="822"/>
      <c r="C14" s="763"/>
      <c r="D14" s="4298" t="s">
        <v>21</v>
      </c>
      <c r="E14" s="4298"/>
      <c r="F14" s="642" t="s">
        <v>20</v>
      </c>
      <c r="G14" s="643" t="s">
        <v>19</v>
      </c>
      <c r="H14" s="1324" t="s">
        <v>20</v>
      </c>
      <c r="I14" s="1325" t="s">
        <v>19</v>
      </c>
      <c r="J14" s="642" t="s">
        <v>20</v>
      </c>
      <c r="K14" s="643" t="s">
        <v>19</v>
      </c>
      <c r="L14" s="1324" t="s">
        <v>20</v>
      </c>
      <c r="M14" s="1325" t="s">
        <v>19</v>
      </c>
      <c r="N14" s="964" t="s">
        <v>20</v>
      </c>
      <c r="O14" s="990" t="s">
        <v>19</v>
      </c>
      <c r="P14" s="642" t="s">
        <v>20</v>
      </c>
      <c r="Q14" s="643" t="s">
        <v>500</v>
      </c>
      <c r="R14" s="764"/>
      <c r="S14" s="820"/>
      <c r="T14" s="793"/>
      <c r="AM14" s="1384"/>
    </row>
    <row r="15" spans="1:39" ht="15" customHeight="1">
      <c r="A15" s="788"/>
      <c r="B15" s="822"/>
      <c r="C15" s="763"/>
      <c r="D15" s="4297" t="s">
        <v>18</v>
      </c>
      <c r="E15" s="4297"/>
      <c r="F15" s="2155"/>
      <c r="G15" s="2156"/>
      <c r="H15" s="2155"/>
      <c r="I15" s="2156"/>
      <c r="J15" s="2155"/>
      <c r="K15" s="2156"/>
      <c r="L15" s="2155"/>
      <c r="M15" s="2156"/>
      <c r="N15" s="2067">
        <f t="shared" ref="N15:O24" si="0">L15+J15+H15+F15</f>
        <v>0</v>
      </c>
      <c r="O15" s="2068">
        <f t="shared" si="0"/>
        <v>0</v>
      </c>
      <c r="P15" s="2155"/>
      <c r="Q15" s="2156"/>
      <c r="R15" s="764"/>
      <c r="S15" s="820"/>
      <c r="T15" s="793"/>
      <c r="AM15" s="1384"/>
    </row>
    <row r="16" spans="1:39" ht="15" customHeight="1">
      <c r="A16" s="788"/>
      <c r="B16" s="822"/>
      <c r="C16" s="763"/>
      <c r="D16" s="4296" t="s">
        <v>17</v>
      </c>
      <c r="E16" s="4296"/>
      <c r="F16" s="2153"/>
      <c r="G16" s="2154"/>
      <c r="H16" s="2153"/>
      <c r="I16" s="2154"/>
      <c r="J16" s="2153"/>
      <c r="K16" s="2154"/>
      <c r="L16" s="2153"/>
      <c r="M16" s="2154"/>
      <c r="N16" s="2069">
        <f t="shared" si="0"/>
        <v>0</v>
      </c>
      <c r="O16" s="2070">
        <f t="shared" si="0"/>
        <v>0</v>
      </c>
      <c r="P16" s="2153"/>
      <c r="Q16" s="2154"/>
      <c r="R16" s="764"/>
      <c r="S16" s="820"/>
      <c r="T16" s="793"/>
      <c r="AM16" s="1384"/>
    </row>
    <row r="17" spans="1:39" ht="15" customHeight="1">
      <c r="A17" s="788"/>
      <c r="B17" s="822"/>
      <c r="C17" s="763"/>
      <c r="D17" s="4297" t="s">
        <v>16</v>
      </c>
      <c r="E17" s="4297"/>
      <c r="F17" s="2153"/>
      <c r="G17" s="2154"/>
      <c r="H17" s="2153"/>
      <c r="I17" s="2154"/>
      <c r="J17" s="2153"/>
      <c r="K17" s="2154"/>
      <c r="L17" s="2153"/>
      <c r="M17" s="2154"/>
      <c r="N17" s="2069">
        <f t="shared" si="0"/>
        <v>0</v>
      </c>
      <c r="O17" s="2070">
        <f t="shared" si="0"/>
        <v>0</v>
      </c>
      <c r="P17" s="2153"/>
      <c r="Q17" s="2154"/>
      <c r="R17" s="764"/>
      <c r="S17" s="820"/>
      <c r="T17" s="793"/>
      <c r="AM17" s="1384"/>
    </row>
    <row r="18" spans="1:39" ht="15" customHeight="1">
      <c r="A18" s="788"/>
      <c r="B18" s="822"/>
      <c r="C18" s="763"/>
      <c r="D18" s="4296" t="s">
        <v>15</v>
      </c>
      <c r="E18" s="4296"/>
      <c r="F18" s="2153"/>
      <c r="G18" s="2154"/>
      <c r="H18" s="2153"/>
      <c r="I18" s="2154"/>
      <c r="J18" s="2153"/>
      <c r="K18" s="2154"/>
      <c r="L18" s="2153"/>
      <c r="M18" s="2154"/>
      <c r="N18" s="2069">
        <f t="shared" si="0"/>
        <v>0</v>
      </c>
      <c r="O18" s="2070">
        <f t="shared" si="0"/>
        <v>0</v>
      </c>
      <c r="P18" s="2153"/>
      <c r="Q18" s="2154"/>
      <c r="R18" s="764"/>
      <c r="S18" s="820"/>
      <c r="T18" s="793"/>
      <c r="AM18" s="1384"/>
    </row>
    <row r="19" spans="1:39" ht="15" customHeight="1">
      <c r="A19" s="788"/>
      <c r="B19" s="822"/>
      <c r="C19" s="763"/>
      <c r="D19" s="4297" t="s">
        <v>14</v>
      </c>
      <c r="E19" s="4297"/>
      <c r="F19" s="2153"/>
      <c r="G19" s="2154"/>
      <c r="H19" s="2153"/>
      <c r="I19" s="2154"/>
      <c r="J19" s="2153"/>
      <c r="K19" s="2154"/>
      <c r="L19" s="2153"/>
      <c r="M19" s="2154"/>
      <c r="N19" s="2069">
        <f t="shared" si="0"/>
        <v>0</v>
      </c>
      <c r="O19" s="2070">
        <f t="shared" si="0"/>
        <v>0</v>
      </c>
      <c r="P19" s="2153"/>
      <c r="Q19" s="2154"/>
      <c r="R19" s="764"/>
      <c r="S19" s="820"/>
      <c r="T19" s="793"/>
      <c r="AM19" s="1384"/>
    </row>
    <row r="20" spans="1:39" ht="15" customHeight="1">
      <c r="A20" s="788"/>
      <c r="B20" s="822"/>
      <c r="C20" s="763"/>
      <c r="D20" s="4296" t="s">
        <v>13</v>
      </c>
      <c r="E20" s="4296"/>
      <c r="F20" s="2153"/>
      <c r="G20" s="2154"/>
      <c r="H20" s="2153"/>
      <c r="I20" s="2154"/>
      <c r="J20" s="2153"/>
      <c r="K20" s="2154"/>
      <c r="L20" s="2153"/>
      <c r="M20" s="2154"/>
      <c r="N20" s="2069">
        <f t="shared" si="0"/>
        <v>0</v>
      </c>
      <c r="O20" s="2070">
        <f t="shared" si="0"/>
        <v>0</v>
      </c>
      <c r="P20" s="2153"/>
      <c r="Q20" s="2154"/>
      <c r="R20" s="764"/>
      <c r="S20" s="820"/>
      <c r="T20" s="793"/>
      <c r="AM20" s="1384"/>
    </row>
    <row r="21" spans="1:39" ht="15" customHeight="1">
      <c r="A21" s="788"/>
      <c r="B21" s="822"/>
      <c r="C21" s="763"/>
      <c r="D21" s="4297" t="s">
        <v>12</v>
      </c>
      <c r="E21" s="4297"/>
      <c r="F21" s="2153"/>
      <c r="G21" s="2154"/>
      <c r="H21" s="2153"/>
      <c r="I21" s="2154"/>
      <c r="J21" s="2153"/>
      <c r="K21" s="2154"/>
      <c r="L21" s="2153"/>
      <c r="M21" s="2154"/>
      <c r="N21" s="2069">
        <f t="shared" si="0"/>
        <v>0</v>
      </c>
      <c r="O21" s="2070">
        <f t="shared" si="0"/>
        <v>0</v>
      </c>
      <c r="P21" s="2153"/>
      <c r="Q21" s="2154"/>
      <c r="R21" s="764"/>
      <c r="S21" s="820"/>
      <c r="T21" s="793"/>
      <c r="AM21" s="1384"/>
    </row>
    <row r="22" spans="1:39" ht="15" customHeight="1">
      <c r="A22" s="788"/>
      <c r="B22" s="822"/>
      <c r="C22" s="763"/>
      <c r="D22" s="4296" t="s">
        <v>11</v>
      </c>
      <c r="E22" s="4296"/>
      <c r="F22" s="2153"/>
      <c r="G22" s="2154"/>
      <c r="H22" s="2153"/>
      <c r="I22" s="2154"/>
      <c r="J22" s="2153"/>
      <c r="K22" s="2154"/>
      <c r="L22" s="2153"/>
      <c r="M22" s="2154"/>
      <c r="N22" s="2069">
        <f t="shared" si="0"/>
        <v>0</v>
      </c>
      <c r="O22" s="2070">
        <f t="shared" si="0"/>
        <v>0</v>
      </c>
      <c r="P22" s="2153"/>
      <c r="Q22" s="2154"/>
      <c r="R22" s="764"/>
      <c r="S22" s="820"/>
      <c r="T22" s="793"/>
      <c r="AM22" s="1384"/>
    </row>
    <row r="23" spans="1:39" ht="15" customHeight="1">
      <c r="A23" s="788"/>
      <c r="B23" s="822"/>
      <c r="C23" s="763"/>
      <c r="D23" s="4297" t="s">
        <v>10</v>
      </c>
      <c r="E23" s="4297"/>
      <c r="F23" s="2153"/>
      <c r="G23" s="2154"/>
      <c r="H23" s="2153"/>
      <c r="I23" s="2154"/>
      <c r="J23" s="2153"/>
      <c r="K23" s="2154"/>
      <c r="L23" s="2153"/>
      <c r="M23" s="2154"/>
      <c r="N23" s="2069">
        <f t="shared" si="0"/>
        <v>0</v>
      </c>
      <c r="O23" s="2070">
        <f t="shared" si="0"/>
        <v>0</v>
      </c>
      <c r="P23" s="2153"/>
      <c r="Q23" s="2154"/>
      <c r="R23" s="764"/>
      <c r="S23" s="820"/>
      <c r="T23" s="793"/>
      <c r="AM23" s="1384"/>
    </row>
    <row r="24" spans="1:39" ht="15" customHeight="1">
      <c r="A24" s="788"/>
      <c r="B24" s="822"/>
      <c r="C24" s="763"/>
      <c r="D24" s="4296" t="s">
        <v>9</v>
      </c>
      <c r="E24" s="4296"/>
      <c r="F24" s="2157"/>
      <c r="G24" s="2158"/>
      <c r="H24" s="2157"/>
      <c r="I24" s="2158"/>
      <c r="J24" s="2157"/>
      <c r="K24" s="2158"/>
      <c r="L24" s="2157"/>
      <c r="M24" s="2158"/>
      <c r="N24" s="2071">
        <f t="shared" si="0"/>
        <v>0</v>
      </c>
      <c r="O24" s="2072">
        <f t="shared" si="0"/>
        <v>0</v>
      </c>
      <c r="P24" s="2157"/>
      <c r="Q24" s="2158"/>
      <c r="R24" s="764"/>
      <c r="S24" s="820"/>
      <c r="T24" s="793"/>
      <c r="AM24" s="1384"/>
    </row>
    <row r="25" spans="1:39" ht="15" customHeight="1">
      <c r="A25" s="788"/>
      <c r="B25" s="822"/>
      <c r="C25" s="763"/>
      <c r="D25" s="4305" t="s">
        <v>28</v>
      </c>
      <c r="E25" s="4306"/>
      <c r="F25" s="2082">
        <f t="shared" ref="F25:Q25" si="1">SUM(F15:F24)</f>
        <v>0</v>
      </c>
      <c r="G25" s="2151">
        <f t="shared" si="1"/>
        <v>0</v>
      </c>
      <c r="H25" s="2082">
        <f t="shared" si="1"/>
        <v>0</v>
      </c>
      <c r="I25" s="2151">
        <f t="shared" si="1"/>
        <v>0</v>
      </c>
      <c r="J25" s="2082">
        <f t="shared" si="1"/>
        <v>0</v>
      </c>
      <c r="K25" s="2151">
        <f t="shared" si="1"/>
        <v>0</v>
      </c>
      <c r="L25" s="2082">
        <f t="shared" si="1"/>
        <v>0</v>
      </c>
      <c r="M25" s="2151">
        <f t="shared" si="1"/>
        <v>0</v>
      </c>
      <c r="N25" s="2082">
        <f t="shared" si="1"/>
        <v>0</v>
      </c>
      <c r="O25" s="2151">
        <f t="shared" si="1"/>
        <v>0</v>
      </c>
      <c r="P25" s="2082">
        <f t="shared" si="1"/>
        <v>0</v>
      </c>
      <c r="Q25" s="2151">
        <f t="shared" si="1"/>
        <v>0</v>
      </c>
      <c r="R25" s="764"/>
      <c r="S25" s="820"/>
      <c r="T25" s="793"/>
      <c r="AM25" s="1384"/>
    </row>
    <row r="26" spans="1:39" ht="15" customHeight="1">
      <c r="A26" s="788"/>
      <c r="B26" s="822"/>
      <c r="C26" s="763"/>
      <c r="D26" s="4307" t="s">
        <v>561</v>
      </c>
      <c r="E26" s="4307"/>
      <c r="F26" s="2161"/>
      <c r="G26" s="2162"/>
      <c r="H26" s="2161"/>
      <c r="I26" s="2162"/>
      <c r="J26" s="2161"/>
      <c r="K26" s="2162"/>
      <c r="L26" s="2161"/>
      <c r="M26" s="2162"/>
      <c r="N26" s="2161">
        <f>L26+J26+H26+F26</f>
        <v>0</v>
      </c>
      <c r="O26" s="2162">
        <f>M26+K26+I26+G26</f>
        <v>0</v>
      </c>
      <c r="P26" s="1923" t="str">
        <f>IF(('الصفحة 1'!$Q$14&gt;0),IF((P25&gt;0),IF((P25&lt;&gt;N26),"خطء الأجانب",""),""),"")</f>
        <v/>
      </c>
      <c r="Q26" s="1923" t="str">
        <f>IF(('الصفحة 1'!$Q$14&gt;0),IF((Q25&gt;0),IF((Q25&lt;&gt;O26),"خطء الأجانب",""),""),"")</f>
        <v/>
      </c>
      <c r="R26" s="764"/>
      <c r="S26" s="820"/>
      <c r="T26" s="793"/>
      <c r="AM26" s="1384"/>
    </row>
    <row r="27" spans="1:39" ht="18" customHeight="1">
      <c r="A27" s="788"/>
      <c r="B27" s="822"/>
      <c r="C27" s="763"/>
      <c r="D27" s="649"/>
      <c r="E27" s="649"/>
      <c r="F27" s="3369" t="str">
        <f>IF(('الصفحة 1'!$Q$14&gt;0),IF((F25&gt;0),IF((F25&gt;'الصفحة 6'!O30),"خطء الوافدون",""),""),"")</f>
        <v/>
      </c>
      <c r="G27" s="3373" t="str">
        <f>IF(('الصفحة 1'!$Q$14&gt;0),IF((G25&gt;0),IF((G25&gt;'الصفحة 6'!O31),"خطء الوافدات",""),""),"")</f>
        <v/>
      </c>
      <c r="H27" s="3369" t="str">
        <f>IF(('الصفحة 1'!$Q$14&gt;0),IF((H25&gt;0),IF((H25&gt;'الصفحة 7'!O30),"خطء الوافدون",""),""),"")</f>
        <v/>
      </c>
      <c r="I27" s="3369" t="str">
        <f>IF(('الصفحة 1'!$Q$14&gt;0),IF((I25&gt;0),IF((I25&gt;'الصفحة 7'!O31),"خطء الوافدات",""),""),"")</f>
        <v/>
      </c>
      <c r="J27" s="3369" t="str">
        <f>IF(('الصفحة 1'!$Q$14&gt;0),IF((J25&gt;0),IF((J25&gt;'الصفحة 8'!O30),"خطء الوافدون",""),""),"")</f>
        <v/>
      </c>
      <c r="K27" s="3369" t="str">
        <f>IF(('الصفحة 1'!$Q$14&gt;0),IF((K25&gt;0),IF((K25&gt;'الصفحة 8'!O31),"خطء الوافدات",""),""),"")</f>
        <v/>
      </c>
      <c r="L27" s="3369" t="str">
        <f>IF(('الصفحة 1'!$Q$14&gt;0),IF((L25&gt;0),IF((L25&gt;'الصفحة 9'!O30),"خطء الوافدون",""),""),"")</f>
        <v/>
      </c>
      <c r="M27" s="3369" t="str">
        <f>IF(('الصفحة 1'!$Q$14&gt;0),IF((M25&gt;0),IF((M25&gt;'الصفحة 9'!O31),"خطء الوافدات",""),""),"")</f>
        <v/>
      </c>
      <c r="N27" s="2332"/>
      <c r="O27" s="2332"/>
      <c r="P27" s="649"/>
      <c r="Q27" s="649"/>
      <c r="R27" s="764"/>
      <c r="S27" s="820"/>
      <c r="T27" s="793"/>
      <c r="AM27" s="1384"/>
    </row>
    <row r="28" spans="1:39" ht="23.1" customHeight="1">
      <c r="A28" s="788"/>
      <c r="B28" s="822"/>
      <c r="C28" s="1386"/>
      <c r="D28" s="1314" t="s">
        <v>1414</v>
      </c>
      <c r="E28" s="989"/>
      <c r="F28" s="955"/>
      <c r="G28" s="955"/>
      <c r="H28" s="955"/>
      <c r="I28" s="776"/>
      <c r="J28" s="955"/>
      <c r="K28" s="955"/>
      <c r="L28" s="955"/>
      <c r="M28" s="955"/>
      <c r="N28" s="955"/>
      <c r="O28" s="955"/>
      <c r="P28" s="955"/>
      <c r="Q28" s="955"/>
      <c r="R28" s="801"/>
      <c r="S28" s="820"/>
      <c r="T28" s="793"/>
      <c r="AM28" s="1384"/>
    </row>
    <row r="29" spans="1:39" ht="5.0999999999999996" customHeight="1">
      <c r="A29" s="788"/>
      <c r="B29" s="822"/>
      <c r="C29" s="1926"/>
      <c r="D29" s="2112"/>
      <c r="E29" s="2354"/>
      <c r="F29" s="2113"/>
      <c r="G29" s="2113"/>
      <c r="H29" s="2113"/>
      <c r="I29" s="2114"/>
      <c r="J29" s="2113"/>
      <c r="K29" s="2113"/>
      <c r="L29" s="2113"/>
      <c r="M29" s="2113"/>
      <c r="N29" s="2113"/>
      <c r="O29" s="2113"/>
      <c r="P29" s="2113"/>
      <c r="Q29" s="2113"/>
      <c r="R29" s="1927"/>
      <c r="S29" s="820"/>
      <c r="T29" s="793"/>
      <c r="AM29" s="1384"/>
    </row>
    <row r="30" spans="1:39" ht="23.1" customHeight="1">
      <c r="A30" s="788"/>
      <c r="B30" s="822"/>
      <c r="C30" s="1386"/>
      <c r="D30" s="979"/>
      <c r="E30" s="989"/>
      <c r="F30" s="955"/>
      <c r="G30" s="955"/>
      <c r="H30" s="955"/>
      <c r="I30" s="776"/>
      <c r="J30" s="955"/>
      <c r="K30" s="955"/>
      <c r="L30" s="955"/>
      <c r="M30" s="955"/>
      <c r="N30" s="955"/>
      <c r="O30" s="955"/>
      <c r="P30" s="955"/>
      <c r="Q30" s="2353" t="s">
        <v>1415</v>
      </c>
      <c r="R30" s="801"/>
      <c r="S30" s="820"/>
      <c r="T30" s="793"/>
      <c r="AM30" s="1384"/>
    </row>
    <row r="31" spans="1:39" ht="8.1" customHeight="1">
      <c r="A31" s="788"/>
      <c r="B31" s="822"/>
      <c r="C31" s="763"/>
      <c r="D31" s="2267"/>
      <c r="E31" s="649"/>
      <c r="F31" s="3368">
        <f>+'الصفحة 6'!O46</f>
        <v>0</v>
      </c>
      <c r="G31" s="3368">
        <f>+'الصفحة 6'!O47</f>
        <v>0</v>
      </c>
      <c r="H31" s="3368">
        <f>+'الصفحة 7'!O46</f>
        <v>0</v>
      </c>
      <c r="I31" s="3368">
        <f>+'الصفحة 7'!O47</f>
        <v>0</v>
      </c>
      <c r="J31" s="3368">
        <f>+'الصفحة 8'!O46</f>
        <v>0</v>
      </c>
      <c r="K31" s="3368">
        <f>+'الصفحة 8'!O47</f>
        <v>0</v>
      </c>
      <c r="L31" s="3368">
        <f>+'الصفحة 9'!O46</f>
        <v>0</v>
      </c>
      <c r="M31" s="3368">
        <f>+'الصفحة 9'!O47</f>
        <v>0</v>
      </c>
      <c r="N31" s="649"/>
      <c r="O31" s="649"/>
      <c r="P31" s="649"/>
      <c r="Q31" s="649"/>
      <c r="R31" s="811"/>
      <c r="S31" s="820"/>
      <c r="T31" s="793"/>
      <c r="AM31" s="1384"/>
    </row>
    <row r="32" spans="1:39" ht="12.9" customHeight="1">
      <c r="A32" s="788"/>
      <c r="B32" s="822"/>
      <c r="C32" s="763"/>
      <c r="D32" s="4225" t="s">
        <v>26</v>
      </c>
      <c r="E32" s="4226"/>
      <c r="F32" s="4299" t="s">
        <v>25</v>
      </c>
      <c r="G32" s="4300"/>
      <c r="H32" s="4301" t="s">
        <v>24</v>
      </c>
      <c r="I32" s="4302"/>
      <c r="J32" s="4299" t="s">
        <v>23</v>
      </c>
      <c r="K32" s="4300"/>
      <c r="L32" s="4301" t="s">
        <v>22</v>
      </c>
      <c r="M32" s="4302"/>
      <c r="N32" s="4303" t="s">
        <v>28</v>
      </c>
      <c r="O32" s="4304"/>
      <c r="P32" s="4292" t="s">
        <v>561</v>
      </c>
      <c r="Q32" s="4293"/>
      <c r="R32" s="811"/>
      <c r="S32" s="820"/>
      <c r="T32" s="793"/>
      <c r="AM32" s="1384"/>
    </row>
    <row r="33" spans="1:39" ht="12.9" customHeight="1">
      <c r="A33" s="788"/>
      <c r="B33" s="822"/>
      <c r="C33" s="763"/>
      <c r="D33" s="4298" t="s">
        <v>21</v>
      </c>
      <c r="E33" s="4298"/>
      <c r="F33" s="642" t="s">
        <v>20</v>
      </c>
      <c r="G33" s="643" t="s">
        <v>19</v>
      </c>
      <c r="H33" s="1324" t="s">
        <v>20</v>
      </c>
      <c r="I33" s="1325" t="s">
        <v>19</v>
      </c>
      <c r="J33" s="642" t="s">
        <v>20</v>
      </c>
      <c r="K33" s="643" t="s">
        <v>19</v>
      </c>
      <c r="L33" s="1324" t="s">
        <v>20</v>
      </c>
      <c r="M33" s="1325" t="s">
        <v>19</v>
      </c>
      <c r="N33" s="964" t="s">
        <v>20</v>
      </c>
      <c r="O33" s="990" t="s">
        <v>19</v>
      </c>
      <c r="P33" s="642" t="s">
        <v>20</v>
      </c>
      <c r="Q33" s="643" t="s">
        <v>500</v>
      </c>
      <c r="R33" s="764"/>
      <c r="S33" s="820"/>
      <c r="T33" s="793"/>
      <c r="AM33" s="1384"/>
    </row>
    <row r="34" spans="1:39" ht="15" customHeight="1">
      <c r="A34" s="788"/>
      <c r="B34" s="822"/>
      <c r="C34" s="763"/>
      <c r="D34" s="4297" t="s">
        <v>18</v>
      </c>
      <c r="E34" s="4297"/>
      <c r="F34" s="2153"/>
      <c r="G34" s="2154"/>
      <c r="H34" s="2155"/>
      <c r="I34" s="2156"/>
      <c r="J34" s="2155"/>
      <c r="K34" s="2156"/>
      <c r="L34" s="2155"/>
      <c r="M34" s="2156"/>
      <c r="N34" s="2067">
        <f t="shared" ref="N34:O43" si="2">L34+J34+H34+F34</f>
        <v>0</v>
      </c>
      <c r="O34" s="2068">
        <f t="shared" si="2"/>
        <v>0</v>
      </c>
      <c r="P34" s="2155"/>
      <c r="Q34" s="2156"/>
      <c r="R34" s="764"/>
      <c r="S34" s="820"/>
      <c r="T34" s="793"/>
      <c r="AM34" s="1384"/>
    </row>
    <row r="35" spans="1:39" ht="15" customHeight="1">
      <c r="A35" s="788"/>
      <c r="B35" s="822"/>
      <c r="C35" s="763"/>
      <c r="D35" s="4296" t="s">
        <v>17</v>
      </c>
      <c r="E35" s="4296"/>
      <c r="F35" s="2153"/>
      <c r="G35" s="2154"/>
      <c r="H35" s="2153"/>
      <c r="I35" s="2154"/>
      <c r="J35" s="2153"/>
      <c r="K35" s="2154"/>
      <c r="L35" s="2153"/>
      <c r="M35" s="2154"/>
      <c r="N35" s="2069">
        <f t="shared" si="2"/>
        <v>0</v>
      </c>
      <c r="O35" s="2070">
        <f t="shared" si="2"/>
        <v>0</v>
      </c>
      <c r="P35" s="2153"/>
      <c r="Q35" s="2154"/>
      <c r="R35" s="764"/>
      <c r="S35" s="820"/>
      <c r="T35" s="793"/>
      <c r="AM35" s="1384"/>
    </row>
    <row r="36" spans="1:39" ht="15" customHeight="1">
      <c r="A36" s="788"/>
      <c r="B36" s="822"/>
      <c r="C36" s="763"/>
      <c r="D36" s="4297" t="s">
        <v>16</v>
      </c>
      <c r="E36" s="4297"/>
      <c r="F36" s="2153"/>
      <c r="G36" s="2154"/>
      <c r="H36" s="2153"/>
      <c r="I36" s="2154"/>
      <c r="J36" s="2153"/>
      <c r="K36" s="2154"/>
      <c r="L36" s="2153"/>
      <c r="M36" s="2154"/>
      <c r="N36" s="2069">
        <f t="shared" si="2"/>
        <v>0</v>
      </c>
      <c r="O36" s="2070">
        <f t="shared" si="2"/>
        <v>0</v>
      </c>
      <c r="P36" s="2153"/>
      <c r="Q36" s="2154"/>
      <c r="R36" s="764"/>
      <c r="S36" s="820"/>
      <c r="T36" s="793"/>
      <c r="AM36" s="1384"/>
    </row>
    <row r="37" spans="1:39" ht="15" customHeight="1">
      <c r="A37" s="788"/>
      <c r="B37" s="822"/>
      <c r="C37" s="763"/>
      <c r="D37" s="4296" t="s">
        <v>15</v>
      </c>
      <c r="E37" s="4296"/>
      <c r="F37" s="2153"/>
      <c r="G37" s="2154"/>
      <c r="H37" s="2153"/>
      <c r="I37" s="2154"/>
      <c r="J37" s="2153"/>
      <c r="K37" s="2154"/>
      <c r="L37" s="2153"/>
      <c r="M37" s="2154"/>
      <c r="N37" s="2069">
        <f t="shared" si="2"/>
        <v>0</v>
      </c>
      <c r="O37" s="2070">
        <f t="shared" si="2"/>
        <v>0</v>
      </c>
      <c r="P37" s="2153"/>
      <c r="Q37" s="2154"/>
      <c r="R37" s="764"/>
      <c r="S37" s="820"/>
      <c r="T37" s="793"/>
      <c r="AM37" s="1384"/>
    </row>
    <row r="38" spans="1:39" ht="15" customHeight="1">
      <c r="A38" s="788"/>
      <c r="B38" s="822"/>
      <c r="C38" s="763"/>
      <c r="D38" s="4297" t="s">
        <v>14</v>
      </c>
      <c r="E38" s="4297"/>
      <c r="F38" s="2153"/>
      <c r="G38" s="2154"/>
      <c r="H38" s="2153"/>
      <c r="I38" s="2154"/>
      <c r="J38" s="2153"/>
      <c r="K38" s="2154"/>
      <c r="L38" s="2153"/>
      <c r="M38" s="2154"/>
      <c r="N38" s="2069">
        <f t="shared" si="2"/>
        <v>0</v>
      </c>
      <c r="O38" s="2070">
        <f t="shared" si="2"/>
        <v>0</v>
      </c>
      <c r="P38" s="2153"/>
      <c r="Q38" s="2154"/>
      <c r="R38" s="764"/>
      <c r="S38" s="820"/>
      <c r="T38" s="794"/>
      <c r="AM38" s="1384"/>
    </row>
    <row r="39" spans="1:39" ht="15" customHeight="1">
      <c r="A39" s="788"/>
      <c r="B39" s="822"/>
      <c r="C39" s="763"/>
      <c r="D39" s="4296" t="s">
        <v>13</v>
      </c>
      <c r="E39" s="4296"/>
      <c r="F39" s="2153"/>
      <c r="G39" s="2154"/>
      <c r="H39" s="2153"/>
      <c r="I39" s="2154"/>
      <c r="J39" s="2153"/>
      <c r="K39" s="2154"/>
      <c r="L39" s="2153"/>
      <c r="M39" s="2154"/>
      <c r="N39" s="2069">
        <f t="shared" si="2"/>
        <v>0</v>
      </c>
      <c r="O39" s="2070">
        <f t="shared" si="2"/>
        <v>0</v>
      </c>
      <c r="P39" s="2153"/>
      <c r="Q39" s="2154"/>
      <c r="R39" s="764"/>
      <c r="S39" s="820"/>
      <c r="T39" s="794"/>
      <c r="AM39" s="1384"/>
    </row>
    <row r="40" spans="1:39" ht="15" customHeight="1">
      <c r="A40" s="788"/>
      <c r="B40" s="822"/>
      <c r="C40" s="763"/>
      <c r="D40" s="4297" t="s">
        <v>12</v>
      </c>
      <c r="E40" s="4297"/>
      <c r="F40" s="2153"/>
      <c r="G40" s="2154"/>
      <c r="H40" s="2153"/>
      <c r="I40" s="2154"/>
      <c r="J40" s="2153"/>
      <c r="K40" s="2154"/>
      <c r="L40" s="2153"/>
      <c r="M40" s="2154"/>
      <c r="N40" s="2069">
        <f t="shared" si="2"/>
        <v>0</v>
      </c>
      <c r="O40" s="2070">
        <f t="shared" si="2"/>
        <v>0</v>
      </c>
      <c r="P40" s="2153"/>
      <c r="Q40" s="2154"/>
      <c r="R40" s="764"/>
      <c r="S40" s="820"/>
      <c r="T40" s="794"/>
      <c r="AM40" s="1384"/>
    </row>
    <row r="41" spans="1:39" ht="15" customHeight="1">
      <c r="A41" s="788"/>
      <c r="B41" s="822"/>
      <c r="C41" s="763"/>
      <c r="D41" s="4296" t="s">
        <v>11</v>
      </c>
      <c r="E41" s="4296"/>
      <c r="F41" s="2153"/>
      <c r="G41" s="2154"/>
      <c r="H41" s="2153"/>
      <c r="I41" s="2154"/>
      <c r="J41" s="2153"/>
      <c r="K41" s="2154"/>
      <c r="L41" s="2153"/>
      <c r="M41" s="2154"/>
      <c r="N41" s="2069">
        <f t="shared" si="2"/>
        <v>0</v>
      </c>
      <c r="O41" s="2070">
        <f t="shared" si="2"/>
        <v>0</v>
      </c>
      <c r="P41" s="2153"/>
      <c r="Q41" s="2154"/>
      <c r="R41" s="764"/>
      <c r="S41" s="820"/>
      <c r="T41" s="794"/>
      <c r="AM41" s="1384"/>
    </row>
    <row r="42" spans="1:39" ht="15" customHeight="1">
      <c r="A42" s="788"/>
      <c r="B42" s="822"/>
      <c r="C42" s="763"/>
      <c r="D42" s="4297" t="s">
        <v>10</v>
      </c>
      <c r="E42" s="4297"/>
      <c r="F42" s="2153"/>
      <c r="G42" s="2154"/>
      <c r="H42" s="2153"/>
      <c r="I42" s="2154"/>
      <c r="J42" s="2153"/>
      <c r="K42" s="2154"/>
      <c r="L42" s="2153"/>
      <c r="M42" s="2154"/>
      <c r="N42" s="2069">
        <f t="shared" si="2"/>
        <v>0</v>
      </c>
      <c r="O42" s="2070">
        <f t="shared" si="2"/>
        <v>0</v>
      </c>
      <c r="P42" s="2153"/>
      <c r="Q42" s="2154"/>
      <c r="R42" s="764"/>
      <c r="S42" s="820"/>
      <c r="T42" s="794"/>
      <c r="AM42" s="1384"/>
    </row>
    <row r="43" spans="1:39" ht="15" customHeight="1">
      <c r="A43" s="788"/>
      <c r="B43" s="822"/>
      <c r="C43" s="763"/>
      <c r="D43" s="4296" t="s">
        <v>9</v>
      </c>
      <c r="E43" s="4296"/>
      <c r="F43" s="2157"/>
      <c r="G43" s="2158"/>
      <c r="H43" s="2157"/>
      <c r="I43" s="2158"/>
      <c r="J43" s="2157"/>
      <c r="K43" s="2158"/>
      <c r="L43" s="2157"/>
      <c r="M43" s="2158"/>
      <c r="N43" s="2071">
        <f t="shared" si="2"/>
        <v>0</v>
      </c>
      <c r="O43" s="2072">
        <f t="shared" si="2"/>
        <v>0</v>
      </c>
      <c r="P43" s="2157"/>
      <c r="Q43" s="2158"/>
      <c r="R43" s="764"/>
      <c r="S43" s="820"/>
      <c r="T43" s="794"/>
      <c r="AM43" s="1384"/>
    </row>
    <row r="44" spans="1:39" ht="15" customHeight="1">
      <c r="A44" s="788"/>
      <c r="B44" s="822"/>
      <c r="C44" s="763"/>
      <c r="D44" s="4305" t="s">
        <v>28</v>
      </c>
      <c r="E44" s="4306"/>
      <c r="F44" s="2082">
        <f>SUM(F33:F43)</f>
        <v>0</v>
      </c>
      <c r="G44" s="2151">
        <f>SUM(G33:G43)</f>
        <v>0</v>
      </c>
      <c r="H44" s="2082">
        <f>SUM(H34:H43)</f>
        <v>0</v>
      </c>
      <c r="I44" s="2151">
        <f>SUM(I34:I43)</f>
        <v>0</v>
      </c>
      <c r="J44" s="2082">
        <f>SUM(J33:J43)</f>
        <v>0</v>
      </c>
      <c r="K44" s="2151">
        <f>SUM(K33:K43)</f>
        <v>0</v>
      </c>
      <c r="L44" s="2082">
        <f t="shared" ref="L44:Q44" si="3">SUM(L34:L43)</f>
        <v>0</v>
      </c>
      <c r="M44" s="2151">
        <f t="shared" si="3"/>
        <v>0</v>
      </c>
      <c r="N44" s="2082">
        <f t="shared" si="3"/>
        <v>0</v>
      </c>
      <c r="O44" s="2151">
        <f t="shared" si="3"/>
        <v>0</v>
      </c>
      <c r="P44" s="2082">
        <f t="shared" si="3"/>
        <v>0</v>
      </c>
      <c r="Q44" s="2151">
        <f t="shared" si="3"/>
        <v>0</v>
      </c>
      <c r="R44" s="764"/>
      <c r="S44" s="820"/>
      <c r="T44" s="794"/>
      <c r="AM44" s="1384"/>
    </row>
    <row r="45" spans="1:39" ht="15" customHeight="1">
      <c r="A45" s="788"/>
      <c r="B45" s="822"/>
      <c r="C45" s="763"/>
      <c r="D45" s="4307" t="s">
        <v>561</v>
      </c>
      <c r="E45" s="4307"/>
      <c r="F45" s="2161"/>
      <c r="G45" s="2162"/>
      <c r="H45" s="2161"/>
      <c r="I45" s="2162"/>
      <c r="J45" s="2161"/>
      <c r="K45" s="2162"/>
      <c r="L45" s="2161"/>
      <c r="M45" s="2162"/>
      <c r="N45" s="2161">
        <f>L45+J45+H45+F45</f>
        <v>0</v>
      </c>
      <c r="O45" s="2162">
        <f>M45+K45+I45+G45</f>
        <v>0</v>
      </c>
      <c r="P45" s="1923" t="str">
        <f>IF(('الصفحة 1'!$Q$14&gt;0),IF((P44&gt;0),IF((P44&lt;&gt;N45),"خطء الأجانب",""),""),"")</f>
        <v/>
      </c>
      <c r="Q45" s="1923" t="str">
        <f>IF(('الصفحة 1'!$Q$14&gt;0),IF((Q44&gt;0),IF((Q44&lt;&gt;O45),"خطء الأجانب",""),""),"")</f>
        <v/>
      </c>
      <c r="R45" s="764"/>
      <c r="S45" s="820"/>
      <c r="T45" s="794"/>
      <c r="AM45" s="1384"/>
    </row>
    <row r="46" spans="1:39" ht="18" customHeight="1">
      <c r="A46" s="788"/>
      <c r="B46" s="822"/>
      <c r="C46" s="763"/>
      <c r="D46" s="2337"/>
      <c r="E46" s="2264"/>
      <c r="F46" s="3370" t="str">
        <f>IF(('الصفحة 1'!$Q$14&gt;0),IF((F44&gt;0),IF((F44&gt;'الصفحة 6'!O46),"خطء الوافدون",""),""),"")</f>
        <v/>
      </c>
      <c r="G46" s="3371"/>
      <c r="H46" s="3370" t="str">
        <f>IF(('الصفحة 1'!$Q$14&gt;0),IF((H44&gt;0),IF((H44&gt;'الصفحة 7'!O46),"خطء الوافدون",""),""),"")</f>
        <v/>
      </c>
      <c r="I46" s="3371"/>
      <c r="J46" s="3370" t="str">
        <f>IF(('الصفحة 1'!$Q$14&gt;0),IF((J44&gt;0),IF((J44&gt;'الصفحة 8'!O46),"خطء الوافدون",""),""),"")</f>
        <v/>
      </c>
      <c r="K46" s="3371"/>
      <c r="L46" s="3370" t="str">
        <f>IF(('الصفحة 1'!$Q$14&gt;0),IF((L44&gt;0),IF((L44&gt;'الصفحة 9'!O46),"خطء الوافدون",""),""),"")</f>
        <v/>
      </c>
      <c r="M46" s="3371"/>
      <c r="N46" s="1924"/>
      <c r="O46" s="1924"/>
      <c r="P46" s="1925"/>
      <c r="Q46" s="1925"/>
      <c r="R46" s="764"/>
      <c r="S46" s="820"/>
      <c r="T46" s="794"/>
      <c r="AM46" s="1384"/>
    </row>
    <row r="47" spans="1:39" ht="12.9" customHeight="1">
      <c r="A47" s="788"/>
      <c r="B47" s="822"/>
      <c r="C47" s="763"/>
      <c r="D47" s="1014"/>
      <c r="E47" s="1014"/>
      <c r="F47" s="3370" t="str">
        <f>IF(('الصفحة 1'!$Q$14&gt;0),IF((G44&gt;0),IF((G44&gt;'الصفحة 6'!O47),"خطء الوافدات",""),""),"")</f>
        <v/>
      </c>
      <c r="G47" s="3372"/>
      <c r="H47" s="3370" t="str">
        <f>IF(('الصفحة 1'!$Q$14&gt;0),IF((I44&gt;0),IF((I44&gt;'الصفحة 7'!O47),"خطء الوافدات",""),""),"")</f>
        <v/>
      </c>
      <c r="I47" s="3372"/>
      <c r="J47" s="3370" t="str">
        <f>IF(('الصفحة 1'!$Q$14&gt;0),IF((K44&gt;0),IF((K44&gt;'الصفحة 8'!O47),"خطء الوافدات",""),""),"")</f>
        <v/>
      </c>
      <c r="K47" s="3372"/>
      <c r="L47" s="3370" t="str">
        <f>IF(('الصفحة 1'!$Q$14&gt;0),IF((M44&gt;0),IF((M44&gt;'الصفحة 9'!O47),"خطء الوافدات",""),""),"")</f>
        <v/>
      </c>
      <c r="M47" s="3372"/>
      <c r="N47" s="1015"/>
      <c r="O47" s="1015"/>
      <c r="P47" s="1015"/>
      <c r="Q47" s="1015"/>
      <c r="R47" s="764"/>
      <c r="S47" s="820"/>
      <c r="T47" s="794"/>
      <c r="AM47" s="1384"/>
    </row>
    <row r="48" spans="1:39" ht="15" customHeight="1">
      <c r="A48" s="788"/>
      <c r="B48" s="822"/>
      <c r="C48" s="763"/>
      <c r="D48" s="1014"/>
      <c r="E48" s="1014"/>
      <c r="F48" s="1015"/>
      <c r="G48" s="1015"/>
      <c r="H48" s="1015"/>
      <c r="I48" s="1015"/>
      <c r="J48" s="1015"/>
      <c r="K48" s="1015"/>
      <c r="L48" s="1015"/>
      <c r="M48" s="1015"/>
      <c r="N48" s="1015"/>
      <c r="O48" s="1015"/>
      <c r="P48" s="1015"/>
      <c r="Q48" s="1015"/>
      <c r="R48" s="764"/>
      <c r="S48" s="820"/>
      <c r="T48" s="794"/>
      <c r="AM48" s="1384"/>
    </row>
    <row r="49" spans="1:39" ht="12.9" customHeight="1">
      <c r="A49" s="788"/>
      <c r="B49" s="822"/>
      <c r="C49" s="763"/>
      <c r="D49" s="1014"/>
      <c r="E49" s="1014"/>
      <c r="F49" s="1015"/>
      <c r="G49" s="1015"/>
      <c r="H49" s="1015"/>
      <c r="I49" s="1015"/>
      <c r="J49" s="1015"/>
      <c r="K49" s="1015"/>
      <c r="L49" s="1015"/>
      <c r="M49" s="1015"/>
      <c r="N49" s="1015"/>
      <c r="O49" s="1015"/>
      <c r="P49" s="1015"/>
      <c r="Q49" s="1015"/>
      <c r="R49" s="764"/>
      <c r="S49" s="820"/>
      <c r="T49" s="794"/>
      <c r="AM49" s="1384"/>
    </row>
    <row r="50" spans="1:39" ht="12.9" customHeight="1">
      <c r="A50" s="788"/>
      <c r="B50" s="822"/>
      <c r="C50" s="763"/>
      <c r="D50" s="1014"/>
      <c r="E50" s="1014"/>
      <c r="F50" s="2332"/>
      <c r="G50" s="1015"/>
      <c r="H50" s="1015"/>
      <c r="I50" s="1015"/>
      <c r="J50" s="1015"/>
      <c r="K50" s="1015"/>
      <c r="L50" s="1015"/>
      <c r="M50" s="1015"/>
      <c r="N50" s="1015"/>
      <c r="O50" s="1015"/>
      <c r="P50" s="1015"/>
      <c r="Q50" s="1015"/>
      <c r="R50" s="764"/>
      <c r="S50" s="820"/>
      <c r="T50" s="794"/>
      <c r="AM50" s="1384"/>
    </row>
    <row r="51" spans="1:39" ht="15" customHeight="1">
      <c r="A51" s="788"/>
      <c r="B51" s="822"/>
      <c r="C51" s="763"/>
      <c r="D51" s="1014"/>
      <c r="E51" s="1014"/>
      <c r="F51" s="1015"/>
      <c r="G51" s="1015"/>
      <c r="H51" s="1015"/>
      <c r="I51" s="1015"/>
      <c r="J51" s="1015"/>
      <c r="K51" s="1015"/>
      <c r="L51" s="1015"/>
      <c r="M51" s="1015"/>
      <c r="N51" s="1015"/>
      <c r="O51" s="1015"/>
      <c r="P51" s="1015"/>
      <c r="Q51" s="1015"/>
      <c r="R51" s="764"/>
      <c r="S51" s="820"/>
      <c r="T51" s="794"/>
      <c r="AM51" s="1384"/>
    </row>
    <row r="52" spans="1:39" ht="15" customHeight="1">
      <c r="A52" s="788"/>
      <c r="B52" s="822"/>
      <c r="C52" s="763"/>
      <c r="D52" s="1014"/>
      <c r="E52" s="1014"/>
      <c r="F52" s="1015"/>
      <c r="G52" s="1015"/>
      <c r="H52" s="1015"/>
      <c r="I52" s="1015"/>
      <c r="J52" s="1015"/>
      <c r="K52" s="1015"/>
      <c r="L52" s="1015"/>
      <c r="M52" s="1015"/>
      <c r="N52" s="1015"/>
      <c r="O52" s="1015"/>
      <c r="P52" s="1015"/>
      <c r="Q52" s="1015"/>
      <c r="R52" s="764"/>
      <c r="S52" s="820"/>
      <c r="T52" s="794"/>
      <c r="AM52" s="1384"/>
    </row>
    <row r="53" spans="1:39" ht="15" customHeight="1">
      <c r="A53" s="788"/>
      <c r="B53" s="822"/>
      <c r="C53" s="763"/>
      <c r="D53" s="1014"/>
      <c r="E53" s="1014"/>
      <c r="F53" s="1015"/>
      <c r="G53" s="1015"/>
      <c r="H53" s="1015"/>
      <c r="I53" s="1015"/>
      <c r="J53" s="1015"/>
      <c r="K53" s="1015"/>
      <c r="L53" s="1015"/>
      <c r="M53" s="1015"/>
      <c r="N53" s="1015"/>
      <c r="O53" s="1015"/>
      <c r="P53" s="1015"/>
      <c r="Q53" s="1015"/>
      <c r="R53" s="764"/>
      <c r="S53" s="820"/>
      <c r="T53" s="794"/>
      <c r="AM53" s="1384"/>
    </row>
    <row r="54" spans="1:39" ht="8.1" customHeight="1">
      <c r="A54" s="788"/>
      <c r="B54" s="822"/>
      <c r="C54" s="763"/>
      <c r="D54" s="1014"/>
      <c r="E54" s="1014"/>
      <c r="F54" s="1015"/>
      <c r="G54" s="1015"/>
      <c r="H54" s="1015"/>
      <c r="I54" s="1015"/>
      <c r="J54" s="1015"/>
      <c r="K54" s="1015"/>
      <c r="L54" s="1015"/>
      <c r="M54" s="1015"/>
      <c r="N54" s="1015"/>
      <c r="O54" s="1015"/>
      <c r="P54" s="1015"/>
      <c r="Q54" s="1015"/>
      <c r="R54" s="764"/>
      <c r="S54" s="820"/>
      <c r="T54" s="794"/>
      <c r="AM54" s="1384"/>
    </row>
    <row r="55" spans="1:39" ht="8.1" customHeight="1">
      <c r="A55" s="788"/>
      <c r="B55" s="822"/>
      <c r="C55" s="763"/>
      <c r="D55" s="1014"/>
      <c r="E55" s="1014"/>
      <c r="F55" s="1015"/>
      <c r="G55" s="1015"/>
      <c r="H55" s="1015"/>
      <c r="I55" s="1015"/>
      <c r="J55" s="1015"/>
      <c r="K55" s="1015"/>
      <c r="L55" s="1015"/>
      <c r="M55" s="1015"/>
      <c r="N55" s="1015"/>
      <c r="O55" s="1015"/>
      <c r="P55" s="1015"/>
      <c r="Q55" s="1015"/>
      <c r="R55" s="764"/>
      <c r="S55" s="820"/>
      <c r="T55" s="794"/>
      <c r="AM55" s="1384"/>
    </row>
    <row r="56" spans="1:39" ht="8.1" customHeight="1">
      <c r="A56" s="788"/>
      <c r="B56" s="822"/>
      <c r="C56" s="763"/>
      <c r="D56" s="1014"/>
      <c r="E56" s="1014"/>
      <c r="F56" s="1015"/>
      <c r="G56" s="1015"/>
      <c r="H56" s="1015"/>
      <c r="I56" s="1015"/>
      <c r="J56" s="1015"/>
      <c r="K56" s="1015"/>
      <c r="L56" s="1015"/>
      <c r="M56" s="1015"/>
      <c r="N56" s="1015"/>
      <c r="O56" s="1015"/>
      <c r="P56" s="1015"/>
      <c r="Q56" s="1015"/>
      <c r="R56" s="764"/>
      <c r="S56" s="820"/>
      <c r="T56" s="794"/>
      <c r="AM56" s="1384"/>
    </row>
    <row r="57" spans="1:39" ht="8.1" customHeight="1">
      <c r="A57" s="788"/>
      <c r="B57" s="822"/>
      <c r="C57" s="763"/>
      <c r="D57" s="1014"/>
      <c r="E57" s="1014"/>
      <c r="F57" s="1015"/>
      <c r="G57" s="1015"/>
      <c r="H57" s="1015"/>
      <c r="I57" s="1015"/>
      <c r="J57" s="1015"/>
      <c r="K57" s="1015"/>
      <c r="L57" s="1015"/>
      <c r="M57" s="1015"/>
      <c r="N57" s="1015"/>
      <c r="O57" s="1015"/>
      <c r="P57" s="1015"/>
      <c r="Q57" s="1015"/>
      <c r="R57" s="764"/>
      <c r="S57" s="820"/>
      <c r="T57" s="794"/>
      <c r="AM57" s="1384"/>
    </row>
    <row r="58" spans="1:39" ht="13.5" customHeight="1">
      <c r="A58" s="788"/>
      <c r="B58" s="822"/>
      <c r="C58" s="763"/>
      <c r="D58" s="1014"/>
      <c r="E58" s="1014"/>
      <c r="F58" s="1015"/>
      <c r="G58" s="1015"/>
      <c r="H58" s="1015"/>
      <c r="I58" s="1015"/>
      <c r="J58" s="1015"/>
      <c r="K58" s="1015"/>
      <c r="L58" s="1015"/>
      <c r="M58" s="1015"/>
      <c r="N58" s="1015"/>
      <c r="O58" s="1015"/>
      <c r="P58" s="1015"/>
      <c r="Q58" s="1015"/>
      <c r="R58" s="764"/>
      <c r="S58" s="820"/>
      <c r="T58" s="794"/>
      <c r="AM58" s="1384"/>
    </row>
    <row r="59" spans="1:39" ht="8.1" customHeight="1">
      <c r="A59" s="788"/>
      <c r="B59" s="822"/>
      <c r="C59" s="763"/>
      <c r="D59" s="1014"/>
      <c r="E59" s="1014"/>
      <c r="F59" s="1015"/>
      <c r="G59" s="1015"/>
      <c r="H59" s="1015"/>
      <c r="I59" s="1015"/>
      <c r="J59" s="1015"/>
      <c r="K59" s="1015"/>
      <c r="L59" s="1015"/>
      <c r="M59" s="1015"/>
      <c r="N59" s="1015"/>
      <c r="O59" s="1015"/>
      <c r="P59" s="1015"/>
      <c r="Q59" s="1015"/>
      <c r="R59" s="764"/>
      <c r="S59" s="820"/>
      <c r="T59" s="794"/>
      <c r="AM59" s="1384"/>
    </row>
    <row r="60" spans="1:39" ht="8.1" customHeight="1">
      <c r="A60" s="788"/>
      <c r="B60" s="822"/>
      <c r="C60" s="763"/>
      <c r="D60" s="1014"/>
      <c r="E60" s="1014"/>
      <c r="F60" s="1015"/>
      <c r="G60" s="1015"/>
      <c r="H60" s="1015"/>
      <c r="I60" s="1015"/>
      <c r="J60" s="1015"/>
      <c r="K60" s="1015"/>
      <c r="L60" s="1015"/>
      <c r="M60" s="1015"/>
      <c r="N60" s="1015"/>
      <c r="O60" s="1015"/>
      <c r="P60" s="1015"/>
      <c r="Q60" s="1015"/>
      <c r="R60" s="764"/>
      <c r="S60" s="820"/>
      <c r="T60" s="794"/>
      <c r="AM60" s="1384"/>
    </row>
    <row r="61" spans="1:39" ht="8.1" customHeight="1">
      <c r="A61" s="788"/>
      <c r="B61" s="822"/>
      <c r="C61" s="763"/>
      <c r="D61" s="1014"/>
      <c r="E61" s="1014"/>
      <c r="F61" s="1015"/>
      <c r="G61" s="1015"/>
      <c r="H61" s="1015"/>
      <c r="I61" s="1015"/>
      <c r="J61" s="1015"/>
      <c r="K61" s="1015"/>
      <c r="L61" s="1015"/>
      <c r="M61" s="1015"/>
      <c r="N61" s="1015"/>
      <c r="O61" s="1015"/>
      <c r="P61" s="1015"/>
      <c r="Q61" s="1015"/>
      <c r="R61" s="764"/>
      <c r="S61" s="820"/>
      <c r="T61" s="794"/>
      <c r="AM61" s="1384"/>
    </row>
    <row r="62" spans="1:39" ht="12.9" customHeight="1">
      <c r="A62" s="788"/>
      <c r="B62" s="822"/>
      <c r="C62" s="763"/>
      <c r="D62" s="1014"/>
      <c r="E62" s="1014"/>
      <c r="F62" s="1015"/>
      <c r="G62" s="1015"/>
      <c r="H62" s="1015"/>
      <c r="I62" s="1015"/>
      <c r="J62" s="1015"/>
      <c r="K62" s="1015"/>
      <c r="L62" s="1015"/>
      <c r="M62" s="1015"/>
      <c r="N62" s="1015"/>
      <c r="O62" s="1015"/>
      <c r="P62" s="1015"/>
      <c r="Q62" s="1015"/>
      <c r="R62" s="764"/>
      <c r="S62" s="820"/>
      <c r="T62" s="794"/>
      <c r="AM62" s="1384"/>
    </row>
    <row r="63" spans="1:39" ht="12.9" customHeight="1">
      <c r="A63" s="788"/>
      <c r="B63" s="822"/>
      <c r="C63" s="763"/>
      <c r="D63" s="1014"/>
      <c r="E63" s="1014"/>
      <c r="F63" s="1015"/>
      <c r="G63" s="1015"/>
      <c r="H63" s="1015"/>
      <c r="I63" s="1015"/>
      <c r="J63" s="1015"/>
      <c r="K63" s="1015"/>
      <c r="L63" s="1015"/>
      <c r="M63" s="1015"/>
      <c r="N63" s="1015"/>
      <c r="O63" s="1015"/>
      <c r="P63" s="1015"/>
      <c r="Q63" s="1015"/>
      <c r="R63" s="764"/>
      <c r="S63" s="820"/>
      <c r="T63" s="794"/>
      <c r="AM63" s="1384"/>
    </row>
    <row r="64" spans="1:39" ht="12.9" customHeight="1" thickBot="1">
      <c r="A64" s="788"/>
      <c r="B64" s="822"/>
      <c r="C64" s="812"/>
      <c r="D64" s="813"/>
      <c r="E64" s="813"/>
      <c r="F64" s="813"/>
      <c r="G64" s="813"/>
      <c r="H64" s="813"/>
      <c r="I64" s="813"/>
      <c r="J64" s="813"/>
      <c r="K64" s="813"/>
      <c r="L64" s="813"/>
      <c r="M64" s="813"/>
      <c r="N64" s="813"/>
      <c r="O64" s="813"/>
      <c r="P64" s="813"/>
      <c r="Q64" s="813"/>
      <c r="R64" s="814"/>
      <c r="S64" s="820"/>
      <c r="T64" s="794"/>
      <c r="AM64" s="1384"/>
    </row>
    <row r="65" spans="1:39" ht="12.9" customHeight="1" thickBot="1">
      <c r="A65" s="788"/>
      <c r="B65" s="823"/>
      <c r="C65" s="4270">
        <v>11</v>
      </c>
      <c r="D65" s="4270"/>
      <c r="E65" s="4270"/>
      <c r="F65" s="4270"/>
      <c r="G65" s="4270"/>
      <c r="H65" s="4270"/>
      <c r="I65" s="4270"/>
      <c r="J65" s="4270"/>
      <c r="K65" s="4270"/>
      <c r="L65" s="4270"/>
      <c r="M65" s="4270"/>
      <c r="N65" s="4270"/>
      <c r="O65" s="4270"/>
      <c r="P65" s="4270"/>
      <c r="Q65" s="4270"/>
      <c r="R65" s="4270"/>
      <c r="S65" s="824"/>
      <c r="T65" s="789"/>
      <c r="AM65" s="1384"/>
    </row>
    <row r="66" spans="1:39" ht="12.9" customHeight="1">
      <c r="A66" s="795"/>
      <c r="B66" s="1027" t="str">
        <f>'صفحة الدفتـر'!$B$68</f>
        <v>السنة الدراسية  2022 - 2023</v>
      </c>
      <c r="C66" s="795"/>
      <c r="D66" s="795"/>
      <c r="E66" s="795"/>
      <c r="F66" s="795"/>
      <c r="G66" s="795"/>
      <c r="H66" s="795"/>
      <c r="I66" s="795"/>
      <c r="J66" s="795"/>
      <c r="K66" s="795"/>
      <c r="L66" s="795"/>
      <c r="M66" s="795"/>
      <c r="N66" s="795"/>
      <c r="O66" s="795"/>
      <c r="P66" s="795"/>
      <c r="Q66" s="795"/>
      <c r="R66" s="795"/>
      <c r="S66" s="795"/>
      <c r="T66" s="795"/>
      <c r="AM66" s="1384"/>
    </row>
    <row r="67" spans="1:39" ht="14.4" hidden="1"/>
    <row r="68" spans="1:39" ht="14.4" hidden="1"/>
    <row r="69" spans="1:39" ht="14.4" hidden="1"/>
    <row r="70" spans="1:39" ht="14.4" hidden="1"/>
    <row r="71" spans="1:39" ht="14.4" hidden="1"/>
    <row r="72" spans="1:39" ht="14.4" hidden="1"/>
    <row r="73" spans="1:39" ht="14.4" hidden="1"/>
  </sheetData>
  <sheetProtection password="D8D3" sheet="1" objects="1" scenarios="1"/>
  <mergeCells count="41">
    <mergeCell ref="D39:E39"/>
    <mergeCell ref="C65:R65"/>
    <mergeCell ref="D40:E40"/>
    <mergeCell ref="D41:E41"/>
    <mergeCell ref="D42:E42"/>
    <mergeCell ref="D43:E43"/>
    <mergeCell ref="D44:E44"/>
    <mergeCell ref="D45:E45"/>
    <mergeCell ref="D34:E34"/>
    <mergeCell ref="D35:E35"/>
    <mergeCell ref="D36:E36"/>
    <mergeCell ref="D37:E37"/>
    <mergeCell ref="D38:E38"/>
    <mergeCell ref="D21:E21"/>
    <mergeCell ref="P32:Q32"/>
    <mergeCell ref="D33:E33"/>
    <mergeCell ref="D32:E32"/>
    <mergeCell ref="F32:G32"/>
    <mergeCell ref="H32:I32"/>
    <mergeCell ref="J32:K32"/>
    <mergeCell ref="L32:M32"/>
    <mergeCell ref="N32:O32"/>
    <mergeCell ref="D25:E25"/>
    <mergeCell ref="D26:E26"/>
    <mergeCell ref="D24:E24"/>
    <mergeCell ref="D23:E23"/>
    <mergeCell ref="D22:E22"/>
    <mergeCell ref="D20:E20"/>
    <mergeCell ref="D19:E19"/>
    <mergeCell ref="D18:E18"/>
    <mergeCell ref="D17:E17"/>
    <mergeCell ref="D14:E14"/>
    <mergeCell ref="D15:E15"/>
    <mergeCell ref="D16:E16"/>
    <mergeCell ref="P13:Q13"/>
    <mergeCell ref="D13:E13"/>
    <mergeCell ref="F13:G13"/>
    <mergeCell ref="H13:I13"/>
    <mergeCell ref="J13:K13"/>
    <mergeCell ref="L13:M13"/>
    <mergeCell ref="N13:O13"/>
  </mergeCells>
  <conditionalFormatting sqref="N47:P63 N15:N26 P15:P25 N34:P44 N45 H48:H63 J48:J63 F51:F63 F48:F49 F34:F45 H34:H45 J34:J45 L34:L45 L48:L63 F15:F26 H15:H26 J15:J26 L15:L26">
    <cfRule type="cellIs" dxfId="21232" priority="193" stopIfTrue="1" operator="equal">
      <formula>0</formula>
    </cfRule>
  </conditionalFormatting>
  <conditionalFormatting sqref="G15:G24 G51:G52 G59 I51:I52 I59 K51:K52 K59 M51:M52 M59 Q51:Q52 Q59">
    <cfRule type="cellIs" dxfId="21231" priority="191" stopIfTrue="1" operator="greaterThan">
      <formula>F15</formula>
    </cfRule>
    <cfRule type="cellIs" dxfId="21230" priority="192" stopIfTrue="1" operator="equal">
      <formula>0</formula>
    </cfRule>
  </conditionalFormatting>
  <conditionalFormatting sqref="G26 I26 K26 M26 O26">
    <cfRule type="cellIs" dxfId="21229" priority="61" operator="greaterThan">
      <formula>G25</formula>
    </cfRule>
    <cfRule type="cellIs" dxfId="21228" priority="189" stopIfTrue="1" operator="greaterThan">
      <formula>F26</formula>
    </cfRule>
    <cfRule type="cellIs" dxfId="21227" priority="190" stopIfTrue="1" operator="equal">
      <formula>0</formula>
    </cfRule>
  </conditionalFormatting>
  <conditionalFormatting sqref="I15:I24">
    <cfRule type="cellIs" dxfId="21226" priority="187" stopIfTrue="1" operator="greaterThan">
      <formula>H15</formula>
    </cfRule>
    <cfRule type="cellIs" dxfId="21225" priority="188" stopIfTrue="1" operator="equal">
      <formula>0</formula>
    </cfRule>
  </conditionalFormatting>
  <conditionalFormatting sqref="I26">
    <cfRule type="cellIs" dxfId="21224" priority="185" stopIfTrue="1" operator="greaterThan">
      <formula>H26</formula>
    </cfRule>
    <cfRule type="cellIs" dxfId="21223" priority="186" stopIfTrue="1" operator="equal">
      <formula>0</formula>
    </cfRule>
  </conditionalFormatting>
  <conditionalFormatting sqref="K15:K24">
    <cfRule type="cellIs" dxfId="21222" priority="183" stopIfTrue="1" operator="greaterThan">
      <formula>J15</formula>
    </cfRule>
    <cfRule type="cellIs" dxfId="21221" priority="184" stopIfTrue="1" operator="equal">
      <formula>0</formula>
    </cfRule>
  </conditionalFormatting>
  <conditionalFormatting sqref="K26">
    <cfRule type="cellIs" dxfId="21220" priority="181" stopIfTrue="1" operator="greaterThan">
      <formula>J26</formula>
    </cfRule>
    <cfRule type="cellIs" dxfId="21219" priority="182" stopIfTrue="1" operator="equal">
      <formula>0</formula>
    </cfRule>
  </conditionalFormatting>
  <conditionalFormatting sqref="M15:M24">
    <cfRule type="cellIs" dxfId="21218" priority="179" stopIfTrue="1" operator="greaterThan">
      <formula>L15</formula>
    </cfRule>
    <cfRule type="cellIs" dxfId="21217" priority="180" stopIfTrue="1" operator="equal">
      <formula>0</formula>
    </cfRule>
  </conditionalFormatting>
  <conditionalFormatting sqref="M26">
    <cfRule type="cellIs" dxfId="21216" priority="177" stopIfTrue="1" operator="greaterThan">
      <formula>L26</formula>
    </cfRule>
    <cfRule type="cellIs" dxfId="21215" priority="178" stopIfTrue="1" operator="equal">
      <formula>0</formula>
    </cfRule>
  </conditionalFormatting>
  <conditionalFormatting sqref="Q15:Q24">
    <cfRule type="cellIs" dxfId="21214" priority="175" stopIfTrue="1" operator="greaterThan">
      <formula>P15</formula>
    </cfRule>
    <cfRule type="cellIs" dxfId="21213" priority="176" stopIfTrue="1" operator="equal">
      <formula>0</formula>
    </cfRule>
  </conditionalFormatting>
  <conditionalFormatting sqref="O26">
    <cfRule type="cellIs" dxfId="21212" priority="174" stopIfTrue="1" operator="greaterThan">
      <formula>N26</formula>
    </cfRule>
  </conditionalFormatting>
  <conditionalFormatting sqref="G34:G43">
    <cfRule type="cellIs" dxfId="21211" priority="172" stopIfTrue="1" operator="greaterThan">
      <formula>F34</formula>
    </cfRule>
    <cfRule type="cellIs" dxfId="21210" priority="173" stopIfTrue="1" operator="equal">
      <formula>0</formula>
    </cfRule>
  </conditionalFormatting>
  <conditionalFormatting sqref="G44 O47:O63 Q47:Q63">
    <cfRule type="cellIs" dxfId="21209" priority="167" stopIfTrue="1" operator="greaterThan">
      <formula>F44</formula>
    </cfRule>
    <cfRule type="cellIs" dxfId="21208" priority="168" stopIfTrue="1" operator="equal">
      <formula>0</formula>
    </cfRule>
  </conditionalFormatting>
  <conditionalFormatting sqref="I34:I43">
    <cfRule type="cellIs" dxfId="21207" priority="165" stopIfTrue="1" operator="greaterThan">
      <formula>H34</formula>
    </cfRule>
    <cfRule type="cellIs" dxfId="21206" priority="166" stopIfTrue="1" operator="equal">
      <formula>0</formula>
    </cfRule>
  </conditionalFormatting>
  <conditionalFormatting sqref="I44">
    <cfRule type="cellIs" dxfId="21205" priority="19" operator="greaterThan">
      <formula>I31</formula>
    </cfRule>
    <cfRule type="cellIs" dxfId="21204" priority="161" stopIfTrue="1" operator="greaterThan">
      <formula>H44</formula>
    </cfRule>
    <cfRule type="cellIs" dxfId="21203" priority="162" stopIfTrue="1" operator="equal">
      <formula>0</formula>
    </cfRule>
  </conditionalFormatting>
  <conditionalFormatting sqref="K34:K43">
    <cfRule type="cellIs" dxfId="21202" priority="159" stopIfTrue="1" operator="greaterThan">
      <formula>J34</formula>
    </cfRule>
    <cfRule type="cellIs" dxfId="21201" priority="160" stopIfTrue="1" operator="equal">
      <formula>0</formula>
    </cfRule>
  </conditionalFormatting>
  <conditionalFormatting sqref="K44">
    <cfRule type="cellIs" dxfId="21200" priority="18" operator="greaterThan">
      <formula>K31</formula>
    </cfRule>
    <cfRule type="cellIs" dxfId="21199" priority="155" stopIfTrue="1" operator="greaterThan">
      <formula>J44</formula>
    </cfRule>
    <cfRule type="cellIs" dxfId="21198" priority="156" stopIfTrue="1" operator="equal">
      <formula>0</formula>
    </cfRule>
  </conditionalFormatting>
  <conditionalFormatting sqref="M34:M43">
    <cfRule type="cellIs" dxfId="21197" priority="153" stopIfTrue="1" operator="greaterThan">
      <formula>L34</formula>
    </cfRule>
    <cfRule type="cellIs" dxfId="21196" priority="154" stopIfTrue="1" operator="equal">
      <formula>0</formula>
    </cfRule>
  </conditionalFormatting>
  <conditionalFormatting sqref="M44">
    <cfRule type="cellIs" dxfId="21195" priority="17" operator="greaterThan">
      <formula>M31</formula>
    </cfRule>
    <cfRule type="cellIs" dxfId="21194" priority="149" stopIfTrue="1" operator="greaterThan">
      <formula>L44</formula>
    </cfRule>
    <cfRule type="cellIs" dxfId="21193" priority="150" stopIfTrue="1" operator="equal">
      <formula>0</formula>
    </cfRule>
  </conditionalFormatting>
  <conditionalFormatting sqref="Q34:Q43">
    <cfRule type="cellIs" dxfId="21192" priority="147" stopIfTrue="1" operator="greaterThan">
      <formula>P34</formula>
    </cfRule>
    <cfRule type="cellIs" dxfId="21191" priority="148" stopIfTrue="1" operator="equal">
      <formula>0</formula>
    </cfRule>
  </conditionalFormatting>
  <conditionalFormatting sqref="Q44">
    <cfRule type="cellIs" dxfId="21190" priority="145" stopIfTrue="1" operator="greaterThan">
      <formula>P44</formula>
    </cfRule>
    <cfRule type="cellIs" dxfId="21189" priority="146" stopIfTrue="1" operator="equal">
      <formula>0</formula>
    </cfRule>
  </conditionalFormatting>
  <conditionalFormatting sqref="O44 O47:O63 Q47:Q63">
    <cfRule type="cellIs" dxfId="21188" priority="141" stopIfTrue="1" operator="greaterThan">
      <formula>N44</formula>
    </cfRule>
    <cfRule type="cellIs" dxfId="21187" priority="142" stopIfTrue="1" operator="equal">
      <formula>0</formula>
    </cfRule>
  </conditionalFormatting>
  <conditionalFormatting sqref="G53">
    <cfRule type="cellIs" dxfId="21186" priority="139" stopIfTrue="1" operator="greaterThan">
      <formula>F53</formula>
    </cfRule>
    <cfRule type="cellIs" dxfId="21185" priority="140" stopIfTrue="1" operator="equal">
      <formula>0</formula>
    </cfRule>
  </conditionalFormatting>
  <conditionalFormatting sqref="I53">
    <cfRule type="cellIs" dxfId="21184" priority="137" stopIfTrue="1" operator="greaterThan">
      <formula>H53</formula>
    </cfRule>
    <cfRule type="cellIs" dxfId="21183" priority="138" stopIfTrue="1" operator="equal">
      <formula>0</formula>
    </cfRule>
  </conditionalFormatting>
  <conditionalFormatting sqref="K53">
    <cfRule type="cellIs" dxfId="21182" priority="135" stopIfTrue="1" operator="greaterThan">
      <formula>J53</formula>
    </cfRule>
    <cfRule type="cellIs" dxfId="21181" priority="136" stopIfTrue="1" operator="equal">
      <formula>0</formula>
    </cfRule>
  </conditionalFormatting>
  <conditionalFormatting sqref="M53">
    <cfRule type="cellIs" dxfId="21180" priority="133" stopIfTrue="1" operator="greaterThan">
      <formula>L53</formula>
    </cfRule>
    <cfRule type="cellIs" dxfId="21179" priority="134" stopIfTrue="1" operator="equal">
      <formula>0</formula>
    </cfRule>
  </conditionalFormatting>
  <conditionalFormatting sqref="Q53">
    <cfRule type="cellIs" dxfId="21178" priority="131" stopIfTrue="1" operator="greaterThan">
      <formula>P53</formula>
    </cfRule>
    <cfRule type="cellIs" dxfId="21177" priority="132" stopIfTrue="1" operator="equal">
      <formula>0</formula>
    </cfRule>
  </conditionalFormatting>
  <conditionalFormatting sqref="O53">
    <cfRule type="cellIs" dxfId="21176" priority="129" stopIfTrue="1" operator="greaterThan">
      <formula>N53</formula>
    </cfRule>
    <cfRule type="cellIs" dxfId="21175" priority="130" stopIfTrue="1" operator="equal">
      <formula>0</formula>
    </cfRule>
  </conditionalFormatting>
  <conditionalFormatting sqref="G25 I25 K25 M25 O15:O26 Q25">
    <cfRule type="cellIs" dxfId="21174" priority="127" stopIfTrue="1" operator="greaterThan">
      <formula>F15</formula>
    </cfRule>
    <cfRule type="cellIs" dxfId="21173" priority="128" stopIfTrue="1" operator="equal">
      <formula>0</formula>
    </cfRule>
  </conditionalFormatting>
  <conditionalFormatting sqref="G34:G43">
    <cfRule type="cellIs" dxfId="21172" priority="125" stopIfTrue="1" operator="greaterThan">
      <formula>F34</formula>
    </cfRule>
    <cfRule type="cellIs" dxfId="21171" priority="126" stopIfTrue="1" operator="equal">
      <formula>0</formula>
    </cfRule>
  </conditionalFormatting>
  <conditionalFormatting sqref="I34:I43">
    <cfRule type="cellIs" dxfId="21170" priority="121" stopIfTrue="1" operator="greaterThan">
      <formula>H34</formula>
    </cfRule>
    <cfRule type="cellIs" dxfId="21169" priority="122" stopIfTrue="1" operator="equal">
      <formula>0</formula>
    </cfRule>
  </conditionalFormatting>
  <conditionalFormatting sqref="K34:K43">
    <cfRule type="cellIs" dxfId="21168" priority="117" stopIfTrue="1" operator="greaterThan">
      <formula>J34</formula>
    </cfRule>
    <cfRule type="cellIs" dxfId="21167" priority="118" stopIfTrue="1" operator="equal">
      <formula>0</formula>
    </cfRule>
  </conditionalFormatting>
  <conditionalFormatting sqref="M34:M43">
    <cfRule type="cellIs" dxfId="21166" priority="113" stopIfTrue="1" operator="greaterThan">
      <formula>L34</formula>
    </cfRule>
    <cfRule type="cellIs" dxfId="21165" priority="114" stopIfTrue="1" operator="equal">
      <formula>0</formula>
    </cfRule>
  </conditionalFormatting>
  <conditionalFormatting sqref="Q34:Q43">
    <cfRule type="cellIs" dxfId="21164" priority="109" stopIfTrue="1" operator="greaterThan">
      <formula>P34</formula>
    </cfRule>
    <cfRule type="cellIs" dxfId="21163" priority="110" stopIfTrue="1" operator="equal">
      <formula>0</formula>
    </cfRule>
  </conditionalFormatting>
  <conditionalFormatting sqref="G44 I44 K44 M44 Q44 O34:O44">
    <cfRule type="cellIs" dxfId="21162" priority="106" stopIfTrue="1" operator="greaterThan">
      <formula>F34</formula>
    </cfRule>
    <cfRule type="cellIs" dxfId="21161" priority="107" stopIfTrue="1" operator="equal">
      <formula>0</formula>
    </cfRule>
  </conditionalFormatting>
  <conditionalFormatting sqref="N51:N52 N59">
    <cfRule type="cellIs" dxfId="21160" priority="105" stopIfTrue="1" operator="equal">
      <formula>0</formula>
    </cfRule>
  </conditionalFormatting>
  <conditionalFormatting sqref="G53">
    <cfRule type="cellIs" dxfId="21159" priority="103" stopIfTrue="1" operator="greaterThan">
      <formula>F53</formula>
    </cfRule>
    <cfRule type="cellIs" dxfId="21158" priority="104" stopIfTrue="1" operator="equal">
      <formula>0</formula>
    </cfRule>
  </conditionalFormatting>
  <conditionalFormatting sqref="I53">
    <cfRule type="cellIs" dxfId="21157" priority="101" stopIfTrue="1" operator="greaterThan">
      <formula>H53</formula>
    </cfRule>
    <cfRule type="cellIs" dxfId="21156" priority="102" stopIfTrue="1" operator="equal">
      <formula>0</formula>
    </cfRule>
  </conditionalFormatting>
  <conditionalFormatting sqref="K53">
    <cfRule type="cellIs" dxfId="21155" priority="99" stopIfTrue="1" operator="greaterThan">
      <formula>J53</formula>
    </cfRule>
    <cfRule type="cellIs" dxfId="21154" priority="100" stopIfTrue="1" operator="equal">
      <formula>0</formula>
    </cfRule>
  </conditionalFormatting>
  <conditionalFormatting sqref="M53">
    <cfRule type="cellIs" dxfId="21153" priority="97" stopIfTrue="1" operator="greaterThan">
      <formula>L53</formula>
    </cfRule>
    <cfRule type="cellIs" dxfId="21152" priority="98" stopIfTrue="1" operator="equal">
      <formula>0</formula>
    </cfRule>
  </conditionalFormatting>
  <conditionalFormatting sqref="Q53">
    <cfRule type="cellIs" dxfId="21151" priority="95" stopIfTrue="1" operator="greaterThan">
      <formula>P53</formula>
    </cfRule>
    <cfRule type="cellIs" dxfId="21150" priority="96" stopIfTrue="1" operator="equal">
      <formula>0</formula>
    </cfRule>
  </conditionalFormatting>
  <conditionalFormatting sqref="O53">
    <cfRule type="cellIs" dxfId="21149" priority="93" stopIfTrue="1" operator="greaterThan">
      <formula>N53</formula>
    </cfRule>
    <cfRule type="cellIs" dxfId="21148" priority="94" stopIfTrue="1" operator="equal">
      <formula>0</formula>
    </cfRule>
  </conditionalFormatting>
  <conditionalFormatting sqref="I53 K53 M53 O53 Q53 G53">
    <cfRule type="cellIs" dxfId="21147" priority="91" stopIfTrue="1" operator="greaterThan">
      <formula>F53</formula>
    </cfRule>
    <cfRule type="cellIs" dxfId="21146" priority="92" stopIfTrue="1" operator="equal">
      <formula>0</formula>
    </cfRule>
  </conditionalFormatting>
  <conditionalFormatting sqref="G34">
    <cfRule type="cellIs" dxfId="21145" priority="89" stopIfTrue="1" operator="greaterThan">
      <formula>F34</formula>
    </cfRule>
    <cfRule type="cellIs" dxfId="21144" priority="90" stopIfTrue="1" operator="equal">
      <formula>0</formula>
    </cfRule>
  </conditionalFormatting>
  <conditionalFormatting sqref="F26 H26 J26 L26 N26">
    <cfRule type="cellIs" dxfId="21143" priority="62" operator="greaterThan">
      <formula>F25</formula>
    </cfRule>
  </conditionalFormatting>
  <conditionalFormatting sqref="G45 I45 K45 M45 O45">
    <cfRule type="cellIs" dxfId="21142" priority="44" operator="greaterThan">
      <formula>G44</formula>
    </cfRule>
    <cfRule type="cellIs" dxfId="21141" priority="45" stopIfTrue="1" operator="greaterThan">
      <formula>F45</formula>
    </cfRule>
    <cfRule type="cellIs" dxfId="21140" priority="46" stopIfTrue="1" operator="equal">
      <formula>0</formula>
    </cfRule>
  </conditionalFormatting>
  <conditionalFormatting sqref="I45">
    <cfRule type="cellIs" dxfId="21139" priority="42" stopIfTrue="1" operator="greaterThan">
      <formula>H45</formula>
    </cfRule>
    <cfRule type="cellIs" dxfId="21138" priority="43" stopIfTrue="1" operator="equal">
      <formula>0</formula>
    </cfRule>
  </conditionalFormatting>
  <conditionalFormatting sqref="K45">
    <cfRule type="cellIs" dxfId="21137" priority="40" stopIfTrue="1" operator="greaterThan">
      <formula>J45</formula>
    </cfRule>
    <cfRule type="cellIs" dxfId="21136" priority="41" stopIfTrue="1" operator="equal">
      <formula>0</formula>
    </cfRule>
  </conditionalFormatting>
  <conditionalFormatting sqref="M45">
    <cfRule type="cellIs" dxfId="21135" priority="38" stopIfTrue="1" operator="greaterThan">
      <formula>L45</formula>
    </cfRule>
    <cfRule type="cellIs" dxfId="21134" priority="39" stopIfTrue="1" operator="equal">
      <formula>0</formula>
    </cfRule>
  </conditionalFormatting>
  <conditionalFormatting sqref="O45">
    <cfRule type="cellIs" dxfId="21133" priority="37" stopIfTrue="1" operator="greaterThan">
      <formula>N45</formula>
    </cfRule>
  </conditionalFormatting>
  <conditionalFormatting sqref="O45">
    <cfRule type="cellIs" dxfId="21132" priority="34" stopIfTrue="1" operator="greaterThan">
      <formula>N45</formula>
    </cfRule>
    <cfRule type="cellIs" dxfId="21131" priority="35" stopIfTrue="1" operator="equal">
      <formula>0</formula>
    </cfRule>
  </conditionalFormatting>
  <conditionalFormatting sqref="F45 H45 J45 L45 N45">
    <cfRule type="cellIs" dxfId="21130" priority="33" operator="greaterThan">
      <formula>F44</formula>
    </cfRule>
  </conditionalFormatting>
  <conditionalFormatting sqref="F25">
    <cfRule type="cellIs" dxfId="21129" priority="32" operator="greaterThan">
      <formula>F12</formula>
    </cfRule>
  </conditionalFormatting>
  <conditionalFormatting sqref="G25">
    <cfRule type="cellIs" dxfId="21128" priority="31" operator="greaterThan">
      <formula>G12</formula>
    </cfRule>
  </conditionalFormatting>
  <conditionalFormatting sqref="H25">
    <cfRule type="cellIs" dxfId="21127" priority="30" operator="greaterThan">
      <formula>H12</formula>
    </cfRule>
  </conditionalFormatting>
  <conditionalFormatting sqref="J25">
    <cfRule type="cellIs" dxfId="21126" priority="29" operator="greaterThan">
      <formula>J12</formula>
    </cfRule>
  </conditionalFormatting>
  <conditionalFormatting sqref="L25">
    <cfRule type="cellIs" dxfId="21125" priority="28" operator="greaterThan">
      <formula>L12</formula>
    </cfRule>
  </conditionalFormatting>
  <conditionalFormatting sqref="I25">
    <cfRule type="cellIs" dxfId="21124" priority="27" operator="greaterThan">
      <formula>I12</formula>
    </cfRule>
  </conditionalFormatting>
  <conditionalFormatting sqref="K25">
    <cfRule type="cellIs" dxfId="21123" priority="26" operator="greaterThan">
      <formula>K12</formula>
    </cfRule>
  </conditionalFormatting>
  <conditionalFormatting sqref="M25">
    <cfRule type="cellIs" dxfId="21122" priority="25" operator="greaterThan">
      <formula>M12</formula>
    </cfRule>
  </conditionalFormatting>
  <conditionalFormatting sqref="F44">
    <cfRule type="cellIs" dxfId="21121" priority="24" operator="greaterThan">
      <formula>F31</formula>
    </cfRule>
  </conditionalFormatting>
  <conditionalFormatting sqref="H44">
    <cfRule type="cellIs" dxfId="21120" priority="23" operator="greaterThan">
      <formula>H31</formula>
    </cfRule>
  </conditionalFormatting>
  <conditionalFormatting sqref="J44">
    <cfRule type="cellIs" dxfId="21119" priority="22" operator="greaterThan">
      <formula>J31</formula>
    </cfRule>
  </conditionalFormatting>
  <conditionalFormatting sqref="L44">
    <cfRule type="cellIs" dxfId="21118" priority="21" operator="greaterThan">
      <formula>L31</formula>
    </cfRule>
  </conditionalFormatting>
  <conditionalFormatting sqref="G44">
    <cfRule type="cellIs" dxfId="21117" priority="20" operator="greaterThan">
      <formula>G31</formula>
    </cfRule>
  </conditionalFormatting>
  <conditionalFormatting sqref="M47:M63 K47:K63 I47:I63 G47:G63">
    <cfRule type="cellIs" dxfId="21116" priority="230" stopIfTrue="1" operator="greaterThan">
      <formula>#REF!</formula>
    </cfRule>
    <cfRule type="cellIs" dxfId="21115" priority="231" stopIfTrue="1" operator="equal">
      <formula>0</formula>
    </cfRule>
  </conditionalFormatting>
  <conditionalFormatting sqref="G21">
    <cfRule type="cellIs" dxfId="21114" priority="15" stopIfTrue="1" operator="greaterThan">
      <formula>F21</formula>
    </cfRule>
    <cfRule type="cellIs" dxfId="21113" priority="16" stopIfTrue="1" operator="equal">
      <formula>0</formula>
    </cfRule>
  </conditionalFormatting>
  <conditionalFormatting sqref="I21">
    <cfRule type="cellIs" dxfId="21112" priority="13" stopIfTrue="1" operator="greaterThan">
      <formula>H21</formula>
    </cfRule>
    <cfRule type="cellIs" dxfId="21111" priority="14" stopIfTrue="1" operator="equal">
      <formula>0</formula>
    </cfRule>
  </conditionalFormatting>
  <conditionalFormatting sqref="K21">
    <cfRule type="cellIs" dxfId="21110" priority="11" stopIfTrue="1" operator="greaterThan">
      <formula>J21</formula>
    </cfRule>
    <cfRule type="cellIs" dxfId="21109" priority="12" stopIfTrue="1" operator="equal">
      <formula>0</formula>
    </cfRule>
  </conditionalFormatting>
  <conditionalFormatting sqref="M21">
    <cfRule type="cellIs" dxfId="21108" priority="9" stopIfTrue="1" operator="greaterThan">
      <formula>L21</formula>
    </cfRule>
    <cfRule type="cellIs" dxfId="21107" priority="10" stopIfTrue="1" operator="equal">
      <formula>0</formula>
    </cfRule>
  </conditionalFormatting>
  <conditionalFormatting sqref="G21">
    <cfRule type="cellIs" dxfId="21106" priority="7" stopIfTrue="1" operator="greaterThan">
      <formula>F21</formula>
    </cfRule>
    <cfRule type="cellIs" dxfId="21105" priority="8" stopIfTrue="1" operator="equal">
      <formula>0</formula>
    </cfRule>
  </conditionalFormatting>
  <conditionalFormatting sqref="I21">
    <cfRule type="cellIs" dxfId="21104" priority="5" stopIfTrue="1" operator="greaterThan">
      <formula>H21</formula>
    </cfRule>
    <cfRule type="cellIs" dxfId="21103" priority="6" stopIfTrue="1" operator="equal">
      <formula>0</formula>
    </cfRule>
  </conditionalFormatting>
  <conditionalFormatting sqref="K21">
    <cfRule type="cellIs" dxfId="21102" priority="3" stopIfTrue="1" operator="greaterThan">
      <formula>J21</formula>
    </cfRule>
    <cfRule type="cellIs" dxfId="21101" priority="4" stopIfTrue="1" operator="equal">
      <formula>0</formula>
    </cfRule>
  </conditionalFormatting>
  <conditionalFormatting sqref="M21">
    <cfRule type="cellIs" dxfId="21100" priority="1" stopIfTrue="1" operator="greaterThan">
      <formula>L21</formula>
    </cfRule>
    <cfRule type="cellIs" dxfId="21099" priority="2" stopIfTrue="1" operator="equal">
      <formula>0</formula>
    </cfRule>
  </conditionalFormatting>
  <dataValidations count="3">
    <dataValidation type="whole" operator="greaterThanOrEqual" allowBlank="1" showInputMessage="1" showErrorMessage="1" errorTitle="التلاميذ المسجلين" error="ضع العدد المناسب" sqref="P15:Q25 N15:O26 F15:M20 F22:M26">
      <formula1>0</formula1>
    </dataValidation>
    <dataValidation type="whole" operator="greaterThanOrEqual" allowBlank="1" showInputMessage="1" showErrorMessage="1" errorTitle="التلاميذ المعيدين" error="ضع العدد المناسب" sqref="F34:O45 P34:Q44 F21:M21">
      <formula1>0</formula1>
    </dataValidation>
    <dataValidation type="whole" operator="greaterThanOrEqual" allowBlank="1" showInputMessage="1" showErrorMessage="1" errorTitle="المجموع" error="المجموع" sqref="F51:F63 L48:L63 M47:Q63 K47:K63 F48:F49 G47:G63 I47:I63 H48:H63 J48:J63">
      <formula1>0</formula1>
    </dataValidation>
  </dataValidations>
  <printOptions horizontalCentered="1" verticalCentered="1"/>
  <pageMargins left="0.19685039370078741" right="0.19685039370078741" top="0.19685039370078741" bottom="0.19685039370078741" header="0.19685039370078741" footer="0.31496062992125984"/>
  <pageSetup paperSize="9" scale="95" orientation="portrait" r:id="rId1"/>
  <headerFooter>
    <oddFooter xml:space="preserve">&amp;R&amp;"-,Gras"&amp;8&amp;K00-032Echamil V.08    &amp;F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002060"/>
  </sheetPr>
  <dimension ref="A1:AA71"/>
  <sheetViews>
    <sheetView showGridLines="0" rightToLeft="1" workbookViewId="0">
      <selection activeCell="N24" sqref="N24"/>
    </sheetView>
  </sheetViews>
  <sheetFormatPr baseColWidth="10" defaultColWidth="0" defaultRowHeight="14.4" zeroHeight="1"/>
  <cols>
    <col min="1" max="1" width="2.6640625" customWidth="1"/>
    <col min="2" max="2" width="1.6640625" customWidth="1"/>
    <col min="3" max="3" width="0.88671875" customWidth="1"/>
    <col min="4" max="4" width="16.6640625" customWidth="1"/>
    <col min="5" max="5" width="8.33203125" customWidth="1"/>
    <col min="6" max="6" width="7.6640625" customWidth="1"/>
    <col min="7" max="7" width="8.33203125" customWidth="1"/>
    <col min="8" max="8" width="7.6640625" customWidth="1"/>
    <col min="9" max="9" width="8.33203125" customWidth="1"/>
    <col min="10" max="10" width="7.6640625" customWidth="1"/>
    <col min="11" max="11" width="8.33203125" customWidth="1"/>
    <col min="12" max="12" width="7.6640625" customWidth="1"/>
    <col min="13" max="13" width="8.33203125" customWidth="1"/>
    <col min="14" max="14" width="7.6640625" customWidth="1"/>
    <col min="15" max="16" width="0.88671875" customWidth="1"/>
    <col min="17" max="17" width="1.6640625" customWidth="1"/>
    <col min="18" max="18" width="2.6640625" customWidth="1"/>
    <col min="19" max="19" width="15.33203125" style="1041" customWidth="1"/>
    <col min="20" max="20" width="0.5546875" style="1041" customWidth="1"/>
    <col min="21" max="21" width="17.88671875" style="1041" customWidth="1"/>
    <col min="22" max="22" width="0.6640625" style="1041" customWidth="1"/>
    <col min="23" max="23" width="18.6640625" style="1041" customWidth="1"/>
    <col min="24" max="24" width="18.44140625" style="1041" customWidth="1"/>
    <col min="25" max="25" width="18" style="1041" customWidth="1"/>
    <col min="26" max="26" width="1.33203125" style="1041" customWidth="1"/>
    <col min="27" max="27" width="3.44140625" customWidth="1"/>
  </cols>
  <sheetData>
    <row r="1" spans="1:27" ht="14.1" customHeight="1" thickBot="1">
      <c r="A1" s="1005"/>
      <c r="B1" s="1005"/>
      <c r="C1" s="1005"/>
      <c r="D1" s="1005"/>
      <c r="E1" s="1005"/>
      <c r="F1" s="1005"/>
      <c r="G1" s="1005"/>
      <c r="H1" s="1005"/>
      <c r="I1" s="1005"/>
      <c r="J1" s="1005"/>
      <c r="K1" s="1005"/>
      <c r="L1" s="1005"/>
      <c r="M1" s="1005"/>
      <c r="N1" s="1005"/>
      <c r="O1" s="1005"/>
      <c r="P1" s="1005"/>
      <c r="Q1" s="1005"/>
      <c r="R1" s="1005"/>
      <c r="S1" s="1059"/>
      <c r="T1" s="1059"/>
      <c r="U1" s="1059"/>
      <c r="V1" s="1059"/>
      <c r="W1" s="1059"/>
      <c r="X1" s="1059"/>
      <c r="Y1" s="1059"/>
      <c r="Z1" s="1059"/>
      <c r="AA1" s="1006"/>
    </row>
    <row r="2" spans="1:27" ht="14.1" customHeight="1" thickBot="1">
      <c r="A2" s="750"/>
      <c r="B2" s="755"/>
      <c r="C2" s="756"/>
      <c r="D2" s="756"/>
      <c r="E2" s="756"/>
      <c r="F2" s="756"/>
      <c r="G2" s="756"/>
      <c r="H2" s="756"/>
      <c r="I2" s="756"/>
      <c r="J2" s="756"/>
      <c r="K2" s="756"/>
      <c r="L2" s="756"/>
      <c r="M2" s="756"/>
      <c r="N2" s="756"/>
      <c r="O2" s="756"/>
      <c r="P2" s="756"/>
      <c r="Q2" s="757"/>
      <c r="R2" s="752"/>
      <c r="S2" s="4345" t="s">
        <v>603</v>
      </c>
      <c r="T2" s="4345"/>
      <c r="U2" s="4345"/>
      <c r="V2" s="4345"/>
      <c r="W2" s="4345"/>
      <c r="X2" s="4345"/>
      <c r="Y2" s="4345"/>
      <c r="Z2" s="3069"/>
      <c r="AA2" s="1006"/>
    </row>
    <row r="3" spans="1:27" ht="15.9" customHeight="1">
      <c r="A3" s="750"/>
      <c r="B3" s="758"/>
      <c r="C3" s="3032"/>
      <c r="D3" s="3033"/>
      <c r="E3" s="3034"/>
      <c r="F3" s="3034"/>
      <c r="G3" s="3034"/>
      <c r="H3" s="3034"/>
      <c r="I3" s="3034"/>
      <c r="J3" s="3034"/>
      <c r="K3" s="3034"/>
      <c r="L3" s="3034"/>
      <c r="M3" s="3034"/>
      <c r="N3" s="3034"/>
      <c r="O3" s="3034"/>
      <c r="P3" s="3035"/>
      <c r="Q3" s="759"/>
      <c r="R3" s="752"/>
      <c r="S3" s="4345"/>
      <c r="T3" s="4345"/>
      <c r="U3" s="4345"/>
      <c r="V3" s="4345"/>
      <c r="W3" s="4345"/>
      <c r="X3" s="4345"/>
      <c r="Y3" s="4345"/>
      <c r="Z3" s="3069"/>
      <c r="AA3" s="1006"/>
    </row>
    <row r="4" spans="1:27" ht="24" customHeight="1">
      <c r="A4" s="750"/>
      <c r="B4" s="857"/>
      <c r="C4" s="3038" t="s">
        <v>1459</v>
      </c>
      <c r="D4" s="3036"/>
      <c r="E4" s="2355"/>
      <c r="F4" s="2355"/>
      <c r="G4" s="2355"/>
      <c r="H4" s="2355"/>
      <c r="I4" s="2356"/>
      <c r="J4" s="2357"/>
      <c r="K4" s="2357"/>
      <c r="L4" s="2357"/>
      <c r="M4" s="2358"/>
      <c r="N4" s="2358"/>
      <c r="O4" s="2358"/>
      <c r="P4" s="3037" t="s">
        <v>1460</v>
      </c>
      <c r="Q4" s="759"/>
      <c r="R4" s="752"/>
      <c r="S4" s="4345"/>
      <c r="T4" s="4345"/>
      <c r="U4" s="4345"/>
      <c r="V4" s="4345"/>
      <c r="W4" s="4345"/>
      <c r="X4" s="4345"/>
      <c r="Y4" s="4345"/>
      <c r="Z4" s="3069"/>
      <c r="AA4" s="1006"/>
    </row>
    <row r="5" spans="1:27" ht="9.9" customHeight="1">
      <c r="A5" s="750"/>
      <c r="B5" s="758"/>
      <c r="C5" s="3026"/>
      <c r="D5" s="2359"/>
      <c r="E5" s="2359"/>
      <c r="F5" s="2359"/>
      <c r="G5" s="2359"/>
      <c r="H5" s="2359"/>
      <c r="I5" s="2360"/>
      <c r="J5" s="2361"/>
      <c r="K5" s="2361"/>
      <c r="L5" s="2361"/>
      <c r="M5" s="2361"/>
      <c r="N5" s="2361"/>
      <c r="O5" s="2361"/>
      <c r="P5" s="3023"/>
      <c r="Q5" s="759"/>
      <c r="R5" s="970"/>
      <c r="S5" s="4345"/>
      <c r="T5" s="4345"/>
      <c r="U5" s="4345"/>
      <c r="V5" s="4345"/>
      <c r="W5" s="4345"/>
      <c r="X5" s="4345"/>
      <c r="Y5" s="4345"/>
      <c r="Z5" s="3069"/>
      <c r="AA5" s="1006"/>
    </row>
    <row r="6" spans="1:27" ht="18" customHeight="1">
      <c r="A6" s="750"/>
      <c r="B6" s="895"/>
      <c r="C6" s="3027"/>
      <c r="D6" s="3039" t="s">
        <v>1272</v>
      </c>
      <c r="E6" s="2362"/>
      <c r="F6" s="2362"/>
      <c r="G6" s="2362"/>
      <c r="H6" s="2362"/>
      <c r="I6" s="2363"/>
      <c r="J6" s="4067" t="str">
        <f>'الصفحة 1'!$E$16</f>
        <v>بلحاتم رابح</v>
      </c>
      <c r="K6" s="4068"/>
      <c r="L6" s="4068"/>
      <c r="M6" s="4068"/>
      <c r="N6" s="4069"/>
      <c r="O6" s="2362"/>
      <c r="P6" s="3024"/>
      <c r="Q6" s="759"/>
      <c r="R6" s="970"/>
      <c r="S6" s="3130" t="s">
        <v>1403</v>
      </c>
      <c r="T6" s="2735"/>
      <c r="U6" s="3053" t="str">
        <f>IF(('الصفحة 1'!$Q$14&gt;0),((IF((E9=""),"أفواج 1 متوسط",IF((E9=0)," ",IF((E9&gt;0),""))))),"")</f>
        <v/>
      </c>
      <c r="V6" s="1032"/>
      <c r="W6" s="3053" t="str">
        <f>IF(('الصفحة 1'!$Q$14&gt;0),((IF((G9=""),"أفواج 2 متوسط",IF((G9=0)," ",IF((G9&gt;0),""))))),"")</f>
        <v/>
      </c>
      <c r="X6" s="3053" t="str">
        <f>IF(('الصفحة 1'!$Q$14&gt;0),((IF((I9=""),"أفواج 3 متوسط",IF((I9=0)," ",IF((I9&gt;0),""))))),"")</f>
        <v/>
      </c>
      <c r="Y6" s="3053" t="str">
        <f>IF(('الصفحة 1'!$Q$14&gt;0),((IF((K9=""),"أفواج 4 متوسط",IF((K9=0)," ",IF((K9&gt;0),""))))),"")</f>
        <v/>
      </c>
      <c r="Z6" s="3069"/>
      <c r="AA6" s="1006"/>
    </row>
    <row r="7" spans="1:27" ht="14.1" customHeight="1" thickBot="1">
      <c r="A7" s="750"/>
      <c r="B7" s="895"/>
      <c r="C7" s="3028"/>
      <c r="D7" s="1381"/>
      <c r="E7" s="1316"/>
      <c r="F7" s="1316"/>
      <c r="G7" s="1316"/>
      <c r="H7" s="1316"/>
      <c r="I7" s="1316"/>
      <c r="J7" s="1316"/>
      <c r="K7" s="1316"/>
      <c r="L7" s="1316"/>
      <c r="M7" s="1316"/>
      <c r="N7" s="1316"/>
      <c r="O7" s="1316"/>
      <c r="P7" s="3025"/>
      <c r="Q7" s="759"/>
      <c r="R7" s="970"/>
      <c r="S7" s="1032"/>
      <c r="T7" s="2735"/>
      <c r="U7" s="3132" t="str">
        <f>IF((U8&gt;0),IF(U8&lt;5,"حجم فوج"," "),"")</f>
        <v xml:space="preserve"> </v>
      </c>
      <c r="V7" s="1950"/>
      <c r="W7" s="3132" t="str">
        <f>IF((W8&gt;0),IF(W8&lt;5,"حجم فوج"," "),"")</f>
        <v xml:space="preserve"> </v>
      </c>
      <c r="X7" s="3132" t="str">
        <f>IF((X8&gt;0),IF(X8&lt;5,"حجم فوج"," "),"")</f>
        <v xml:space="preserve"> </v>
      </c>
      <c r="Y7" s="3132" t="str">
        <f>IF((Y8&gt;0),IF(Y8&lt;5,"حجم فوج"," "),"")</f>
        <v xml:space="preserve"> </v>
      </c>
      <c r="Z7" s="3069"/>
      <c r="AA7" s="1006"/>
    </row>
    <row r="8" spans="1:27" ht="15.9" customHeight="1" thickBot="1">
      <c r="A8" s="750"/>
      <c r="B8" s="895"/>
      <c r="C8" s="3028" t="s">
        <v>564</v>
      </c>
      <c r="D8" s="2364" t="s">
        <v>562</v>
      </c>
      <c r="E8" s="4340" t="s">
        <v>25</v>
      </c>
      <c r="F8" s="4341"/>
      <c r="G8" s="4336" t="s">
        <v>24</v>
      </c>
      <c r="H8" s="4337"/>
      <c r="I8" s="4340" t="s">
        <v>23</v>
      </c>
      <c r="J8" s="4341"/>
      <c r="K8" s="4336" t="s">
        <v>22</v>
      </c>
      <c r="L8" s="4337"/>
      <c r="M8" s="4338" t="s">
        <v>610</v>
      </c>
      <c r="N8" s="4339"/>
      <c r="O8" s="1032"/>
      <c r="P8" s="3025"/>
      <c r="Q8" s="759"/>
      <c r="R8" s="970"/>
      <c r="S8" s="3131" t="s">
        <v>1404</v>
      </c>
      <c r="T8" s="1032"/>
      <c r="U8" s="3133">
        <f>IF(('الصفحة 1'!$Q$14&gt;0),IF(E9&gt;0,'الصفحة 6'!O26/(E9+0.0001),0),"")</f>
        <v>33.999514292652961</v>
      </c>
      <c r="W8" s="3133">
        <f>IF(('الصفحة 1'!$Q$14&gt;0),IF(G9&gt;0,'الصفحة 7'!O26/(G9+0.0001),0),"")</f>
        <v>34.599308013839725</v>
      </c>
      <c r="X8" s="3133">
        <f>IF(('الصفحة 1'!$Q$14&gt;0),IF(I9&gt;0,'الصفحة 8'!O26/(I9+0.0001),0),"")</f>
        <v>40.998975025624361</v>
      </c>
      <c r="Y8" s="3133">
        <f>IF(('الصفحة 1'!$Q$14&gt;0),IF(K9&gt;0,'الصفحة 9'!O26/(K9+0.0001),0),"")</f>
        <v>32.599348013039737</v>
      </c>
      <c r="Z8" s="3069"/>
      <c r="AA8" s="1006"/>
    </row>
    <row r="9" spans="1:27" ht="15.9" customHeight="1">
      <c r="A9" s="750"/>
      <c r="B9" s="895"/>
      <c r="C9" s="3028"/>
      <c r="D9" s="2365" t="s">
        <v>563</v>
      </c>
      <c r="E9" s="4331">
        <v>7</v>
      </c>
      <c r="F9" s="4313"/>
      <c r="G9" s="4331">
        <v>5</v>
      </c>
      <c r="H9" s="4313"/>
      <c r="I9" s="4331">
        <v>4</v>
      </c>
      <c r="J9" s="4313"/>
      <c r="K9" s="4331">
        <v>5</v>
      </c>
      <c r="L9" s="4313"/>
      <c r="M9" s="4342">
        <f>SUM(E9:L9)</f>
        <v>21</v>
      </c>
      <c r="N9" s="4343"/>
      <c r="O9" s="1032"/>
      <c r="P9" s="3025"/>
      <c r="Q9" s="759"/>
      <c r="R9" s="970"/>
      <c r="S9" s="1032"/>
      <c r="T9" s="1032"/>
      <c r="U9" s="3132" t="s">
        <v>921</v>
      </c>
      <c r="V9" s="1032"/>
      <c r="W9" s="3132" t="s">
        <v>921</v>
      </c>
      <c r="X9" s="3132" t="s">
        <v>921</v>
      </c>
      <c r="Y9" s="3132" t="s">
        <v>921</v>
      </c>
      <c r="Z9" s="3069"/>
      <c r="AA9" s="1006"/>
    </row>
    <row r="10" spans="1:27" ht="14.1" customHeight="1">
      <c r="A10" s="750"/>
      <c r="B10" s="895"/>
      <c r="C10" s="3028"/>
      <c r="D10" s="2366"/>
      <c r="E10" s="2366"/>
      <c r="F10" s="2367"/>
      <c r="G10" s="2367"/>
      <c r="H10" s="2367"/>
      <c r="I10" s="2367"/>
      <c r="J10" s="2367"/>
      <c r="K10" s="2367"/>
      <c r="L10" s="2367"/>
      <c r="M10" s="2367"/>
      <c r="N10" s="2368"/>
      <c r="O10" s="2368"/>
      <c r="P10" s="3025"/>
      <c r="Q10" s="759"/>
      <c r="R10" s="970"/>
      <c r="S10" s="3135" t="s">
        <v>690</v>
      </c>
      <c r="T10" s="4333" t="str">
        <f>IF(('الصفحة 1'!$Q$14&gt;0),(IF((('الصفحة 10'!F20)&lt;(E9)),("خطء التلاميذ 1 متوسط"),IF(((E9)&gt;(0)),(IF(('الصفحة 10'!F20&gt;0),(""),("خطء الأفواج 1 متوسط"))),("")))),"")</f>
        <v/>
      </c>
      <c r="U10" s="4334"/>
      <c r="V10" s="4335"/>
      <c r="W10" s="4333" t="str">
        <f>IF(('الصفحة 1'!$Q$14&gt;0),(IF((('الصفحة 10'!H20)&lt;(I9)),("خطء التلاميذ 2 متوسط"),IF(((I9)&gt;(0)),(IF(('الصفحة 10'!H20&gt;0),(""),("خطء الأفواج 2 متوسط"))),("")))),"")</f>
        <v/>
      </c>
      <c r="X10" s="4335"/>
      <c r="Y10" s="1032"/>
      <c r="Z10" s="3069"/>
      <c r="AA10" s="1006"/>
    </row>
    <row r="11" spans="1:27" ht="14.1" customHeight="1">
      <c r="A11" s="750"/>
      <c r="B11" s="895"/>
      <c r="C11" s="3028"/>
      <c r="D11" s="3029"/>
      <c r="E11" s="3029"/>
      <c r="F11" s="3030"/>
      <c r="G11" s="3030"/>
      <c r="H11" s="3030"/>
      <c r="I11" s="3030"/>
      <c r="J11" s="3030"/>
      <c r="K11" s="3030"/>
      <c r="L11" s="3030"/>
      <c r="M11" s="3030"/>
      <c r="N11" s="3031"/>
      <c r="O11" s="3031"/>
      <c r="P11" s="3025"/>
      <c r="Q11" s="759"/>
      <c r="R11" s="970"/>
      <c r="S11" s="3135" t="s">
        <v>691</v>
      </c>
      <c r="T11" s="4333" t="str">
        <f>IF(('الصفحة 1'!$Q$14&gt;0),(IF((('الصفحة 10'!J20)&lt;(I9)),("خطء التلاميذ 3 متوسط"),IF(((I9)&gt;(0)),(IF(('الصفحة 10'!J20&gt;0),(""),("خطء الأفواج 3 متوسط"))),("")))),"")</f>
        <v/>
      </c>
      <c r="U11" s="4334"/>
      <c r="V11" s="4335"/>
      <c r="W11" s="4333" t="str">
        <f>IF(('الصفحة 1'!$Q$14&gt;0),(IF((('الصفحة 10'!L20)&lt;(K9)),("خطء التلاميذ 4 متوسط"),IF(((K9)&gt;(0)),(IF(('الصفحة 10'!L20&gt;0),(""),("خطء الأفواج 4 متوسط"))),("")))),"")</f>
        <v/>
      </c>
      <c r="X11" s="4335"/>
      <c r="Y11" s="1032"/>
      <c r="Z11" s="3069"/>
      <c r="AA11" s="1006"/>
    </row>
    <row r="12" spans="1:27" ht="14.1" customHeight="1">
      <c r="A12" s="750"/>
      <c r="B12" s="895"/>
      <c r="C12" s="1810"/>
      <c r="D12" s="2988"/>
      <c r="E12" s="2988"/>
      <c r="F12" s="3010"/>
      <c r="G12" s="3010"/>
      <c r="H12" s="3010"/>
      <c r="I12" s="3010"/>
      <c r="J12" s="3010"/>
      <c r="K12" s="3010"/>
      <c r="L12" s="3010"/>
      <c r="M12" s="3010"/>
      <c r="N12" s="3011"/>
      <c r="O12" s="3011"/>
      <c r="P12" s="3012"/>
      <c r="Q12" s="759"/>
      <c r="R12" s="970"/>
      <c r="S12" s="3066"/>
      <c r="T12" s="3067"/>
      <c r="U12" s="3068"/>
      <c r="V12" s="3068"/>
      <c r="W12" s="3068"/>
      <c r="X12" s="3068"/>
      <c r="Y12" s="3068"/>
      <c r="Z12" s="3069"/>
      <c r="AA12" s="1006"/>
    </row>
    <row r="13" spans="1:27" ht="14.1" customHeight="1">
      <c r="A13" s="750"/>
      <c r="B13" s="895"/>
      <c r="C13" s="3015"/>
      <c r="D13" s="3018"/>
      <c r="E13" s="3018"/>
      <c r="F13" s="3018"/>
      <c r="G13" s="3018"/>
      <c r="H13" s="3018"/>
      <c r="I13" s="3018"/>
      <c r="J13" s="3018"/>
      <c r="K13" s="3019"/>
      <c r="L13" s="3019"/>
      <c r="M13" s="3019"/>
      <c r="N13" s="3019"/>
      <c r="O13" s="3020"/>
      <c r="P13" s="3013"/>
      <c r="Q13" s="759"/>
      <c r="R13" s="970"/>
      <c r="S13" s="3019"/>
      <c r="T13" s="3019"/>
      <c r="U13" s="3019"/>
      <c r="V13" s="3019"/>
      <c r="W13" s="3019"/>
      <c r="X13" s="3019"/>
      <c r="Y13" s="3019"/>
      <c r="Z13" s="3062"/>
      <c r="AA13" s="1006"/>
    </row>
    <row r="14" spans="1:27" ht="24" customHeight="1">
      <c r="A14" s="750"/>
      <c r="B14" s="895"/>
      <c r="C14" s="3016"/>
      <c r="D14" s="3040" t="s">
        <v>1281</v>
      </c>
      <c r="E14" s="2371"/>
      <c r="F14" s="2371"/>
      <c r="G14" s="2230"/>
      <c r="H14" s="2230"/>
      <c r="I14" s="2372"/>
      <c r="J14" s="2372"/>
      <c r="K14" s="2372"/>
      <c r="L14" s="2373"/>
      <c r="M14" s="2373"/>
      <c r="N14" s="3000" t="s">
        <v>1282</v>
      </c>
      <c r="O14" s="2373"/>
      <c r="P14" s="3014"/>
      <c r="Q14" s="872"/>
      <c r="R14" s="970"/>
      <c r="S14" s="1032"/>
      <c r="T14" s="1032"/>
      <c r="U14" s="1032"/>
      <c r="V14" s="1032"/>
      <c r="W14" s="1032"/>
      <c r="X14" s="1032"/>
      <c r="Y14" s="1032"/>
      <c r="Z14" s="3062"/>
      <c r="AA14" s="1006"/>
    </row>
    <row r="15" spans="1:27" ht="14.1" customHeight="1">
      <c r="A15" s="750"/>
      <c r="B15" s="895"/>
      <c r="C15" s="3015"/>
      <c r="D15" s="1026"/>
      <c r="E15" s="1026"/>
      <c r="F15" s="1026"/>
      <c r="G15" s="1026"/>
      <c r="H15" s="1026"/>
      <c r="I15" s="1026"/>
      <c r="J15" s="1026"/>
      <c r="K15" s="1026"/>
      <c r="L15" s="1026"/>
      <c r="M15" s="1026"/>
      <c r="N15" s="1026"/>
      <c r="O15" s="2370"/>
      <c r="P15" s="3014"/>
      <c r="Q15" s="872"/>
      <c r="R15" s="753"/>
      <c r="S15" s="1032"/>
      <c r="T15" s="1032"/>
      <c r="U15" s="1032"/>
      <c r="V15" s="1032"/>
      <c r="W15" s="1032"/>
      <c r="X15" s="1032"/>
      <c r="Y15" s="1032"/>
      <c r="Z15" s="3062"/>
      <c r="AA15" s="1006"/>
    </row>
    <row r="16" spans="1:27" ht="18" customHeight="1">
      <c r="A16" s="750"/>
      <c r="B16" s="895"/>
      <c r="C16" s="3017"/>
      <c r="D16" s="2374" t="s">
        <v>1273</v>
      </c>
      <c r="E16" s="2375"/>
      <c r="F16" s="2375"/>
      <c r="G16" s="2375"/>
      <c r="H16" s="2375"/>
      <c r="I16" s="2375"/>
      <c r="J16" s="2375"/>
      <c r="K16" s="2375"/>
      <c r="L16" s="2375"/>
      <c r="M16" s="2375"/>
      <c r="N16" s="2375"/>
      <c r="O16" s="2362"/>
      <c r="P16" s="3014"/>
      <c r="Q16" s="872"/>
      <c r="R16" s="753"/>
      <c r="S16" s="3058" t="s">
        <v>707</v>
      </c>
      <c r="T16" s="3059"/>
      <c r="U16" s="3059"/>
      <c r="V16" s="3059"/>
      <c r="W16" s="3059"/>
      <c r="X16" s="1032"/>
      <c r="Y16" s="1032"/>
      <c r="Z16" s="3019"/>
      <c r="AA16" s="1006"/>
    </row>
    <row r="17" spans="1:27" ht="14.1" customHeight="1">
      <c r="A17" s="750"/>
      <c r="B17" s="895"/>
      <c r="C17" s="3015"/>
      <c r="D17" s="1026"/>
      <c r="E17" s="1026"/>
      <c r="F17" s="1026"/>
      <c r="G17" s="1026"/>
      <c r="H17" s="1026"/>
      <c r="I17" s="1026"/>
      <c r="J17" s="1026"/>
      <c r="K17" s="1026"/>
      <c r="L17" s="1026"/>
      <c r="M17" s="1026"/>
      <c r="N17" s="1026"/>
      <c r="O17" s="2370"/>
      <c r="P17" s="3014"/>
      <c r="Q17" s="872"/>
      <c r="R17" s="753"/>
      <c r="S17" s="1032"/>
      <c r="T17" s="1032"/>
      <c r="U17" s="1032"/>
      <c r="V17" s="1032"/>
      <c r="W17" s="1032"/>
      <c r="X17" s="1032"/>
      <c r="Y17" s="1032"/>
      <c r="Z17" s="3019"/>
      <c r="AA17" s="1006"/>
    </row>
    <row r="18" spans="1:27" ht="15.9" customHeight="1">
      <c r="A18" s="750"/>
      <c r="B18" s="895"/>
      <c r="C18" s="3015"/>
      <c r="D18" s="2376" t="s">
        <v>26</v>
      </c>
      <c r="E18" s="4316" t="s">
        <v>25</v>
      </c>
      <c r="F18" s="4317"/>
      <c r="G18" s="4321" t="s">
        <v>24</v>
      </c>
      <c r="H18" s="4322"/>
      <c r="I18" s="4320" t="s">
        <v>23</v>
      </c>
      <c r="J18" s="4317"/>
      <c r="K18" s="4321" t="s">
        <v>22</v>
      </c>
      <c r="L18" s="4322"/>
      <c r="M18" s="4326" t="s">
        <v>28</v>
      </c>
      <c r="N18" s="4327"/>
      <c r="O18" s="2370"/>
      <c r="P18" s="3014"/>
      <c r="Q18" s="872"/>
      <c r="R18" s="753"/>
      <c r="S18" s="1032"/>
      <c r="T18" s="1032"/>
      <c r="U18" s="1032"/>
      <c r="V18" s="1032"/>
      <c r="W18" s="1032"/>
      <c r="X18" s="1032"/>
      <c r="Y18" s="1032"/>
      <c r="Z18" s="3019"/>
      <c r="AA18" s="1006"/>
    </row>
    <row r="19" spans="1:27" ht="15.9" customHeight="1">
      <c r="A19" s="750"/>
      <c r="B19" s="895"/>
      <c r="C19" s="3015"/>
      <c r="D19" s="2377" t="s">
        <v>129</v>
      </c>
      <c r="E19" s="4331"/>
      <c r="F19" s="4313"/>
      <c r="G19" s="4331"/>
      <c r="H19" s="4313"/>
      <c r="I19" s="4331"/>
      <c r="J19" s="4313"/>
      <c r="K19" s="4331"/>
      <c r="L19" s="4313"/>
      <c r="M19" s="4328">
        <f>SUM(E19:L19)</f>
        <v>0</v>
      </c>
      <c r="N19" s="4344"/>
      <c r="O19" s="2370"/>
      <c r="P19" s="3014"/>
      <c r="Q19" s="872"/>
      <c r="R19" s="753"/>
      <c r="S19" s="3051" t="s">
        <v>129</v>
      </c>
      <c r="T19" s="2737"/>
      <c r="U19" s="3053" t="str">
        <f>IF(('الصفحة 1'!$Q$14&gt;0),((IF((E19="")," عدد الأفواج 1 متوسط",IF((E19=0)," ",IF((E19&gt;0),""))))),"")</f>
        <v xml:space="preserve"> عدد الأفواج 1 متوسط</v>
      </c>
      <c r="V19" s="1032"/>
      <c r="W19" s="3053" t="str">
        <f>IF(('الصفحة 1'!$Q$14&gt;0),((IF((G19="")," عدد الأفواج 2 متوسط",IF((G19=0)," ",IF((G19&gt;0),""))))),"")</f>
        <v xml:space="preserve"> عدد الأفواج 2 متوسط</v>
      </c>
      <c r="X19" s="3053" t="str">
        <f>IF(('الصفحة 1'!$Q$14&gt;0),((IF((I19="")," عدد الأفواج 3 متوسط",IF((I19=0)," ",IF((I19&gt;0),""))))),"")</f>
        <v xml:space="preserve"> عدد الأفواج 3 متوسط</v>
      </c>
      <c r="Y19" s="3053" t="str">
        <f>IF(('الصفحة 1'!$Q$14&gt;0),((IF((K19="")," عدد الأفواج 4 متوسط",IF((K19=0)," ",IF((K19&gt;0),""))))),"")</f>
        <v xml:space="preserve"> عدد الأفواج 4 متوسط</v>
      </c>
      <c r="Z19" s="3019"/>
      <c r="AA19" s="1006"/>
    </row>
    <row r="20" spans="1:27" ht="15.9" customHeight="1">
      <c r="A20" s="750"/>
      <c r="B20" s="895"/>
      <c r="C20" s="3015"/>
      <c r="D20" s="4330" t="s">
        <v>135</v>
      </c>
      <c r="E20" s="2378" t="s">
        <v>20</v>
      </c>
      <c r="F20" s="2379" t="s">
        <v>19</v>
      </c>
      <c r="G20" s="2380" t="s">
        <v>20</v>
      </c>
      <c r="H20" s="2381" t="s">
        <v>19</v>
      </c>
      <c r="I20" s="2382" t="s">
        <v>20</v>
      </c>
      <c r="J20" s="2379" t="s">
        <v>19</v>
      </c>
      <c r="K20" s="2380" t="s">
        <v>20</v>
      </c>
      <c r="L20" s="2381" t="s">
        <v>19</v>
      </c>
      <c r="M20" s="2383" t="s">
        <v>20</v>
      </c>
      <c r="N20" s="2384" t="s">
        <v>19</v>
      </c>
      <c r="O20" s="2369"/>
      <c r="P20" s="3014"/>
      <c r="Q20" s="872"/>
      <c r="R20" s="753"/>
      <c r="S20" s="3051" t="s">
        <v>706</v>
      </c>
      <c r="T20" s="2737"/>
      <c r="U20" s="2738" t="str">
        <f>IF(('الصفحة 1'!$Q$14&gt;0),((IF(('الصفحة 12'!E21=""),"عدد تلاميذ 1 متوسط",IF(('الصفحة 12'!E21=0)," ",IF(('الصفحة 12'!E21&gt;0),""))))),"")</f>
        <v>عدد تلاميذ 1 متوسط</v>
      </c>
      <c r="V20" s="1032"/>
      <c r="W20" s="2738" t="str">
        <f>IF(('الصفحة 1'!$Q$14&gt;0),((IF(('الصفحة 12'!G21=""),"عدد تلاميذ 2 متوسط",IF(('الصفحة 12'!G21=0)," ",IF(('الصفحة 12'!G21&gt;0),""))))),"")</f>
        <v>عدد تلاميذ 2 متوسط</v>
      </c>
      <c r="X20" s="2738" t="str">
        <f>IF(('الصفحة 1'!$Q$14&gt;0),((IF(('الصفحة 12'!I21=""),"عدد تلاميذ 3 متوسط",IF(('الصفحة 12'!I21=0)," ",IF(('الصفحة 12'!I21&gt;0),""))))),"")</f>
        <v>عدد تلاميذ 3 متوسط</v>
      </c>
      <c r="Y20" s="2738" t="str">
        <f>IF(('الصفحة 1'!$Q$14&gt;0),((IF(('الصفحة 12'!K21=""),"عدد تلاميذ 4 متوسط",IF(('الصفحة 12'!K21=0)," ",IF(('الصفحة 12'!K21&gt;0),""))))),"")</f>
        <v>عدد تلاميذ 4 متوسط</v>
      </c>
      <c r="Z20" s="3019"/>
      <c r="AA20" s="1006"/>
    </row>
    <row r="21" spans="1:27" ht="15.9" customHeight="1">
      <c r="A21" s="750"/>
      <c r="B21" s="895"/>
      <c r="C21" s="3015"/>
      <c r="D21" s="4330"/>
      <c r="E21" s="3041"/>
      <c r="F21" s="3042"/>
      <c r="G21" s="3041"/>
      <c r="H21" s="3042"/>
      <c r="I21" s="3041"/>
      <c r="J21" s="3042"/>
      <c r="K21" s="3041"/>
      <c r="L21" s="3042"/>
      <c r="M21" s="3157">
        <f>K21+I21+G21+E21</f>
        <v>0</v>
      </c>
      <c r="N21" s="3158">
        <f>L21+J21+H21+F21</f>
        <v>0</v>
      </c>
      <c r="O21" s="2369"/>
      <c r="P21" s="3014"/>
      <c r="Q21" s="872"/>
      <c r="R21" s="753"/>
      <c r="S21" s="3051" t="s">
        <v>19</v>
      </c>
      <c r="T21" s="2737"/>
      <c r="U21" s="2738" t="str">
        <f>IF(('الصفحة 1'!$Q$14&gt;0),((IF(('الصفحة 12'!F21=""),"عدد تلميذات 1 متوسط",IF(('الصفحة 12'!F21=0)," ",IF(('الصفحة 12'!F21&gt;0),""))))),"")</f>
        <v>عدد تلميذات 1 متوسط</v>
      </c>
      <c r="V21" s="1032"/>
      <c r="W21" s="2738" t="str">
        <f>IF(('الصفحة 1'!$Q$14&gt;0),((IF(('الصفحة 12'!H21=""),"عدد تلميذات 2 متوسط",IF(('الصفحة 12'!H21=0)," ",IF(('الصفحة 12'!H21&gt;0),""))))),"")</f>
        <v>عدد تلميذات 2 متوسط</v>
      </c>
      <c r="X21" s="2738" t="str">
        <f>IF(('الصفحة 1'!$Q$14&gt;0),((IF(('الصفحة 12'!J21=""),"عدد تلميذات 3 متوسط",IF(('الصفحة 12'!J21=0)," ",IF(('الصفحة 12'!J21&gt;0),""))))),"")</f>
        <v>عدد تلميذات 3 متوسط</v>
      </c>
      <c r="Y21" s="2738" t="str">
        <f>IF(('الصفحة 1'!$Q$14&gt;0),((IF(('الصفحة 12'!L21=""),"عدد تلميذات 4 متوسط",IF(('الصفحة 12'!L21=0)," ",IF(('الصفحة 12'!L21&gt;0),""))))),"")</f>
        <v>عدد تلميذات 4 متوسط</v>
      </c>
      <c r="Z21" s="3019"/>
      <c r="AA21" s="1006"/>
    </row>
    <row r="22" spans="1:27" ht="18" customHeight="1">
      <c r="A22" s="750"/>
      <c r="B22" s="895"/>
      <c r="C22" s="3015"/>
      <c r="D22" s="1026"/>
      <c r="E22" s="4346"/>
      <c r="F22" s="4346"/>
      <c r="G22" s="1026"/>
      <c r="H22" s="1026"/>
      <c r="I22" s="1026"/>
      <c r="J22" s="1026"/>
      <c r="K22" s="4323" t="str">
        <f>IF(('الصفحة 1'!$Q$14&gt;0),(IF(((M21)&gt;'الصفحة 10'!N20),("خطء تلاميذ الآمازيغية "),IF(((M21)&gt;'الصفحة 10'!N20),("خطء تلاميذ الآمازيغية "),IF(((M21)&gt;'الصفحة 10'!N20),(" خطء تلاميذ الآمازيغية  "),"")))),"")</f>
        <v/>
      </c>
      <c r="L22" s="4323"/>
      <c r="M22" s="4323" t="str">
        <f>IF(('الصفحة 1'!$Q$14&gt;0),(IF(((M19)&gt;M21),("خطء أفواج الآمازيغية "),IF(((M19)&gt;M21),("خطء أفواج الآمازيغية "),IF(((M19)&gt;M21),(" خطء أفواج الآمازيغية  "),"")))),"")</f>
        <v/>
      </c>
      <c r="N22" s="4323"/>
      <c r="O22" s="2370"/>
      <c r="P22" s="3014"/>
      <c r="Q22" s="872"/>
      <c r="R22" s="753"/>
      <c r="S22" s="1032"/>
      <c r="T22" s="1032"/>
      <c r="U22" s="1032"/>
      <c r="V22" s="1032"/>
      <c r="W22" s="2740" t="str">
        <f>IF(('الصفحة 1'!$Q$14&gt;0),IF(('الصفحة 12'!M28&gt;0),IF((('الصفحة 12'!M19)&gt;(0)),"","خطء الأفواج"),""),"")</f>
        <v/>
      </c>
      <c r="X22" s="1032"/>
      <c r="Y22" s="1032"/>
      <c r="Z22" s="3019"/>
      <c r="AA22" s="1006"/>
    </row>
    <row r="23" spans="1:27" ht="14.1" customHeight="1">
      <c r="A23" s="750"/>
      <c r="B23" s="895"/>
      <c r="C23" s="3015"/>
      <c r="D23" s="1032"/>
      <c r="E23" s="1032"/>
      <c r="F23" s="1032"/>
      <c r="G23" s="1032"/>
      <c r="H23" s="1032"/>
      <c r="I23" s="1032"/>
      <c r="J23" s="1032"/>
      <c r="K23" s="1032"/>
      <c r="L23" s="1032"/>
      <c r="M23" s="1032"/>
      <c r="N23" s="1032"/>
      <c r="O23" s="2370"/>
      <c r="P23" s="3014"/>
      <c r="Q23" s="872"/>
      <c r="R23" s="753"/>
      <c r="S23" s="1032"/>
      <c r="T23" s="1032"/>
      <c r="U23" s="2742" t="str">
        <f>IF(('الصفحة 1'!$Q$14&gt;0),IF((E21&gt;0),IF((E21&gt;'الصفحة 10'!$F$20),"خطء عدد تلاميذ 1 متوسط",""),""),"")</f>
        <v/>
      </c>
      <c r="V23" s="1032"/>
      <c r="W23" s="2742" t="str">
        <f>IF(('الصفحة 1'!$Q$14&gt;0),IF((G21&gt;0),IF((G21&gt;'الصفحة 10'!$H$20),"خطء عدد تلاميذ 2 متوسط",""),""),"")</f>
        <v/>
      </c>
      <c r="X23" s="2742" t="str">
        <f>IF(('الصفحة 1'!$Q$14&gt;0),IF((I21&gt;0),IF((I21&gt;'الصفحة 10'!$J$20),"خطء عدد تلاميذ 3 متوسط",""),""),"")</f>
        <v/>
      </c>
      <c r="Y23" s="2742" t="str">
        <f>IF(('الصفحة 1'!$Q$14&gt;0),IF((K21&gt;0),IF((K21&gt;'الصفحة 10'!$L$20),"خطء عدد تلاميذ 4 متوسط",""),""),"")</f>
        <v/>
      </c>
      <c r="Z23" s="3019"/>
      <c r="AA23" s="1006"/>
    </row>
    <row r="24" spans="1:27" ht="18" customHeight="1">
      <c r="A24" s="750"/>
      <c r="B24" s="895"/>
      <c r="C24" s="3017"/>
      <c r="D24" s="2374" t="s">
        <v>1274</v>
      </c>
      <c r="E24" s="2375"/>
      <c r="F24" s="2375"/>
      <c r="G24" s="2375"/>
      <c r="H24" s="2375"/>
      <c r="I24" s="2375"/>
      <c r="J24" s="2375"/>
      <c r="K24" s="2375"/>
      <c r="L24" s="2375"/>
      <c r="M24" s="2375"/>
      <c r="N24" s="2375"/>
      <c r="O24" s="2363"/>
      <c r="P24" s="3014"/>
      <c r="Q24" s="872"/>
      <c r="R24" s="753"/>
      <c r="S24" s="3058" t="s">
        <v>708</v>
      </c>
      <c r="T24" s="3060"/>
      <c r="U24" s="3060"/>
      <c r="V24" s="1032"/>
      <c r="W24" s="2739"/>
      <c r="X24" s="1032"/>
      <c r="Y24" s="1032"/>
      <c r="Z24" s="3019"/>
      <c r="AA24" s="1006"/>
    </row>
    <row r="25" spans="1:27" ht="14.1" customHeight="1">
      <c r="A25" s="750"/>
      <c r="B25" s="895"/>
      <c r="C25" s="3015"/>
      <c r="D25" s="1026"/>
      <c r="E25" s="1026"/>
      <c r="F25" s="1316"/>
      <c r="G25" s="1026"/>
      <c r="H25" s="1026"/>
      <c r="I25" s="1026"/>
      <c r="J25" s="1026"/>
      <c r="K25" s="1026"/>
      <c r="L25" s="1026"/>
      <c r="M25" s="1026"/>
      <c r="N25" s="1026"/>
      <c r="O25" s="2369"/>
      <c r="P25" s="3014"/>
      <c r="Q25" s="872"/>
      <c r="R25" s="753"/>
      <c r="S25" s="1032"/>
      <c r="T25" s="1032"/>
      <c r="U25" s="1032"/>
      <c r="V25" s="1032"/>
      <c r="W25" s="2739"/>
      <c r="X25" s="1032"/>
      <c r="Y25" s="1032"/>
      <c r="Z25" s="3019"/>
      <c r="AA25" s="1006"/>
    </row>
    <row r="26" spans="1:27" ht="15.9" customHeight="1">
      <c r="A26" s="750"/>
      <c r="B26" s="895"/>
      <c r="C26" s="3015"/>
      <c r="D26" s="4314" t="s">
        <v>134</v>
      </c>
      <c r="E26" s="4318" t="s">
        <v>133</v>
      </c>
      <c r="F26" s="4319"/>
      <c r="G26" s="4310" t="s">
        <v>649</v>
      </c>
      <c r="H26" s="4311"/>
      <c r="I26" s="4310" t="s">
        <v>650</v>
      </c>
      <c r="J26" s="4311"/>
      <c r="K26" s="4310" t="s">
        <v>132</v>
      </c>
      <c r="L26" s="4311"/>
      <c r="M26" s="4324" t="s">
        <v>28</v>
      </c>
      <c r="N26" s="4325"/>
      <c r="O26" s="2369"/>
      <c r="P26" s="3014"/>
      <c r="Q26" s="872"/>
      <c r="R26" s="753"/>
      <c r="S26" s="1032"/>
      <c r="T26" s="1032"/>
      <c r="U26" s="1032"/>
      <c r="V26" s="1032"/>
      <c r="W26" s="2739"/>
      <c r="X26" s="1032"/>
      <c r="Y26" s="1032"/>
      <c r="Z26" s="3019"/>
      <c r="AA26" s="1006"/>
    </row>
    <row r="27" spans="1:27" ht="15.9" customHeight="1">
      <c r="A27" s="750"/>
      <c r="B27" s="895"/>
      <c r="C27" s="3015"/>
      <c r="D27" s="4315"/>
      <c r="E27" s="2378" t="s">
        <v>20</v>
      </c>
      <c r="F27" s="2379" t="s">
        <v>131</v>
      </c>
      <c r="G27" s="2380" t="s">
        <v>20</v>
      </c>
      <c r="H27" s="2381" t="s">
        <v>131</v>
      </c>
      <c r="I27" s="2382" t="s">
        <v>20</v>
      </c>
      <c r="J27" s="2379" t="s">
        <v>131</v>
      </c>
      <c r="K27" s="2380" t="s">
        <v>20</v>
      </c>
      <c r="L27" s="2381" t="s">
        <v>131</v>
      </c>
      <c r="M27" s="2383" t="s">
        <v>20</v>
      </c>
      <c r="N27" s="2384" t="s">
        <v>29</v>
      </c>
      <c r="O27" s="2369"/>
      <c r="P27" s="3014"/>
      <c r="Q27" s="872"/>
      <c r="R27" s="753"/>
      <c r="S27" s="2994" t="s">
        <v>130</v>
      </c>
      <c r="T27" s="2737"/>
      <c r="U27" s="3053" t="str">
        <f>IF(('الصفحة 1'!$Q$14&gt;0),((IF(('الصفحة 12'!E28=""),"أساتذة التعليم الثانوي",IF(('الصفحة 12'!E28=0)," ",IF(('الصفحة 12'!E28&gt;0),""))))),"")</f>
        <v>أساتذة التعليم الثانوي</v>
      </c>
      <c r="V27" s="3055"/>
      <c r="W27" s="3053" t="str">
        <f>IF(('الصفحة 1'!$Q$14&gt;0),((IF(('الصفحة 12'!G28=""),"أساتذة التعليم المتوسط",IF(('الصفحة 12'!G28=0)," ",IF(('الصفحة 12'!G28&gt;0),""))))),"")</f>
        <v>أساتذة التعليم المتوسط</v>
      </c>
      <c r="X27" s="3053" t="str">
        <f>IF(('الصفحة 1'!$Q$14&gt;0),((IF(('الصفحة 12'!I28=""),"أساتذة التعليم الإبتدائي",IF(('الصفحة 12'!I28=0)," ",IF(('الصفحة 12'!I28&gt;0),""))))),"")</f>
        <v>أساتذة التعليم الإبتدائي</v>
      </c>
      <c r="Y27" s="3053" t="str">
        <f>IF(('الصفحة 1'!$Q$14&gt;0),((IF(('الصفحة 12'!K28=""),"أساتذة إطار أخر",IF(('الصفحة 12'!K28=0)," ",IF(('الصفحة 12'!K28&gt;0),""))))),"")</f>
        <v>أساتذة إطار أخر</v>
      </c>
      <c r="Z27" s="3019"/>
      <c r="AA27" s="1006"/>
    </row>
    <row r="28" spans="1:27" ht="15.9" customHeight="1">
      <c r="A28" s="750"/>
      <c r="B28" s="895"/>
      <c r="C28" s="3015"/>
      <c r="D28" s="2385" t="s">
        <v>130</v>
      </c>
      <c r="E28" s="3043"/>
      <c r="F28" s="3054"/>
      <c r="G28" s="3044"/>
      <c r="H28" s="3054"/>
      <c r="I28" s="3044"/>
      <c r="J28" s="3054"/>
      <c r="K28" s="3044"/>
      <c r="L28" s="3054"/>
      <c r="M28" s="3157">
        <f>K28+I28+G28+E28</f>
        <v>0</v>
      </c>
      <c r="N28" s="3158">
        <f>L28+J28+H28+F28</f>
        <v>0</v>
      </c>
      <c r="O28" s="2369"/>
      <c r="P28" s="3014"/>
      <c r="Q28" s="872"/>
      <c r="R28" s="753"/>
      <c r="S28" s="2994" t="s">
        <v>131</v>
      </c>
      <c r="T28" s="2737"/>
      <c r="U28" s="3053" t="str">
        <f>IF(('الصفحة 1'!$Q$14&gt;0),((IF(('الصفحة 12'!F28=""),"أستاذات التعليم الثانوي",IF(('الصفحة 12'!F28=0)," ",IF(('الصفحة 12'!F28&gt;0),""))))),"")</f>
        <v>أستاذات التعليم الثانوي</v>
      </c>
      <c r="V28" s="3055"/>
      <c r="W28" s="3053" t="str">
        <f>IF(('الصفحة 1'!$Q$14&gt;0),((IF(('الصفحة 12'!H28=""),"أستاذات التعليم المتوسط",IF(('الصفحة 12'!H28=0)," ",IF(('الصفحة 12'!H28&gt;0),""))))),"")</f>
        <v>أستاذات التعليم المتوسط</v>
      </c>
      <c r="X28" s="3053" t="str">
        <f>IF(('الصفحة 1'!$Q$14&gt;0),((IF(('الصفحة 12'!J28=""),"أستاذات التعليم الإبتدائي",IF(('الصفحة 12'!J28=0)," ",IF(('الصفحة 12'!J28&gt;0),""))))),"")</f>
        <v>أستاذات التعليم الإبتدائي</v>
      </c>
      <c r="Y28" s="3053" t="str">
        <f>IF(('الصفحة 1'!$Q$14&gt;0),((IF(('الصفحة 12'!L28=""),"أستاذات إطار أخر",IF(('الصفحة 12'!L28=0)," ",IF(('الصفحة 12'!L28&gt;0),""))))),"")</f>
        <v>أستاذات إطار أخر</v>
      </c>
      <c r="Z28" s="3019"/>
      <c r="AA28" s="1006"/>
    </row>
    <row r="29" spans="1:27" ht="15.9" customHeight="1">
      <c r="A29" s="750"/>
      <c r="B29" s="895"/>
      <c r="C29" s="3015"/>
      <c r="D29" s="1026"/>
      <c r="E29" s="1026"/>
      <c r="F29" s="1026"/>
      <c r="G29" s="1026"/>
      <c r="H29" s="1026"/>
      <c r="I29" s="1026"/>
      <c r="J29" s="1026"/>
      <c r="K29" s="1026"/>
      <c r="L29" s="1026"/>
      <c r="M29" s="4323" t="str">
        <f>IF(('الصفحة 1'!$Q$14&gt;0),(IF(((M28)&lt;&gt;'الصفحة 27'!M47),("خطء أساتذة الآمازيغية"),IF(((M28)&lt;&gt;'الصفحة 27'!M47),("خطء أساتذة الآمازيغية "),IF(((M28)&lt;&gt;'الصفحة 27'!M47),(" خطء أساتذة الآمازيغية "),"")))),"")</f>
        <v/>
      </c>
      <c r="N29" s="4323"/>
      <c r="O29" s="2370"/>
      <c r="P29" s="3014"/>
      <c r="Q29" s="872"/>
      <c r="R29" s="753"/>
      <c r="S29" s="1032"/>
      <c r="T29" s="1032"/>
      <c r="U29" s="1032"/>
      <c r="V29" s="1032"/>
      <c r="W29" s="2740" t="str">
        <f>IF(('الصفحة 1'!$Q$14&gt;0),IF(('الصفحة 12'!M19&gt;0),IF((('الصفحة 12'!M28)&gt;(0)),"","خطء الأساتذة"),""),"")</f>
        <v/>
      </c>
      <c r="X29" s="1032"/>
      <c r="Y29" s="1032"/>
      <c r="Z29" s="3019"/>
      <c r="AA29" s="1006"/>
    </row>
    <row r="30" spans="1:27" ht="15.9" customHeight="1">
      <c r="A30" s="750"/>
      <c r="B30" s="895"/>
      <c r="C30" s="3015"/>
      <c r="D30" s="3021"/>
      <c r="E30" s="3021"/>
      <c r="F30" s="3021"/>
      <c r="G30" s="3021"/>
      <c r="H30" s="3021"/>
      <c r="I30" s="3021"/>
      <c r="J30" s="3021"/>
      <c r="K30" s="3021"/>
      <c r="L30" s="3021"/>
      <c r="M30" s="3022"/>
      <c r="N30" s="3022"/>
      <c r="O30" s="3020"/>
      <c r="P30" s="3014"/>
      <c r="Q30" s="872"/>
      <c r="R30" s="753"/>
      <c r="S30" s="3019"/>
      <c r="T30" s="3019"/>
      <c r="U30" s="3019"/>
      <c r="V30" s="3019"/>
      <c r="W30" s="3061"/>
      <c r="X30" s="3019"/>
      <c r="Y30" s="3019"/>
      <c r="Z30" s="3019"/>
      <c r="AA30" s="1006"/>
    </row>
    <row r="31" spans="1:27" ht="14.1" customHeight="1">
      <c r="A31" s="750"/>
      <c r="B31" s="895"/>
      <c r="C31" s="3004"/>
      <c r="D31" s="3005"/>
      <c r="E31" s="3005"/>
      <c r="F31" s="3005"/>
      <c r="G31" s="3005"/>
      <c r="H31" s="3005"/>
      <c r="I31" s="3005"/>
      <c r="J31" s="3005"/>
      <c r="K31" s="3005"/>
      <c r="L31" s="3005"/>
      <c r="M31" s="3134"/>
      <c r="N31" s="3005"/>
      <c r="O31" s="3006"/>
      <c r="P31" s="3007"/>
      <c r="Q31" s="872"/>
      <c r="R31" s="753"/>
      <c r="S31" s="3057"/>
      <c r="T31" s="3057"/>
      <c r="U31" s="3057"/>
      <c r="V31" s="3057"/>
      <c r="W31" s="3057"/>
      <c r="X31" s="3057"/>
      <c r="Y31" s="3057"/>
      <c r="Z31" s="3057"/>
      <c r="AA31" s="1006"/>
    </row>
    <row r="32" spans="1:27" ht="24" customHeight="1">
      <c r="A32" s="750"/>
      <c r="B32" s="895"/>
      <c r="C32" s="3008"/>
      <c r="D32" s="3040" t="s">
        <v>1284</v>
      </c>
      <c r="E32" s="2371"/>
      <c r="F32" s="2371"/>
      <c r="G32" s="2386"/>
      <c r="H32" s="2372"/>
      <c r="I32" s="2386"/>
      <c r="J32" s="2386"/>
      <c r="K32" s="2372"/>
      <c r="L32" s="2373"/>
      <c r="M32" s="2373"/>
      <c r="N32" s="3000" t="s">
        <v>1283</v>
      </c>
      <c r="O32" s="2373"/>
      <c r="P32" s="3007"/>
      <c r="Q32" s="872"/>
      <c r="R32" s="753"/>
      <c r="S32" s="1032"/>
      <c r="T32" s="1032"/>
      <c r="U32" s="1032"/>
      <c r="V32" s="1032"/>
      <c r="W32" s="1032"/>
      <c r="X32" s="1032"/>
      <c r="Y32" s="1032"/>
      <c r="Z32" s="3057"/>
      <c r="AA32" s="1006"/>
    </row>
    <row r="33" spans="1:27" ht="15" customHeight="1">
      <c r="A33" s="750"/>
      <c r="B33" s="895"/>
      <c r="C33" s="3004"/>
      <c r="D33" s="1026"/>
      <c r="E33" s="1026"/>
      <c r="F33" s="1026"/>
      <c r="G33" s="1026"/>
      <c r="H33" s="1026"/>
      <c r="I33" s="1026"/>
      <c r="J33" s="1026"/>
      <c r="K33" s="1026"/>
      <c r="L33" s="1026"/>
      <c r="M33" s="1026"/>
      <c r="N33" s="1026"/>
      <c r="O33" s="2370"/>
      <c r="P33" s="3007"/>
      <c r="Q33" s="872"/>
      <c r="R33" s="753"/>
      <c r="S33" s="1032"/>
      <c r="T33" s="1032"/>
      <c r="U33" s="1032"/>
      <c r="V33" s="1032"/>
      <c r="W33" s="1032"/>
      <c r="X33" s="1032"/>
      <c r="Y33" s="1032"/>
      <c r="Z33" s="3057"/>
      <c r="AA33" s="1006"/>
    </row>
    <row r="34" spans="1:27" ht="18" customHeight="1">
      <c r="A34" s="750"/>
      <c r="B34" s="895"/>
      <c r="C34" s="3009"/>
      <c r="D34" s="2374" t="s">
        <v>1401</v>
      </c>
      <c r="E34" s="2375"/>
      <c r="F34" s="2375"/>
      <c r="G34" s="2375"/>
      <c r="H34" s="2375"/>
      <c r="I34" s="2375"/>
      <c r="J34" s="2375"/>
      <c r="K34" s="2375"/>
      <c r="L34" s="2375"/>
      <c r="M34" s="2375"/>
      <c r="N34" s="2375"/>
      <c r="O34" s="2362"/>
      <c r="P34" s="3007"/>
      <c r="Q34" s="872"/>
      <c r="R34" s="753"/>
      <c r="S34" s="3064" t="s">
        <v>709</v>
      </c>
      <c r="T34" s="3065"/>
      <c r="U34" s="3065"/>
      <c r="V34" s="3065"/>
      <c r="W34" s="3065"/>
      <c r="X34" s="1032"/>
      <c r="Y34" s="1032"/>
      <c r="Z34" s="3057"/>
      <c r="AA34" s="1006"/>
    </row>
    <row r="35" spans="1:27" ht="15" customHeight="1">
      <c r="A35" s="750"/>
      <c r="B35" s="895"/>
      <c r="C35" s="3004"/>
      <c r="D35" s="1026"/>
      <c r="E35" s="1026"/>
      <c r="F35" s="1026"/>
      <c r="G35" s="1026"/>
      <c r="H35" s="1026"/>
      <c r="I35" s="1026"/>
      <c r="J35" s="1026"/>
      <c r="K35" s="1026"/>
      <c r="L35" s="1026"/>
      <c r="M35" s="1026"/>
      <c r="N35" s="1026"/>
      <c r="O35" s="2370"/>
      <c r="P35" s="3007"/>
      <c r="Q35" s="872"/>
      <c r="R35" s="753"/>
      <c r="S35" s="1032"/>
      <c r="T35" s="1032"/>
      <c r="U35" s="1032"/>
      <c r="V35" s="1032"/>
      <c r="W35" s="1032"/>
      <c r="X35" s="1032"/>
      <c r="Y35" s="1032"/>
      <c r="Z35" s="3057"/>
      <c r="AA35" s="1006"/>
    </row>
    <row r="36" spans="1:27" ht="15.9" customHeight="1">
      <c r="A36" s="750"/>
      <c r="B36" s="895"/>
      <c r="C36" s="3004"/>
      <c r="D36" s="2376" t="s">
        <v>26</v>
      </c>
      <c r="E36" s="4316" t="s">
        <v>25</v>
      </c>
      <c r="F36" s="4317"/>
      <c r="G36" s="4321" t="s">
        <v>24</v>
      </c>
      <c r="H36" s="4322"/>
      <c r="I36" s="4320" t="s">
        <v>23</v>
      </c>
      <c r="J36" s="4317"/>
      <c r="K36" s="4321" t="s">
        <v>22</v>
      </c>
      <c r="L36" s="4322"/>
      <c r="M36" s="4326" t="s">
        <v>28</v>
      </c>
      <c r="N36" s="4327"/>
      <c r="O36" s="2369"/>
      <c r="P36" s="3007"/>
      <c r="Q36" s="872"/>
      <c r="R36" s="753"/>
      <c r="S36" s="1032"/>
      <c r="T36" s="1032"/>
      <c r="U36" s="1032"/>
      <c r="V36" s="1032"/>
      <c r="W36" s="1032"/>
      <c r="X36" s="1032"/>
      <c r="Y36" s="1032"/>
      <c r="Z36" s="3057"/>
      <c r="AA36" s="1006"/>
    </row>
    <row r="37" spans="1:27" ht="15.9" customHeight="1">
      <c r="A37" s="750"/>
      <c r="B37" s="895"/>
      <c r="C37" s="3004"/>
      <c r="D37" s="2385" t="s">
        <v>129</v>
      </c>
      <c r="E37" s="4312">
        <v>7</v>
      </c>
      <c r="F37" s="4313"/>
      <c r="G37" s="4312">
        <v>5</v>
      </c>
      <c r="H37" s="4313"/>
      <c r="I37" s="4312">
        <v>4</v>
      </c>
      <c r="J37" s="4313"/>
      <c r="K37" s="4312">
        <v>5</v>
      </c>
      <c r="L37" s="4313"/>
      <c r="M37" s="4328">
        <f>SUM(E37:L37)</f>
        <v>21</v>
      </c>
      <c r="N37" s="4329"/>
      <c r="O37" s="2369"/>
      <c r="P37" s="3007"/>
      <c r="Q37" s="872"/>
      <c r="R37" s="753"/>
      <c r="S37" s="2994" t="s">
        <v>129</v>
      </c>
      <c r="T37" s="2737"/>
      <c r="U37" s="3053" t="str">
        <f>IF(('الصفحة 1'!$Q$14&gt;0),((IF((E37="")," عدد الأفواج 1 متوسط",IF((M37=0)," ",IF((M37&gt;0),""))))),"")</f>
        <v/>
      </c>
      <c r="V37" s="1032"/>
      <c r="W37" s="3053" t="str">
        <f>IF(('الصفحة 1'!$Q$14&gt;0),((IF((G37="")," عدد الأفواج 2 متوسط",IF((G37=0)," ",IF((G37&gt;0),""))))),"")</f>
        <v/>
      </c>
      <c r="X37" s="3053" t="str">
        <f>IF(('الصفحة 1'!$Q$14&gt;0),((IF((I37="")," عدد الأفواج 3 متوسط",IF((I37=0)," ",IF((I37&gt;0),""))))),"")</f>
        <v/>
      </c>
      <c r="Y37" s="3053" t="str">
        <f>IF(('الصفحة 1'!$Q$14&gt;0),((IF((K37="")," عدد الأفواج 4 متوسط",IF((K37=0)," ",IF((K37&gt;0),""))))),"")</f>
        <v/>
      </c>
      <c r="Z37" s="3057"/>
      <c r="AA37" s="1006"/>
    </row>
    <row r="38" spans="1:27" ht="15.9" customHeight="1">
      <c r="A38" s="750"/>
      <c r="B38" s="895"/>
      <c r="C38" s="3004"/>
      <c r="D38" s="1032"/>
      <c r="E38" s="2387" t="s">
        <v>20</v>
      </c>
      <c r="F38" s="2388" t="s">
        <v>19</v>
      </c>
      <c r="G38" s="2389" t="s">
        <v>20</v>
      </c>
      <c r="H38" s="2390" t="s">
        <v>19</v>
      </c>
      <c r="I38" s="2391" t="s">
        <v>20</v>
      </c>
      <c r="J38" s="2388" t="s">
        <v>19</v>
      </c>
      <c r="K38" s="2389" t="s">
        <v>20</v>
      </c>
      <c r="L38" s="2390" t="s">
        <v>19</v>
      </c>
      <c r="M38" s="2392" t="s">
        <v>20</v>
      </c>
      <c r="N38" s="2393" t="s">
        <v>19</v>
      </c>
      <c r="O38" s="2369"/>
      <c r="P38" s="3007"/>
      <c r="Q38" s="872"/>
      <c r="R38" s="753"/>
      <c r="S38" s="2994" t="s">
        <v>706</v>
      </c>
      <c r="T38" s="2737"/>
      <c r="U38" s="2738" t="str">
        <f>IF(('الصفحة 1'!$Q$14&gt;0),((IF(('الصفحة 12'!E39=""),"عدد تلاميذ 1 متوسط",IF(('الصفحة 12'!E39=0)," ",IF(('الصفحة 12'!E39&gt;0),""))))),"")</f>
        <v/>
      </c>
      <c r="V38" s="1032"/>
      <c r="W38" s="2738" t="str">
        <f>IF(('الصفحة 1'!$Q$14&gt;0),((IF(('الصفحة 12'!G39=""),"عدد تلاميذ 2 متوسط",IF(('الصفحة 12'!G39=0)," ",IF(('الصفحة 12'!G39&gt;0),""))))),"")</f>
        <v/>
      </c>
      <c r="X38" s="2738" t="str">
        <f>IF(('الصفحة 1'!$Q$14&gt;0),((IF(('الصفحة 12'!I39=""),"عدد تلاميذ 3 متوسط",IF(('الصفحة 12'!I39=0)," ",IF(('الصفحة 12'!I39&gt;0),""))))),"")</f>
        <v/>
      </c>
      <c r="Y38" s="2738" t="str">
        <f>IF(('الصفحة 1'!$Q$14&gt;0),((IF(('الصفحة 12'!K39=""),"عدد تلاميذ 4 متوسط",IF(('الصفحة 12'!K39=0)," ",IF(('الصفحة 12'!K39&gt;0),""))))),"")</f>
        <v/>
      </c>
      <c r="Z38" s="3057"/>
      <c r="AA38" s="1006"/>
    </row>
    <row r="39" spans="1:27" ht="15.9" customHeight="1">
      <c r="A39" s="750"/>
      <c r="B39" s="895"/>
      <c r="C39" s="3004"/>
      <c r="D39" s="2394" t="s">
        <v>128</v>
      </c>
      <c r="E39" s="3045">
        <v>238</v>
      </c>
      <c r="F39" s="3046">
        <v>103</v>
      </c>
      <c r="G39" s="3047">
        <v>173</v>
      </c>
      <c r="H39" s="3046">
        <v>85</v>
      </c>
      <c r="I39" s="3047">
        <v>164</v>
      </c>
      <c r="J39" s="3046">
        <v>96</v>
      </c>
      <c r="K39" s="3047">
        <v>163</v>
      </c>
      <c r="L39" s="3046">
        <v>75</v>
      </c>
      <c r="M39" s="3153">
        <f t="shared" ref="M39:N41" si="0">K39+I39+G39+E39</f>
        <v>738</v>
      </c>
      <c r="N39" s="3154">
        <f t="shared" si="0"/>
        <v>359</v>
      </c>
      <c r="O39" s="2369"/>
      <c r="P39" s="3007"/>
      <c r="Q39" s="872"/>
      <c r="R39" s="753"/>
      <c r="S39" s="2994" t="s">
        <v>19</v>
      </c>
      <c r="T39" s="2737"/>
      <c r="U39" s="2738" t="str">
        <f>IF(('الصفحة 1'!$Q$14&gt;0),((IF(('الصفحة 12'!F39=""),"عدد تلميذات 1 متوسط",IF(('الصفحة 12'!F39=0)," ",IF(('الصفحة 12'!F39&gt;0),""))))),"")</f>
        <v/>
      </c>
      <c r="V39" s="1032"/>
      <c r="W39" s="2738" t="str">
        <f>IF(('الصفحة 1'!$Q$14&gt;0),((IF(('الصفحة 12'!H39=""),"عدد تلميذات 2 متوسط",IF(('الصفحة 12'!H39=0)," ",IF(('الصفحة 12'!H39&gt;0),""))))),"")</f>
        <v/>
      </c>
      <c r="X39" s="2738" t="str">
        <f>IF(('الصفحة 1'!$Q$14&gt;0),((IF(('الصفحة 12'!J39=""),"عدد تلميذات 3 متوسط",IF(('الصفحة 12'!J39=0)," ",IF(('الصفحة 12'!J39&gt;0),""))))),"")</f>
        <v/>
      </c>
      <c r="Y39" s="2738" t="str">
        <f>IF(('الصفحة 1'!$Q$14&gt;0),((IF(('الصفحة 12'!L39=""),"عدد تلميذات 4 متوسط",IF(('الصفحة 12'!L39=0)," ",IF(('الصفحة 12'!L39&gt;0),""))))),"")</f>
        <v/>
      </c>
      <c r="Z39" s="3057"/>
      <c r="AA39" s="1006"/>
    </row>
    <row r="40" spans="1:27" ht="15.9" customHeight="1">
      <c r="A40" s="750"/>
      <c r="B40" s="895"/>
      <c r="C40" s="3004"/>
      <c r="D40" s="2395" t="s">
        <v>127</v>
      </c>
      <c r="E40" s="3045">
        <v>51</v>
      </c>
      <c r="F40" s="3046">
        <v>24</v>
      </c>
      <c r="G40" s="3047">
        <v>42</v>
      </c>
      <c r="H40" s="3046">
        <v>20</v>
      </c>
      <c r="I40" s="3047">
        <v>31</v>
      </c>
      <c r="J40" s="3046">
        <v>13</v>
      </c>
      <c r="K40" s="3047">
        <v>10</v>
      </c>
      <c r="L40" s="3046">
        <v>4</v>
      </c>
      <c r="M40" s="3153">
        <f t="shared" si="0"/>
        <v>134</v>
      </c>
      <c r="N40" s="3154">
        <f t="shared" si="0"/>
        <v>61</v>
      </c>
      <c r="O40" s="2369"/>
      <c r="P40" s="3007"/>
      <c r="Q40" s="872"/>
      <c r="R40" s="753"/>
      <c r="S40" s="2994" t="s">
        <v>127</v>
      </c>
      <c r="T40" s="2737"/>
      <c r="U40" s="2742" t="str">
        <f>IF(('الصفحة 1'!$Q$14&gt;0),((IF(('الصفحة 12'!E40=""),"عدد نصف داخليين 1 متوسط",IF(('الصفحة 12'!E40=0)," ",IF(('الصفحة 12'!E40&gt;0),""))))),"")</f>
        <v/>
      </c>
      <c r="V40" s="3056"/>
      <c r="W40" s="2742" t="str">
        <f>IF(('الصفحة 1'!$Q$14&gt;0),((IF(('الصفحة 12'!G40=""),"عدد نصف داخليين 2 متوسط",IF(('الصفحة 12'!G40=0)," ",IF(('الصفحة 12'!G40&gt;0),""))))),"")</f>
        <v/>
      </c>
      <c r="X40" s="2742" t="str">
        <f>IF(('الصفحة 1'!$Q$14&gt;0),((IF(('الصفحة 12'!I40=""),"عدد نصف داخليين 3 متوسط",IF(('الصفحة 12'!I40=0)," ",IF(('الصفحة 12'!I40&gt;0),""))))),"")</f>
        <v/>
      </c>
      <c r="Y40" s="2742" t="str">
        <f>IF(('الصفحة 1'!$Q$14&gt;0),((IF(('الصفحة 12'!K40=""),"عدد نصف داخليين 4 متوسط",IF(('الصفحة 12'!K40=0)," ",IF(('الصفحة 12'!K40&gt;0),""))))),"")</f>
        <v/>
      </c>
      <c r="Z40" s="3057"/>
      <c r="AA40" s="1006"/>
    </row>
    <row r="41" spans="1:27" ht="15.9" customHeight="1">
      <c r="A41" s="750"/>
      <c r="B41" s="895"/>
      <c r="C41" s="3004"/>
      <c r="D41" s="2394" t="s">
        <v>126</v>
      </c>
      <c r="E41" s="3048">
        <v>0</v>
      </c>
      <c r="F41" s="3049">
        <v>0</v>
      </c>
      <c r="G41" s="3050">
        <v>0</v>
      </c>
      <c r="H41" s="3049">
        <v>0</v>
      </c>
      <c r="I41" s="3050">
        <v>0</v>
      </c>
      <c r="J41" s="3049">
        <v>0</v>
      </c>
      <c r="K41" s="3050">
        <v>0</v>
      </c>
      <c r="L41" s="3049">
        <v>0</v>
      </c>
      <c r="M41" s="3155">
        <f t="shared" si="0"/>
        <v>0</v>
      </c>
      <c r="N41" s="3156">
        <f t="shared" si="0"/>
        <v>0</v>
      </c>
      <c r="O41" s="2369"/>
      <c r="P41" s="3007"/>
      <c r="Q41" s="872"/>
      <c r="R41" s="753"/>
      <c r="S41" s="2994" t="s">
        <v>19</v>
      </c>
      <c r="T41" s="2737"/>
      <c r="U41" s="2742" t="str">
        <f>IF(('الصفحة 1'!$Q$14&gt;0),((IF(('الصفحة 12'!F40=""),"إنات نصف داخليين 1 متوسط",IF(('الصفحة 12'!F40=0)," ",IF(('الصفحة 12'!F40&gt;0),""))))),"")</f>
        <v/>
      </c>
      <c r="V41" s="3056"/>
      <c r="W41" s="2742" t="str">
        <f>IF(('الصفحة 1'!$Q$14&gt;0),((IF(('الصفحة 12'!H40=""),"إنات نصف داخليين 2 متوسط",IF(('الصفحة 12'!H40=0)," ",IF(('الصفحة 12'!H40&gt;0),""))))),"")</f>
        <v/>
      </c>
      <c r="X41" s="2742" t="str">
        <f>IF(('الصفحة 1'!$Q$14&gt;0),((IF(('الصفحة 12'!J40=""),"إنات نصف داخليين 3 متوسط",IF(('الصفحة 12'!J40=0)," ",IF(('الصفحة 12'!J40&gt;0),""))))),"")</f>
        <v/>
      </c>
      <c r="Y41" s="2742" t="str">
        <f>IF(('الصفحة 1'!$Q$14&gt;0),((IF(('الصفحة 12'!L40=""),"إنات نصف داخليين 4 متوسط",IF(('الصفحة 12'!L40=0)," ",IF(('الصفحة 12'!L40&gt;0),""))))),"")</f>
        <v/>
      </c>
      <c r="Z41" s="3057"/>
      <c r="AA41" s="1006"/>
    </row>
    <row r="42" spans="1:27" ht="15" customHeight="1">
      <c r="A42" s="750"/>
      <c r="B42" s="895"/>
      <c r="C42" s="3004"/>
      <c r="D42" s="1026"/>
      <c r="E42" s="1026"/>
      <c r="F42" s="1026"/>
      <c r="G42" s="1026"/>
      <c r="H42" s="1026"/>
      <c r="I42" s="1026"/>
      <c r="J42" s="1026"/>
      <c r="K42" s="4242" t="str">
        <f>IF(('الصفحة 1'!$Q$14&gt;0),(IF(((M39)&gt;'الصفحة 10'!N20),("خطء تلاميذ أقسام الرياضة"),IF(((M39)&gt;'الصفحة 10'!N20),("خطء تلاميذ أقسام الرياضة"),IF(((M39)&gt;'الصفحة 10'!N20),(" خطء تلاميذ أقسام الرياضة  "),"")))),"")</f>
        <v/>
      </c>
      <c r="L42" s="4242"/>
      <c r="M42" s="4242"/>
      <c r="N42" s="4242"/>
      <c r="O42" s="2370"/>
      <c r="P42" s="3007"/>
      <c r="Q42" s="872"/>
      <c r="R42" s="753"/>
      <c r="S42" s="2994" t="s">
        <v>126</v>
      </c>
      <c r="T42" s="2737"/>
      <c r="U42" s="3053" t="str">
        <f>IF(('الصفحة 1'!$Q$14&gt;0),((IF(('الصفحة 12'!E41=""),"عدد الداخليين 1 متوسط",IF(('الصفحة 12'!E41=0)," ",IF(('الصفحة 12'!E41&gt;0),""))))),"")</f>
        <v xml:space="preserve"> </v>
      </c>
      <c r="V42" s="3055"/>
      <c r="W42" s="3053" t="str">
        <f>IF(('الصفحة 1'!$Q$14&gt;0),((IF(('الصفحة 12'!G41=""),"عدد الداخليين 2 متوسط",IF(('الصفحة 12'!G41=0)," ",IF(('الصفحة 12'!G41&gt;0),""))))),"")</f>
        <v xml:space="preserve"> </v>
      </c>
      <c r="X42" s="3053" t="str">
        <f>IF(('الصفحة 1'!$Q$14&gt;0),((IF(('الصفحة 12'!I41=""),"عدد الداخليين 3 متوسط",IF(('الصفحة 12'!I41=0)," ",IF(('الصفحة 12'!I41&gt;0),""))))),"")</f>
        <v xml:space="preserve"> </v>
      </c>
      <c r="Y42" s="3053" t="str">
        <f>IF(('الصفحة 1'!$Q$14&gt;0),((IF(('الصفحة 12'!K41=""),"عدد الداخليين 4 متوسط",IF(('الصفحة 12'!K41=0)," ",IF(('الصفحة 12'!K41&gt;0),""))))),"")</f>
        <v xml:space="preserve"> </v>
      </c>
      <c r="Z42" s="3057"/>
      <c r="AA42" s="1006"/>
    </row>
    <row r="43" spans="1:27" ht="14.1" customHeight="1">
      <c r="A43" s="750"/>
      <c r="B43" s="760"/>
      <c r="C43" s="3001"/>
      <c r="D43" s="3002"/>
      <c r="E43" s="3002"/>
      <c r="F43" s="3002"/>
      <c r="G43" s="3002"/>
      <c r="H43" s="3002"/>
      <c r="I43" s="3002"/>
      <c r="J43" s="3002"/>
      <c r="K43" s="3002"/>
      <c r="L43" s="3002"/>
      <c r="M43" s="3002"/>
      <c r="N43" s="3002"/>
      <c r="O43" s="3002"/>
      <c r="P43" s="3003"/>
      <c r="Q43" s="759"/>
      <c r="R43" s="753"/>
      <c r="S43" s="2994" t="s">
        <v>19</v>
      </c>
      <c r="T43" s="2737"/>
      <c r="U43" s="3053" t="str">
        <f>IF(('الصفحة 1'!$Q$14&gt;0),((IF(('الصفحة 12'!F41=""),"إنات الداخليين 1 متوسط",IF(('الصفحة 12'!F41=0)," ",IF(('الصفحة 12'!F41&gt;0),""))))),"")</f>
        <v xml:space="preserve"> </v>
      </c>
      <c r="V43" s="3055"/>
      <c r="W43" s="3053" t="str">
        <f>IF(('الصفحة 1'!$Q$14&gt;0),((IF(('الصفحة 12'!H41=""),"إنات الداخليين 2 متوسط",IF(('الصفحة 12'!H41=0)," ",IF(('الصفحة 12'!H41&gt;0),""))))),"")</f>
        <v xml:space="preserve"> </v>
      </c>
      <c r="X43" s="3053" t="str">
        <f>IF(('الصفحة 1'!$Q$14&gt;0),((IF(('الصفحة 12'!J41=""),"إنات الداخليين 3 متوسط",IF(('الصفحة 12'!J41=0)," ",IF(('الصفحة 12'!J41&gt;0),""))))),"")</f>
        <v xml:space="preserve"> </v>
      </c>
      <c r="Y43" s="3053" t="str">
        <f>IF(('الصفحة 1'!$Q$14&gt;0),((IF(('الصفحة 12'!L41=""),"إنات الداخليين 4 متوسط",IF(('الصفحة 12'!L41=0)," ",IF(('الصفحة 12'!L41&gt;0),""))))),"")</f>
        <v xml:space="preserve"> </v>
      </c>
      <c r="Z43" s="3057"/>
      <c r="AA43" s="1006"/>
    </row>
    <row r="44" spans="1:27" ht="15" customHeight="1">
      <c r="A44" s="750"/>
      <c r="B44" s="760"/>
      <c r="C44" s="867"/>
      <c r="D44" s="645"/>
      <c r="O44" s="645"/>
      <c r="P44" s="866"/>
      <c r="Q44" s="759"/>
      <c r="R44" s="753"/>
      <c r="S44" s="1032"/>
      <c r="T44" s="1032"/>
      <c r="U44" s="1032"/>
      <c r="V44" s="1032"/>
      <c r="W44" s="1032"/>
      <c r="X44" s="1032"/>
      <c r="Y44" s="1032"/>
      <c r="Z44" s="3063"/>
      <c r="AA44" s="1006"/>
    </row>
    <row r="45" spans="1:27" ht="14.1" customHeight="1">
      <c r="A45" s="750"/>
      <c r="B45" s="760"/>
      <c r="C45" s="867"/>
      <c r="D45" s="645"/>
      <c r="E45" s="1032"/>
      <c r="F45" s="1032"/>
      <c r="G45" s="1032"/>
      <c r="H45" s="1032"/>
      <c r="I45" s="1032"/>
      <c r="J45" s="1032"/>
      <c r="K45" s="1032"/>
      <c r="L45" s="1032"/>
      <c r="M45" s="1032"/>
      <c r="N45" s="1032"/>
      <c r="O45" s="645"/>
      <c r="P45" s="866"/>
      <c r="Q45" s="759"/>
      <c r="R45" s="753"/>
      <c r="S45" s="2740" t="str">
        <f>IF(('الصفحة 1'!$Q$14&gt;0),IF(('الصفحة 12'!M39&gt;0),IF((('الصفحة 12'!M37)&gt;(0)),"","خطء الأفواج"),""),"")</f>
        <v/>
      </c>
      <c r="T45" s="1032"/>
      <c r="U45" s="3053" t="str">
        <f>IF(('الصفحة 1'!$Q$14&gt;0),IF(('الصفحة 1'!V36=0),IF((M40&gt;0),"خطء نصف الداخليين",""),""),"")</f>
        <v/>
      </c>
      <c r="V45" s="1032"/>
      <c r="W45" s="1032"/>
      <c r="X45" s="1032"/>
      <c r="Y45" s="1032"/>
      <c r="Z45" s="3063"/>
      <c r="AA45" s="1006"/>
    </row>
    <row r="46" spans="1:27" ht="14.1" customHeight="1">
      <c r="A46" s="750"/>
      <c r="B46" s="760"/>
      <c r="C46" s="867"/>
      <c r="D46" s="645"/>
      <c r="E46" s="4308" t="str">
        <f>IF(('الصفحة 1'!$Q$14&gt;0),IF((E40&gt;0),IF((E40&gt;E39),"نصف داخليين",""),""),"")</f>
        <v/>
      </c>
      <c r="F46" s="4308" t="str">
        <f>IF(('الصفحة 1'!$Q$14&gt;0),IF((F40&gt;0),IF((F40&gt;F39),"نصف داخليين",""),""),"")</f>
        <v/>
      </c>
      <c r="G46" s="4308" t="str">
        <f>IF(('الصفحة 1'!$Q$14&gt;0),IF((G40&gt;0),IF((G40&gt;G39),"نصف داخليين",""),""),"")</f>
        <v/>
      </c>
      <c r="H46" s="4308" t="str">
        <f>IF(('الصفحة 1'!$Q$14&gt;0),IF((H40&gt;0),IF((H40&gt;H39),"نصف داخليين",""),""),"")</f>
        <v/>
      </c>
      <c r="I46" s="4308" t="str">
        <f>IF(('الصفحة 1'!$Q$14&gt;0),IF((I40&gt;0),IF((I40&gt;I39),"نصف داخليين",""),""),"")</f>
        <v/>
      </c>
      <c r="J46" s="4308" t="str">
        <f>IF(('الصفحة 1'!$Q$14&gt;0),IF((J40&gt;0),IF((J40&gt;J39),"نصف داخليين",""),""),"")</f>
        <v/>
      </c>
      <c r="K46" s="4308" t="str">
        <f>IF(('الصفحة 1'!$Q$14&gt;0),IF((K40&gt;0),IF((K40&gt;K39),"نصف داخليين",""),""),"")</f>
        <v/>
      </c>
      <c r="L46" s="4308" t="str">
        <f>IF(('الصفحة 1'!$Q$14&gt;0),IF((L40&gt;0),IF((L40&gt;L39),"نصف داخليين",""),""),"")</f>
        <v/>
      </c>
      <c r="M46" s="3249"/>
      <c r="N46" s="3249"/>
      <c r="O46" s="645"/>
      <c r="P46" s="866"/>
      <c r="Q46" s="759"/>
      <c r="R46" s="753"/>
      <c r="S46" s="2740" t="str">
        <f>IF(('الصفحة 1'!$Q$14&gt;0),IF(('الصفحة 12'!M37&gt;0),IF((('الصفحة 12'!M39)&gt;(0)),"","خطء التلاميذ"),""),"")</f>
        <v/>
      </c>
      <c r="T46" s="1032"/>
      <c r="U46" s="3053" t="str">
        <f>IF(('الصفحة 1'!$Q$14&gt;0),IF(('الصفحة 1'!V38=0),IF((M41&gt;0),"خطء الداخليين",""),""),"")</f>
        <v/>
      </c>
      <c r="V46" s="1032"/>
      <c r="W46" s="1032"/>
      <c r="X46" s="1032"/>
      <c r="Y46" s="1032"/>
      <c r="Z46" s="3063"/>
      <c r="AA46" s="1006"/>
    </row>
    <row r="47" spans="1:27" ht="14.1" customHeight="1">
      <c r="A47" s="750"/>
      <c r="B47" s="760"/>
      <c r="C47" s="867"/>
      <c r="D47" s="645"/>
      <c r="E47" s="4308"/>
      <c r="F47" s="4308"/>
      <c r="G47" s="4308"/>
      <c r="H47" s="4308"/>
      <c r="I47" s="4308"/>
      <c r="J47" s="4308"/>
      <c r="K47" s="4308"/>
      <c r="L47" s="4308"/>
      <c r="M47" s="3249"/>
      <c r="N47" s="3249"/>
      <c r="O47" s="645"/>
      <c r="P47" s="866"/>
      <c r="Q47" s="759"/>
      <c r="R47" s="753"/>
      <c r="S47" s="1032"/>
      <c r="T47" s="1032"/>
      <c r="U47" s="2742" t="str">
        <f>IF(('الصفحة 1'!$Q$14&gt;0),IF((E39&gt;0),IF((E39&gt;'الصفحة 10'!$F$20),"خطء عدد تلاميذ 1 متوسط",""),""),"")</f>
        <v/>
      </c>
      <c r="V47" s="1032"/>
      <c r="W47" s="2742" t="str">
        <f>IF(('الصفحة 1'!$Q$14&gt;0),IF((G39&gt;0),IF((G39&gt;'الصفحة 10'!$H$20),"خطء عدد تلاميذ 2 متوسط",""),""),"")</f>
        <v/>
      </c>
      <c r="X47" s="2742" t="str">
        <f>IF(('الصفحة 1'!$Q$14&gt;0),IF((I39&gt;0),IF((I39&gt;'الصفحة 10'!$J$20),"خطء عدد تلاميذ 3 متوسط",""),""),"")</f>
        <v/>
      </c>
      <c r="Y47" s="2742" t="str">
        <f>IF(('الصفحة 1'!$Q$14&gt;0),IF((K39&gt;0),IF((K39&gt;'الصفحة 10'!$L$20),"خطء عدد تلاميذ 4 متوسط",""),""),"")</f>
        <v/>
      </c>
      <c r="Z47" s="3063"/>
      <c r="AA47" s="1006"/>
    </row>
    <row r="48" spans="1:27" ht="14.1" customHeight="1">
      <c r="A48" s="750"/>
      <c r="B48" s="760"/>
      <c r="C48" s="867"/>
      <c r="D48" s="645"/>
      <c r="E48" s="4308"/>
      <c r="F48" s="4308"/>
      <c r="G48" s="4308"/>
      <c r="H48" s="4308"/>
      <c r="I48" s="4308"/>
      <c r="J48" s="4308"/>
      <c r="K48" s="4308"/>
      <c r="L48" s="4308"/>
      <c r="M48" s="3249"/>
      <c r="N48" s="3249"/>
      <c r="O48" s="645"/>
      <c r="P48" s="866"/>
      <c r="Q48" s="759"/>
      <c r="R48" s="753"/>
      <c r="S48" s="1032"/>
      <c r="T48" s="1032"/>
      <c r="U48" s="1032"/>
      <c r="V48" s="1032"/>
      <c r="W48" s="1032"/>
      <c r="X48" s="1032"/>
      <c r="Y48" s="1032"/>
      <c r="Z48" s="3063"/>
      <c r="AA48" s="1006"/>
    </row>
    <row r="49" spans="1:27" ht="14.1" customHeight="1">
      <c r="A49" s="750"/>
      <c r="B49" s="760"/>
      <c r="C49" s="867"/>
      <c r="D49" s="645"/>
      <c r="E49" s="4309" t="str">
        <f>IF(('الصفحة 1'!$Q$14&gt;0),IF((E41&gt;0),IF((E41&gt;E39),"داخليين",""),""),"")</f>
        <v/>
      </c>
      <c r="F49" s="4309" t="str">
        <f>IF(('الصفحة 1'!$Q$14&gt;0),IF((F41&gt;0),IF((F41&gt;F39),"داخليين",""),""),"")</f>
        <v/>
      </c>
      <c r="G49" s="4309" t="str">
        <f>IF(('الصفحة 1'!$Q$14&gt;0),IF((G41&gt;0),IF((G41&gt;G39),"داخليين",""),""),"")</f>
        <v/>
      </c>
      <c r="H49" s="4309" t="str">
        <f>IF(('الصفحة 1'!$Q$14&gt;0),IF((H41&gt;0),IF((H41&gt;H39),"داخليين",""),""),"")</f>
        <v/>
      </c>
      <c r="I49" s="4309" t="str">
        <f>IF(('الصفحة 1'!$Q$14&gt;0),IF((I41&gt;0),IF((I41&gt;I39),"داخليين",""),""),"")</f>
        <v/>
      </c>
      <c r="J49" s="4309" t="str">
        <f>IF(('الصفحة 1'!$Q$14&gt;0),IF((J41&gt;0),IF((J41&gt;J39),"داخليين",""),""),"")</f>
        <v/>
      </c>
      <c r="K49" s="4309" t="str">
        <f>IF(('الصفحة 1'!$Q$14&gt;0),IF((K41&gt;0),IF((K41&gt;K39),"داخليين",""),""),"")</f>
        <v/>
      </c>
      <c r="L49" s="4309" t="str">
        <f>IF(('الصفحة 1'!$Q$14&gt;0),IF((L41&gt;0),IF((L41&gt;L39),"داخليين",""),""),"")</f>
        <v/>
      </c>
      <c r="M49" s="3249"/>
      <c r="N49" s="3249"/>
      <c r="O49" s="645"/>
      <c r="P49" s="866"/>
      <c r="Q49" s="759"/>
      <c r="R49" s="753"/>
      <c r="S49" s="3057"/>
      <c r="T49" s="3057"/>
      <c r="U49" s="3057"/>
      <c r="V49" s="3057"/>
      <c r="W49" s="3057"/>
      <c r="X49" s="3057"/>
      <c r="Y49" s="3057"/>
      <c r="Z49" s="3063"/>
      <c r="AA49" s="1006"/>
    </row>
    <row r="50" spans="1:27" ht="14.1" customHeight="1">
      <c r="A50" s="750"/>
      <c r="B50" s="760"/>
      <c r="C50" s="867"/>
      <c r="D50" s="645"/>
      <c r="E50" s="4308"/>
      <c r="F50" s="4308"/>
      <c r="G50" s="4308"/>
      <c r="H50" s="4308"/>
      <c r="I50" s="4308"/>
      <c r="J50" s="4308"/>
      <c r="K50" s="4308"/>
      <c r="L50" s="4308"/>
      <c r="M50" s="3249"/>
      <c r="N50" s="3249"/>
      <c r="O50" s="645"/>
      <c r="P50" s="866"/>
      <c r="Q50" s="759"/>
      <c r="R50" s="753"/>
      <c r="S50" s="1032"/>
      <c r="T50" s="1032"/>
      <c r="U50" s="1032"/>
      <c r="V50" s="1032"/>
      <c r="W50" s="1032"/>
      <c r="X50" s="1032"/>
      <c r="Y50" s="1032"/>
      <c r="Z50" s="2719"/>
      <c r="AA50" s="1006"/>
    </row>
    <row r="51" spans="1:27" ht="14.1" customHeight="1">
      <c r="A51" s="750"/>
      <c r="B51" s="760"/>
      <c r="C51" s="867"/>
      <c r="D51" s="645"/>
      <c r="E51" s="3248"/>
      <c r="F51" s="3249"/>
      <c r="G51" s="3249"/>
      <c r="H51" s="3249"/>
      <c r="I51" s="3249"/>
      <c r="J51" s="3249"/>
      <c r="K51" s="3249"/>
      <c r="L51" s="3249"/>
      <c r="M51" s="3249"/>
      <c r="N51" s="3249"/>
      <c r="O51" s="645"/>
      <c r="P51" s="866"/>
      <c r="Q51" s="759"/>
      <c r="R51" s="753"/>
      <c r="S51" s="1032"/>
      <c r="T51" s="1032"/>
      <c r="U51" s="1032"/>
      <c r="V51" s="1032"/>
      <c r="W51" s="1032"/>
      <c r="X51" s="1032"/>
      <c r="Y51" s="1032"/>
      <c r="Z51" s="2719"/>
      <c r="AA51" s="1006"/>
    </row>
    <row r="52" spans="1:27" ht="14.1" customHeight="1">
      <c r="A52" s="750"/>
      <c r="B52" s="760"/>
      <c r="C52" s="867"/>
      <c r="D52" s="645"/>
      <c r="E52" s="3249"/>
      <c r="F52" s="3249"/>
      <c r="G52" s="3249"/>
      <c r="H52" s="3249"/>
      <c r="I52" s="3249"/>
      <c r="J52" s="3249"/>
      <c r="K52" s="3249"/>
      <c r="L52" s="3249"/>
      <c r="M52" s="3249"/>
      <c r="N52" s="3249"/>
      <c r="O52" s="645"/>
      <c r="P52" s="866"/>
      <c r="Q52" s="759"/>
      <c r="R52" s="753"/>
      <c r="S52" s="1032"/>
      <c r="T52" s="1032"/>
      <c r="U52" s="1032"/>
      <c r="V52" s="1032"/>
      <c r="W52" s="1032"/>
      <c r="X52" s="1032"/>
      <c r="Y52" s="1032"/>
      <c r="Z52" s="2719"/>
      <c r="AA52" s="1006"/>
    </row>
    <row r="53" spans="1:27" ht="15.9" customHeight="1">
      <c r="A53" s="750"/>
      <c r="B53" s="760"/>
      <c r="C53" s="867"/>
      <c r="D53" s="645"/>
      <c r="E53" s="645"/>
      <c r="F53" s="645"/>
      <c r="G53" s="645"/>
      <c r="H53" s="645"/>
      <c r="I53" s="645"/>
      <c r="J53" s="645"/>
      <c r="K53" s="645"/>
      <c r="L53" s="645"/>
      <c r="M53" s="645"/>
      <c r="N53" s="645"/>
      <c r="O53" s="645"/>
      <c r="P53" s="866"/>
      <c r="Q53" s="759"/>
      <c r="R53" s="753"/>
      <c r="S53" s="1032"/>
      <c r="T53" s="1032"/>
      <c r="U53" s="1032"/>
      <c r="V53" s="1032"/>
      <c r="W53" s="1032"/>
      <c r="X53" s="1032"/>
      <c r="Y53" s="1032"/>
      <c r="Z53" s="2719"/>
      <c r="AA53" s="1006"/>
    </row>
    <row r="54" spans="1:27" ht="15.9" customHeight="1">
      <c r="A54" s="750"/>
      <c r="B54" s="760"/>
      <c r="C54" s="867"/>
      <c r="D54" s="645"/>
      <c r="E54" s="645"/>
      <c r="F54" s="645"/>
      <c r="G54" s="645"/>
      <c r="H54" s="645"/>
      <c r="I54" s="645"/>
      <c r="J54" s="645"/>
      <c r="K54" s="645"/>
      <c r="L54" s="645"/>
      <c r="M54" s="645"/>
      <c r="N54" s="645"/>
      <c r="O54" s="645"/>
      <c r="P54" s="866"/>
      <c r="Q54" s="759"/>
      <c r="R54" s="753"/>
      <c r="S54" s="1032"/>
      <c r="T54" s="1032"/>
      <c r="U54" s="1032"/>
      <c r="V54" s="1032"/>
      <c r="W54" s="1032"/>
      <c r="X54" s="1032"/>
      <c r="Y54" s="1032"/>
      <c r="Z54" s="2719"/>
      <c r="AA54" s="1006"/>
    </row>
    <row r="55" spans="1:27" ht="5.0999999999999996" customHeight="1">
      <c r="A55" s="750"/>
      <c r="B55" s="760"/>
      <c r="C55" s="867"/>
      <c r="D55" s="645"/>
      <c r="E55" s="645"/>
      <c r="F55" s="645"/>
      <c r="G55" s="645"/>
      <c r="H55" s="645"/>
      <c r="I55" s="645"/>
      <c r="J55" s="645"/>
      <c r="K55" s="645"/>
      <c r="L55" s="645"/>
      <c r="M55" s="645"/>
      <c r="N55" s="645"/>
      <c r="O55" s="645"/>
      <c r="P55" s="866"/>
      <c r="Q55" s="759"/>
      <c r="R55" s="753"/>
      <c r="S55" s="1032"/>
      <c r="T55" s="1032"/>
      <c r="U55" s="1032"/>
      <c r="V55" s="1032"/>
      <c r="W55" s="1032"/>
      <c r="X55" s="1032"/>
      <c r="Y55" s="1032"/>
      <c r="Z55" s="2719"/>
      <c r="AA55" s="1006"/>
    </row>
    <row r="56" spans="1:27" ht="9.9" customHeight="1">
      <c r="A56" s="750"/>
      <c r="B56" s="760"/>
      <c r="C56" s="869"/>
      <c r="D56" s="647"/>
      <c r="E56" s="647"/>
      <c r="F56" s="648"/>
      <c r="G56" s="648"/>
      <c r="H56" s="648"/>
      <c r="I56" s="648"/>
      <c r="J56" s="648"/>
      <c r="K56" s="648"/>
      <c r="L56" s="648"/>
      <c r="M56" s="648"/>
      <c r="N56" s="648"/>
      <c r="O56" s="648"/>
      <c r="P56" s="866"/>
      <c r="Q56" s="759"/>
      <c r="R56" s="753"/>
      <c r="S56" s="1032"/>
      <c r="T56" s="1032"/>
      <c r="U56" s="1032"/>
      <c r="V56" s="1032"/>
      <c r="W56" s="1032"/>
      <c r="X56" s="1032"/>
      <c r="Y56" s="1032"/>
      <c r="Z56" s="2719"/>
      <c r="AA56" s="1006"/>
    </row>
    <row r="57" spans="1:27" ht="6" customHeight="1" thickBot="1">
      <c r="A57" s="750"/>
      <c r="B57" s="760"/>
      <c r="C57" s="870"/>
      <c r="D57" s="871"/>
      <c r="E57" s="871"/>
      <c r="F57" s="871"/>
      <c r="G57" s="871"/>
      <c r="H57" s="871"/>
      <c r="I57" s="871"/>
      <c r="J57" s="871"/>
      <c r="K57" s="871"/>
      <c r="L57" s="871"/>
      <c r="M57" s="871"/>
      <c r="N57" s="871"/>
      <c r="O57" s="871"/>
      <c r="P57" s="765"/>
      <c r="Q57" s="759"/>
      <c r="R57" s="754"/>
      <c r="S57" s="2719"/>
      <c r="T57" s="2719"/>
      <c r="U57" s="2719"/>
      <c r="V57" s="2719"/>
      <c r="W57" s="2719"/>
      <c r="X57" s="2719"/>
      <c r="Y57" s="2719"/>
      <c r="Z57" s="2719"/>
      <c r="AA57" s="1006"/>
    </row>
    <row r="58" spans="1:27" ht="14.1" customHeight="1" thickBot="1">
      <c r="A58" s="750"/>
      <c r="B58" s="762"/>
      <c r="C58" s="4332">
        <v>12</v>
      </c>
      <c r="D58" s="4332"/>
      <c r="E58" s="4332"/>
      <c r="F58" s="4332"/>
      <c r="G58" s="4332"/>
      <c r="H58" s="4332"/>
      <c r="I58" s="4332"/>
      <c r="J58" s="4332"/>
      <c r="K58" s="4332"/>
      <c r="L58" s="4332"/>
      <c r="M58" s="4332"/>
      <c r="N58" s="4332"/>
      <c r="O58" s="4332"/>
      <c r="P58" s="4332"/>
      <c r="Q58" s="1939">
        <v>1</v>
      </c>
      <c r="R58" s="751"/>
      <c r="S58" s="2719"/>
      <c r="T58" s="2719"/>
      <c r="U58" s="2719"/>
      <c r="V58" s="2719"/>
      <c r="W58" s="2719"/>
      <c r="X58" s="2719"/>
      <c r="Y58" s="2719"/>
      <c r="Z58" s="2719"/>
      <c r="AA58" s="1006"/>
    </row>
    <row r="59" spans="1:27" ht="14.1" customHeight="1">
      <c r="A59" s="1005"/>
      <c r="B59" s="3143" t="str">
        <f>'صفحة الدفتـر'!$B$68</f>
        <v>السنة الدراسية  2022 - 2023</v>
      </c>
      <c r="C59" s="1005"/>
      <c r="D59" s="1005"/>
      <c r="E59" s="1005"/>
      <c r="F59" s="1005"/>
      <c r="G59" s="1005"/>
      <c r="H59" s="1005"/>
      <c r="I59" s="1005"/>
      <c r="J59" s="1005"/>
      <c r="K59" s="1005"/>
      <c r="L59" s="1005"/>
      <c r="M59" s="1005"/>
      <c r="N59" s="1005"/>
      <c r="O59" s="1005"/>
      <c r="P59" s="1005"/>
      <c r="Q59" s="1005"/>
      <c r="R59" s="1005"/>
      <c r="S59" s="1059"/>
      <c r="T59" s="1059"/>
      <c r="U59" s="1059"/>
      <c r="V59" s="1059"/>
      <c r="W59" s="1059"/>
      <c r="X59" s="1059"/>
      <c r="Y59" s="1059"/>
      <c r="Z59" s="1059"/>
      <c r="AA59" s="1006"/>
    </row>
    <row r="60" spans="1:27" hidden="1"/>
    <row r="61" spans="1:27" hidden="1"/>
    <row r="62" spans="1:27" hidden="1"/>
    <row r="63" spans="1:27" hidden="1"/>
    <row r="64" spans="1:27" hidden="1"/>
    <row r="65" hidden="1"/>
    <row r="66" hidden="1"/>
    <row r="67" hidden="1"/>
    <row r="68" hidden="1"/>
    <row r="69" hidden="1"/>
    <row r="70" hidden="1"/>
    <row r="71" hidden="1"/>
  </sheetData>
  <sheetProtection password="D8D3" sheet="1" objects="1" scenarios="1"/>
  <mergeCells count="65">
    <mergeCell ref="S2:Y5"/>
    <mergeCell ref="E22:F22"/>
    <mergeCell ref="T10:V10"/>
    <mergeCell ref="W10:X10"/>
    <mergeCell ref="W11:X11"/>
    <mergeCell ref="E18:F18"/>
    <mergeCell ref="I19:J19"/>
    <mergeCell ref="G18:H18"/>
    <mergeCell ref="M18:N18"/>
    <mergeCell ref="K18:L18"/>
    <mergeCell ref="K19:L19"/>
    <mergeCell ref="I18:J18"/>
    <mergeCell ref="J6:N6"/>
    <mergeCell ref="D20:D21"/>
    <mergeCell ref="E19:F19"/>
    <mergeCell ref="C58:P58"/>
    <mergeCell ref="T11:V11"/>
    <mergeCell ref="K8:L8"/>
    <mergeCell ref="M8:N8"/>
    <mergeCell ref="G8:H8"/>
    <mergeCell ref="E8:F8"/>
    <mergeCell ref="E9:F9"/>
    <mergeCell ref="M9:N9"/>
    <mergeCell ref="G9:H9"/>
    <mergeCell ref="I9:J9"/>
    <mergeCell ref="K9:L9"/>
    <mergeCell ref="I8:J8"/>
    <mergeCell ref="M19:N19"/>
    <mergeCell ref="G19:H19"/>
    <mergeCell ref="M29:N29"/>
    <mergeCell ref="K22:L22"/>
    <mergeCell ref="K42:N42"/>
    <mergeCell ref="K26:L26"/>
    <mergeCell ref="M26:N26"/>
    <mergeCell ref="M36:N36"/>
    <mergeCell ref="K37:L37"/>
    <mergeCell ref="K36:L36"/>
    <mergeCell ref="M37:N37"/>
    <mergeCell ref="M22:N22"/>
    <mergeCell ref="G26:H26"/>
    <mergeCell ref="I26:J26"/>
    <mergeCell ref="E37:F37"/>
    <mergeCell ref="G37:H37"/>
    <mergeCell ref="D26:D27"/>
    <mergeCell ref="E36:F36"/>
    <mergeCell ref="E26:F26"/>
    <mergeCell ref="I36:J36"/>
    <mergeCell ref="I37:J37"/>
    <mergeCell ref="G36:H36"/>
    <mergeCell ref="I46:I48"/>
    <mergeCell ref="J46:J48"/>
    <mergeCell ref="K46:K48"/>
    <mergeCell ref="L46:L48"/>
    <mergeCell ref="E49:E50"/>
    <mergeCell ref="F49:F50"/>
    <mergeCell ref="G49:G50"/>
    <mergeCell ref="H49:H50"/>
    <mergeCell ref="I49:I50"/>
    <mergeCell ref="J49:J50"/>
    <mergeCell ref="K49:K50"/>
    <mergeCell ref="L49:L50"/>
    <mergeCell ref="E46:E48"/>
    <mergeCell ref="F46:F48"/>
    <mergeCell ref="G46:G48"/>
    <mergeCell ref="H46:H48"/>
  </mergeCells>
  <conditionalFormatting sqref="G42:H42 K42 M42">
    <cfRule type="cellIs" dxfId="21098" priority="60" stopIfTrue="1" operator="greaterThan">
      <formula>F42</formula>
    </cfRule>
    <cfRule type="cellIs" dxfId="21097" priority="61" stopIfTrue="1" operator="equal">
      <formula>0</formula>
    </cfRule>
  </conditionalFormatting>
  <conditionalFormatting sqref="G51:H54">
    <cfRule type="cellIs" dxfId="21096" priority="57" stopIfTrue="1" operator="greaterThan">
      <formula>F51</formula>
    </cfRule>
    <cfRule type="cellIs" dxfId="21095" priority="58" stopIfTrue="1" operator="equal">
      <formula>0</formula>
    </cfRule>
  </conditionalFormatting>
  <conditionalFormatting sqref="K51:K54">
    <cfRule type="cellIs" dxfId="21094" priority="48" stopIfTrue="1" operator="greaterThan">
      <formula>J51</formula>
    </cfRule>
    <cfRule type="cellIs" dxfId="21093" priority="49" stopIfTrue="1" operator="equal">
      <formula>0</formula>
    </cfRule>
  </conditionalFormatting>
  <conditionalFormatting sqref="M49:M54">
    <cfRule type="cellIs" dxfId="21092" priority="45" stopIfTrue="1" operator="greaterThan">
      <formula>L49</formula>
    </cfRule>
    <cfRule type="cellIs" dxfId="21091" priority="46" stopIfTrue="1" operator="equal">
      <formula>0</formula>
    </cfRule>
  </conditionalFormatting>
  <conditionalFormatting sqref="G55:H55 K55 M55">
    <cfRule type="cellIs" dxfId="21090" priority="42" stopIfTrue="1" operator="greaterThan">
      <formula>F55</formula>
    </cfRule>
    <cfRule type="cellIs" dxfId="21089" priority="43" stopIfTrue="1" operator="equal">
      <formula>0</formula>
    </cfRule>
  </conditionalFormatting>
  <conditionalFormatting sqref="M48">
    <cfRule type="cellIs" dxfId="21088" priority="27" stopIfTrue="1" operator="greaterThan">
      <formula>L48</formula>
    </cfRule>
    <cfRule type="cellIs" dxfId="21087" priority="28" stopIfTrue="1" operator="equal">
      <formula>0</formula>
    </cfRule>
  </conditionalFormatting>
  <conditionalFormatting sqref="F28 H28 J28 L28">
    <cfRule type="cellIs" dxfId="21086" priority="18" stopIfTrue="1" operator="greaterThan">
      <formula>E28</formula>
    </cfRule>
    <cfRule type="cellIs" dxfId="21085" priority="19" stopIfTrue="1" operator="equal">
      <formula>0</formula>
    </cfRule>
  </conditionalFormatting>
  <conditionalFormatting sqref="F39:F41 H39:H41 J39:J41 L39:L41 N21 N28 N39:N41">
    <cfRule type="cellIs" dxfId="21084" priority="22" stopIfTrue="1" operator="greaterThan">
      <formula>E21</formula>
    </cfRule>
  </conditionalFormatting>
  <conditionalFormatting sqref="F21 H21 J21 L21">
    <cfRule type="cellIs" dxfId="21083" priority="20" stopIfTrue="1" operator="greaterThan">
      <formula>E21</formula>
    </cfRule>
    <cfRule type="cellIs" dxfId="21082" priority="21" stopIfTrue="1" operator="equal">
      <formula>0</formula>
    </cfRule>
  </conditionalFormatting>
  <conditionalFormatting sqref="E19">
    <cfRule type="cellIs" dxfId="21081" priority="16" operator="greaterThan">
      <formula>E9</formula>
    </cfRule>
  </conditionalFormatting>
  <conditionalFormatting sqref="G19:H19">
    <cfRule type="cellIs" dxfId="21080" priority="15" operator="greaterThan">
      <formula>G9</formula>
    </cfRule>
  </conditionalFormatting>
  <conditionalFormatting sqref="I19:J19">
    <cfRule type="cellIs" dxfId="21079" priority="14" operator="greaterThan">
      <formula>I9</formula>
    </cfRule>
  </conditionalFormatting>
  <conditionalFormatting sqref="K19:L19">
    <cfRule type="cellIs" dxfId="21078" priority="13" operator="greaterThan">
      <formula>K9</formula>
    </cfRule>
  </conditionalFormatting>
  <conditionalFormatting sqref="E37:F37">
    <cfRule type="cellIs" dxfId="21077" priority="12" operator="greaterThan">
      <formula>E9</formula>
    </cfRule>
  </conditionalFormatting>
  <conditionalFormatting sqref="G37:H37">
    <cfRule type="cellIs" dxfId="21076" priority="11" operator="greaterThan">
      <formula>G9</formula>
    </cfRule>
  </conditionalFormatting>
  <conditionalFormatting sqref="I37:J37">
    <cfRule type="cellIs" dxfId="21075" priority="10" operator="greaterThan">
      <formula>I9</formula>
    </cfRule>
  </conditionalFormatting>
  <conditionalFormatting sqref="K37:L37">
    <cfRule type="cellIs" dxfId="21074" priority="9" operator="greaterThan">
      <formula>K9</formula>
    </cfRule>
  </conditionalFormatting>
  <conditionalFormatting sqref="E22:F22">
    <cfRule type="cellIs" dxfId="21073" priority="7" operator="greaterThan">
      <formula>1</formula>
    </cfRule>
    <cfRule type="cellIs" dxfId="21072" priority="8" operator="equal">
      <formula>0</formula>
    </cfRule>
  </conditionalFormatting>
  <conditionalFormatting sqref="U8">
    <cfRule type="cellIs" dxfId="21071" priority="6" operator="equal">
      <formula>0</formula>
    </cfRule>
  </conditionalFormatting>
  <conditionalFormatting sqref="W8">
    <cfRule type="cellIs" dxfId="21070" priority="5" operator="equal">
      <formula>0</formula>
    </cfRule>
  </conditionalFormatting>
  <conditionalFormatting sqref="X8">
    <cfRule type="cellIs" dxfId="21069" priority="4" operator="equal">
      <formula>0</formula>
    </cfRule>
  </conditionalFormatting>
  <conditionalFormatting sqref="Y8">
    <cfRule type="cellIs" dxfId="21068" priority="3" operator="equal">
      <formula>0</formula>
    </cfRule>
  </conditionalFormatting>
  <conditionalFormatting sqref="M9:N9">
    <cfRule type="cellIs" dxfId="21067" priority="2" operator="equal">
      <formula>0</formula>
    </cfRule>
  </conditionalFormatting>
  <conditionalFormatting sqref="J6">
    <cfRule type="cellIs" dxfId="21066" priority="1" operator="equal">
      <formula>0</formula>
    </cfRule>
  </conditionalFormatting>
  <dataValidations count="8">
    <dataValidation type="whole" operator="greaterThanOrEqual" allowBlank="1" showInputMessage="1" showErrorMessage="1" errorTitle="الأفواج التربوية" error="ضع العدد المناسب" sqref="E9:N9">
      <formula1>0</formula1>
    </dataValidation>
    <dataValidation type="whole" operator="greaterThanOrEqual" allowBlank="1" showInputMessage="1" showErrorMessage="1" errorTitle="أقسام الرياضة و الدراسة" error="ضع العدد المناسب لتلاميذ النصف الداخليين" sqref="E40:N40">
      <formula1>0</formula1>
    </dataValidation>
    <dataValidation type="whole" operator="greaterThanOrEqual" allowBlank="1" showInputMessage="1" showErrorMessage="1" errorTitle="أقسام الرياضة و الدراسة" error="ضع العدد المناسب لعدد التلاميذ" sqref="E39:N39">
      <formula1>0</formula1>
    </dataValidation>
    <dataValidation type="whole" operator="greaterThanOrEqual" allowBlank="1" showInputMessage="1" showErrorMessage="1" errorTitle="أقسام الرياضة و الدراسة" error="ضع العدد المناسب لتلاميذ الداخليين" sqref="E41:N41">
      <formula1>0</formula1>
    </dataValidation>
    <dataValidation type="whole" operator="greaterThanOrEqual" allowBlank="1" showInputMessage="1" showErrorMessage="1" errorTitle="أساتذة اللغة الامازيغية" error="ضع العدد المناسب" sqref="E28:N28">
      <formula1>0</formula1>
    </dataValidation>
    <dataValidation type="whole" operator="greaterThanOrEqual" allowBlank="1" showInputMessage="1" showErrorMessage="1" errorTitle="التلاميذ اللغة الامازيغية" error="ضع العدد المناسب" sqref="E21:M21">
      <formula1>0</formula1>
    </dataValidation>
    <dataValidation type="whole" operator="greaterThanOrEqual" allowBlank="1" showInputMessage="1" showErrorMessage="1" errorTitle="أفواج التربوية اللغة الامازيغية" error="ضع العدد المناسب" sqref="M19:N19 G19 E19 I19 K19">
      <formula1>0</formula1>
    </dataValidation>
    <dataValidation type="whole" operator="greaterThanOrEqual" allowBlank="1" showInputMessage="1" showErrorMessage="1" errorTitle="أقسام الرياضة و الدراسة" error="ضع العدد المناسب لعدد الأفواج التربوية" sqref="E37:N37">
      <formula1>0</formula1>
    </dataValidation>
  </dataValidations>
  <printOptions horizontalCentered="1" verticalCentered="1"/>
  <pageMargins left="0.19685039370078741" right="0.19685039370078741" top="0.19685039370078741" bottom="0.19685039370078741" header="0" footer="0.31496062992125984"/>
  <pageSetup paperSize="9" scale="95" orientation="portrait" r:id="rId1"/>
  <headerFooter>
    <oddFooter xml:space="preserve">&amp;R&amp;"-,Gras"&amp;8&amp;K00-032Echamil  V.08    &amp;F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tabColor rgb="FF0070C0"/>
  </sheetPr>
  <dimension ref="A1:AF73"/>
  <sheetViews>
    <sheetView showGridLines="0" rightToLeft="1" topLeftCell="A22" workbookViewId="0">
      <selection activeCell="K14" sqref="K14"/>
    </sheetView>
  </sheetViews>
  <sheetFormatPr baseColWidth="10" defaultColWidth="0" defaultRowHeight="14.4" zeroHeight="1"/>
  <cols>
    <col min="1" max="1" width="2.6640625" customWidth="1"/>
    <col min="2" max="2" width="1.6640625" customWidth="1"/>
    <col min="3" max="3" width="0.88671875" customWidth="1"/>
    <col min="4" max="4" width="14.33203125" customWidth="1"/>
    <col min="5" max="14" width="8.33203125" customWidth="1"/>
    <col min="15" max="15" width="0.88671875" customWidth="1"/>
    <col min="16" max="16" width="1.6640625" customWidth="1"/>
    <col min="17" max="17" width="2.6640625" customWidth="1"/>
    <col min="18" max="18" width="15.109375" style="1041" customWidth="1"/>
    <col min="19" max="19" width="1.33203125" style="1041" customWidth="1"/>
    <col min="20" max="21" width="7.6640625" style="1041" customWidth="1"/>
    <col min="22" max="22" width="1.33203125" style="1041" customWidth="1"/>
    <col min="23" max="24" width="7.6640625" style="1041" customWidth="1"/>
    <col min="25" max="25" width="1.33203125" customWidth="1"/>
    <col min="26" max="27" width="7.6640625" customWidth="1"/>
    <col min="28" max="28" width="1.33203125" customWidth="1"/>
    <col min="29" max="30" width="7.6640625" customWidth="1"/>
    <col min="31" max="31" width="1.5546875" customWidth="1"/>
    <col min="32" max="32" width="3" customWidth="1"/>
    <col min="33" max="16384" width="11.44140625" hidden="1"/>
  </cols>
  <sheetData>
    <row r="1" spans="1:32" ht="14.1" customHeight="1" thickBot="1">
      <c r="A1" s="788"/>
      <c r="B1" s="789"/>
      <c r="C1" s="789"/>
      <c r="D1" s="789"/>
      <c r="E1" s="789"/>
      <c r="F1" s="789"/>
      <c r="G1" s="789"/>
      <c r="H1" s="789"/>
      <c r="I1" s="789"/>
      <c r="J1" s="789"/>
      <c r="K1" s="789"/>
      <c r="L1" s="789"/>
      <c r="M1" s="789"/>
      <c r="N1" s="789"/>
      <c r="O1" s="789"/>
      <c r="P1" s="789"/>
      <c r="Q1" s="788"/>
      <c r="R1" s="1040"/>
      <c r="S1" s="1040"/>
      <c r="T1" s="1040"/>
      <c r="U1" s="1040"/>
      <c r="V1" s="1040"/>
      <c r="W1" s="1040"/>
      <c r="X1" s="1040"/>
      <c r="Y1" s="1761"/>
      <c r="Z1" s="1761"/>
      <c r="AA1" s="1761"/>
      <c r="AB1" s="1761"/>
      <c r="AC1" s="1761"/>
      <c r="AD1" s="1761"/>
      <c r="AE1" s="1761"/>
      <c r="AF1" s="1761"/>
    </row>
    <row r="2" spans="1:32" ht="14.1" customHeight="1" thickBot="1">
      <c r="A2" s="788"/>
      <c r="B2" s="900"/>
      <c r="C2" s="891"/>
      <c r="D2" s="891"/>
      <c r="E2" s="891"/>
      <c r="F2" s="891"/>
      <c r="G2" s="891"/>
      <c r="H2" s="891"/>
      <c r="I2" s="891"/>
      <c r="J2" s="891"/>
      <c r="K2" s="891"/>
      <c r="L2" s="891"/>
      <c r="M2" s="891"/>
      <c r="N2" s="891"/>
      <c r="O2" s="891"/>
      <c r="P2" s="892"/>
      <c r="Q2" s="790"/>
      <c r="R2" s="4435" t="s">
        <v>603</v>
      </c>
      <c r="S2" s="4435"/>
      <c r="T2" s="4435"/>
      <c r="U2" s="4435"/>
      <c r="V2" s="4435"/>
      <c r="W2" s="4435"/>
      <c r="X2" s="4435"/>
      <c r="Y2" s="4435"/>
      <c r="Z2" s="4435"/>
      <c r="AA2" s="4435"/>
      <c r="AB2" s="4435"/>
      <c r="AC2" s="4435"/>
      <c r="AD2" s="4435"/>
      <c r="AE2" s="1032"/>
      <c r="AF2" s="1761"/>
    </row>
    <row r="3" spans="1:32" ht="21.9" customHeight="1">
      <c r="A3" s="788"/>
      <c r="B3" s="894"/>
      <c r="C3" s="876"/>
      <c r="D3" s="878"/>
      <c r="E3" s="879"/>
      <c r="F3" s="878"/>
      <c r="G3" s="878"/>
      <c r="H3" s="878"/>
      <c r="I3" s="878"/>
      <c r="J3" s="878"/>
      <c r="K3" s="878"/>
      <c r="L3" s="878"/>
      <c r="M3" s="878"/>
      <c r="N3" s="878"/>
      <c r="O3" s="880"/>
      <c r="P3" s="872"/>
      <c r="Q3" s="790"/>
      <c r="R3" s="4435"/>
      <c r="S3" s="4435"/>
      <c r="T3" s="4435"/>
      <c r="U3" s="4435"/>
      <c r="V3" s="4435"/>
      <c r="W3" s="4435"/>
      <c r="X3" s="4435"/>
      <c r="Y3" s="4435"/>
      <c r="Z3" s="4435"/>
      <c r="AA3" s="4435"/>
      <c r="AB3" s="4435"/>
      <c r="AC3" s="4435"/>
      <c r="AD3" s="4435"/>
      <c r="AE3" s="1032"/>
      <c r="AF3" s="1761"/>
    </row>
    <row r="4" spans="1:32" ht="15.9" customHeight="1">
      <c r="A4" s="788"/>
      <c r="B4" s="895"/>
      <c r="C4" s="897"/>
      <c r="D4" s="1937" t="s">
        <v>1461</v>
      </c>
      <c r="E4" s="670"/>
      <c r="F4" s="671"/>
      <c r="G4" s="652"/>
      <c r="H4" s="649"/>
      <c r="I4" s="672"/>
      <c r="J4" s="672"/>
      <c r="K4" s="672"/>
      <c r="L4" s="672"/>
      <c r="M4" s="672"/>
      <c r="N4" s="672" t="s">
        <v>1462</v>
      </c>
      <c r="O4" s="898"/>
      <c r="P4" s="872"/>
      <c r="Q4" s="793"/>
      <c r="R4" s="4435"/>
      <c r="S4" s="4435"/>
      <c r="T4" s="4435"/>
      <c r="U4" s="4435"/>
      <c r="V4" s="4435"/>
      <c r="W4" s="4435"/>
      <c r="X4" s="4435"/>
      <c r="Y4" s="4435"/>
      <c r="Z4" s="4435"/>
      <c r="AA4" s="4435"/>
      <c r="AB4" s="4435"/>
      <c r="AC4" s="4435"/>
      <c r="AD4" s="4435"/>
      <c r="AE4" s="1032"/>
      <c r="AF4" s="1761"/>
    </row>
    <row r="5" spans="1:32" ht="21.9" customHeight="1">
      <c r="A5" s="788"/>
      <c r="B5" s="895"/>
      <c r="C5" s="884"/>
      <c r="D5" s="670"/>
      <c r="E5" s="670"/>
      <c r="F5" s="671"/>
      <c r="G5" s="4067" t="str">
        <f>'الصفحة 1'!$E$16</f>
        <v>بلحاتم رابح</v>
      </c>
      <c r="H5" s="4068"/>
      <c r="I5" s="4068"/>
      <c r="J5" s="4068"/>
      <c r="K5" s="4069"/>
      <c r="L5" s="672"/>
      <c r="M5" s="672"/>
      <c r="N5" s="672"/>
      <c r="O5" s="938"/>
      <c r="P5" s="872"/>
      <c r="Q5" s="793"/>
      <c r="R5" s="1032"/>
      <c r="S5" s="1032"/>
      <c r="T5" s="1032"/>
      <c r="U5" s="1032"/>
      <c r="V5" s="1032"/>
      <c r="W5" s="1032"/>
      <c r="X5" s="1032"/>
      <c r="Y5" s="1624"/>
      <c r="Z5" s="1032"/>
      <c r="AA5" s="1032"/>
      <c r="AB5" s="1032"/>
      <c r="AC5" s="1032"/>
      <c r="AD5" s="1032"/>
      <c r="AE5" s="1032"/>
      <c r="AF5" s="1761"/>
    </row>
    <row r="6" spans="1:32" ht="18" customHeight="1">
      <c r="A6" s="788"/>
      <c r="B6" s="895"/>
      <c r="C6" s="954"/>
      <c r="D6" s="1941" t="s">
        <v>144</v>
      </c>
      <c r="E6" s="776"/>
      <c r="F6" s="955"/>
      <c r="G6" s="955"/>
      <c r="H6" s="955"/>
      <c r="I6" s="955"/>
      <c r="J6" s="955"/>
      <c r="K6" s="955"/>
      <c r="L6" s="955"/>
      <c r="M6" s="955"/>
      <c r="N6" s="1938" t="s">
        <v>935</v>
      </c>
      <c r="O6" s="956"/>
      <c r="P6" s="872"/>
      <c r="Q6" s="793"/>
      <c r="R6" s="4436"/>
      <c r="S6" s="4436"/>
      <c r="T6" s="4436"/>
      <c r="U6" s="4436"/>
      <c r="V6" s="4437"/>
      <c r="W6" s="4437"/>
      <c r="X6" s="4437"/>
      <c r="Y6" s="1624"/>
      <c r="Z6" s="1032"/>
      <c r="AA6" s="1032"/>
      <c r="AB6" s="1032"/>
      <c r="AC6" s="1032"/>
      <c r="AD6" s="1032"/>
      <c r="AE6" s="1032"/>
      <c r="AF6" s="1761"/>
    </row>
    <row r="7" spans="1:32" ht="21.9" customHeight="1">
      <c r="A7" s="788"/>
      <c r="B7" s="895"/>
      <c r="C7" s="884"/>
      <c r="D7" s="673"/>
      <c r="E7" s="649"/>
      <c r="F7" s="649"/>
      <c r="G7" s="649"/>
      <c r="H7" s="649"/>
      <c r="I7" s="649"/>
      <c r="J7" s="649"/>
      <c r="K7" s="649"/>
      <c r="L7" s="649"/>
      <c r="M7" s="649"/>
      <c r="N7" s="649"/>
      <c r="O7" s="873"/>
      <c r="P7" s="872"/>
      <c r="Q7" s="793"/>
      <c r="R7" s="4400"/>
      <c r="S7" s="4400"/>
      <c r="T7" s="4400"/>
      <c r="U7" s="4400"/>
      <c r="V7" s="4400"/>
      <c r="W7" s="4400"/>
      <c r="X7" s="4400"/>
      <c r="Y7" s="1624"/>
      <c r="Z7" s="1032"/>
      <c r="AA7" s="1032"/>
      <c r="AB7" s="1032"/>
      <c r="AC7" s="1032"/>
      <c r="AD7" s="1032"/>
      <c r="AE7" s="1032"/>
      <c r="AF7" s="1761"/>
    </row>
    <row r="8" spans="1:32" ht="18" customHeight="1">
      <c r="A8" s="788"/>
      <c r="B8" s="895"/>
      <c r="C8" s="954"/>
      <c r="D8" s="1941" t="s">
        <v>1275</v>
      </c>
      <c r="E8" s="955"/>
      <c r="F8" s="955"/>
      <c r="G8" s="955"/>
      <c r="H8" s="776"/>
      <c r="I8" s="955"/>
      <c r="J8" s="955"/>
      <c r="K8" s="955"/>
      <c r="L8" s="955"/>
      <c r="M8" s="955"/>
      <c r="N8" s="955"/>
      <c r="O8" s="956"/>
      <c r="P8" s="872"/>
      <c r="Q8" s="793"/>
      <c r="R8" s="4438"/>
      <c r="S8" s="4438"/>
      <c r="T8" s="4400"/>
      <c r="U8" s="4400"/>
      <c r="V8" s="4438"/>
      <c r="W8" s="4438"/>
      <c r="X8" s="4438"/>
      <c r="Y8" s="1624"/>
      <c r="Z8" s="1032"/>
      <c r="AA8" s="1032"/>
      <c r="AB8" s="1032"/>
      <c r="AC8" s="1032"/>
      <c r="AD8" s="1032"/>
      <c r="AE8" s="1032"/>
      <c r="AF8" s="1761"/>
    </row>
    <row r="9" spans="1:32" ht="14.1" customHeight="1">
      <c r="A9" s="788"/>
      <c r="B9" s="895"/>
      <c r="C9" s="884"/>
      <c r="D9" s="673"/>
      <c r="E9" s="649"/>
      <c r="F9" s="649"/>
      <c r="G9" s="649"/>
      <c r="H9" s="649"/>
      <c r="I9" s="649"/>
      <c r="J9" s="649"/>
      <c r="K9" s="1316"/>
      <c r="L9" s="1316"/>
      <c r="M9" s="1316"/>
      <c r="N9" s="1316"/>
      <c r="O9" s="873"/>
      <c r="P9" s="872"/>
      <c r="Q9" s="793"/>
      <c r="R9" s="2994" t="s">
        <v>143</v>
      </c>
      <c r="S9" s="2737"/>
      <c r="T9" s="4415" t="str">
        <f>IF(('الصفحة 1'!$Q$14&gt;0),((IF((I13=""),"عدد التلاميذ",IF((I13=0)," ",IF((I13&gt;0),""))))),"")</f>
        <v/>
      </c>
      <c r="U9" s="4416"/>
      <c r="V9" s="1032"/>
      <c r="W9" s="4419" t="str">
        <f>IF(('الصفحة 1'!$Q$14&gt;0),IF((I13&gt;0),IF(((I13)&lt;&gt;'الصفحة 9'!O13),"حدد عدد المسجلون",""),""),"")</f>
        <v/>
      </c>
      <c r="X9" s="4420"/>
      <c r="Y9" s="1624"/>
      <c r="Z9" s="1032"/>
      <c r="AA9" s="1032"/>
      <c r="AB9" s="1032"/>
      <c r="AC9" s="1032"/>
      <c r="AD9" s="1032"/>
      <c r="AE9" s="1032"/>
      <c r="AF9" s="1761"/>
    </row>
    <row r="10" spans="1:32" ht="14.1" customHeight="1">
      <c r="A10" s="788"/>
      <c r="B10" s="895"/>
      <c r="C10" s="884"/>
      <c r="D10" s="4298" t="s">
        <v>140</v>
      </c>
      <c r="E10" s="4401" t="s">
        <v>1443</v>
      </c>
      <c r="F10" s="4431"/>
      <c r="G10" s="4433" t="s">
        <v>1444</v>
      </c>
      <c r="H10" s="4402"/>
      <c r="I10" s="4401" t="s">
        <v>1445</v>
      </c>
      <c r="J10" s="4402"/>
      <c r="K10" s="4349" t="s">
        <v>142</v>
      </c>
      <c r="L10" s="4350"/>
      <c r="M10" s="4232" t="s">
        <v>141</v>
      </c>
      <c r="N10" s="4233"/>
      <c r="O10" s="873"/>
      <c r="P10" s="872"/>
      <c r="Q10" s="793"/>
      <c r="R10" s="2994" t="s">
        <v>699</v>
      </c>
      <c r="S10" s="2737"/>
      <c r="T10" s="4417" t="str">
        <f>IF(('الصفحة 1'!$Q$14&gt;0),((IF((J13=""),"عدد التلاميذ",IF((J13=0)," ",IF((J13&gt;0),""))))),"")</f>
        <v/>
      </c>
      <c r="U10" s="4418"/>
      <c r="V10" s="1032"/>
      <c r="W10" s="4439" t="str">
        <f>IF(('الصفحة 1'!$Q$14&gt;0),IF((J13&gt;0),IF(((J13)&lt;&gt;'الصفحة 9'!O14),"حدد عدد المسجلون",""),""),"")</f>
        <v/>
      </c>
      <c r="X10" s="4440"/>
      <c r="Y10" s="1624"/>
      <c r="Z10" s="1032"/>
      <c r="AA10" s="1032"/>
      <c r="AB10" s="1032"/>
      <c r="AC10" s="1032"/>
      <c r="AD10" s="1032"/>
      <c r="AE10" s="1032"/>
      <c r="AF10" s="1761"/>
    </row>
    <row r="11" spans="1:32" ht="14.1" customHeight="1">
      <c r="A11" s="788"/>
      <c r="B11" s="895"/>
      <c r="C11" s="884"/>
      <c r="D11" s="4298"/>
      <c r="E11" s="4403"/>
      <c r="F11" s="4432"/>
      <c r="G11" s="4434"/>
      <c r="H11" s="4404"/>
      <c r="I11" s="4403"/>
      <c r="J11" s="4404"/>
      <c r="K11" s="4351"/>
      <c r="L11" s="4352"/>
      <c r="M11" s="4353"/>
      <c r="N11" s="4354"/>
      <c r="O11" s="938"/>
      <c r="P11" s="872"/>
      <c r="Q11" s="793"/>
      <c r="R11" s="2923"/>
      <c r="S11" s="1032"/>
      <c r="T11" s="2741"/>
      <c r="U11" s="1032"/>
      <c r="V11" s="1032"/>
      <c r="W11" s="1032"/>
      <c r="X11" s="1032"/>
      <c r="Y11" s="1624"/>
      <c r="Z11" s="1032"/>
      <c r="AA11" s="1032"/>
      <c r="AB11" s="1032"/>
      <c r="AC11" s="1032"/>
      <c r="AD11" s="1032"/>
      <c r="AE11" s="1032"/>
      <c r="AF11" s="1761"/>
    </row>
    <row r="12" spans="1:32" ht="14.1" customHeight="1">
      <c r="A12" s="788"/>
      <c r="B12" s="895"/>
      <c r="C12" s="884"/>
      <c r="D12" s="4298"/>
      <c r="E12" s="3377" t="s">
        <v>20</v>
      </c>
      <c r="F12" s="3391" t="s">
        <v>19</v>
      </c>
      <c r="G12" s="676" t="s">
        <v>20</v>
      </c>
      <c r="H12" s="3378" t="s">
        <v>19</v>
      </c>
      <c r="I12" s="3377" t="s">
        <v>20</v>
      </c>
      <c r="J12" s="3378" t="s">
        <v>19</v>
      </c>
      <c r="K12" s="3374" t="s">
        <v>20</v>
      </c>
      <c r="L12" s="1358" t="s">
        <v>19</v>
      </c>
      <c r="M12" s="676" t="s">
        <v>20</v>
      </c>
      <c r="N12" s="675" t="s">
        <v>19</v>
      </c>
      <c r="O12" s="938"/>
      <c r="P12" s="872"/>
      <c r="Q12" s="793"/>
      <c r="R12" s="2994" t="s">
        <v>700</v>
      </c>
      <c r="S12" s="2737"/>
      <c r="T12" s="4347" t="str">
        <f>IF(('الصفحة 1'!$Q$14&gt;0),((IF((M13=""),"عدد التلاميذ",IF((M13=0)," ",IF((M13&gt;0),""))))),"")</f>
        <v/>
      </c>
      <c r="U12" s="4348"/>
      <c r="V12" s="1032"/>
      <c r="W12" s="3070" t="s">
        <v>141</v>
      </c>
      <c r="X12" s="3071"/>
      <c r="Y12" s="1624"/>
      <c r="Z12" s="4347" t="str">
        <f>IF(('الصفحة 1'!$Q$14&gt;0),((IF((M13=""),"عدد التلاميذ",IF((M13=0)," ",IF((M13&gt;0),""))))),"")</f>
        <v/>
      </c>
      <c r="AA12" s="4348"/>
      <c r="AB12" s="1032"/>
      <c r="AC12" s="1032"/>
      <c r="AD12" s="1032"/>
      <c r="AE12" s="1032"/>
      <c r="AF12" s="1761"/>
    </row>
    <row r="13" spans="1:32" ht="15.9" customHeight="1">
      <c r="A13" s="788"/>
      <c r="B13" s="895"/>
      <c r="C13" s="884"/>
      <c r="D13" s="1936" t="s">
        <v>8</v>
      </c>
      <c r="E13" s="3382">
        <f>+'الصفحة 9'!O13</f>
        <v>192</v>
      </c>
      <c r="F13" s="3392">
        <f>+'الصفحة 9'!O14</f>
        <v>107</v>
      </c>
      <c r="G13" s="550">
        <v>0</v>
      </c>
      <c r="H13" s="3379">
        <v>0</v>
      </c>
      <c r="I13" s="3382">
        <f>E13+G13</f>
        <v>192</v>
      </c>
      <c r="J13" s="3383">
        <f>F13+H13</f>
        <v>107</v>
      </c>
      <c r="K13" s="3375">
        <v>151</v>
      </c>
      <c r="L13" s="551">
        <v>78</v>
      </c>
      <c r="M13" s="550">
        <v>96</v>
      </c>
      <c r="N13" s="551">
        <v>60</v>
      </c>
      <c r="O13" s="873"/>
      <c r="P13" s="872"/>
      <c r="Q13" s="793"/>
      <c r="R13" s="2923"/>
      <c r="S13" s="1032"/>
      <c r="T13" s="2741"/>
      <c r="U13" s="1032"/>
      <c r="V13" s="1032"/>
      <c r="W13" s="2629"/>
      <c r="X13" s="2629"/>
      <c r="Y13" s="1624"/>
      <c r="Z13" s="2741"/>
      <c r="AA13" s="1032"/>
      <c r="AB13" s="1032"/>
      <c r="AC13" s="1032"/>
      <c r="AD13" s="1032"/>
      <c r="AE13" s="1032"/>
      <c r="AF13" s="1761"/>
    </row>
    <row r="14" spans="1:32" ht="15.9" customHeight="1">
      <c r="A14" s="788"/>
      <c r="B14" s="895"/>
      <c r="C14" s="884"/>
      <c r="D14" s="3250" t="s">
        <v>136</v>
      </c>
      <c r="E14" s="3380">
        <v>0</v>
      </c>
      <c r="F14" s="3393">
        <v>0</v>
      </c>
      <c r="G14" s="548">
        <v>0</v>
      </c>
      <c r="H14" s="3381">
        <v>0</v>
      </c>
      <c r="I14" s="3384">
        <f>E14+G14</f>
        <v>0</v>
      </c>
      <c r="J14" s="3385">
        <f>F14+H14</f>
        <v>0</v>
      </c>
      <c r="K14" s="3376">
        <v>0</v>
      </c>
      <c r="L14" s="549">
        <v>0</v>
      </c>
      <c r="M14" s="548"/>
      <c r="N14" s="549"/>
      <c r="O14" s="938"/>
      <c r="P14" s="872"/>
      <c r="Q14" s="793"/>
      <c r="R14" s="2994" t="s">
        <v>701</v>
      </c>
      <c r="S14" s="2737"/>
      <c r="T14" s="4347" t="str">
        <f>IF(('الصفحة 1'!$Q$14&gt;0),((IF((N13=""),"عدد التلاميذ",IF((N13=0)," ",IF((N13&gt;0),""))))),"")</f>
        <v/>
      </c>
      <c r="U14" s="4348"/>
      <c r="V14" s="1032"/>
      <c r="W14" s="3070" t="s">
        <v>705</v>
      </c>
      <c r="X14" s="3071"/>
      <c r="Y14" s="1624"/>
      <c r="Z14" s="4347" t="str">
        <f>IF(('الصفحة 1'!$Q$14&gt;0),((IF((N13=""),"عدد التلاميذ",IF((N13=0)," ",IF((N13&gt;0),""))))),"")</f>
        <v/>
      </c>
      <c r="AA14" s="4348"/>
      <c r="AB14" s="1032"/>
      <c r="AC14" s="1032"/>
      <c r="AD14" s="1032"/>
      <c r="AE14" s="1032"/>
      <c r="AF14" s="1761"/>
    </row>
    <row r="15" spans="1:32" ht="6" customHeight="1">
      <c r="A15" s="788"/>
      <c r="B15" s="895"/>
      <c r="C15" s="884"/>
      <c r="D15" s="674"/>
      <c r="E15" s="674"/>
      <c r="F15" s="674"/>
      <c r="G15" s="674"/>
      <c r="H15" s="674"/>
      <c r="I15" s="674"/>
      <c r="J15" s="674"/>
      <c r="K15" s="1026"/>
      <c r="L15" s="1026"/>
      <c r="M15" s="1026"/>
      <c r="N15" s="1026"/>
      <c r="O15" s="938"/>
      <c r="P15" s="872"/>
      <c r="Q15" s="793"/>
      <c r="R15" s="2629"/>
      <c r="S15" s="1032"/>
      <c r="T15" s="2741"/>
      <c r="U15" s="1032"/>
      <c r="V15" s="1032"/>
      <c r="W15" s="2629"/>
      <c r="X15" s="2629"/>
      <c r="Y15" s="1624"/>
      <c r="Z15" s="2741"/>
      <c r="AA15" s="1032"/>
      <c r="AB15" s="1032"/>
      <c r="AC15" s="1032"/>
      <c r="AD15" s="1032"/>
      <c r="AE15" s="1032"/>
      <c r="AF15" s="1761"/>
    </row>
    <row r="16" spans="1:32" ht="21.9" customHeight="1">
      <c r="A16" s="788"/>
      <c r="B16" s="895"/>
      <c r="C16" s="884"/>
      <c r="D16" s="674"/>
      <c r="F16" s="674"/>
      <c r="G16" s="4355" t="str">
        <f>IF(('الصفحة 1'!$Q$14&gt;0),(IF((($K$13-$L$13)&gt;($I$13-$J$13)),("خطء الحاضرون الذكـور"),IF((($K$13-$L$13)=($I$13-$J$13)),(" "),IF((($K$13-$L$13)&lt;($I$13-$J$13)),(" "),"")))),"")</f>
        <v xml:space="preserve"> </v>
      </c>
      <c r="H16" s="4355"/>
      <c r="I16" s="4355" t="str">
        <f>IF(('الصفحة 1'!$Q$14&gt;0),(IF((($M$13-$N$13)&gt;($K$13-$L$13)),("خطء الناجحون الذكـور"),IF((($M$13-$N$13)=($K$13-$L$13)),(" "),IF((($M$13-$N$13)&lt;($K$13-$L$13)),(" "),"")))),"")</f>
        <v xml:space="preserve"> </v>
      </c>
      <c r="J16" s="4355"/>
      <c r="K16" s="4355" t="str">
        <f>IF(('الصفحة 1'!$Q$14&gt;0),(IF((($K$14-$L$14)&gt;($I$14-$J$14)),("خطء الحاضرون أجانـب"),IF((($K$14-$L$14)=($I$14-$J$14)),(" "),IF((($K$14-$L$14)&lt;($I$14-$J$14)),(" "),"")))),"")</f>
        <v xml:space="preserve"> </v>
      </c>
      <c r="L16" s="4355"/>
      <c r="M16" s="4355" t="str">
        <f>IF(('الصفحة 1'!$Q$14&gt;0),(IF((($M$14-$N$14)&gt;($K$14-$L$14)),("خطء الناجحون أجانـب"),IF((($M$14-$N$14)=($K$14-$L$14)),(" "),IF((($M$14-$N$14)&lt;($K$14-$L$14)),(" "),"")))),"")</f>
        <v xml:space="preserve"> </v>
      </c>
      <c r="N16" s="4355"/>
      <c r="O16" s="938"/>
      <c r="P16" s="872"/>
      <c r="Q16" s="793"/>
      <c r="R16" s="2736" t="s">
        <v>430</v>
      </c>
      <c r="S16" s="2737"/>
      <c r="T16" s="4347" t="str">
        <f>IF(('الصفحة 1'!$Q$14&gt;0),((IF((K23=""),"عدد التلاميذ",IF((K23=0)," ",IF((K23&gt;0),""))))),"")</f>
        <v xml:space="preserve"> </v>
      </c>
      <c r="U16" s="4348"/>
      <c r="V16" s="1032"/>
      <c r="W16" s="3070" t="s">
        <v>702</v>
      </c>
      <c r="X16" s="3071"/>
      <c r="Y16" s="1624"/>
      <c r="Z16" s="4347" t="str">
        <f>IF(('الصفحة 1'!$Q$14&gt;0),((IF((M23=""),"عدد التلاميذ",IF((M23=0)," ",IF((M23&gt;0),""))))),"")</f>
        <v xml:space="preserve"> </v>
      </c>
      <c r="AA16" s="4348"/>
      <c r="AB16" s="1032"/>
      <c r="AC16" s="1032"/>
      <c r="AD16" s="1032"/>
      <c r="AE16" s="1032"/>
      <c r="AF16" s="1761"/>
    </row>
    <row r="17" spans="1:32" ht="15" customHeight="1">
      <c r="A17" s="788"/>
      <c r="B17" s="895"/>
      <c r="C17" s="954"/>
      <c r="D17" s="1941" t="s">
        <v>1276</v>
      </c>
      <c r="E17" s="958"/>
      <c r="F17" s="958"/>
      <c r="G17" s="958"/>
      <c r="H17" s="958"/>
      <c r="I17" s="959"/>
      <c r="J17" s="960"/>
      <c r="K17" s="959"/>
      <c r="L17" s="959"/>
      <c r="M17" s="959"/>
      <c r="N17" s="957"/>
      <c r="O17" s="961"/>
      <c r="P17" s="872"/>
      <c r="Q17" s="793"/>
      <c r="R17" s="2736" t="s">
        <v>703</v>
      </c>
      <c r="S17" s="2737"/>
      <c r="T17" s="4347" t="str">
        <f>IF(('الصفحة 1'!$Q$14&gt;0),((IF((L23=""),"عدد التلاميذ",IF((L23=0)," ",IF((L23&gt;0),""))))),"")</f>
        <v xml:space="preserve"> </v>
      </c>
      <c r="U17" s="4348"/>
      <c r="V17" s="1032"/>
      <c r="W17" s="3070" t="s">
        <v>704</v>
      </c>
      <c r="X17" s="3071"/>
      <c r="Y17" s="1624"/>
      <c r="Z17" s="4347" t="str">
        <f>IF(('الصفحة 1'!$Q$14&gt;0),((IF((N23=""),"عدد التلاميذ",IF((N23=0)," ",IF((N23&gt;0),""))))),"")</f>
        <v xml:space="preserve"> </v>
      </c>
      <c r="AA17" s="4348"/>
      <c r="AB17" s="1032"/>
      <c r="AC17" s="1032"/>
      <c r="AD17" s="1032"/>
      <c r="AE17" s="1032"/>
      <c r="AF17" s="1761"/>
    </row>
    <row r="18" spans="1:32" ht="21.9" customHeight="1">
      <c r="A18" s="788"/>
      <c r="B18" s="895"/>
      <c r="C18" s="918"/>
      <c r="D18" s="677"/>
      <c r="E18" s="936"/>
      <c r="F18" s="936"/>
      <c r="G18" s="936"/>
      <c r="H18" s="936"/>
      <c r="I18" s="936"/>
      <c r="J18" s="936"/>
      <c r="K18" s="674"/>
      <c r="L18" s="674"/>
      <c r="M18" s="674"/>
      <c r="N18" s="674"/>
      <c r="O18" s="938"/>
      <c r="P18" s="872"/>
      <c r="Q18" s="793"/>
      <c r="R18" s="1024" t="str">
        <f>IF(('الصفحة 1'!$Q$14&gt;0),(IF(((M13)&gt;I13),("خطء الناجحون"),IF(((M13)&gt;K13),("خطء "),IF(((K13)&gt;I13),("خطء "),"")))),"")</f>
        <v/>
      </c>
      <c r="S18" s="1032"/>
      <c r="T18" s="1025" t="str">
        <f>IF(('الصفحة 1'!$Q$14&gt;0),(IF(((N13)&gt;J13),("خطء الناجحات"),IF(((N13)&gt;L13),("خطء "),IF(((L13)&gt;J13),("خطء "),"")))),"")</f>
        <v/>
      </c>
      <c r="U18" s="1024" t="str">
        <f>IF(('الصفحة 1'!$Q$14&gt;0),(IF(((M13)&gt;K13),("الناجحون"),(""))),"")</f>
        <v/>
      </c>
      <c r="V18" s="1032"/>
      <c r="W18" s="1024" t="str">
        <f>IF(('الصفحة 1'!$Q$14&gt;0),(IF(((N13)&gt;L13),("الناجحات"),(""))),"")</f>
        <v/>
      </c>
      <c r="X18" s="1025" t="str">
        <f>IF(('الصفحة 1'!$Q$14&gt;0),(IF(((M14)&gt;I14),("خطء الناجحون"),IF(((M14)&gt;K14),("خطء "),IF(((K14)&gt;I14),("خطء "),"")))),"")</f>
        <v/>
      </c>
      <c r="Y18" s="1624"/>
      <c r="Z18" s="1025" t="str">
        <f>IF(('الصفحة 1'!$Q$14&gt;0),(IF(((N14)&gt;J14),("خطء الناجحات"),IF(((N14)&gt;L14),("خطء "),IF(((L14)&gt;J14),("خطء "),"")))),"")</f>
        <v/>
      </c>
      <c r="AA18" s="1024" t="str">
        <f>IF(('الصفحة 1'!$Q$14&gt;0),(IF(((M14)&gt;K14),("الناجحون"),(""))),"")</f>
        <v/>
      </c>
      <c r="AB18" s="1032"/>
      <c r="AC18" s="1024" t="str">
        <f>IF(('الصفحة 1'!$Q$14&gt;0),(IF(((N14)&gt;L14),("الناجحات"),(""))),"")</f>
        <v/>
      </c>
      <c r="AD18" s="1032"/>
      <c r="AE18" s="1032"/>
      <c r="AF18" s="1761"/>
    </row>
    <row r="19" spans="1:32" ht="14.1" customHeight="1">
      <c r="A19" s="788"/>
      <c r="B19" s="895"/>
      <c r="C19" s="918"/>
      <c r="D19" s="4298" t="s">
        <v>140</v>
      </c>
      <c r="E19" s="4387" t="s">
        <v>782</v>
      </c>
      <c r="F19" s="4388"/>
      <c r="G19" s="4425" t="s">
        <v>781</v>
      </c>
      <c r="H19" s="4426"/>
      <c r="I19" s="4405" t="s">
        <v>139</v>
      </c>
      <c r="J19" s="4406"/>
      <c r="K19" s="4421" t="s">
        <v>138</v>
      </c>
      <c r="L19" s="4422"/>
      <c r="M19" s="4411" t="s">
        <v>137</v>
      </c>
      <c r="N19" s="4412"/>
      <c r="O19" s="938"/>
      <c r="P19" s="872"/>
      <c r="Q19" s="793"/>
      <c r="R19" s="1032"/>
      <c r="S19" s="1032"/>
      <c r="T19" s="1032"/>
      <c r="U19" s="1032"/>
      <c r="V19" s="1032"/>
      <c r="W19" s="1032"/>
      <c r="X19" s="1032"/>
      <c r="Y19" s="1624"/>
      <c r="Z19" s="1032"/>
      <c r="AA19" s="1032"/>
      <c r="AB19" s="1032"/>
      <c r="AC19" s="1032"/>
      <c r="AD19" s="1032"/>
      <c r="AE19" s="1032"/>
      <c r="AF19" s="1761"/>
    </row>
    <row r="20" spans="1:32" ht="14.1" customHeight="1">
      <c r="A20" s="788"/>
      <c r="B20" s="895"/>
      <c r="C20" s="918"/>
      <c r="D20" s="4298"/>
      <c r="E20" s="4389"/>
      <c r="F20" s="4390"/>
      <c r="G20" s="4427"/>
      <c r="H20" s="4428"/>
      <c r="I20" s="4407"/>
      <c r="J20" s="4408"/>
      <c r="K20" s="4423"/>
      <c r="L20" s="4424"/>
      <c r="M20" s="4413"/>
      <c r="N20" s="4414"/>
      <c r="O20" s="938"/>
      <c r="P20" s="872"/>
      <c r="Q20" s="793"/>
      <c r="R20" s="4368" t="s">
        <v>1433</v>
      </c>
      <c r="S20" s="4368"/>
      <c r="T20" s="4368"/>
      <c r="U20" s="4368"/>
      <c r="V20" s="4368"/>
      <c r="W20" s="4368"/>
      <c r="X20" s="4368"/>
      <c r="Y20" s="4368"/>
      <c r="Z20" s="4368"/>
      <c r="AA20" s="4368"/>
      <c r="AB20" s="4368"/>
      <c r="AC20" s="4368"/>
      <c r="AD20" s="4368"/>
      <c r="AE20" s="2228"/>
      <c r="AF20" s="2229"/>
    </row>
    <row r="21" spans="1:32" ht="14.1" customHeight="1">
      <c r="A21" s="788"/>
      <c r="B21" s="895"/>
      <c r="C21" s="918"/>
      <c r="D21" s="4298"/>
      <c r="E21" s="4391"/>
      <c r="F21" s="4392"/>
      <c r="G21" s="4429"/>
      <c r="H21" s="4430"/>
      <c r="I21" s="4409"/>
      <c r="J21" s="4410"/>
      <c r="K21" s="4423"/>
      <c r="L21" s="4424"/>
      <c r="M21" s="4413"/>
      <c r="N21" s="4414"/>
      <c r="O21" s="938"/>
      <c r="P21" s="872"/>
      <c r="Q21" s="793"/>
      <c r="R21" s="4368"/>
      <c r="S21" s="4368"/>
      <c r="T21" s="4368"/>
      <c r="U21" s="4368"/>
      <c r="V21" s="4368"/>
      <c r="W21" s="4368"/>
      <c r="X21" s="4368"/>
      <c r="Y21" s="4368"/>
      <c r="Z21" s="4368"/>
      <c r="AA21" s="4368"/>
      <c r="AB21" s="4368"/>
      <c r="AC21" s="4368"/>
      <c r="AD21" s="4368"/>
      <c r="AE21" s="2228"/>
      <c r="AF21" s="2229"/>
    </row>
    <row r="22" spans="1:32" ht="14.1" customHeight="1">
      <c r="A22" s="788"/>
      <c r="B22" s="895"/>
      <c r="C22" s="918"/>
      <c r="D22" s="4298"/>
      <c r="E22" s="967" t="s">
        <v>20</v>
      </c>
      <c r="F22" s="968" t="s">
        <v>19</v>
      </c>
      <c r="G22" s="1357" t="s">
        <v>20</v>
      </c>
      <c r="H22" s="1358" t="s">
        <v>19</v>
      </c>
      <c r="I22" s="967" t="s">
        <v>20</v>
      </c>
      <c r="J22" s="968" t="s">
        <v>19</v>
      </c>
      <c r="K22" s="1357" t="s">
        <v>20</v>
      </c>
      <c r="L22" s="1358" t="s">
        <v>19</v>
      </c>
      <c r="M22" s="1357" t="s">
        <v>20</v>
      </c>
      <c r="N22" s="1358" t="s">
        <v>19</v>
      </c>
      <c r="O22" s="938"/>
      <c r="P22" s="872"/>
      <c r="Q22" s="793"/>
      <c r="R22" s="4368"/>
      <c r="S22" s="4368"/>
      <c r="T22" s="4368"/>
      <c r="U22" s="4368"/>
      <c r="V22" s="4368"/>
      <c r="W22" s="4368"/>
      <c r="X22" s="4368"/>
      <c r="Y22" s="4368"/>
      <c r="Z22" s="4368"/>
      <c r="AA22" s="4368"/>
      <c r="AB22" s="4368"/>
      <c r="AC22" s="4368"/>
      <c r="AD22" s="4368"/>
      <c r="AE22" s="2228"/>
      <c r="AF22" s="2229"/>
    </row>
    <row r="23" spans="1:32" ht="15.9" customHeight="1">
      <c r="A23" s="788"/>
      <c r="B23" s="895"/>
      <c r="C23" s="918"/>
      <c r="D23" s="1935" t="s">
        <v>8</v>
      </c>
      <c r="E23" s="3386">
        <f>M13</f>
        <v>96</v>
      </c>
      <c r="F23" s="3387">
        <f>N13</f>
        <v>60</v>
      </c>
      <c r="G23" s="2163">
        <v>10</v>
      </c>
      <c r="H23" s="2164">
        <v>5</v>
      </c>
      <c r="I23" s="3390">
        <f>E23+G23</f>
        <v>106</v>
      </c>
      <c r="J23" s="3387">
        <f>F23+H23</f>
        <v>65</v>
      </c>
      <c r="K23" s="2163">
        <v>0</v>
      </c>
      <c r="L23" s="2164">
        <v>0</v>
      </c>
      <c r="M23" s="2163">
        <v>0</v>
      </c>
      <c r="N23" s="2165">
        <v>0</v>
      </c>
      <c r="O23" s="938"/>
      <c r="P23" s="872"/>
      <c r="Q23" s="793"/>
      <c r="R23" s="1032"/>
      <c r="S23" s="1032"/>
      <c r="T23" s="1032"/>
      <c r="U23" s="1032"/>
      <c r="V23" s="1032"/>
      <c r="W23" s="1032"/>
      <c r="X23" s="1032"/>
      <c r="Y23" s="1624"/>
      <c r="Z23" s="1032"/>
      <c r="AA23" s="1032"/>
      <c r="AB23" s="1032"/>
      <c r="AC23" s="1032"/>
      <c r="AD23" s="1032"/>
      <c r="AE23" s="1032"/>
      <c r="AF23" s="1761"/>
    </row>
    <row r="24" spans="1:32" ht="15.9" customHeight="1">
      <c r="A24" s="788"/>
      <c r="B24" s="895"/>
      <c r="C24" s="918"/>
      <c r="D24" s="3251" t="s">
        <v>136</v>
      </c>
      <c r="E24" s="3388">
        <f>M14</f>
        <v>0</v>
      </c>
      <c r="F24" s="3389">
        <f>N14</f>
        <v>0</v>
      </c>
      <c r="G24" s="2166"/>
      <c r="H24" s="2167"/>
      <c r="I24" s="3388">
        <f>E24+G24</f>
        <v>0</v>
      </c>
      <c r="J24" s="3389">
        <f>F24+H24</f>
        <v>0</v>
      </c>
      <c r="K24" s="2166"/>
      <c r="L24" s="2167"/>
      <c r="M24" s="2166"/>
      <c r="N24" s="2167"/>
      <c r="O24" s="938"/>
      <c r="P24" s="872"/>
      <c r="Q24" s="793"/>
      <c r="R24" s="1032"/>
      <c r="S24" s="1032"/>
      <c r="T24" s="1032"/>
      <c r="U24" s="1032"/>
      <c r="V24" s="1032"/>
      <c r="W24" s="1032"/>
      <c r="X24" s="1032"/>
      <c r="Y24" s="1624"/>
      <c r="Z24" s="1032"/>
      <c r="AA24" s="1032"/>
      <c r="AB24" s="1032"/>
      <c r="AC24" s="1032"/>
      <c r="AD24" s="1032"/>
      <c r="AE24" s="1032"/>
      <c r="AF24" s="1761"/>
    </row>
    <row r="25" spans="1:32" ht="14.1" customHeight="1">
      <c r="A25" s="788"/>
      <c r="B25" s="895"/>
      <c r="C25" s="918"/>
      <c r="D25" s="674"/>
      <c r="E25" s="1026"/>
      <c r="F25" s="1026"/>
      <c r="G25" s="1026"/>
      <c r="H25" s="1026"/>
      <c r="I25" s="1024" t="str">
        <f>IF(('الصفحة 1'!$Q$14&gt;0),(IF(((K23+M23)&gt;I23),("خطء الناجحون"),(""))),"")</f>
        <v/>
      </c>
      <c r="J25" s="1024" t="str">
        <f>IF(('الصفحة 1'!$Q$14&gt;0),(IF(((L23+N23)&gt;J23),("خطء الناجحون"),(""))),"")</f>
        <v/>
      </c>
      <c r="K25" s="1026"/>
      <c r="L25" s="1026"/>
      <c r="M25" s="1026"/>
      <c r="N25" s="1026"/>
      <c r="O25" s="938"/>
      <c r="P25" s="872"/>
      <c r="Q25" s="793"/>
      <c r="R25" s="1032"/>
      <c r="S25" s="1032"/>
      <c r="T25" s="1032"/>
      <c r="U25" s="1032"/>
      <c r="V25" s="1032"/>
      <c r="W25" s="1032"/>
      <c r="X25" s="1032"/>
      <c r="Y25" s="1624"/>
      <c r="Z25" s="1032"/>
      <c r="AA25" s="1032"/>
      <c r="AB25" s="1032"/>
      <c r="AC25" s="1032"/>
      <c r="AD25" s="1032"/>
      <c r="AE25" s="1032"/>
      <c r="AF25" s="1761"/>
    </row>
    <row r="26" spans="1:32" ht="14.1" customHeight="1">
      <c r="A26" s="788"/>
      <c r="B26" s="895"/>
      <c r="C26" s="884"/>
      <c r="D26" s="674"/>
      <c r="E26" s="1026"/>
      <c r="F26" s="1026"/>
      <c r="G26" s="1026"/>
      <c r="H26" s="1026"/>
      <c r="I26" s="1024" t="str">
        <f>IF(('الصفحة 1'!$Q$14&gt;0),(IF(((K24+M24)&gt;I24),("خطء الناجحون"),(""))),"")</f>
        <v/>
      </c>
      <c r="J26" s="1024" t="str">
        <f>IF(('الصفحة 1'!$Q$14&gt;0),(IF(((L24+N24)&gt;J24),("خطء الناجحون"),(""))),"")</f>
        <v/>
      </c>
      <c r="K26" s="1026"/>
      <c r="L26" s="1026"/>
      <c r="M26" s="1026"/>
      <c r="N26" s="1026"/>
      <c r="O26" s="938"/>
      <c r="P26" s="872"/>
      <c r="Q26" s="793"/>
      <c r="R26" s="1032"/>
      <c r="S26" s="1032"/>
      <c r="T26" s="1032"/>
      <c r="U26" s="1032"/>
      <c r="V26" s="1032"/>
      <c r="W26" s="1032"/>
      <c r="X26" s="1032"/>
      <c r="Y26" s="1624"/>
      <c r="Z26" s="1032"/>
      <c r="AA26" s="1032"/>
      <c r="AB26" s="1032"/>
      <c r="AC26" s="1032"/>
      <c r="AD26" s="1032"/>
      <c r="AE26" s="1032"/>
      <c r="AF26" s="1761"/>
    </row>
    <row r="27" spans="1:32" ht="14.1" customHeight="1">
      <c r="A27" s="788"/>
      <c r="B27" s="895"/>
      <c r="C27" s="1389"/>
      <c r="D27" s="3090"/>
      <c r="E27" s="3091"/>
      <c r="F27" s="3091"/>
      <c r="G27" s="3091"/>
      <c r="H27" s="3091"/>
      <c r="I27" s="3092"/>
      <c r="J27" s="3092"/>
      <c r="K27" s="3091"/>
      <c r="L27" s="3091"/>
      <c r="M27" s="3091"/>
      <c r="N27" s="3091"/>
      <c r="O27" s="2115"/>
      <c r="P27" s="872"/>
      <c r="Q27" s="793"/>
      <c r="R27" s="1032"/>
      <c r="S27" s="1032"/>
      <c r="T27" s="1032"/>
      <c r="U27" s="1032"/>
      <c r="V27" s="1032"/>
      <c r="W27" s="1032"/>
      <c r="X27" s="1032"/>
      <c r="Y27" s="1624"/>
      <c r="Z27" s="1032"/>
      <c r="AA27" s="1032"/>
      <c r="AB27" s="1032"/>
      <c r="AC27" s="1032"/>
      <c r="AD27" s="1032"/>
      <c r="AE27" s="1032"/>
      <c r="AF27" s="1761"/>
    </row>
    <row r="28" spans="1:32" ht="21.9" customHeight="1">
      <c r="A28" s="788"/>
      <c r="B28" s="895"/>
      <c r="C28" s="3082"/>
      <c r="D28" s="3083"/>
      <c r="E28" s="3084"/>
      <c r="F28" s="3084"/>
      <c r="G28" s="3084"/>
      <c r="H28" s="3084"/>
      <c r="I28" s="3085"/>
      <c r="J28" s="3085"/>
      <c r="K28" s="3084"/>
      <c r="L28" s="3084"/>
      <c r="M28" s="3084"/>
      <c r="N28" s="3084"/>
      <c r="O28" s="3086"/>
      <c r="P28" s="872"/>
      <c r="Q28" s="793"/>
      <c r="R28" s="1032"/>
      <c r="S28" s="1032"/>
      <c r="T28" s="1032"/>
      <c r="U28" s="1032"/>
      <c r="V28" s="1032"/>
      <c r="W28" s="1032"/>
      <c r="X28" s="1032"/>
      <c r="Y28" s="1624"/>
      <c r="Z28" s="1032"/>
      <c r="AA28" s="1032"/>
      <c r="AB28" s="1032"/>
      <c r="AC28" s="1032"/>
      <c r="AD28" s="1032"/>
      <c r="AE28" s="1032"/>
      <c r="AF28" s="1761"/>
    </row>
    <row r="29" spans="1:32" ht="15.9" customHeight="1">
      <c r="A29" s="788"/>
      <c r="B29" s="822"/>
      <c r="C29" s="3027"/>
      <c r="D29" s="1934" t="s">
        <v>1277</v>
      </c>
      <c r="E29" s="799"/>
      <c r="F29" s="797"/>
      <c r="G29" s="799"/>
      <c r="H29" s="797"/>
      <c r="I29" s="798"/>
      <c r="J29" s="797"/>
      <c r="K29" s="797"/>
      <c r="L29" s="797"/>
      <c r="M29" s="797"/>
      <c r="N29" s="797"/>
      <c r="O29" s="3086"/>
      <c r="P29" s="872"/>
      <c r="Q29" s="793"/>
      <c r="R29" s="1950"/>
      <c r="S29" s="1950"/>
      <c r="T29" s="4372" t="s">
        <v>25</v>
      </c>
      <c r="U29" s="4373"/>
      <c r="V29" s="3072"/>
      <c r="W29" s="4372" t="s">
        <v>24</v>
      </c>
      <c r="X29" s="4373"/>
      <c r="Y29" s="3072"/>
      <c r="Z29" s="4372" t="s">
        <v>23</v>
      </c>
      <c r="AA29" s="4373"/>
      <c r="AB29" s="3072"/>
      <c r="AC29" s="4372" t="s">
        <v>22</v>
      </c>
      <c r="AD29" s="4373"/>
      <c r="AE29" s="1950"/>
      <c r="AF29" s="1761"/>
    </row>
    <row r="30" spans="1:32" ht="21.9" customHeight="1">
      <c r="A30" s="788"/>
      <c r="B30" s="822"/>
      <c r="C30" s="3028"/>
      <c r="D30" s="16"/>
      <c r="E30" s="463"/>
      <c r="F30" s="463"/>
      <c r="G30" s="463"/>
      <c r="H30" s="463"/>
      <c r="I30" s="463"/>
      <c r="J30" s="463"/>
      <c r="K30" s="463"/>
      <c r="L30" s="463"/>
      <c r="M30" s="463"/>
      <c r="N30" s="463"/>
      <c r="O30" s="3086"/>
      <c r="P30" s="872"/>
      <c r="Q30" s="793"/>
      <c r="R30" s="1950"/>
      <c r="S30" s="1950"/>
      <c r="T30" s="4374"/>
      <c r="U30" s="4375"/>
      <c r="V30" s="3072"/>
      <c r="W30" s="4374"/>
      <c r="X30" s="4375"/>
      <c r="Y30" s="3072"/>
      <c r="Z30" s="4374"/>
      <c r="AA30" s="4375"/>
      <c r="AB30" s="3072"/>
      <c r="AC30" s="4374"/>
      <c r="AD30" s="4375"/>
      <c r="AE30" s="1950"/>
      <c r="AF30" s="1761"/>
    </row>
    <row r="31" spans="1:32" ht="18" customHeight="1">
      <c r="A31" s="788"/>
      <c r="B31" s="822"/>
      <c r="C31" s="3089" t="s">
        <v>1279</v>
      </c>
      <c r="D31" s="2180" t="s">
        <v>1280</v>
      </c>
      <c r="E31" s="4395" t="s">
        <v>25</v>
      </c>
      <c r="F31" s="4396"/>
      <c r="G31" s="4397" t="s">
        <v>24</v>
      </c>
      <c r="H31" s="4398"/>
      <c r="I31" s="4395" t="s">
        <v>23</v>
      </c>
      <c r="J31" s="4396"/>
      <c r="K31" s="4397" t="s">
        <v>22</v>
      </c>
      <c r="L31" s="4398"/>
      <c r="M31" s="4393" t="s">
        <v>610</v>
      </c>
      <c r="N31" s="4394"/>
      <c r="O31" s="3086"/>
      <c r="P31" s="872"/>
      <c r="Q31" s="793"/>
      <c r="R31" s="1950"/>
      <c r="S31" s="1950"/>
      <c r="T31" s="3073" t="s">
        <v>20</v>
      </c>
      <c r="U31" s="3074" t="s">
        <v>19</v>
      </c>
      <c r="V31" s="3072"/>
      <c r="W31" s="3073" t="s">
        <v>20</v>
      </c>
      <c r="X31" s="3074" t="s">
        <v>19</v>
      </c>
      <c r="Y31" s="3072"/>
      <c r="Z31" s="3073" t="s">
        <v>20</v>
      </c>
      <c r="AA31" s="3074" t="s">
        <v>19</v>
      </c>
      <c r="AB31" s="3072"/>
      <c r="AC31" s="3073" t="s">
        <v>20</v>
      </c>
      <c r="AD31" s="3074" t="s">
        <v>19</v>
      </c>
      <c r="AE31" s="1950"/>
      <c r="AF31" s="1761"/>
    </row>
    <row r="32" spans="1:32" ht="14.1" customHeight="1">
      <c r="A32" s="788"/>
      <c r="B32" s="822"/>
      <c r="C32" s="3028"/>
      <c r="D32" s="2231" t="s">
        <v>560</v>
      </c>
      <c r="E32" s="1928" t="s">
        <v>20</v>
      </c>
      <c r="F32" s="1929" t="s">
        <v>19</v>
      </c>
      <c r="G32" s="1930" t="s">
        <v>20</v>
      </c>
      <c r="H32" s="1931" t="s">
        <v>19</v>
      </c>
      <c r="I32" s="1928" t="s">
        <v>20</v>
      </c>
      <c r="J32" s="1929" t="s">
        <v>19</v>
      </c>
      <c r="K32" s="1930" t="s">
        <v>20</v>
      </c>
      <c r="L32" s="1931" t="s">
        <v>19</v>
      </c>
      <c r="M32" s="1932" t="s">
        <v>20</v>
      </c>
      <c r="N32" s="1933" t="s">
        <v>19</v>
      </c>
      <c r="O32" s="3086"/>
      <c r="P32" s="872"/>
      <c r="Q32" s="793"/>
      <c r="R32" s="1032"/>
      <c r="S32" s="1032"/>
      <c r="T32" s="1032"/>
      <c r="U32" s="1032"/>
      <c r="V32" s="1032"/>
      <c r="W32" s="1032"/>
      <c r="X32" s="1032"/>
      <c r="Y32" s="1032"/>
      <c r="Z32" s="1032"/>
      <c r="AA32" s="1032"/>
      <c r="AB32" s="1032"/>
      <c r="AC32" s="1032"/>
      <c r="AD32" s="1032"/>
      <c r="AE32" s="1032"/>
      <c r="AF32" s="1761"/>
    </row>
    <row r="33" spans="1:32" ht="14.1" customHeight="1">
      <c r="A33" s="788"/>
      <c r="B33" s="822"/>
      <c r="C33" s="3028"/>
      <c r="D33" s="3077" t="s">
        <v>559</v>
      </c>
      <c r="E33" s="2153">
        <v>17</v>
      </c>
      <c r="F33" s="2154">
        <v>5</v>
      </c>
      <c r="G33" s="2153">
        <v>11</v>
      </c>
      <c r="H33" s="2154">
        <v>4</v>
      </c>
      <c r="I33" s="2153">
        <v>1</v>
      </c>
      <c r="J33" s="2154">
        <v>1</v>
      </c>
      <c r="K33" s="2153">
        <v>4</v>
      </c>
      <c r="L33" s="2154">
        <v>1</v>
      </c>
      <c r="M33" s="2069">
        <f>K33+I33+G33+E33</f>
        <v>33</v>
      </c>
      <c r="N33" s="2070">
        <f>L33+J33+H33+F33</f>
        <v>11</v>
      </c>
      <c r="O33" s="3086"/>
      <c r="P33" s="872"/>
      <c r="Q33" s="793"/>
      <c r="R33" s="3080" t="s">
        <v>716</v>
      </c>
      <c r="S33" s="2737"/>
      <c r="T33" s="2738" t="str">
        <f>IF(('الصفحة 1'!$Q$14&gt;0),((IF((('الصفحة 13'!$E$33)=""),"التلاميذ",IF(('الصفحة 13'!$E$33=0)," ",IF(('الصفحة 13'!$E$33&gt;0),""))))),"")</f>
        <v/>
      </c>
      <c r="U33" s="2738" t="str">
        <f>IF(('الصفحة 1'!$Q$14&gt;0),((IF((('الصفحة 13'!$F$33)=""),"التلاميذ",IF(('الصفحة 13'!$F$33=0)," ",IF(('الصفحة 13'!$F$33&gt;0),""))))),"")</f>
        <v/>
      </c>
      <c r="V33" s="3136"/>
      <c r="W33" s="2738" t="str">
        <f>IF(('الصفحة 1'!$Q$14&gt;0),((IF((('الصفحة 13'!$G$33)=""),"التلاميذ",IF(('الصفحة 13'!$G$33=0)," ",IF(('الصفحة 13'!$G$33&gt;0),""))))),"")</f>
        <v/>
      </c>
      <c r="X33" s="2738" t="str">
        <f>IF(('الصفحة 1'!$Q$14&gt;0),((IF((('الصفحة 13'!$H$33)=""),"التلاميذ",IF(('الصفحة 13'!$H$33=0)," ",IF(('الصفحة 13'!$H$33&gt;0),""))))),"")</f>
        <v/>
      </c>
      <c r="Y33" s="3136"/>
      <c r="Z33" s="2738" t="str">
        <f>IF(('الصفحة 1'!$Q$14&gt;0),((IF((('الصفحة 13'!$I$33)=""),"التلاميذ",IF(('الصفحة 13'!$I$33=0)," ",IF(('الصفحة 13'!$I$33&gt;0),""))))),"")</f>
        <v/>
      </c>
      <c r="AA33" s="2738" t="str">
        <f>IF(('الصفحة 1'!$Q$14&gt;0),((IF((('الصفحة 13'!$J$33)=""),"التلاميذ",IF(('الصفحة 13'!$J$33=0)," ",IF(('الصفحة 13'!$J$33&gt;0),""))))),"")</f>
        <v/>
      </c>
      <c r="AB33" s="3137"/>
      <c r="AC33" s="2738" t="str">
        <f>IF(('الصفحة 1'!$Q$14&gt;0),((IF((('الصفحة 13'!$K$33)=""),"التلاميذ",IF(('الصفحة 13'!$K$33=0)," ",IF(('الصفحة 13'!$K$33&gt;0),""))))),"")</f>
        <v/>
      </c>
      <c r="AD33" s="2738" t="str">
        <f>IF(('الصفحة 1'!$Q$14&gt;0),((IF((('الصفحة 13'!$L$33)=""),"التلاميذ",IF(('الصفحة 13'!$L$33=0)," ",IF(('الصفحة 13'!$L$33&gt;0),""))))),"")</f>
        <v/>
      </c>
      <c r="AE33" s="1950"/>
      <c r="AF33" s="1761"/>
    </row>
    <row r="34" spans="1:32" ht="15.9" customHeight="1">
      <c r="A34" s="788"/>
      <c r="B34" s="822"/>
      <c r="C34" s="3028"/>
      <c r="D34" s="3078" t="s">
        <v>558</v>
      </c>
      <c r="E34" s="2153">
        <v>0</v>
      </c>
      <c r="F34" s="2154">
        <v>0</v>
      </c>
      <c r="G34" s="2153">
        <v>2</v>
      </c>
      <c r="H34" s="2154">
        <v>1</v>
      </c>
      <c r="I34" s="2153">
        <v>1</v>
      </c>
      <c r="J34" s="2154">
        <v>0</v>
      </c>
      <c r="K34" s="2153">
        <v>20</v>
      </c>
      <c r="L34" s="2154">
        <v>5</v>
      </c>
      <c r="M34" s="2071">
        <f>K34+I34+G34+E34</f>
        <v>23</v>
      </c>
      <c r="N34" s="2072">
        <f>L34+J34+H34+F34</f>
        <v>6</v>
      </c>
      <c r="O34" s="3086"/>
      <c r="P34" s="872"/>
      <c r="Q34" s="793"/>
      <c r="R34" s="3080" t="s">
        <v>558</v>
      </c>
      <c r="S34" s="2737"/>
      <c r="T34" s="2738" t="str">
        <f>IF(('الصفحة 1'!$Q$14&gt;0),((IF((('الصفحة 13'!$E$34)=""),"التلاميذ",IF(('الصفحة 13'!$E$34=0)," ",IF(('الصفحة 13'!$E$34&gt;0),""))))),"")</f>
        <v xml:space="preserve"> </v>
      </c>
      <c r="U34" s="2738" t="str">
        <f>IF(('الصفحة 1'!$Q$14&gt;0),((IF((('الصفحة 13'!$F$34)=""),"التلاميذ",IF(('الصفحة 13'!$F$34=0)," ",IF(('الصفحة 13'!$F$34&gt;0),""))))),"")</f>
        <v xml:space="preserve"> </v>
      </c>
      <c r="V34" s="3136"/>
      <c r="W34" s="2738" t="str">
        <f>IF(('الصفحة 1'!$Q$14&gt;0),((IF((('الصفحة 13'!$G$34)=""),"التلاميذ",IF(('الصفحة 13'!$G$34=0)," ",IF(('الصفحة 13'!$G$34&gt;0),""))))),"")</f>
        <v/>
      </c>
      <c r="X34" s="2738" t="str">
        <f>IF(('الصفحة 1'!$Q$14&gt;0),((IF((('الصفحة 13'!$H$34)=""),"التلاميذ",IF(('الصفحة 13'!$H$34=0)," ",IF(('الصفحة 13'!$H$34&gt;0),""))))),"")</f>
        <v/>
      </c>
      <c r="Y34" s="3136"/>
      <c r="Z34" s="2738" t="str">
        <f>IF(('الصفحة 1'!$Q$14&gt;0),((IF((('الصفحة 13'!$I$34)=""),"التلاميذ",IF(('الصفحة 13'!$I$34=0)," ",IF(('الصفحة 13'!$I$34&gt;0),""))))),"")</f>
        <v/>
      </c>
      <c r="AA34" s="2738" t="str">
        <f>IF(('الصفحة 1'!$Q$14&gt;0),((IF((('الصفحة 13'!$J$34)=""),"التلاميذ",IF(('الصفحة 13'!$J$34=0)," ",IF(('الصفحة 13'!$J$34&gt;0),""))))),"")</f>
        <v xml:space="preserve"> </v>
      </c>
      <c r="AB34" s="3137"/>
      <c r="AC34" s="2738" t="str">
        <f>IF(('الصفحة 1'!$Q$14&gt;0),((IF((('الصفحة 13'!$K$34)=""),"التلاميذ",IF(('الصفحة 13'!$K$34=0)," ",IF(('الصفحة 13'!$K$34&gt;0),""))))),"")</f>
        <v/>
      </c>
      <c r="AD34" s="2738" t="str">
        <f>IF(('الصفحة 1'!$Q$14&gt;0),((IF((('الصفحة 13'!$L$34)=""),"التلاميذ",IF(('الصفحة 13'!$L$34=0)," ",IF(('الصفحة 13'!$L$34&gt;0),""))))),"")</f>
        <v/>
      </c>
      <c r="AE34" s="1950"/>
      <c r="AF34" s="1761"/>
    </row>
    <row r="35" spans="1:32" ht="14.1" customHeight="1">
      <c r="A35" s="788"/>
      <c r="B35" s="822"/>
      <c r="C35" s="3028"/>
      <c r="D35" s="3252" t="s">
        <v>28</v>
      </c>
      <c r="E35" s="2082">
        <f t="shared" ref="E35:N35" si="0">SUM(E33:E34)</f>
        <v>17</v>
      </c>
      <c r="F35" s="2151">
        <f t="shared" si="0"/>
        <v>5</v>
      </c>
      <c r="G35" s="2082">
        <f t="shared" si="0"/>
        <v>13</v>
      </c>
      <c r="H35" s="2151">
        <f t="shared" si="0"/>
        <v>5</v>
      </c>
      <c r="I35" s="2082">
        <f t="shared" si="0"/>
        <v>2</v>
      </c>
      <c r="J35" s="2151">
        <f t="shared" si="0"/>
        <v>1</v>
      </c>
      <c r="K35" s="2082">
        <f t="shared" si="0"/>
        <v>24</v>
      </c>
      <c r="L35" s="2151">
        <f t="shared" si="0"/>
        <v>6</v>
      </c>
      <c r="M35" s="2082">
        <f t="shared" si="0"/>
        <v>56</v>
      </c>
      <c r="N35" s="2151">
        <f t="shared" si="0"/>
        <v>17</v>
      </c>
      <c r="O35" s="3086"/>
      <c r="P35" s="872"/>
      <c r="Q35" s="793"/>
      <c r="R35" s="3081"/>
      <c r="S35" s="1032"/>
      <c r="T35" s="3138"/>
      <c r="U35" s="3138"/>
      <c r="V35" s="3138"/>
      <c r="W35" s="3138"/>
      <c r="X35" s="3138"/>
      <c r="Y35" s="3138"/>
      <c r="Z35" s="3138"/>
      <c r="AA35" s="3138"/>
      <c r="AB35" s="3139"/>
      <c r="AC35" s="3140"/>
      <c r="AD35" s="3140"/>
      <c r="AE35" s="1950"/>
      <c r="AF35" s="1761"/>
    </row>
    <row r="36" spans="1:32" ht="21.9" customHeight="1">
      <c r="A36" s="788"/>
      <c r="B36" s="822"/>
      <c r="C36" s="3028"/>
      <c r="D36" s="17"/>
      <c r="E36" s="3076" t="str">
        <f>IF(('الصفحة 1'!$Q$14&gt;0),(IF(((E33)&gt;(('الصفحة 7'!$O$26-'الصفحة 7'!$O$42)+'الصفحة 6'!$O$42)),("المتخلين"),(""))),"")</f>
        <v/>
      </c>
      <c r="F36" s="3076" t="str">
        <f>IF(('الصفحة 1'!$Q$14&gt;0),(IF(((F33)&gt;(('الصفحة 7'!$O$27-'الصفحة 7'!$O$43)+'الصفحة 6'!$O$43)),("المتخلين"),(""))),"")</f>
        <v/>
      </c>
      <c r="G36" s="3076" t="str">
        <f>IF(('الصفحة 1'!$Q$14&gt;0),(IF(((G33)&gt;(('الصفحة 8'!$O$26-'الصفحة 8'!$O$42)+'الصفحة 7'!$O$42)),("المتخلين"),(""))),"")</f>
        <v/>
      </c>
      <c r="H36" s="3076" t="str">
        <f>IF(('الصفحة 1'!$Q$14&gt;0),(IF(((H33)&gt;(('الصفحة 8'!$O$27-'الصفحة 8'!$O$43)+'الصفحة 7'!$O$43)),("المتخلين"),(""))),"")</f>
        <v/>
      </c>
      <c r="I36" s="3076" t="str">
        <f>IF(('الصفحة 1'!$Q$14&gt;0),(IF(((I33)&gt;(('الصفحة 9'!$O$26-'الصفحة 9'!$O$42)+'الصفحة 8'!$O$42)),("المتخلين"),(""))),"")</f>
        <v/>
      </c>
      <c r="J36" s="3076" t="str">
        <f>IF(('الصفحة 1'!$Q$14&gt;0),(IF(((J33)&gt;(('الصفحة 9'!$O$27-'الصفحة 9'!$O$43)+'الصفحة 8'!$O$43)),("المتخلين"),(""))),"")</f>
        <v/>
      </c>
      <c r="K36" s="3076" t="str">
        <f>IF(('الصفحة 1'!$Q$14&gt;0),(IF(((K33)&gt;((I23)+'الصفحة 9'!$O$42)),("المتخلين"),(""))),"")</f>
        <v/>
      </c>
      <c r="L36" s="3076" t="str">
        <f>IF(('الصفحة 1'!$Q$14&gt;0),(IF(((L33)&gt;((J23)+'الصفحة 9'!$O$43)),("المتخلين"),(""))),"")</f>
        <v/>
      </c>
      <c r="M36" s="17"/>
      <c r="N36" s="17"/>
      <c r="O36" s="3086"/>
      <c r="P36" s="872"/>
      <c r="Q36" s="793"/>
      <c r="R36" s="3081"/>
      <c r="S36" s="1032"/>
      <c r="T36" s="3138"/>
      <c r="U36" s="3138"/>
      <c r="V36" s="3138"/>
      <c r="W36" s="3138"/>
      <c r="X36" s="3138"/>
      <c r="Y36" s="3138"/>
      <c r="Z36" s="3138"/>
      <c r="AA36" s="3138"/>
      <c r="AB36" s="3139"/>
      <c r="AC36" s="3140"/>
      <c r="AD36" s="3140"/>
      <c r="AE36" s="1032"/>
      <c r="AF36" s="1761"/>
    </row>
    <row r="37" spans="1:32" ht="21" customHeight="1">
      <c r="A37" s="788"/>
      <c r="B37" s="822"/>
      <c r="C37" s="3027"/>
      <c r="D37" s="1934" t="s">
        <v>1278</v>
      </c>
      <c r="E37" s="797"/>
      <c r="F37" s="799"/>
      <c r="G37" s="797"/>
      <c r="H37" s="798"/>
      <c r="I37" s="797"/>
      <c r="J37" s="797"/>
      <c r="K37" s="797"/>
      <c r="L37" s="797"/>
      <c r="M37" s="797"/>
      <c r="N37" s="797"/>
      <c r="O37" s="3086"/>
      <c r="P37" s="872"/>
      <c r="Q37" s="793"/>
      <c r="R37" s="3080" t="s">
        <v>293</v>
      </c>
      <c r="S37" s="2737"/>
      <c r="T37" s="2738" t="str">
        <f>IF(('الصفحة 1'!$Q$14&gt;0),((IF((('الصفحة 13'!$E$41)=""),"التلاميذ",IF(('الصفحة 13'!$E$41=0)," ",IF(('الصفحة 13'!$E$41&gt;0),""))))),"")</f>
        <v xml:space="preserve"> </v>
      </c>
      <c r="U37" s="2738" t="str">
        <f>IF(('الصفحة 1'!$Q$14&gt;0),((IF((('الصفحة 13'!$F$41)=""),"التلاميذ",IF(('الصفحة 13'!$F$41=0)," ",IF(('الصفحة 13'!$F$41&gt;0),""))))),"")</f>
        <v xml:space="preserve"> </v>
      </c>
      <c r="V37" s="3136"/>
      <c r="W37" s="2738" t="str">
        <f>IF(('الصفحة 1'!$Q$14&gt;0),((IF((('الصفحة 13'!$G$41)=""),"التلاميذ",IF(('الصفحة 13'!$G$41=0)," ",IF(('الصفحة 13'!$G$41&gt;0),""))))),"")</f>
        <v xml:space="preserve"> </v>
      </c>
      <c r="X37" s="2738" t="str">
        <f>IF(('الصفحة 1'!$Q$14&gt;0),((IF((('الصفحة 13'!$H$41)=""),"التلاميذ",IF(('الصفحة 13'!$H$41=0)," ",IF(('الصفحة 13'!$H$41&gt;0),""))))),"")</f>
        <v xml:space="preserve"> </v>
      </c>
      <c r="Y37" s="3136"/>
      <c r="Z37" s="2738" t="str">
        <f>IF(('الصفحة 1'!$Q$14&gt;0),((IF((('الصفحة 13'!$I$41)=""),"التلاميذ",IF(('الصفحة 13'!$I$41=0)," ",IF(('الصفحة 13'!$I$41&gt;0),""))))),"")</f>
        <v xml:space="preserve"> </v>
      </c>
      <c r="AA37" s="2738" t="str">
        <f>IF(('الصفحة 1'!$Q$14&gt;0),((IF((('الصفحة 13'!$J$41)=""),"التلاميذ",IF(('الصفحة 13'!$J$41=0)," ",IF(('الصفحة 13'!$J$41&gt;0),""))))),"")</f>
        <v xml:space="preserve"> </v>
      </c>
      <c r="AB37" s="3137"/>
      <c r="AC37" s="2738" t="str">
        <f>IF(('الصفحة 1'!$Q$14&gt;0),((IF((('الصفحة 13'!$K$41)=""),"التلاميذ",IF(('الصفحة 13'!$K$41=0)," ",IF(('الصفحة 13'!$K$41&gt;0),""))))),"")</f>
        <v xml:space="preserve"> </v>
      </c>
      <c r="AD37" s="2738" t="str">
        <f>IF(('الصفحة 1'!$Q$14&gt;0),((IF((('الصفحة 13'!$L$41)=""),"التلاميذ",IF(('الصفحة 13'!$L$41=0)," ",IF(('الصفحة 13'!$L$41&gt;0),""))))),"")</f>
        <v xml:space="preserve"> </v>
      </c>
      <c r="AE37" s="1032"/>
      <c r="AF37" s="1761"/>
    </row>
    <row r="38" spans="1:32" ht="21.9" customHeight="1" thickBot="1">
      <c r="A38" s="788"/>
      <c r="B38" s="822"/>
      <c r="C38" s="3028"/>
      <c r="D38" s="17"/>
      <c r="E38" s="17"/>
      <c r="F38" s="17"/>
      <c r="G38" s="17"/>
      <c r="H38" s="17"/>
      <c r="I38" s="17"/>
      <c r="J38" s="17"/>
      <c r="K38" s="17"/>
      <c r="L38" s="17"/>
      <c r="M38" s="17"/>
      <c r="N38" s="17"/>
      <c r="O38" s="3086"/>
      <c r="P38" s="872"/>
      <c r="Q38" s="793"/>
      <c r="R38" s="1032"/>
      <c r="S38" s="1032"/>
      <c r="T38" s="1032"/>
      <c r="U38" s="1032"/>
      <c r="V38" s="1032"/>
      <c r="W38" s="1032"/>
      <c r="X38" s="1032"/>
      <c r="Y38" s="1032"/>
      <c r="Z38" s="1032"/>
      <c r="AA38" s="1032"/>
      <c r="AB38" s="1032"/>
      <c r="AC38" s="2743"/>
      <c r="AD38" s="2743"/>
      <c r="AE38" s="1950"/>
      <c r="AF38" s="1761"/>
    </row>
    <row r="39" spans="1:32" ht="18" customHeight="1" thickBot="1">
      <c r="A39" s="788"/>
      <c r="B39" s="822"/>
      <c r="C39" s="3089" t="s">
        <v>1279</v>
      </c>
      <c r="D39" s="2180" t="s">
        <v>1280</v>
      </c>
      <c r="E39" s="4395" t="s">
        <v>25</v>
      </c>
      <c r="F39" s="4396"/>
      <c r="G39" s="4397" t="s">
        <v>24</v>
      </c>
      <c r="H39" s="4398"/>
      <c r="I39" s="4395" t="s">
        <v>23</v>
      </c>
      <c r="J39" s="4396"/>
      <c r="K39" s="4397" t="s">
        <v>22</v>
      </c>
      <c r="L39" s="4398"/>
      <c r="M39" s="4393" t="s">
        <v>610</v>
      </c>
      <c r="N39" s="4394"/>
      <c r="O39" s="3086"/>
      <c r="P39" s="872"/>
      <c r="Q39" s="793"/>
      <c r="R39" s="1032"/>
      <c r="S39" s="1032"/>
      <c r="T39" s="1032"/>
      <c r="U39" s="1032"/>
      <c r="V39" s="1032"/>
      <c r="W39" s="1032"/>
      <c r="X39" s="1032"/>
      <c r="Y39" s="1032"/>
      <c r="Z39" s="4369" t="s">
        <v>695</v>
      </c>
      <c r="AA39" s="4370"/>
      <c r="AB39" s="4370"/>
      <c r="AC39" s="4370"/>
      <c r="AD39" s="4371"/>
      <c r="AE39" s="1950"/>
      <c r="AF39" s="1761"/>
    </row>
    <row r="40" spans="1:32" ht="14.1" customHeight="1" thickBot="1">
      <c r="A40" s="788"/>
      <c r="B40" s="822"/>
      <c r="C40" s="3028"/>
      <c r="D40" s="2231" t="s">
        <v>560</v>
      </c>
      <c r="E40" s="1928" t="s">
        <v>20</v>
      </c>
      <c r="F40" s="1929" t="s">
        <v>19</v>
      </c>
      <c r="G40" s="1930" t="s">
        <v>20</v>
      </c>
      <c r="H40" s="1931" t="s">
        <v>19</v>
      </c>
      <c r="I40" s="1928" t="s">
        <v>20</v>
      </c>
      <c r="J40" s="1929" t="s">
        <v>19</v>
      </c>
      <c r="K40" s="1930" t="s">
        <v>20</v>
      </c>
      <c r="L40" s="1931" t="s">
        <v>19</v>
      </c>
      <c r="M40" s="1932" t="s">
        <v>20</v>
      </c>
      <c r="N40" s="1933" t="s">
        <v>19</v>
      </c>
      <c r="O40" s="3086"/>
      <c r="P40" s="872"/>
      <c r="Q40" s="793"/>
      <c r="R40" s="1032"/>
      <c r="S40" s="1032"/>
      <c r="T40" s="1032"/>
      <c r="U40" s="1032"/>
      <c r="V40" s="1032"/>
      <c r="W40" s="1032"/>
      <c r="X40" s="1032"/>
      <c r="Y40" s="1032"/>
      <c r="Z40" s="1950"/>
      <c r="AA40" s="4376">
        <f>IF(('الصفحة 1'!$Q$14&gt;0),IF(('الصفحة 10'!N20&gt;0),(('الصفحة 10'!N20/('الصفحة 12'!M9+0.000001))),""),"")</f>
        <v>35.142855469387833</v>
      </c>
      <c r="AB40" s="4377"/>
      <c r="AC40" s="4378"/>
      <c r="AD40" s="1950"/>
      <c r="AE40" s="1950"/>
      <c r="AF40" s="1761"/>
    </row>
    <row r="41" spans="1:32" ht="15.9" customHeight="1" thickBot="1">
      <c r="A41" s="788"/>
      <c r="B41" s="822"/>
      <c r="C41" s="3028"/>
      <c r="D41" s="3079" t="s">
        <v>293</v>
      </c>
      <c r="E41" s="2155">
        <v>0</v>
      </c>
      <c r="F41" s="2156">
        <v>0</v>
      </c>
      <c r="G41" s="2155">
        <v>0</v>
      </c>
      <c r="H41" s="2156">
        <v>0</v>
      </c>
      <c r="I41" s="2155">
        <v>0</v>
      </c>
      <c r="J41" s="2156">
        <v>0</v>
      </c>
      <c r="K41" s="2155">
        <v>0</v>
      </c>
      <c r="L41" s="2156">
        <v>0</v>
      </c>
      <c r="M41" s="2069">
        <f>K41+I41+G41+E41</f>
        <v>0</v>
      </c>
      <c r="N41" s="2070">
        <f>L41+J41+H41+F41</f>
        <v>0</v>
      </c>
      <c r="O41" s="3086"/>
      <c r="P41" s="872"/>
      <c r="Q41" s="793"/>
      <c r="R41" s="1032"/>
      <c r="S41" s="1032"/>
      <c r="T41" s="1032"/>
      <c r="U41" s="1032"/>
      <c r="V41" s="1032"/>
      <c r="W41" s="1032"/>
      <c r="X41" s="1032"/>
      <c r="Y41" s="1032"/>
      <c r="Z41" s="1032"/>
      <c r="AA41" s="1032"/>
      <c r="AB41" s="1032"/>
      <c r="AC41" s="1032"/>
      <c r="AD41" s="1032"/>
      <c r="AE41" s="1950"/>
      <c r="AF41" s="1761"/>
    </row>
    <row r="42" spans="1:32" ht="15.9" customHeight="1" thickBot="1">
      <c r="A42" s="788"/>
      <c r="B42" s="822"/>
      <c r="C42" s="3028"/>
      <c r="D42" s="3252" t="s">
        <v>28</v>
      </c>
      <c r="E42" s="2082">
        <f t="shared" ref="E42:N42" si="1">SUM(E41:E41)</f>
        <v>0</v>
      </c>
      <c r="F42" s="2151">
        <f t="shared" si="1"/>
        <v>0</v>
      </c>
      <c r="G42" s="2082">
        <f t="shared" si="1"/>
        <v>0</v>
      </c>
      <c r="H42" s="2151">
        <f t="shared" si="1"/>
        <v>0</v>
      </c>
      <c r="I42" s="2082">
        <f t="shared" si="1"/>
        <v>0</v>
      </c>
      <c r="J42" s="2151">
        <f t="shared" si="1"/>
        <v>0</v>
      </c>
      <c r="K42" s="2082">
        <f t="shared" si="1"/>
        <v>0</v>
      </c>
      <c r="L42" s="2151">
        <f t="shared" si="1"/>
        <v>0</v>
      </c>
      <c r="M42" s="2082">
        <f t="shared" si="1"/>
        <v>0</v>
      </c>
      <c r="N42" s="2151">
        <f t="shared" si="1"/>
        <v>0</v>
      </c>
      <c r="O42" s="3086"/>
      <c r="P42" s="872"/>
      <c r="Q42" s="793"/>
      <c r="R42" s="1950"/>
      <c r="S42" s="1950"/>
      <c r="T42" s="1950"/>
      <c r="U42" s="1950"/>
      <c r="V42" s="1950"/>
      <c r="W42" s="1950"/>
      <c r="X42" s="1950"/>
      <c r="Y42" s="1950"/>
      <c r="Z42" s="4369" t="s">
        <v>694</v>
      </c>
      <c r="AA42" s="4370"/>
      <c r="AB42" s="4370"/>
      <c r="AC42" s="4370"/>
      <c r="AD42" s="4371"/>
      <c r="AE42" s="1950"/>
      <c r="AF42" s="1761"/>
    </row>
    <row r="43" spans="1:32" ht="15.9" customHeight="1" thickBot="1">
      <c r="A43" s="788"/>
      <c r="B43" s="822"/>
      <c r="C43" s="3028"/>
      <c r="D43" s="1014"/>
      <c r="E43" s="1014"/>
      <c r="F43" s="1015"/>
      <c r="G43" s="1015"/>
      <c r="H43" s="1015"/>
      <c r="I43" s="1015"/>
      <c r="J43" s="1015"/>
      <c r="K43" s="1015"/>
      <c r="L43" s="1015"/>
      <c r="M43" s="1015"/>
      <c r="N43" s="1015"/>
      <c r="O43" s="3086"/>
      <c r="P43" s="872"/>
      <c r="Q43" s="793"/>
      <c r="R43" s="1032"/>
      <c r="S43" s="1032"/>
      <c r="T43" s="1032"/>
      <c r="U43" s="1032"/>
      <c r="V43" s="1032"/>
      <c r="W43" s="1032"/>
      <c r="X43" s="1032"/>
      <c r="Y43" s="1032"/>
      <c r="Z43" s="2744"/>
      <c r="AA43" s="4376">
        <f>IF(('الصفحة 1'!$Q$14&gt;0),IF(('الصفحة 12'!M9&gt;0),(('الصفحة 12'!M9/('الصفحة 1'!G46+'الصفحة 1'!I64+'الصفحة 1'!K66+('الصفحة 1'!I62/2)+0.000001))),""),"")</f>
        <v>4.6666656296298603</v>
      </c>
      <c r="AB43" s="4377"/>
      <c r="AC43" s="4378"/>
      <c r="AD43" s="2744"/>
      <c r="AE43" s="1032"/>
      <c r="AF43" s="1761"/>
    </row>
    <row r="44" spans="1:32" ht="15.9" customHeight="1" thickBot="1">
      <c r="A44" s="788"/>
      <c r="B44" s="822"/>
      <c r="C44" s="3028"/>
      <c r="D44" s="1014"/>
      <c r="E44" s="1014"/>
      <c r="F44" s="1015"/>
      <c r="G44" s="1015"/>
      <c r="H44" s="1015"/>
      <c r="I44" s="1015"/>
      <c r="J44" s="1015"/>
      <c r="K44" s="1015"/>
      <c r="L44" s="1015"/>
      <c r="M44" s="1015"/>
      <c r="N44" s="1015"/>
      <c r="O44" s="3086"/>
      <c r="P44" s="872"/>
      <c r="Q44" s="793"/>
      <c r="R44" s="4382" t="s">
        <v>697</v>
      </c>
      <c r="S44" s="4382"/>
      <c r="T44" s="4383" t="str">
        <f>IF(('الصفحة 1'!$Q$14&gt;0),IF(('الصفحة 10'!P20&gt;0),IF(('الصفحة 10'!P20&lt;&gt;'الصفحة 10'!N21),"خطء الأجانب",""),""),"")</f>
        <v/>
      </c>
      <c r="U44" s="4384"/>
      <c r="V44" s="4385"/>
      <c r="W44" s="4383" t="str">
        <f>IF(('الصفحة 1'!$Q$14&gt;0),IF(('الصفحة 10'!Q20&gt;0),IF(('الصفحة 10'!Q20&lt;&gt;'الصفحة 10'!O21),"خطء الأجانبيات",""),""),"")</f>
        <v/>
      </c>
      <c r="X44" s="4384"/>
      <c r="Y44" s="4385"/>
      <c r="Z44" s="1032"/>
      <c r="AA44" s="1032"/>
      <c r="AB44" s="1032"/>
      <c r="AC44" s="1032"/>
      <c r="AD44" s="1032"/>
      <c r="AE44" s="1032"/>
      <c r="AF44" s="1761"/>
    </row>
    <row r="45" spans="1:32" ht="15.9" customHeight="1" thickBot="1">
      <c r="A45" s="788"/>
      <c r="B45" s="822"/>
      <c r="C45" s="3028"/>
      <c r="D45" s="3087"/>
      <c r="E45" s="3088"/>
      <c r="F45" s="3088"/>
      <c r="G45" s="3088"/>
      <c r="H45" s="3088"/>
      <c r="I45" s="3088"/>
      <c r="J45" s="3088"/>
      <c r="K45" s="3088"/>
      <c r="L45" s="3088"/>
      <c r="M45" s="3088"/>
      <c r="N45" s="3088"/>
      <c r="O45" s="3086"/>
      <c r="P45" s="872"/>
      <c r="Q45" s="793"/>
      <c r="R45" s="2745"/>
      <c r="S45" s="2745"/>
      <c r="T45" s="1032"/>
      <c r="U45" s="1032"/>
      <c r="V45" s="1032"/>
      <c r="W45" s="1032"/>
      <c r="X45" s="1032"/>
      <c r="Y45" s="1032"/>
      <c r="Z45" s="4379" t="s">
        <v>696</v>
      </c>
      <c r="AA45" s="4380"/>
      <c r="AB45" s="4380"/>
      <c r="AC45" s="4380"/>
      <c r="AD45" s="4381"/>
      <c r="AE45" s="1032"/>
      <c r="AF45" s="1761"/>
    </row>
    <row r="46" spans="1:32" ht="15.9" customHeight="1" thickBot="1">
      <c r="A46" s="788"/>
      <c r="B46" s="822"/>
      <c r="C46" s="763"/>
      <c r="D46" s="1014"/>
      <c r="O46" s="938"/>
      <c r="P46" s="872"/>
      <c r="Q46" s="793"/>
      <c r="R46" s="4386"/>
      <c r="S46" s="4386"/>
      <c r="T46" s="1694"/>
      <c r="U46" s="1694"/>
      <c r="V46" s="1694"/>
      <c r="W46" s="1694"/>
      <c r="X46" s="1694"/>
      <c r="Y46" s="1694"/>
      <c r="Z46" s="2746"/>
      <c r="AA46" s="4376">
        <f>IF(('الصفحة 1'!$Q$14&gt;0),IF(('الصفحة 10'!N20&gt;0),(('الصفحة 10'!N20/('الصفحة 1'!G46+'الصفحة 1'!I64+'الصفحة 1'!K66+('الصفحة 1'!I62/2)+0.000001))),""),"")</f>
        <v>163.99996355556365</v>
      </c>
      <c r="AB46" s="4377"/>
      <c r="AC46" s="4378"/>
      <c r="AD46" s="2747"/>
      <c r="AE46" s="1950"/>
      <c r="AF46" s="1761"/>
    </row>
    <row r="47" spans="1:32" ht="15.9" customHeight="1">
      <c r="A47" s="788"/>
      <c r="B47" s="822"/>
      <c r="C47" s="763"/>
      <c r="D47" s="1014"/>
      <c r="O47" s="938"/>
      <c r="P47" s="872"/>
      <c r="Q47" s="793"/>
      <c r="R47" s="2748"/>
      <c r="S47" s="2748"/>
      <c r="T47" s="1694"/>
      <c r="U47" s="1694"/>
      <c r="V47" s="1694"/>
      <c r="W47" s="1694"/>
      <c r="X47" s="1694"/>
      <c r="Y47" s="1694"/>
      <c r="Z47" s="2749"/>
      <c r="AA47" s="2750"/>
      <c r="AB47" s="2750"/>
      <c r="AC47" s="2750"/>
      <c r="AD47" s="2749"/>
      <c r="AE47" s="1950"/>
      <c r="AF47" s="1761"/>
    </row>
    <row r="48" spans="1:32" ht="15.9" customHeight="1">
      <c r="A48" s="788"/>
      <c r="B48" s="822"/>
      <c r="C48" s="763"/>
      <c r="D48" s="1014"/>
      <c r="O48" s="938"/>
      <c r="P48" s="872"/>
      <c r="Q48" s="793"/>
      <c r="R48" s="3075" t="s">
        <v>1392</v>
      </c>
      <c r="S48" s="1032"/>
      <c r="T48" s="1032"/>
      <c r="U48" s="1032"/>
      <c r="V48" s="1032"/>
      <c r="W48" s="1032"/>
      <c r="X48" s="1694"/>
      <c r="Y48" s="1694"/>
      <c r="Z48" s="2749"/>
      <c r="AA48" s="2750"/>
      <c r="AB48" s="2750"/>
      <c r="AC48" s="2750"/>
      <c r="AD48" s="2749"/>
      <c r="AE48" s="1950"/>
      <c r="AF48" s="1761"/>
    </row>
    <row r="49" spans="1:32" ht="15.9" customHeight="1">
      <c r="A49" s="788"/>
      <c r="B49" s="822"/>
      <c r="C49" s="763"/>
      <c r="D49" s="1014"/>
      <c r="O49" s="938"/>
      <c r="P49" s="872"/>
      <c r="Q49" s="793"/>
      <c r="R49" s="4364" t="str">
        <f>IF(('الصفحة 1'!$Q$14&gt;0),(IF(((E$35)&lt;&gt;'حوصلة الانتقال والتسرب'!Y13),(" تطابق مجموع التخلي  في الأولى متوسط "),(""))),"")</f>
        <v xml:space="preserve"> تطابق مجموع التخلي  في الأولى متوسط </v>
      </c>
      <c r="S49" s="4365"/>
      <c r="T49" s="4365"/>
      <c r="U49" s="4358" t="str">
        <f>IF(('الصفحة 1'!$Q$14&gt;0),(IF(((I$35)&lt;&gt;'حوصلة الانتقال والتسرب'!Y15),(" تطابق مجموع التخلي  في الثالثة متوسط "),(""))),"")</f>
        <v xml:space="preserve"> تطابق مجموع التخلي  في الثالثة متوسط </v>
      </c>
      <c r="V49" s="4358"/>
      <c r="W49" s="4358"/>
      <c r="X49" s="4359"/>
      <c r="Y49" s="1694"/>
      <c r="Z49" s="2749"/>
      <c r="AA49" s="2750"/>
      <c r="AB49" s="2750"/>
      <c r="AC49" s="2750"/>
      <c r="AD49" s="2749"/>
      <c r="AE49" s="1950"/>
      <c r="AF49" s="1761"/>
    </row>
    <row r="50" spans="1:32" ht="15.9" customHeight="1">
      <c r="A50" s="788"/>
      <c r="B50" s="822"/>
      <c r="C50" s="763"/>
      <c r="D50" s="1014"/>
      <c r="O50" s="938"/>
      <c r="P50" s="872"/>
      <c r="Q50" s="793"/>
      <c r="R50" s="4366" t="str">
        <f>IF(('الصفحة 1'!$Q$14&gt;0),(IF(((F$35)&lt;&gt;'حوصلة الانتقال والتسرب'!U13),(" تطابق تخلي البنات  في الأولى متوسط "),(""))),"")</f>
        <v xml:space="preserve"> تطابق تخلي البنات  في الأولى متوسط </v>
      </c>
      <c r="S50" s="4367"/>
      <c r="T50" s="4367"/>
      <c r="U50" s="4360" t="str">
        <f>IF(('الصفحة 1'!$Q$14&gt;0),(IF(((J$35)&lt;&gt;'حوصلة الانتقال والتسرب'!U15),(" تطابق تخلي البنات  في الثالثة متوسط "),(""))),"")</f>
        <v xml:space="preserve"> تطابق تخلي البنات  في الثالثة متوسط </v>
      </c>
      <c r="V50" s="4360"/>
      <c r="W50" s="4360"/>
      <c r="X50" s="4361"/>
      <c r="Y50" s="1694"/>
      <c r="Z50" s="2749"/>
      <c r="AA50" s="2750"/>
      <c r="AB50" s="2750"/>
      <c r="AC50" s="2750"/>
      <c r="AD50" s="2749"/>
      <c r="AE50" s="1950"/>
      <c r="AF50" s="1761"/>
    </row>
    <row r="51" spans="1:32" ht="15.9" customHeight="1">
      <c r="A51" s="788"/>
      <c r="B51" s="822"/>
      <c r="C51" s="763"/>
      <c r="D51" s="1014"/>
      <c r="O51" s="938"/>
      <c r="P51" s="872"/>
      <c r="Q51" s="793"/>
      <c r="R51" s="4366" t="str">
        <f>IF(('الصفحة 1'!$Q$14&gt;0),(IF(((G$35)&lt;&gt;'حوصلة الانتقال والتسرب'!Y14),(" تطابق مجموع التخلي  في الثانية متوسط "),(""))),"")</f>
        <v xml:space="preserve"> تطابق مجموع التخلي  في الثانية متوسط </v>
      </c>
      <c r="S51" s="4367"/>
      <c r="T51" s="4367"/>
      <c r="U51" s="4360" t="str">
        <f>IF(('الصفحة 1'!$Q$14&gt;0),(IF(((K$35)&lt;&gt;'حوصلة الانتقال والتسرب'!Y16),(" تطابق مجموع التخلي في الرابعة متوسط "),(""))),"")</f>
        <v xml:space="preserve"> تطابق مجموع التخلي في الرابعة متوسط </v>
      </c>
      <c r="V51" s="4360"/>
      <c r="W51" s="4360"/>
      <c r="X51" s="4361"/>
      <c r="Y51" s="1694"/>
      <c r="Z51" s="2749"/>
      <c r="AA51" s="2750"/>
      <c r="AB51" s="2750"/>
      <c r="AC51" s="2750"/>
      <c r="AD51" s="2749"/>
      <c r="AE51" s="1950"/>
      <c r="AF51" s="1761"/>
    </row>
    <row r="52" spans="1:32" ht="15.9" customHeight="1">
      <c r="A52" s="788"/>
      <c r="B52" s="822"/>
      <c r="C52" s="763"/>
      <c r="D52" s="1014"/>
      <c r="O52" s="938"/>
      <c r="P52" s="872"/>
      <c r="Q52" s="793"/>
      <c r="R52" s="4356" t="str">
        <f>IF(('الصفحة 1'!$Q$14&gt;0),(IF(((H$35)&lt;&gt;'حوصلة الانتقال والتسرب'!U14),(" تطابق تخلي البنات  في الثانية متوسط "),(""))),"")</f>
        <v xml:space="preserve"> تطابق تخلي البنات  في الثانية متوسط </v>
      </c>
      <c r="S52" s="4357"/>
      <c r="T52" s="4357"/>
      <c r="U52" s="4362" t="str">
        <f>IF(('الصفحة 1'!$Q$14&gt;0),(IF(((L$35)&lt;&gt;'حوصلة الانتقال والتسرب'!U16),(" تطابق تخلي البنات  في الرابعة متوسط "),(""))),"")</f>
        <v xml:space="preserve"> تطابق تخلي البنات  في الرابعة متوسط </v>
      </c>
      <c r="V52" s="4362"/>
      <c r="W52" s="4362"/>
      <c r="X52" s="4363"/>
      <c r="Y52" s="1694"/>
      <c r="Z52" s="2749"/>
      <c r="AA52" s="2750"/>
      <c r="AB52" s="2750"/>
      <c r="AC52" s="2750"/>
      <c r="AD52" s="2749"/>
      <c r="AE52" s="1950"/>
      <c r="AF52" s="1761"/>
    </row>
    <row r="53" spans="1:32" ht="8.1" customHeight="1">
      <c r="A53" s="788"/>
      <c r="B53" s="822"/>
      <c r="C53" s="763"/>
      <c r="D53" s="1014"/>
      <c r="O53" s="938"/>
      <c r="P53" s="872"/>
      <c r="Q53" s="793"/>
      <c r="R53" s="2748"/>
      <c r="S53" s="2748"/>
      <c r="T53" s="1694"/>
      <c r="U53" s="1694"/>
      <c r="V53" s="1694"/>
      <c r="W53" s="1694"/>
      <c r="X53" s="1694"/>
      <c r="Y53" s="1694"/>
      <c r="Z53" s="2749"/>
      <c r="AA53" s="2750"/>
      <c r="AB53" s="2750"/>
      <c r="AC53" s="2750"/>
      <c r="AD53" s="2749"/>
      <c r="AE53" s="1950"/>
      <c r="AF53" s="1761"/>
    </row>
    <row r="54" spans="1:32" ht="6.9" customHeight="1" thickBot="1">
      <c r="A54" s="788"/>
      <c r="B54" s="895"/>
      <c r="C54" s="885"/>
      <c r="D54" s="939"/>
      <c r="E54" s="939"/>
      <c r="F54" s="939"/>
      <c r="G54" s="939"/>
      <c r="H54" s="939"/>
      <c r="I54" s="939"/>
      <c r="J54" s="939"/>
      <c r="K54" s="939"/>
      <c r="L54" s="939"/>
      <c r="M54" s="939"/>
      <c r="N54" s="939"/>
      <c r="O54" s="940"/>
      <c r="P54" s="937"/>
      <c r="Q54" s="789"/>
      <c r="R54" s="1032"/>
      <c r="S54" s="1032"/>
      <c r="T54" s="1032"/>
      <c r="U54" s="1032"/>
      <c r="V54" s="1032"/>
      <c r="W54" s="1032"/>
      <c r="X54" s="1032"/>
      <c r="Y54" s="1624"/>
      <c r="Z54" s="1032"/>
      <c r="AA54" s="1032"/>
      <c r="AB54" s="1032"/>
      <c r="AC54" s="1032"/>
      <c r="AD54" s="1032"/>
      <c r="AE54" s="1032"/>
      <c r="AF54" s="1761"/>
    </row>
    <row r="55" spans="1:32" ht="14.1" customHeight="1" thickBot="1">
      <c r="A55" s="788"/>
      <c r="B55" s="896"/>
      <c r="C55" s="4399">
        <v>13</v>
      </c>
      <c r="D55" s="4399"/>
      <c r="E55" s="4399"/>
      <c r="F55" s="4399"/>
      <c r="G55" s="4399"/>
      <c r="H55" s="4399"/>
      <c r="I55" s="4399"/>
      <c r="J55" s="4399"/>
      <c r="K55" s="4399"/>
      <c r="L55" s="4399"/>
      <c r="M55" s="4399"/>
      <c r="N55" s="4399"/>
      <c r="O55" s="4399"/>
      <c r="P55" s="875"/>
      <c r="Q55" s="789"/>
      <c r="R55" s="1032"/>
      <c r="S55" s="1032"/>
      <c r="T55" s="1032"/>
      <c r="U55" s="1032"/>
      <c r="V55" s="1032"/>
      <c r="W55" s="1032"/>
      <c r="X55" s="1032"/>
      <c r="Y55" s="1624"/>
      <c r="Z55" s="1032"/>
      <c r="AA55" s="1032"/>
      <c r="AB55" s="1032"/>
      <c r="AC55" s="1032"/>
      <c r="AD55" s="1032"/>
      <c r="AE55" s="1032"/>
      <c r="AF55" s="1761"/>
    </row>
    <row r="56" spans="1:32" ht="14.1" customHeight="1">
      <c r="A56" s="788"/>
      <c r="B56" s="3143" t="str">
        <f>'صفحة الدفتـر'!$B$68</f>
        <v>السنة الدراسية  2022 - 2023</v>
      </c>
      <c r="C56" s="789"/>
      <c r="D56" s="789"/>
      <c r="E56" s="789"/>
      <c r="F56" s="789"/>
      <c r="G56" s="789"/>
      <c r="H56" s="789"/>
      <c r="I56" s="789"/>
      <c r="J56" s="789"/>
      <c r="K56" s="789"/>
      <c r="L56" s="789"/>
      <c r="M56" s="789"/>
      <c r="N56" s="789"/>
      <c r="O56" s="789"/>
      <c r="P56" s="789"/>
      <c r="Q56" s="789"/>
      <c r="R56" s="1040"/>
      <c r="S56" s="1040"/>
      <c r="T56" s="1040"/>
      <c r="U56" s="1040"/>
      <c r="V56" s="1040"/>
      <c r="W56" s="1040"/>
      <c r="X56" s="1630"/>
      <c r="Y56" s="1761"/>
      <c r="Z56" s="1761"/>
      <c r="AA56" s="1761"/>
      <c r="AB56" s="1761"/>
      <c r="AC56" s="1761"/>
      <c r="AD56" s="1761"/>
      <c r="AE56" s="1761"/>
      <c r="AF56" s="1761"/>
    </row>
    <row r="57" spans="1:32" hidden="1"/>
    <row r="58" spans="1:32" hidden="1"/>
    <row r="59" spans="1:32" hidden="1"/>
    <row r="60" spans="1:32" hidden="1"/>
    <row r="61" spans="1:32" hidden="1"/>
    <row r="62" spans="1:32" hidden="1"/>
    <row r="63" spans="1:32" hidden="1"/>
    <row r="64" spans="1:32" hidden="1"/>
    <row r="65" hidden="1"/>
    <row r="66" hidden="1"/>
    <row r="67" hidden="1"/>
    <row r="68" hidden="1"/>
    <row r="69" hidden="1"/>
    <row r="70" hidden="1"/>
    <row r="71" hidden="1"/>
    <row r="72" hidden="1"/>
    <row r="73" hidden="1"/>
  </sheetData>
  <sheetProtection password="D8D3" sheet="1" objects="1" scenarios="1"/>
  <mergeCells count="70">
    <mergeCell ref="E10:F11"/>
    <mergeCell ref="G10:H11"/>
    <mergeCell ref="R2:AD4"/>
    <mergeCell ref="M16:N16"/>
    <mergeCell ref="R6:U6"/>
    <mergeCell ref="V6:X6"/>
    <mergeCell ref="R7:U7"/>
    <mergeCell ref="R8:U8"/>
    <mergeCell ref="V8:X8"/>
    <mergeCell ref="W10:X10"/>
    <mergeCell ref="G5:K5"/>
    <mergeCell ref="G16:H16"/>
    <mergeCell ref="I16:J16"/>
    <mergeCell ref="C55:O55"/>
    <mergeCell ref="D10:D12"/>
    <mergeCell ref="V7:X7"/>
    <mergeCell ref="I10:J11"/>
    <mergeCell ref="I19:J21"/>
    <mergeCell ref="D19:D22"/>
    <mergeCell ref="M19:N21"/>
    <mergeCell ref="T9:U9"/>
    <mergeCell ref="T10:U10"/>
    <mergeCell ref="T12:U12"/>
    <mergeCell ref="T14:U14"/>
    <mergeCell ref="T16:U16"/>
    <mergeCell ref="T17:U17"/>
    <mergeCell ref="W9:X9"/>
    <mergeCell ref="K19:L21"/>
    <mergeCell ref="G19:H21"/>
    <mergeCell ref="E19:F21"/>
    <mergeCell ref="M39:N39"/>
    <mergeCell ref="E31:F31"/>
    <mergeCell ref="G31:H31"/>
    <mergeCell ref="K31:L31"/>
    <mergeCell ref="M31:N31"/>
    <mergeCell ref="E39:F39"/>
    <mergeCell ref="G39:H39"/>
    <mergeCell ref="I39:J39"/>
    <mergeCell ref="K39:L39"/>
    <mergeCell ref="I31:J31"/>
    <mergeCell ref="AA43:AC43"/>
    <mergeCell ref="Z45:AD45"/>
    <mergeCell ref="AA46:AC46"/>
    <mergeCell ref="R44:S44"/>
    <mergeCell ref="T44:V44"/>
    <mergeCell ref="W44:Y44"/>
    <mergeCell ref="R46:S46"/>
    <mergeCell ref="R20:AD22"/>
    <mergeCell ref="Z39:AD39"/>
    <mergeCell ref="Z42:AD42"/>
    <mergeCell ref="T29:U30"/>
    <mergeCell ref="W29:X30"/>
    <mergeCell ref="Z29:AA30"/>
    <mergeCell ref="AC29:AD30"/>
    <mergeCell ref="AA40:AC40"/>
    <mergeCell ref="R52:T52"/>
    <mergeCell ref="U49:X49"/>
    <mergeCell ref="U50:X50"/>
    <mergeCell ref="U51:X51"/>
    <mergeCell ref="U52:X52"/>
    <mergeCell ref="R49:T49"/>
    <mergeCell ref="R50:T50"/>
    <mergeCell ref="R51:T51"/>
    <mergeCell ref="Z17:AA17"/>
    <mergeCell ref="Z16:AA16"/>
    <mergeCell ref="Z14:AA14"/>
    <mergeCell ref="Z12:AA12"/>
    <mergeCell ref="K10:L11"/>
    <mergeCell ref="M10:N11"/>
    <mergeCell ref="K16:L16"/>
  </mergeCells>
  <conditionalFormatting sqref="I13:I14 K13:K14 M13:M14 I41:I42 K41:K42 E41:E42 M41:O42 G41:G42 G23:G24 K23:K24 M23:M24 E23:E24 I23:I24 J43:J44 L43:L44 F43:F44 N43:P44 H43:H44 G33:G35 I33:I35 K33:K35 E33:E35 M33:O35 G5">
    <cfRule type="cellIs" dxfId="21065" priority="177" stopIfTrue="1" operator="equal">
      <formula>0</formula>
    </cfRule>
  </conditionalFormatting>
  <conditionalFormatting sqref="L23:L24 N23:N24 L13:L14 N13:N14 F23:F24 H23:H24 J13:J14 J23:J24 K43:K44 J42 M43:M44 L42 O43:O44 N42 G43:G44 F42 P42 I43:I44 H42 Q43:Q53">
    <cfRule type="cellIs" dxfId="21064" priority="172" stopIfTrue="1" operator="greaterThan">
      <formula>E13</formula>
    </cfRule>
    <cfRule type="cellIs" dxfId="21063" priority="173" stopIfTrue="1" operator="equal">
      <formula>0</formula>
    </cfRule>
  </conditionalFormatting>
  <conditionalFormatting sqref="E24:N24 I14:N14">
    <cfRule type="cellIs" dxfId="21062" priority="101" stopIfTrue="1" operator="greaterThan">
      <formula>E13</formula>
    </cfRule>
  </conditionalFormatting>
  <conditionalFormatting sqref="F33:F34 F41 H33:H34 H41 J33:J34 J41 L33:L34 L41 P33:P34 P41">
    <cfRule type="cellIs" dxfId="21061" priority="66" stopIfTrue="1" operator="greaterThan">
      <formula>E33</formula>
    </cfRule>
    <cfRule type="cellIs" dxfId="21060" priority="67" stopIfTrue="1" operator="equal">
      <formula>0</formula>
    </cfRule>
  </conditionalFormatting>
  <conditionalFormatting sqref="N33:N34 N41">
    <cfRule type="cellIs" dxfId="21059" priority="64" stopIfTrue="1" operator="greaterThan">
      <formula>M33</formula>
    </cfRule>
    <cfRule type="cellIs" dxfId="21058" priority="65" stopIfTrue="1" operator="equal">
      <formula>0</formula>
    </cfRule>
  </conditionalFormatting>
  <conditionalFormatting sqref="F35">
    <cfRule type="cellIs" dxfId="21057" priority="62" stopIfTrue="1" operator="greaterThan">
      <formula>E35</formula>
    </cfRule>
    <cfRule type="cellIs" dxfId="21056" priority="63" stopIfTrue="1" operator="equal">
      <formula>0</formula>
    </cfRule>
  </conditionalFormatting>
  <conditionalFormatting sqref="H35">
    <cfRule type="cellIs" dxfId="21055" priority="60" stopIfTrue="1" operator="greaterThan">
      <formula>G35</formula>
    </cfRule>
    <cfRule type="cellIs" dxfId="21054" priority="61" stopIfTrue="1" operator="equal">
      <formula>0</formula>
    </cfRule>
  </conditionalFormatting>
  <conditionalFormatting sqref="J35">
    <cfRule type="cellIs" dxfId="21053" priority="58" stopIfTrue="1" operator="greaterThan">
      <formula>I35</formula>
    </cfRule>
    <cfRule type="cellIs" dxfId="21052" priority="59" stopIfTrue="1" operator="equal">
      <formula>0</formula>
    </cfRule>
  </conditionalFormatting>
  <conditionalFormatting sqref="L35">
    <cfRule type="cellIs" dxfId="21051" priority="56" stopIfTrue="1" operator="greaterThan">
      <formula>K35</formula>
    </cfRule>
    <cfRule type="cellIs" dxfId="21050" priority="57" stopIfTrue="1" operator="equal">
      <formula>0</formula>
    </cfRule>
  </conditionalFormatting>
  <conditionalFormatting sqref="P35">
    <cfRule type="cellIs" dxfId="21049" priority="54" stopIfTrue="1" operator="greaterThan">
      <formula>O35</formula>
    </cfRule>
    <cfRule type="cellIs" dxfId="21048" priority="55" stopIfTrue="1" operator="equal">
      <formula>0</formula>
    </cfRule>
  </conditionalFormatting>
  <conditionalFormatting sqref="N35">
    <cfRule type="cellIs" dxfId="21047" priority="52" stopIfTrue="1" operator="greaterThan">
      <formula>M35</formula>
    </cfRule>
    <cfRule type="cellIs" dxfId="21046" priority="53" stopIfTrue="1" operator="equal">
      <formula>0</formula>
    </cfRule>
  </conditionalFormatting>
  <conditionalFormatting sqref="F35">
    <cfRule type="cellIs" dxfId="21045" priority="50" stopIfTrue="1" operator="greaterThan">
      <formula>E35</formula>
    </cfRule>
    <cfRule type="cellIs" dxfId="21044" priority="51" stopIfTrue="1" operator="equal">
      <formula>0</formula>
    </cfRule>
  </conditionalFormatting>
  <conditionalFormatting sqref="H35">
    <cfRule type="cellIs" dxfId="21043" priority="48" stopIfTrue="1" operator="greaterThan">
      <formula>G35</formula>
    </cfRule>
    <cfRule type="cellIs" dxfId="21042" priority="49" stopIfTrue="1" operator="equal">
      <formula>0</formula>
    </cfRule>
  </conditionalFormatting>
  <conditionalFormatting sqref="J35">
    <cfRule type="cellIs" dxfId="21041" priority="46" stopIfTrue="1" operator="greaterThan">
      <formula>I35</formula>
    </cfRule>
    <cfRule type="cellIs" dxfId="21040" priority="47" stopIfTrue="1" operator="equal">
      <formula>0</formula>
    </cfRule>
  </conditionalFormatting>
  <conditionalFormatting sqref="L35">
    <cfRule type="cellIs" dxfId="21039" priority="44" stopIfTrue="1" operator="greaterThan">
      <formula>K35</formula>
    </cfRule>
    <cfRule type="cellIs" dxfId="21038" priority="45" stopIfTrue="1" operator="equal">
      <formula>0</formula>
    </cfRule>
  </conditionalFormatting>
  <conditionalFormatting sqref="P35">
    <cfRule type="cellIs" dxfId="21037" priority="42" stopIfTrue="1" operator="greaterThan">
      <formula>O35</formula>
    </cfRule>
    <cfRule type="cellIs" dxfId="21036" priority="43" stopIfTrue="1" operator="equal">
      <formula>0</formula>
    </cfRule>
  </conditionalFormatting>
  <conditionalFormatting sqref="N35">
    <cfRule type="cellIs" dxfId="21035" priority="40" stopIfTrue="1" operator="greaterThan">
      <formula>M35</formula>
    </cfRule>
    <cfRule type="cellIs" dxfId="21034" priority="41" stopIfTrue="1" operator="equal">
      <formula>0</formula>
    </cfRule>
  </conditionalFormatting>
  <conditionalFormatting sqref="H35 J35 L35 N35 P35 F35">
    <cfRule type="cellIs" dxfId="21033" priority="38" stopIfTrue="1" operator="greaterThan">
      <formula>E35</formula>
    </cfRule>
    <cfRule type="cellIs" dxfId="21032" priority="39" stopIfTrue="1" operator="equal">
      <formula>0</formula>
    </cfRule>
  </conditionalFormatting>
  <conditionalFormatting sqref="I23">
    <cfRule type="cellIs" dxfId="21031" priority="203" operator="lessThan">
      <formula>$M$13</formula>
    </cfRule>
  </conditionalFormatting>
  <conditionalFormatting sqref="J23">
    <cfRule type="cellIs" dxfId="21030" priority="204" operator="lessThan">
      <formula>$N$13</formula>
    </cfRule>
  </conditionalFormatting>
  <conditionalFormatting sqref="E13:E14">
    <cfRule type="cellIs" dxfId="21029" priority="8" stopIfTrue="1" operator="equal">
      <formula>0</formula>
    </cfRule>
  </conditionalFormatting>
  <conditionalFormatting sqref="F13:F14">
    <cfRule type="cellIs" dxfId="21028" priority="6" stopIfTrue="1" operator="greaterThan">
      <formula>E13</formula>
    </cfRule>
    <cfRule type="cellIs" dxfId="21027" priority="7" stopIfTrue="1" operator="equal">
      <formula>0</formula>
    </cfRule>
  </conditionalFormatting>
  <conditionalFormatting sqref="E14:F14">
    <cfRule type="cellIs" dxfId="21026" priority="5" stopIfTrue="1" operator="greaterThan">
      <formula>E13</formula>
    </cfRule>
  </conditionalFormatting>
  <conditionalFormatting sqref="G13:G14">
    <cfRule type="cellIs" dxfId="21025" priority="4" stopIfTrue="1" operator="equal">
      <formula>0</formula>
    </cfRule>
  </conditionalFormatting>
  <conditionalFormatting sqref="H13:H14">
    <cfRule type="cellIs" dxfId="21024" priority="2" stopIfTrue="1" operator="greaterThan">
      <formula>G13</formula>
    </cfRule>
    <cfRule type="cellIs" dxfId="21023" priority="3" stopIfTrue="1" operator="equal">
      <formula>0</formula>
    </cfRule>
  </conditionalFormatting>
  <conditionalFormatting sqref="G14:H14">
    <cfRule type="cellIs" dxfId="21022" priority="1" stopIfTrue="1" operator="greaterThan">
      <formula>G13</formula>
    </cfRule>
  </conditionalFormatting>
  <dataValidations count="6">
    <dataValidation type="whole" operator="greaterThanOrEqual" allowBlank="1" showInputMessage="1" showErrorMessage="1" errorTitle="الناجحون في شهادة ت المتوسط" error="ضع العدد المناسب" sqref="E13:N14">
      <formula1>0</formula1>
    </dataValidation>
    <dataValidation type="whole" operator="greaterThanOrEqual" allowBlank="1" showInputMessage="1" showErrorMessage="1" errorTitle="المتخلين " error="ضع عدد التلاميذ المسجلين في المتوسطة الذين تخلوا عن الدراسة مع ذكر السنة الدراسية التي كانوا مسجلين فيها" sqref="E33:N33">
      <formula1>0</formula1>
    </dataValidation>
    <dataValidation type="whole" operator="greaterThanOrEqual" allowBlank="1" showInputMessage="1" showErrorMessage="1" errorTitle=" المطرودين" error="ضع عدد التلاميذ المسجلين في المتوسطة الذين طردوا من طرف المدرسة مهما كانت الأسباب الراجعة لدردهم و مهما كانت فترة الطرد، يجب إبراز هذه الحالات النادرة لدراستها " sqref="E34:N34">
      <formula1>0</formula1>
    </dataValidation>
    <dataValidation type="whole" operator="greaterThanOrEqual" allowBlank="1" showInputMessage="1" showErrorMessage="1" errorTitle="المنفصلين مؤقتا" error="ضع عدد التلاميذ المسجلين في المتوسطة  الذين غدروا المدرسة لمدة معينة ثم رجعوا خلال السنة الى دراستهم" sqref="E41:N41">
      <formula1>0</formula1>
    </dataValidation>
    <dataValidation type="whole" operator="greaterThanOrEqual" allowBlank="1" showInputMessage="1" showErrorMessage="1" errorTitle="المجموع" error="المجموع" sqref="E42:N42 E35:N35 F43:N44">
      <formula1>0</formula1>
    </dataValidation>
    <dataValidation type="whole" operator="greaterThanOrEqual" allowBlank="1" showInputMessage="1" showErrorMessage="1" errorTitle="المنتقلون الى السنة 1 ثانوي" error="ضع العدد المناسب" sqref="E23:N24">
      <formula1>0</formula1>
    </dataValidation>
  </dataValidations>
  <printOptions horizontalCentered="1" verticalCentered="1"/>
  <pageMargins left="0.19685039370078741" right="0.19685039370078741" top="0.19685039370078741" bottom="0.19685039370078741" header="0" footer="0.31496062992125984"/>
  <pageSetup paperSize="9" scale="95" orientation="portrait" r:id="rId1"/>
  <headerFooter>
    <oddFooter xml:space="preserve">&amp;R&amp;"-,Gras"&amp;8&amp;K00-032Echamil V.08    &amp;F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7">
    <tabColor rgb="FFFFC000"/>
  </sheetPr>
  <dimension ref="A1:U27"/>
  <sheetViews>
    <sheetView showGridLines="0" rightToLeft="1" topLeftCell="B16" zoomScale="115" zoomScaleNormal="115" workbookViewId="0">
      <selection activeCell="F20" sqref="F20"/>
    </sheetView>
  </sheetViews>
  <sheetFormatPr baseColWidth="10" defaultColWidth="0" defaultRowHeight="14.4" zeroHeight="1"/>
  <cols>
    <col min="1" max="1" width="1.6640625" customWidth="1"/>
    <col min="2" max="3" width="1.109375" customWidth="1"/>
    <col min="4" max="4" width="15.5546875" customWidth="1"/>
    <col min="5" max="5" width="6.5546875" customWidth="1"/>
    <col min="6" max="6" width="7.109375" customWidth="1"/>
    <col min="7" max="8" width="7" customWidth="1"/>
    <col min="9" max="9" width="6.88671875" customWidth="1"/>
    <col min="10" max="10" width="7.33203125" customWidth="1"/>
    <col min="11" max="11" width="7.6640625" customWidth="1"/>
    <col min="12" max="12" width="6.44140625" customWidth="1"/>
    <col min="13" max="13" width="7.109375" customWidth="1"/>
    <col min="14" max="14" width="7" customWidth="1"/>
    <col min="15" max="15" width="7.6640625" customWidth="1"/>
    <col min="16" max="16" width="7.44140625" customWidth="1"/>
    <col min="17" max="17" width="12.33203125" customWidth="1"/>
    <col min="18" max="18" width="0.44140625" customWidth="1"/>
    <col min="19" max="19" width="0.5546875" customWidth="1"/>
    <col min="20" max="20" width="1.109375" customWidth="1"/>
    <col min="21" max="21" width="1.88671875" customWidth="1"/>
    <col min="22" max="16384" width="11.44140625" hidden="1"/>
  </cols>
  <sheetData>
    <row r="1" spans="1:21" s="1041" customFormat="1" ht="6.75" customHeight="1" thickBot="1">
      <c r="A1" s="3152"/>
      <c r="B1" s="1416"/>
      <c r="C1" s="1417"/>
      <c r="D1" s="1417"/>
      <c r="E1" s="1417"/>
      <c r="F1" s="1417"/>
      <c r="G1" s="1417"/>
      <c r="H1" s="1417"/>
      <c r="I1" s="1417"/>
      <c r="J1" s="1417"/>
      <c r="K1" s="1417"/>
      <c r="L1" s="1417"/>
      <c r="M1" s="1417"/>
      <c r="N1" s="1417"/>
      <c r="O1" s="1417"/>
      <c r="P1" s="1417"/>
      <c r="Q1" s="1417"/>
      <c r="R1" s="1417"/>
      <c r="S1" s="1417"/>
      <c r="T1" s="1416"/>
      <c r="U1" s="1418"/>
    </row>
    <row r="2" spans="1:21" s="1041" customFormat="1" ht="6" customHeight="1" thickBot="1">
      <c r="A2" s="1418"/>
      <c r="B2" s="1421"/>
      <c r="C2" s="1422"/>
      <c r="D2" s="1422"/>
      <c r="E2" s="1422"/>
      <c r="F2" s="1422"/>
      <c r="G2" s="1422"/>
      <c r="H2" s="1422"/>
      <c r="I2" s="1422"/>
      <c r="J2" s="1422"/>
      <c r="K2" s="1422"/>
      <c r="L2" s="1422"/>
      <c r="M2" s="1422"/>
      <c r="N2" s="1422"/>
      <c r="O2" s="1422"/>
      <c r="P2" s="1422"/>
      <c r="Q2" s="1422"/>
      <c r="R2" s="1422"/>
      <c r="S2" s="1422"/>
      <c r="T2" s="1423"/>
      <c r="U2" s="1424"/>
    </row>
    <row r="3" spans="1:21" s="1041" customFormat="1" ht="2.1" customHeight="1">
      <c r="A3" s="1418"/>
      <c r="B3" s="1425"/>
      <c r="C3" s="1426"/>
      <c r="D3" s="1427"/>
      <c r="E3" s="1427"/>
      <c r="F3" s="1427"/>
      <c r="G3" s="1427"/>
      <c r="H3" s="1428"/>
      <c r="I3" s="1427"/>
      <c r="J3" s="1427"/>
      <c r="K3" s="1427"/>
      <c r="L3" s="1427"/>
      <c r="M3" s="1427"/>
      <c r="N3" s="1427"/>
      <c r="O3" s="1427"/>
      <c r="P3" s="1427"/>
      <c r="Q3" s="1427"/>
      <c r="R3" s="1427"/>
      <c r="S3" s="1429"/>
      <c r="T3" s="1430"/>
      <c r="U3" s="1424"/>
    </row>
    <row r="4" spans="1:21" ht="20.100000000000001" customHeight="1">
      <c r="A4" s="1418"/>
      <c r="B4" s="1431"/>
      <c r="C4" s="1432"/>
      <c r="D4" s="1946" t="s">
        <v>1463</v>
      </c>
      <c r="E4" s="1434"/>
      <c r="F4" s="1434"/>
      <c r="M4" s="1947"/>
      <c r="N4" s="1438"/>
      <c r="O4" s="1438"/>
      <c r="P4" s="1438"/>
      <c r="Q4" s="1948" t="s">
        <v>1464</v>
      </c>
      <c r="R4" s="1948"/>
      <c r="S4" s="1441"/>
      <c r="T4" s="1430"/>
      <c r="U4" s="1424"/>
    </row>
    <row r="5" spans="1:21" ht="2.1" customHeight="1">
      <c r="A5" s="1418"/>
      <c r="B5" s="1431"/>
      <c r="C5" s="1442"/>
      <c r="D5" s="1434"/>
      <c r="E5" s="1434"/>
      <c r="F5" s="1434"/>
      <c r="G5" s="1434"/>
      <c r="H5" s="1444"/>
      <c r="I5" s="1445"/>
      <c r="J5" s="1445"/>
      <c r="K5" s="1445"/>
      <c r="L5" s="1446"/>
      <c r="M5" s="1438"/>
      <c r="N5" s="1438"/>
      <c r="O5" s="1438"/>
      <c r="P5" s="1438"/>
      <c r="Q5" s="1443"/>
      <c r="R5" s="1440"/>
      <c r="S5" s="1441"/>
      <c r="T5" s="1430"/>
      <c r="U5" s="1424"/>
    </row>
    <row r="6" spans="1:21" ht="18" customHeight="1">
      <c r="A6" s="1418"/>
      <c r="B6" s="1431"/>
      <c r="C6" s="1442"/>
      <c r="F6" s="2168"/>
      <c r="G6" s="2169"/>
      <c r="H6" s="4067" t="str">
        <f>'الصفحة 1'!$E$16</f>
        <v>بلحاتم رابح</v>
      </c>
      <c r="I6" s="4068"/>
      <c r="J6" s="4068"/>
      <c r="K6" s="4068"/>
      <c r="L6" s="4069"/>
      <c r="M6" s="2170"/>
      <c r="N6" s="1947"/>
      <c r="O6" s="1947"/>
      <c r="P6" s="1947"/>
      <c r="R6" s="1440"/>
      <c r="S6" s="1441"/>
      <c r="T6" s="1430"/>
      <c r="U6" s="1424"/>
    </row>
    <row r="7" spans="1:21" ht="2.1" customHeight="1">
      <c r="A7" s="1418"/>
      <c r="B7" s="1431"/>
      <c r="C7" s="1442"/>
      <c r="D7" s="1493"/>
      <c r="E7" s="1949"/>
      <c r="F7" s="1949"/>
      <c r="G7" s="1949"/>
      <c r="H7" s="1949"/>
      <c r="I7" s="1949"/>
      <c r="J7" s="1949"/>
      <c r="K7" s="1949"/>
      <c r="L7" s="1949"/>
      <c r="M7" s="1949"/>
      <c r="N7" s="1949"/>
      <c r="O7" s="1949"/>
      <c r="P7" s="1949"/>
      <c r="Q7" s="1949"/>
      <c r="R7" s="1440"/>
      <c r="S7" s="1441"/>
      <c r="T7" s="1430"/>
      <c r="U7" s="1424"/>
    </row>
    <row r="8" spans="1:21" ht="14.1" customHeight="1">
      <c r="A8" s="1418"/>
      <c r="B8" s="1431"/>
      <c r="C8" s="1442"/>
      <c r="D8" s="1958" t="s">
        <v>1236</v>
      </c>
      <c r="E8" s="1458"/>
      <c r="F8" s="1458"/>
      <c r="G8" s="1458"/>
      <c r="H8" s="1459"/>
      <c r="I8" s="1459"/>
      <c r="J8" s="1459"/>
      <c r="K8" s="1459"/>
      <c r="L8" s="1458"/>
      <c r="M8" s="1458"/>
      <c r="N8" s="1458"/>
      <c r="O8" s="1458"/>
      <c r="P8" s="1458"/>
      <c r="Q8" s="2001" t="s">
        <v>1237</v>
      </c>
      <c r="R8" s="1440"/>
      <c r="S8" s="1441"/>
      <c r="T8" s="1430"/>
      <c r="U8" s="1424"/>
    </row>
    <row r="9" spans="1:21" ht="4.5" customHeight="1">
      <c r="A9" s="1418"/>
      <c r="B9" s="1431"/>
      <c r="C9" s="1442"/>
      <c r="D9" s="1959"/>
      <c r="E9" s="1485"/>
      <c r="F9" s="1485"/>
      <c r="G9" s="1485"/>
      <c r="H9" s="1960"/>
      <c r="I9" s="1960"/>
      <c r="J9" s="1960"/>
      <c r="K9" s="1960"/>
      <c r="L9" s="1485"/>
      <c r="M9" s="1485"/>
      <c r="N9" s="1485"/>
      <c r="O9" s="1961"/>
      <c r="P9" s="1961"/>
      <c r="Q9" s="1962"/>
      <c r="R9" s="1440"/>
      <c r="S9" s="1441"/>
      <c r="T9" s="1430"/>
      <c r="U9" s="1424"/>
    </row>
    <row r="10" spans="1:21" ht="36.75" customHeight="1">
      <c r="A10" s="1418"/>
      <c r="B10" s="1431"/>
      <c r="C10" s="1442"/>
      <c r="D10" s="2191" t="s">
        <v>1234</v>
      </c>
      <c r="E10" s="2192" t="str">
        <f>+'الصفحة 15'!H6</f>
        <v>اللغــة العـربيــة.</v>
      </c>
      <c r="F10" s="2192" t="str">
        <f>+'الصفحة 16'!H6</f>
        <v>اللغــة الأمازيغية.</v>
      </c>
      <c r="G10" s="2192" t="str">
        <f>'الصفحة 17'!$H$6</f>
        <v>التاريخ والجغرافيا.</v>
      </c>
      <c r="H10" s="2192" t="str">
        <f>'الصفحة 18'!$H$6</f>
        <v>اللغــة الفرنسية.</v>
      </c>
      <c r="I10" s="2192" t="str">
        <f>'الصفحة 19'!$H$6</f>
        <v>اللغــة الأنجليزية.</v>
      </c>
      <c r="J10" s="2192" t="str">
        <f>'الصفحة 20'!$H$6</f>
        <v>الرياضيـات.</v>
      </c>
      <c r="K10" s="2192" t="str">
        <f>'الصفحة 21'!$H$6</f>
        <v>العلوم الفيزيائية والتكنولوجيا.</v>
      </c>
      <c r="L10" s="2192" t="str">
        <f>'الصفحة 22'!$H$6</f>
        <v>علوم الطبيعة والحياة.</v>
      </c>
      <c r="M10" s="2192" t="str">
        <f>'الصفحة 23'!$H$6</f>
        <v>التربية الموسيقية.</v>
      </c>
      <c r="N10" s="2192" t="str">
        <f>'الصفحة 24'!$H$6</f>
        <v>التربية التشكيلية.</v>
      </c>
      <c r="O10" s="2192" t="str">
        <f>'الصفحة 25'!$H$6</f>
        <v>التربية البدنية والرياضية.</v>
      </c>
      <c r="P10" s="2192" t="str">
        <f>'الصفحة 26'!$H$6</f>
        <v>الإعلام الآلي.</v>
      </c>
      <c r="Q10" s="2193" t="s">
        <v>28</v>
      </c>
      <c r="R10" s="1440"/>
      <c r="S10" s="1441"/>
      <c r="T10" s="1430"/>
      <c r="U10" s="1424"/>
    </row>
    <row r="11" spans="1:21" ht="14.25" customHeight="1">
      <c r="A11" s="1418"/>
      <c r="B11" s="1431"/>
      <c r="C11" s="1442"/>
      <c r="D11" s="2173" t="s">
        <v>1235</v>
      </c>
      <c r="E11" s="1972"/>
      <c r="F11" s="1972"/>
      <c r="G11" s="1972"/>
      <c r="H11" s="1972"/>
      <c r="I11" s="1972"/>
      <c r="J11" s="1972"/>
      <c r="K11" s="1972"/>
      <c r="L11" s="1972"/>
      <c r="M11" s="1972"/>
      <c r="N11" s="1972"/>
      <c r="O11" s="1972"/>
      <c r="P11" s="1972"/>
      <c r="Q11" s="2171"/>
      <c r="R11" s="1440"/>
      <c r="S11" s="1441"/>
      <c r="T11" s="1430"/>
      <c r="U11" s="1424"/>
    </row>
    <row r="12" spans="1:21" ht="15" customHeight="1">
      <c r="A12" s="1418"/>
      <c r="B12" s="1431"/>
      <c r="C12" s="1442"/>
      <c r="D12" s="2182" t="s">
        <v>965</v>
      </c>
      <c r="E12" s="2189"/>
      <c r="F12" s="2189"/>
      <c r="G12" s="2189"/>
      <c r="H12" s="2189"/>
      <c r="I12" s="2189"/>
      <c r="J12" s="2189"/>
      <c r="K12" s="2189"/>
      <c r="L12" s="2189"/>
      <c r="M12" s="2189"/>
      <c r="N12" s="2189"/>
      <c r="O12" s="2190"/>
      <c r="P12" s="2190"/>
      <c r="Q12" s="2183" t="s">
        <v>956</v>
      </c>
      <c r="R12" s="1440"/>
      <c r="S12" s="1441"/>
      <c r="T12" s="1430"/>
      <c r="U12" s="1424"/>
    </row>
    <row r="13" spans="1:21" ht="15" customHeight="1">
      <c r="A13" s="1418"/>
      <c r="B13" s="1431"/>
      <c r="C13" s="1442"/>
      <c r="D13" s="2751"/>
      <c r="E13" s="2196">
        <v>0</v>
      </c>
      <c r="F13" s="2196">
        <v>0</v>
      </c>
      <c r="G13" s="2196">
        <v>2</v>
      </c>
      <c r="H13" s="2196">
        <v>2</v>
      </c>
      <c r="I13" s="2196"/>
      <c r="J13" s="2196">
        <v>2</v>
      </c>
      <c r="K13" s="2196">
        <v>1</v>
      </c>
      <c r="L13" s="2196">
        <v>3</v>
      </c>
      <c r="M13" s="2196"/>
      <c r="N13" s="2196"/>
      <c r="O13" s="2196">
        <v>1</v>
      </c>
      <c r="P13" s="2196"/>
      <c r="Q13" s="2197">
        <f>E13+F13+G13+H13+I13+J13+K13+L13+M13+N13+O13+P13</f>
        <v>11</v>
      </c>
      <c r="R13" s="1440"/>
      <c r="S13" s="1441"/>
      <c r="T13" s="1430"/>
      <c r="U13" s="1424"/>
    </row>
    <row r="14" spans="1:21" ht="15" customHeight="1">
      <c r="A14" s="1418"/>
      <c r="B14" s="1431"/>
      <c r="C14" s="1442"/>
      <c r="D14" s="2182" t="s">
        <v>964</v>
      </c>
      <c r="E14" s="2184"/>
      <c r="F14" s="2184"/>
      <c r="G14" s="2184"/>
      <c r="H14" s="2184"/>
      <c r="I14" s="2184"/>
      <c r="J14" s="2184"/>
      <c r="K14" s="2184"/>
      <c r="L14" s="2184"/>
      <c r="M14" s="2184"/>
      <c r="N14" s="2184"/>
      <c r="O14" s="2185"/>
      <c r="P14" s="2185"/>
      <c r="Q14" s="2186" t="s">
        <v>1256</v>
      </c>
      <c r="R14" s="1440"/>
      <c r="S14" s="1441"/>
      <c r="T14" s="1430"/>
      <c r="U14" s="1424"/>
    </row>
    <row r="15" spans="1:21" ht="15" customHeight="1">
      <c r="A15" s="1418"/>
      <c r="B15" s="1431"/>
      <c r="C15" s="1442"/>
      <c r="D15" s="2751"/>
      <c r="E15" s="2196">
        <v>2</v>
      </c>
      <c r="F15" s="2196">
        <v>0</v>
      </c>
      <c r="G15" s="2196">
        <v>1</v>
      </c>
      <c r="H15" s="2196">
        <v>1</v>
      </c>
      <c r="I15" s="2196"/>
      <c r="J15" s="2196"/>
      <c r="K15" s="2196">
        <v>2</v>
      </c>
      <c r="L15" s="2196"/>
      <c r="M15" s="2196"/>
      <c r="N15" s="2196"/>
      <c r="O15" s="2196">
        <v>1</v>
      </c>
      <c r="P15" s="2196"/>
      <c r="Q15" s="2197">
        <f>E15+F15+G15+H15+I15+J15+K15+L15+M15+N15+O15+P15</f>
        <v>7</v>
      </c>
      <c r="R15" s="1440"/>
      <c r="S15" s="1441"/>
      <c r="T15" s="1430"/>
      <c r="U15" s="1424"/>
    </row>
    <row r="16" spans="1:21" ht="15" customHeight="1">
      <c r="A16" s="1418"/>
      <c r="B16" s="1431"/>
      <c r="C16" s="1442"/>
      <c r="D16" s="2182" t="s">
        <v>963</v>
      </c>
      <c r="E16" s="2184"/>
      <c r="F16" s="2184"/>
      <c r="G16" s="2184"/>
      <c r="H16" s="2184"/>
      <c r="I16" s="2184"/>
      <c r="J16" s="2184"/>
      <c r="K16" s="2184"/>
      <c r="L16" s="2184"/>
      <c r="M16" s="2184"/>
      <c r="N16" s="2184"/>
      <c r="O16" s="2185"/>
      <c r="P16" s="2185"/>
      <c r="Q16" s="2186" t="s">
        <v>1255</v>
      </c>
      <c r="R16" s="1440"/>
      <c r="S16" s="1441"/>
      <c r="T16" s="1430"/>
      <c r="U16" s="1424"/>
    </row>
    <row r="17" spans="1:21" ht="15" customHeight="1">
      <c r="A17" s="1418"/>
      <c r="B17" s="1431"/>
      <c r="C17" s="1442"/>
      <c r="D17" s="2751"/>
      <c r="E17" s="2196">
        <v>0</v>
      </c>
      <c r="F17" s="2196">
        <v>0</v>
      </c>
      <c r="G17" s="2196">
        <v>0</v>
      </c>
      <c r="H17" s="2196"/>
      <c r="I17" s="2196"/>
      <c r="J17" s="2196"/>
      <c r="K17" s="2196"/>
      <c r="L17" s="2196"/>
      <c r="M17" s="2196"/>
      <c r="N17" s="2196"/>
      <c r="O17" s="2196"/>
      <c r="P17" s="2196"/>
      <c r="Q17" s="2197">
        <f>E17+F17+G17+H17+I17+J17+K17+L17+M17+N17+O17+P17</f>
        <v>0</v>
      </c>
      <c r="R17" s="1440"/>
      <c r="S17" s="1441"/>
      <c r="T17" s="1430"/>
      <c r="U17" s="1424"/>
    </row>
    <row r="18" spans="1:21" ht="15" customHeight="1">
      <c r="A18" s="1418"/>
      <c r="B18" s="1431"/>
      <c r="C18" s="1442"/>
      <c r="D18" s="2182" t="s">
        <v>962</v>
      </c>
      <c r="E18" s="2187"/>
      <c r="F18" s="2187"/>
      <c r="G18" s="2187"/>
      <c r="H18" s="2187"/>
      <c r="I18" s="2188"/>
      <c r="J18" s="2188"/>
      <c r="K18" s="2188"/>
      <c r="L18" s="2188"/>
      <c r="M18" s="2188"/>
      <c r="N18" s="2188"/>
      <c r="O18" s="2185"/>
      <c r="P18" s="2185"/>
      <c r="Q18" s="2186" t="s">
        <v>1254</v>
      </c>
      <c r="R18" s="1440"/>
      <c r="S18" s="1441"/>
      <c r="T18" s="1430"/>
      <c r="U18" s="1424"/>
    </row>
    <row r="19" spans="1:21" ht="15" customHeight="1">
      <c r="A19" s="1418"/>
      <c r="B19" s="1431"/>
      <c r="C19" s="1442"/>
      <c r="D19" s="2751"/>
      <c r="E19" s="2196">
        <v>5</v>
      </c>
      <c r="F19" s="2196">
        <v>0</v>
      </c>
      <c r="G19" s="2196">
        <v>0</v>
      </c>
      <c r="H19" s="2196">
        <v>3</v>
      </c>
      <c r="I19" s="2196">
        <v>4</v>
      </c>
      <c r="J19" s="2196">
        <v>4</v>
      </c>
      <c r="K19" s="2196"/>
      <c r="L19" s="2196"/>
      <c r="M19" s="2196"/>
      <c r="N19" s="2196"/>
      <c r="O19" s="2196"/>
      <c r="P19" s="2196"/>
      <c r="Q19" s="2197">
        <f>E19+F19+G19+H19+I19+J19+K19+L19+M19+N19+O19+P19</f>
        <v>16</v>
      </c>
      <c r="R19" s="1440"/>
      <c r="S19" s="1441"/>
      <c r="T19" s="1430"/>
      <c r="U19" s="1424"/>
    </row>
    <row r="20" spans="1:21" ht="15" customHeight="1">
      <c r="A20" s="1418"/>
      <c r="B20" s="1431"/>
      <c r="C20" s="1442"/>
      <c r="D20" s="2182" t="s">
        <v>961</v>
      </c>
      <c r="E20" s="2187"/>
      <c r="F20" s="2187"/>
      <c r="G20" s="2187"/>
      <c r="H20" s="2187"/>
      <c r="I20" s="2188"/>
      <c r="J20" s="2188"/>
      <c r="K20" s="2188"/>
      <c r="L20" s="2188"/>
      <c r="M20" s="2188"/>
      <c r="N20" s="2188"/>
      <c r="O20" s="2185"/>
      <c r="P20" s="2185"/>
      <c r="Q20" s="2186" t="s">
        <v>1253</v>
      </c>
      <c r="R20" s="1440"/>
      <c r="S20" s="1441"/>
      <c r="T20" s="1430"/>
      <c r="U20" s="1424"/>
    </row>
    <row r="21" spans="1:21" ht="15" customHeight="1">
      <c r="A21" s="1418"/>
      <c r="B21" s="1431"/>
      <c r="C21" s="1442"/>
      <c r="D21" s="2751"/>
      <c r="E21" s="2196"/>
      <c r="F21" s="2196">
        <v>0</v>
      </c>
      <c r="G21" s="2196">
        <v>0</v>
      </c>
      <c r="H21" s="2196"/>
      <c r="I21" s="2196"/>
      <c r="J21" s="2196"/>
      <c r="K21" s="2196"/>
      <c r="L21" s="2196"/>
      <c r="M21" s="2196"/>
      <c r="N21" s="2196"/>
      <c r="O21" s="2196"/>
      <c r="P21" s="2196"/>
      <c r="Q21" s="2197">
        <f>E21+F21+G21+H21+I21+J21+K21+L21+M21+N21+O21+P21</f>
        <v>0</v>
      </c>
      <c r="R21" s="1440"/>
      <c r="S21" s="1441"/>
      <c r="T21" s="1430"/>
      <c r="U21" s="1424"/>
    </row>
    <row r="22" spans="1:21" ht="15" customHeight="1">
      <c r="A22" s="1418"/>
      <c r="B22" s="1431"/>
      <c r="C22" s="3113"/>
      <c r="D22" s="3115" t="s">
        <v>1233</v>
      </c>
      <c r="E22" s="3103"/>
      <c r="F22" s="3103"/>
      <c r="G22" s="3103"/>
      <c r="H22" s="3103"/>
      <c r="I22" s="3103"/>
      <c r="J22" s="3103"/>
      <c r="K22" s="3103"/>
      <c r="L22" s="3103"/>
      <c r="M22" s="3103"/>
      <c r="N22" s="3103"/>
      <c r="O22" s="3104"/>
      <c r="P22" s="3104"/>
      <c r="Q22" s="3105" t="s">
        <v>1252</v>
      </c>
      <c r="R22" s="3101"/>
      <c r="S22" s="3111"/>
      <c r="T22" s="1430"/>
      <c r="U22" s="1424"/>
    </row>
    <row r="23" spans="1:21" ht="15" customHeight="1">
      <c r="A23" s="1418"/>
      <c r="B23" s="1431"/>
      <c r="C23" s="3113"/>
      <c r="D23" s="3108"/>
      <c r="E23" s="2198">
        <f>(E13+E15+E17+E19+E21)</f>
        <v>7</v>
      </c>
      <c r="F23" s="2198">
        <f t="shared" ref="F23:P23" si="0">(F13+F15+F17+F19+F21)</f>
        <v>0</v>
      </c>
      <c r="G23" s="2198">
        <f t="shared" si="0"/>
        <v>3</v>
      </c>
      <c r="H23" s="2198">
        <f t="shared" si="0"/>
        <v>6</v>
      </c>
      <c r="I23" s="2198">
        <f t="shared" si="0"/>
        <v>4</v>
      </c>
      <c r="J23" s="2198">
        <f t="shared" si="0"/>
        <v>6</v>
      </c>
      <c r="K23" s="2198">
        <f t="shared" si="0"/>
        <v>3</v>
      </c>
      <c r="L23" s="2198">
        <f t="shared" si="0"/>
        <v>3</v>
      </c>
      <c r="M23" s="2198">
        <f t="shared" si="0"/>
        <v>0</v>
      </c>
      <c r="N23" s="2198">
        <f t="shared" si="0"/>
        <v>0</v>
      </c>
      <c r="O23" s="2198">
        <f t="shared" si="0"/>
        <v>2</v>
      </c>
      <c r="P23" s="2198">
        <f t="shared" si="0"/>
        <v>0</v>
      </c>
      <c r="Q23" s="2198">
        <f>E23+F23+G23+H23+I23+J23+K23+L23+M23+N23+O23+P23</f>
        <v>34</v>
      </c>
      <c r="R23" s="3101"/>
      <c r="S23" s="3111"/>
      <c r="T23" s="1430"/>
      <c r="U23" s="1424"/>
    </row>
    <row r="24" spans="1:21" ht="2.1" customHeight="1">
      <c r="A24" s="1418"/>
      <c r="B24" s="1431"/>
      <c r="C24" s="3113"/>
      <c r="D24" s="3106"/>
      <c r="E24" s="1949"/>
      <c r="F24" s="1949"/>
      <c r="G24" s="1949"/>
      <c r="H24" s="1949"/>
      <c r="I24" s="1949"/>
      <c r="J24" s="1440"/>
      <c r="K24" s="1440"/>
      <c r="L24" s="1440"/>
      <c r="M24" s="1440"/>
      <c r="N24" s="1440"/>
      <c r="O24" s="1440"/>
      <c r="P24" s="1440"/>
      <c r="Q24" s="1440"/>
      <c r="R24" s="3101"/>
      <c r="S24" s="3111"/>
      <c r="T24" s="1430"/>
      <c r="U24" s="1424"/>
    </row>
    <row r="25" spans="1:21" ht="14.1" customHeight="1" thickBot="1">
      <c r="A25" s="1418"/>
      <c r="B25" s="1425"/>
      <c r="C25" s="3114"/>
      <c r="D25" s="3107"/>
      <c r="E25" s="3102"/>
      <c r="F25" s="3102"/>
      <c r="G25" s="3102"/>
      <c r="H25" s="3102"/>
      <c r="I25" s="3102"/>
      <c r="J25" s="3102"/>
      <c r="K25" s="3102"/>
      <c r="L25" s="3102"/>
      <c r="M25" s="3102"/>
      <c r="N25" s="3102"/>
      <c r="O25" s="3102"/>
      <c r="P25" s="3102"/>
      <c r="Q25" s="3102"/>
      <c r="R25" s="3102"/>
      <c r="S25" s="3112"/>
      <c r="T25" s="1430"/>
      <c r="U25" s="1491"/>
    </row>
    <row r="26" spans="1:21" ht="14.1" customHeight="1" thickBot="1">
      <c r="A26" s="1418"/>
      <c r="B26" s="1502"/>
      <c r="C26" s="4200">
        <v>14</v>
      </c>
      <c r="D26" s="4200"/>
      <c r="E26" s="4200"/>
      <c r="F26" s="4200"/>
      <c r="G26" s="4200"/>
      <c r="H26" s="4200"/>
      <c r="I26" s="4200"/>
      <c r="J26" s="4200"/>
      <c r="K26" s="4200"/>
      <c r="L26" s="4200"/>
      <c r="M26" s="4200"/>
      <c r="N26" s="4200"/>
      <c r="O26" s="4200"/>
      <c r="P26" s="4200"/>
      <c r="Q26" s="4200"/>
      <c r="R26" s="4200"/>
      <c r="S26" s="4200"/>
      <c r="T26" s="1503"/>
      <c r="U26" s="1416"/>
    </row>
    <row r="27" spans="1:21" ht="15" customHeight="1">
      <c r="A27" s="1418"/>
      <c r="B27" s="1504" t="str">
        <f>'الصفحة 1'!$B$101</f>
        <v>السنة الدراسية  2022 - 2023</v>
      </c>
      <c r="C27" s="1417"/>
      <c r="D27" s="1417"/>
      <c r="E27" s="1417"/>
      <c r="F27" s="1417"/>
      <c r="G27" s="1417"/>
      <c r="H27" s="1417"/>
      <c r="I27" s="1417"/>
      <c r="J27" s="1417"/>
      <c r="K27" s="1417"/>
      <c r="L27" s="1417"/>
      <c r="M27" s="1417"/>
      <c r="N27" s="1417"/>
      <c r="O27" s="1417"/>
      <c r="P27" s="1417"/>
      <c r="Q27" s="1417"/>
      <c r="R27" s="1417"/>
      <c r="S27" s="1417"/>
      <c r="T27" s="1416"/>
      <c r="U27" s="1418"/>
    </row>
  </sheetData>
  <sheetProtection password="D8D3" sheet="1" objects="1" scenarios="1"/>
  <mergeCells count="2">
    <mergeCell ref="C26:S26"/>
    <mergeCell ref="H6:L6"/>
  </mergeCells>
  <conditionalFormatting sqref="E13:Q13 E15:Q15 E17:Q17 E19:Q19 E21:Q21 E23:Q23">
    <cfRule type="cellIs" dxfId="21021" priority="297" operator="equal">
      <formula>0</formula>
    </cfRule>
  </conditionalFormatting>
  <conditionalFormatting sqref="E24:Q24">
    <cfRule type="cellIs" dxfId="21020" priority="171" operator="greaterThan">
      <formula>#REF!</formula>
    </cfRule>
    <cfRule type="cellIs" dxfId="21019" priority="172" operator="equal">
      <formula>0</formula>
    </cfRule>
  </conditionalFormatting>
  <conditionalFormatting sqref="E24:N24">
    <cfRule type="cellIs" dxfId="21018" priority="161" operator="greaterThan">
      <formula>#REF!</formula>
    </cfRule>
    <cfRule type="cellIs" dxfId="21017" priority="162" operator="equal">
      <formula>0</formula>
    </cfRule>
  </conditionalFormatting>
  <conditionalFormatting sqref="O24:Q24">
    <cfRule type="cellIs" dxfId="21016" priority="159" operator="greaterThan">
      <formula>#REF!</formula>
    </cfRule>
    <cfRule type="cellIs" dxfId="21015" priority="160" operator="equal">
      <formula>0</formula>
    </cfRule>
  </conditionalFormatting>
  <conditionalFormatting sqref="Q14 Q16 Q18 Q20 Q22">
    <cfRule type="cellIs" dxfId="21014" priority="11" operator="equal">
      <formula>0</formula>
    </cfRule>
  </conditionalFormatting>
  <conditionalFormatting sqref="Q12 Q14 Q16 Q18 Q20 Q22">
    <cfRule type="cellIs" dxfId="21013" priority="10" operator="equal">
      <formula>0</formula>
    </cfRule>
  </conditionalFormatting>
  <conditionalFormatting sqref="Q13 Q15 Q17 Q19 Q21">
    <cfRule type="cellIs" dxfId="21012" priority="9" operator="equal">
      <formula>0</formula>
    </cfRule>
  </conditionalFormatting>
  <conditionalFormatting sqref="Q13">
    <cfRule type="cellIs" dxfId="21011" priority="8" operator="equal">
      <formula>0</formula>
    </cfRule>
  </conditionalFormatting>
  <conditionalFormatting sqref="Q15">
    <cfRule type="cellIs" dxfId="21010" priority="7" operator="equal">
      <formula>0</formula>
    </cfRule>
  </conditionalFormatting>
  <conditionalFormatting sqref="Q17">
    <cfRule type="cellIs" dxfId="21009" priority="6" operator="equal">
      <formula>0</formula>
    </cfRule>
  </conditionalFormatting>
  <conditionalFormatting sqref="Q19">
    <cfRule type="cellIs" dxfId="21008" priority="5" operator="equal">
      <formula>0</formula>
    </cfRule>
  </conditionalFormatting>
  <conditionalFormatting sqref="Q21">
    <cfRule type="cellIs" dxfId="21007" priority="4" operator="equal">
      <formula>0</formula>
    </cfRule>
  </conditionalFormatting>
  <conditionalFormatting sqref="Q23">
    <cfRule type="cellIs" dxfId="21006" priority="3" operator="equal">
      <formula>0</formula>
    </cfRule>
  </conditionalFormatting>
  <conditionalFormatting sqref="Q23">
    <cfRule type="cellIs" dxfId="21005" priority="2" operator="equal">
      <formula>0</formula>
    </cfRule>
  </conditionalFormatting>
  <conditionalFormatting sqref="H6">
    <cfRule type="cellIs" dxfId="21004" priority="1" operator="equal">
      <formula>0</formula>
    </cfRule>
  </conditionalFormatting>
  <dataValidations count="17">
    <dataValidation type="whole" errorStyle="information" operator="greaterThanOrEqual" showInputMessage="1" showErrorMessage="1" errorTitle="إناث 8 سنوات" error="ضع العدد المناسب" sqref="H24">
      <formula1>0</formula1>
    </dataValidation>
    <dataValidation type="whole" errorStyle="information" operator="greaterThanOrEqual" showInputMessage="1" showErrorMessage="1" errorTitle="إناث 7 سنوات" error="ضع العدد المناسب" sqref="G24">
      <formula1>0</formula1>
    </dataValidation>
    <dataValidation type="whole" errorStyle="information" operator="greaterThanOrEqual" showInputMessage="1" showErrorMessage="1" errorTitle="إناث 6 سنوات" error="ضع العدد المناسب" sqref="F24">
      <formula1>0</formula1>
    </dataValidation>
    <dataValidation type="whole" operator="greaterThanOrEqual" allowBlank="1" showInputMessage="1" showErrorMessage="1" errorTitle="مجموع البنات" error="العدد المناسب" sqref="I24">
      <formula1>0</formula1>
    </dataValidation>
    <dataValidation type="whole" operator="greaterThanOrEqual" allowBlank="1" showInputMessage="1" showErrorMessage="1" errorTitle="المجموع" error="العدد المناسب" sqref="Q19 Q15 Q17 Q13 Q21 Q23">
      <formula1>0</formula1>
    </dataValidation>
    <dataValidation type="whole" errorStyle="information" operator="greaterThanOrEqual" showInputMessage="1" showErrorMessage="1" errorTitle="تلاميذ 11 سنة" error="ضع العدد المناسب" sqref="K21 K17 K13 K15 K19 K23">
      <formula1>0</formula1>
    </dataValidation>
    <dataValidation type="whole" errorStyle="information" operator="greaterThanOrEqual" showInputMessage="1" showErrorMessage="1" errorTitle="تلاميذ 9 سنوات" error="ضع العدد المناسب" sqref="I21 I17 I13 I15 I19 I23">
      <formula1>0</formula1>
    </dataValidation>
    <dataValidation type="whole" errorStyle="information" operator="greaterThanOrEqual" showInputMessage="1" showErrorMessage="1" errorTitle="تلاميذ 7 سنوات" error="ضع العدد المناسب" sqref="G21 G17 G13 G15 G19 G23">
      <formula1>0</formula1>
    </dataValidation>
    <dataValidation type="whole" errorStyle="information" operator="greaterThanOrEqual" showInputMessage="1" showErrorMessage="1" errorTitle="تلاميذ 5 سنوات" error="ضع العدد المناسب" sqref="E21 E17 E13 E7:Q7 E15 E19 E23">
      <formula1>0</formula1>
    </dataValidation>
    <dataValidation type="whole" errorStyle="information" operator="greaterThanOrEqual" showInputMessage="1" showErrorMessage="1" errorTitle="إناث 5 سنوات" error="ضع العدد المناسب" sqref="E24">
      <formula1>0</formula1>
    </dataValidation>
    <dataValidation type="whole" errorStyle="information" operator="greaterThanOrEqual" showInputMessage="1" showErrorMessage="1" errorTitle="تلاميذ 12 سنة" error="ضع العدد المناسب" sqref="L21 L17 L13 L15 L19 L23">
      <formula1>0</formula1>
    </dataValidation>
    <dataValidation type="whole" errorStyle="information" operator="greaterThanOrEqual" showInputMessage="1" showErrorMessage="1" errorTitle="تلاميذ 10 سنوات" error="ضع العدد المناسب" sqref="J21 J17 J13 J15 J19 J23">
      <formula1>0</formula1>
    </dataValidation>
    <dataValidation type="whole" errorStyle="information" operator="greaterThanOrEqual" showInputMessage="1" showErrorMessage="1" errorTitle="تلاميذ 8 سنوات" error="ضع العدد المناسب" sqref="H21 H17 H13 H15 H19 H23">
      <formula1>0</formula1>
    </dataValidation>
    <dataValidation type="whole" errorStyle="information" operator="greaterThanOrEqual" showInputMessage="1" showErrorMessage="1" errorTitle="تلاميذ 6 سنوات" error="ضع العدد المناسب" sqref="F21 F17 F13 F15 F19 F23">
      <formula1>0</formula1>
    </dataValidation>
    <dataValidation type="whole" errorStyle="information" operator="greaterThanOrEqual" showInputMessage="1" showErrorMessage="1" errorTitle="تلاميذ 15 سنة فأكثر" error="ضع العدد المناسب" sqref="O23:P23 O21:P21 O17:P17 O13:P13 O15:P15 O19:P19">
      <formula1>0</formula1>
    </dataValidation>
    <dataValidation type="whole" errorStyle="information" operator="greaterThanOrEqual" showInputMessage="1" showErrorMessage="1" errorTitle="تلاميذ 13 سنة" error="ضع العدد المناسب" sqref="M21 M17 M13 M15 M19 M23">
      <formula1>0</formula1>
    </dataValidation>
    <dataValidation type="whole" errorStyle="information" operator="greaterThanOrEqual" showInputMessage="1" showErrorMessage="1" errorTitle="تلاميذ 14 سنة" error="ضع العدد المناسب" sqref="N21 N17 N13 N15 N19 N23">
      <formula1>0</formula1>
    </dataValidation>
  </dataValidations>
  <printOptions horizontalCentered="1" verticalCentered="1"/>
  <pageMargins left="0" right="0" top="0.27559055118110237" bottom="0.11811023622047245" header="0" footer="1.7716535433070868"/>
  <pageSetup paperSize="9" scale="105" orientation="landscape" r:id="rId1"/>
  <headerFooter>
    <oddFooter xml:space="preserve">&amp;R&amp;"-,Gras"&amp;8&amp;K00-032Echamil V.08      &amp;F   &amp;K00-017                                                       &amp;K00-014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8">
    <tabColor rgb="FF00B050"/>
  </sheetPr>
  <dimension ref="A1:Z54"/>
  <sheetViews>
    <sheetView showGridLines="0" rightToLeft="1" zoomScale="115" zoomScaleNormal="115" workbookViewId="0">
      <selection activeCell="F42" sqref="F42"/>
    </sheetView>
  </sheetViews>
  <sheetFormatPr baseColWidth="10" defaultColWidth="0" defaultRowHeight="14.4" zeroHeight="1"/>
  <cols>
    <col min="1" max="1" width="1"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s="1041" customFormat="1"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s="1041" customFormat="1"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6" t="s">
        <v>603</v>
      </c>
      <c r="W2" s="4456"/>
      <c r="X2" s="4456"/>
      <c r="Y2" s="1945"/>
      <c r="Z2" s="1420"/>
    </row>
    <row r="3" spans="1:26" s="1041" customFormat="1"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6"/>
      <c r="W3" s="4456"/>
      <c r="X3" s="4456"/>
      <c r="Y3" s="1945"/>
      <c r="Z3" s="1420"/>
    </row>
    <row r="4" spans="1:26" ht="20.100000000000001" customHeight="1">
      <c r="A4" s="1418"/>
      <c r="B4" s="1431"/>
      <c r="C4" s="1432"/>
      <c r="D4" s="1946" t="s">
        <v>1463</v>
      </c>
      <c r="E4" s="1434"/>
      <c r="F4" s="1434"/>
      <c r="M4" s="1947"/>
      <c r="N4" s="1438"/>
      <c r="O4" s="1438"/>
      <c r="P4" s="1948" t="s">
        <v>1464</v>
      </c>
      <c r="Q4" s="1948"/>
      <c r="R4" s="1441"/>
      <c r="S4" s="1430"/>
      <c r="T4" s="1424"/>
      <c r="U4" s="1944"/>
      <c r="V4" s="4456"/>
      <c r="W4" s="4456"/>
      <c r="X4" s="4456"/>
      <c r="Y4" s="1945"/>
      <c r="Z4" s="1420"/>
    </row>
    <row r="5" spans="1:26" ht="2.1" customHeight="1">
      <c r="A5" s="1418"/>
      <c r="B5" s="1431"/>
      <c r="C5" s="1442"/>
      <c r="D5" s="1434"/>
      <c r="E5" s="1434"/>
      <c r="F5" s="1434"/>
      <c r="G5" s="1434"/>
      <c r="H5" s="1444"/>
      <c r="I5" s="1445"/>
      <c r="J5" s="1445"/>
      <c r="K5" s="1445"/>
      <c r="L5" s="1446"/>
      <c r="M5" s="1438"/>
      <c r="N5" s="1438"/>
      <c r="O5" s="1438"/>
      <c r="P5" s="1443"/>
      <c r="Q5" s="1440"/>
      <c r="R5" s="1441"/>
      <c r="S5" s="1430"/>
      <c r="T5" s="1424"/>
      <c r="U5" s="1944"/>
      <c r="V5" s="4456"/>
      <c r="W5" s="4456"/>
      <c r="X5" s="4456"/>
      <c r="Y5" s="1945"/>
      <c r="Z5" s="1420"/>
    </row>
    <row r="6" spans="1:26" ht="15.9" customHeight="1">
      <c r="A6" s="1418"/>
      <c r="B6" s="1431"/>
      <c r="C6" s="1442"/>
      <c r="F6" s="1951"/>
      <c r="G6" s="1952" t="s">
        <v>936</v>
      </c>
      <c r="H6" s="1953" t="s">
        <v>966</v>
      </c>
      <c r="I6" s="1954"/>
      <c r="K6" s="1955"/>
      <c r="L6" s="1956" t="s">
        <v>1100</v>
      </c>
      <c r="M6" s="1955"/>
      <c r="N6" s="1957"/>
      <c r="O6" s="1957" t="s">
        <v>937</v>
      </c>
      <c r="Q6" s="1440"/>
      <c r="R6" s="1441"/>
      <c r="S6" s="1430"/>
      <c r="T6" s="1424"/>
      <c r="U6" s="1944"/>
      <c r="V6" s="4456"/>
      <c r="W6" s="4456"/>
      <c r="X6" s="4456"/>
      <c r="Y6" s="1950"/>
      <c r="Z6" s="1420"/>
    </row>
    <row r="7" spans="1:26" ht="2.1" customHeight="1">
      <c r="A7" s="1418"/>
      <c r="B7" s="1431"/>
      <c r="C7" s="1442"/>
      <c r="D7" s="1493"/>
      <c r="E7" s="1949"/>
      <c r="F7" s="1949"/>
      <c r="G7" s="1949"/>
      <c r="H7" s="1949"/>
      <c r="I7" s="1949"/>
      <c r="J7" s="1949"/>
      <c r="K7" s="1949"/>
      <c r="L7" s="1949"/>
      <c r="M7" s="1949"/>
      <c r="N7" s="1949"/>
      <c r="O7" s="1949"/>
      <c r="P7" s="1949"/>
      <c r="Q7" s="1440"/>
      <c r="R7" s="1441"/>
      <c r="S7" s="1430"/>
      <c r="T7" s="1424"/>
      <c r="U7" s="1944"/>
      <c r="V7" s="1041"/>
      <c r="W7" s="464"/>
      <c r="X7" s="464"/>
      <c r="Y7" s="1950"/>
      <c r="Z7" s="1420"/>
    </row>
    <row r="8" spans="1:26" ht="14.1" customHeight="1">
      <c r="A8" s="1418"/>
      <c r="B8" s="1431"/>
      <c r="C8" s="1442"/>
      <c r="D8" s="2405" t="s">
        <v>1238</v>
      </c>
      <c r="E8" s="1458"/>
      <c r="F8" s="1458"/>
      <c r="G8" s="1458"/>
      <c r="H8" s="1459"/>
      <c r="I8" s="1459"/>
      <c r="J8" s="1459"/>
      <c r="K8" s="1459"/>
      <c r="L8" s="1458"/>
      <c r="M8" s="1458"/>
      <c r="N8" s="1458"/>
      <c r="O8" s="1458"/>
      <c r="P8" s="2396" t="s">
        <v>1195</v>
      </c>
      <c r="Q8" s="1440"/>
      <c r="R8" s="1441"/>
      <c r="S8" s="1430"/>
      <c r="T8" s="1424"/>
      <c r="U8" s="1944"/>
      <c r="V8" s="4457" t="s">
        <v>1402</v>
      </c>
      <c r="W8" s="4458"/>
      <c r="X8" s="3293"/>
      <c r="Y8" s="1950"/>
      <c r="Z8" s="1420"/>
    </row>
    <row r="9" spans="1:26" ht="3" customHeight="1">
      <c r="A9" s="1418"/>
      <c r="B9" s="1431"/>
      <c r="C9" s="1442"/>
      <c r="D9" s="2406"/>
      <c r="E9" s="1485"/>
      <c r="F9" s="1485"/>
      <c r="G9" s="1485"/>
      <c r="H9" s="1960"/>
      <c r="I9" s="1960"/>
      <c r="J9" s="1960"/>
      <c r="K9" s="1960"/>
      <c r="L9" s="1485"/>
      <c r="M9" s="1485"/>
      <c r="N9" s="1485"/>
      <c r="O9" s="1961"/>
      <c r="P9" s="2397"/>
      <c r="Q9" s="1440"/>
      <c r="R9" s="1441"/>
      <c r="S9" s="1430"/>
      <c r="T9" s="1424"/>
      <c r="U9" s="1944"/>
      <c r="V9" s="3294"/>
      <c r="W9" s="3295"/>
      <c r="X9" s="3296"/>
      <c r="Y9" s="1950"/>
      <c r="Z9" s="1420"/>
    </row>
    <row r="10" spans="1:26" ht="15" customHeight="1">
      <c r="A10" s="1418"/>
      <c r="B10" s="1431"/>
      <c r="C10" s="1442"/>
      <c r="D10" s="2407" t="s">
        <v>790</v>
      </c>
      <c r="E10" s="1963" t="s">
        <v>163</v>
      </c>
      <c r="F10" s="1963" t="s">
        <v>162</v>
      </c>
      <c r="G10" s="1963" t="s">
        <v>161</v>
      </c>
      <c r="H10" s="1963" t="s">
        <v>160</v>
      </c>
      <c r="I10" s="1963" t="s">
        <v>159</v>
      </c>
      <c r="J10" s="2004" t="s">
        <v>158</v>
      </c>
      <c r="K10" s="2004" t="s">
        <v>157</v>
      </c>
      <c r="L10" s="2004" t="s">
        <v>156</v>
      </c>
      <c r="M10" s="2004" t="s">
        <v>155</v>
      </c>
      <c r="N10" s="2004" t="s">
        <v>154</v>
      </c>
      <c r="O10" s="2004" t="s">
        <v>938</v>
      </c>
      <c r="P10" s="2398" t="s">
        <v>28</v>
      </c>
      <c r="Q10" s="1440"/>
      <c r="R10" s="1441"/>
      <c r="S10" s="1430"/>
      <c r="T10" s="1424"/>
      <c r="U10" s="1944"/>
      <c r="V10" s="4454" t="s">
        <v>939</v>
      </c>
      <c r="W10" s="4455"/>
      <c r="X10" s="3297"/>
      <c r="Y10" s="1950"/>
      <c r="Z10" s="1420"/>
    </row>
    <row r="11" spans="1:26" ht="12" customHeight="1">
      <c r="A11" s="1418"/>
      <c r="B11" s="1431"/>
      <c r="C11" s="1442"/>
      <c r="D11" s="2408" t="s">
        <v>965</v>
      </c>
      <c r="E11" s="1964"/>
      <c r="F11" s="1964"/>
      <c r="G11" s="1964"/>
      <c r="H11" s="1964"/>
      <c r="I11" s="1964"/>
      <c r="J11" s="1964"/>
      <c r="K11" s="1964"/>
      <c r="L11" s="1964"/>
      <c r="M11" s="1964"/>
      <c r="N11" s="1964"/>
      <c r="O11" s="1965"/>
      <c r="P11" s="2399" t="s">
        <v>956</v>
      </c>
      <c r="Q11" s="1440"/>
      <c r="R11" s="1441"/>
      <c r="S11" s="1430"/>
      <c r="T11" s="1424"/>
      <c r="U11" s="1944"/>
      <c r="V11" s="2408" t="s">
        <v>965</v>
      </c>
      <c r="W11" s="1920"/>
      <c r="X11" s="3298"/>
      <c r="Y11" s="2036"/>
      <c r="Z11" s="1420"/>
    </row>
    <row r="12" spans="1:26" ht="12" customHeight="1">
      <c r="A12" s="1418"/>
      <c r="B12" s="1431"/>
      <c r="C12" s="1442"/>
      <c r="D12" s="2172" t="s">
        <v>20</v>
      </c>
      <c r="E12" s="2265"/>
      <c r="F12" s="1462"/>
      <c r="G12" s="1462">
        <v>0</v>
      </c>
      <c r="H12" s="1462"/>
      <c r="I12" s="1462"/>
      <c r="J12" s="1462"/>
      <c r="K12" s="1462"/>
      <c r="L12" s="1462"/>
      <c r="M12" s="1462"/>
      <c r="N12" s="1462"/>
      <c r="O12" s="1462"/>
      <c r="P12" s="1998">
        <f>E12+F12+G12+H12+I12+J12+K12+L12+M12+N12+O12</f>
        <v>0</v>
      </c>
      <c r="Q12" s="1440"/>
      <c r="R12" s="1441"/>
      <c r="S12" s="1430"/>
      <c r="T12" s="1424"/>
      <c r="U12" s="1944"/>
      <c r="V12" s="4441" t="str">
        <f>IF(('الصفحة 1'!$Q$14&gt;0),((IF((P12&gt;'الصفحة 14'!$E$13),"العدد غيرمطابق",IF((P12&lt;='الصفحة 14'!$E$13)," ")))),"")</f>
        <v xml:space="preserve"> </v>
      </c>
      <c r="W12" s="4442"/>
      <c r="X12" s="3299"/>
      <c r="Y12" s="3096"/>
      <c r="Z12" s="1420"/>
    </row>
    <row r="13" spans="1:26" ht="12" customHeight="1">
      <c r="A13" s="1418"/>
      <c r="B13" s="1431"/>
      <c r="C13" s="1442"/>
      <c r="D13" s="2172" t="s">
        <v>672</v>
      </c>
      <c r="E13" s="2265"/>
      <c r="F13" s="2265"/>
      <c r="G13" s="2265"/>
      <c r="H13" s="2265"/>
      <c r="I13" s="2265"/>
      <c r="J13" s="2265"/>
      <c r="K13" s="2265"/>
      <c r="L13" s="2265"/>
      <c r="M13" s="2265"/>
      <c r="N13" s="2265"/>
      <c r="O13" s="2265"/>
      <c r="P13" s="1998">
        <f>E13+F13+G13+H13+I13+J13+K13+L13+M13+N13+O13</f>
        <v>0</v>
      </c>
      <c r="Q13" s="1440"/>
      <c r="R13" s="1441"/>
      <c r="S13" s="1430"/>
      <c r="T13" s="1424"/>
      <c r="U13" s="1944"/>
      <c r="V13" s="4452" t="str">
        <f>IF(('الصفحة 1'!$Q$14&gt;0),((IF((P13&gt;P12),"العدد غيرمطابق",IF((P13&lt;=P12)," ")))),"")</f>
        <v xml:space="preserve"> </v>
      </c>
      <c r="W13" s="4453"/>
      <c r="X13" s="3299"/>
      <c r="Y13" s="2036"/>
      <c r="Z13" s="1420"/>
    </row>
    <row r="14" spans="1:26" ht="12" customHeight="1">
      <c r="A14" s="1418"/>
      <c r="B14" s="1431"/>
      <c r="C14" s="1442"/>
      <c r="D14" s="2408" t="s">
        <v>964</v>
      </c>
      <c r="E14" s="1967"/>
      <c r="F14" s="1967"/>
      <c r="G14" s="1967"/>
      <c r="H14" s="1967"/>
      <c r="I14" s="1967"/>
      <c r="J14" s="1967"/>
      <c r="K14" s="1967"/>
      <c r="L14" s="1967"/>
      <c r="M14" s="1967"/>
      <c r="N14" s="1967"/>
      <c r="O14" s="1968"/>
      <c r="P14" s="2400" t="s">
        <v>957</v>
      </c>
      <c r="Q14" s="1440"/>
      <c r="R14" s="1441"/>
      <c r="S14" s="1430"/>
      <c r="T14" s="1424"/>
      <c r="U14" s="1944"/>
      <c r="V14" s="2408" t="s">
        <v>964</v>
      </c>
      <c r="W14" s="3298"/>
      <c r="X14" s="3298"/>
      <c r="Y14" s="2036"/>
      <c r="Z14" s="1420"/>
    </row>
    <row r="15" spans="1:26" ht="12" customHeight="1">
      <c r="A15" s="1418"/>
      <c r="B15" s="1431"/>
      <c r="C15" s="1442"/>
      <c r="D15" s="2172" t="s">
        <v>20</v>
      </c>
      <c r="E15" s="2265"/>
      <c r="F15" s="1462">
        <v>1</v>
      </c>
      <c r="G15" s="1462">
        <v>1</v>
      </c>
      <c r="H15" s="1462"/>
      <c r="I15" s="1462"/>
      <c r="J15" s="1462"/>
      <c r="K15" s="1462"/>
      <c r="L15" s="1462"/>
      <c r="M15" s="1462"/>
      <c r="N15" s="1462"/>
      <c r="O15" s="1462"/>
      <c r="P15" s="1998">
        <f>E15+F15+G15+H15+I15+J15+K15+L15+M15+N15+O15</f>
        <v>2</v>
      </c>
      <c r="Q15" s="1440"/>
      <c r="R15" s="1441"/>
      <c r="S15" s="1430"/>
      <c r="T15" s="1424"/>
      <c r="U15" s="1944"/>
      <c r="V15" s="4441" t="str">
        <f>IF(('الصفحة 1'!$Q$14&gt;0),((IF((P15&gt;'الصفحة 14'!$E$15),"العدد غيرمطابق",IF((P15&lt;='الصفحة 14'!$E$15)," ")))),"")</f>
        <v xml:space="preserve"> </v>
      </c>
      <c r="W15" s="4442"/>
      <c r="X15" s="3299"/>
      <c r="Y15" s="2036"/>
      <c r="Z15" s="1420"/>
    </row>
    <row r="16" spans="1:26" ht="12" customHeight="1">
      <c r="A16" s="1418"/>
      <c r="B16" s="1431"/>
      <c r="C16" s="1442"/>
      <c r="D16" s="2172" t="s">
        <v>672</v>
      </c>
      <c r="E16" s="2265"/>
      <c r="F16" s="2265">
        <v>1</v>
      </c>
      <c r="G16" s="2265">
        <v>1</v>
      </c>
      <c r="H16" s="2265"/>
      <c r="I16" s="2265"/>
      <c r="J16" s="2265"/>
      <c r="K16" s="2265"/>
      <c r="L16" s="2265"/>
      <c r="M16" s="2265"/>
      <c r="N16" s="2265"/>
      <c r="O16" s="2265"/>
      <c r="P16" s="1998">
        <f>E16+F16+G16+H16+I16+J16+K16+L16+M16+N16+O16</f>
        <v>2</v>
      </c>
      <c r="Q16" s="1440"/>
      <c r="R16" s="1441"/>
      <c r="S16" s="1430"/>
      <c r="T16" s="1424"/>
      <c r="U16" s="1944"/>
      <c r="V16" s="4452" t="str">
        <f>IF(('الصفحة 1'!$Q$14&gt;0),((IF((P16&gt;P15),"العدد غيرمطابق",IF((P16&lt;=P15)," ")))),"")</f>
        <v xml:space="preserve"> </v>
      </c>
      <c r="W16" s="4453"/>
      <c r="X16" s="3299"/>
      <c r="Y16" s="2037"/>
      <c r="Z16" s="1420"/>
    </row>
    <row r="17" spans="1:26" ht="12" customHeight="1">
      <c r="A17" s="1418"/>
      <c r="B17" s="1431"/>
      <c r="C17" s="1442"/>
      <c r="D17" s="2408" t="s">
        <v>963</v>
      </c>
      <c r="E17" s="1967"/>
      <c r="F17" s="1967"/>
      <c r="G17" s="1967"/>
      <c r="H17" s="1967"/>
      <c r="I17" s="1967"/>
      <c r="J17" s="1967"/>
      <c r="K17" s="1967"/>
      <c r="L17" s="1967"/>
      <c r="M17" s="1967"/>
      <c r="N17" s="1967"/>
      <c r="O17" s="1968"/>
      <c r="P17" s="2400" t="s">
        <v>959</v>
      </c>
      <c r="Q17" s="1440"/>
      <c r="R17" s="1441"/>
      <c r="S17" s="1430"/>
      <c r="T17" s="1424"/>
      <c r="U17" s="1944"/>
      <c r="V17" s="2408" t="s">
        <v>963</v>
      </c>
      <c r="W17" s="1920"/>
      <c r="X17" s="3300"/>
      <c r="Y17" s="2037"/>
      <c r="Z17" s="1420"/>
    </row>
    <row r="18" spans="1:26" ht="12" customHeight="1">
      <c r="A18" s="1418"/>
      <c r="B18" s="1431"/>
      <c r="C18" s="1442"/>
      <c r="D18" s="2172"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41" t="str">
        <f>IF(('الصفحة 1'!$Q$14&gt;0),((IF((P18&gt;'الصفحة 14'!$E$17),"العدد غيرمطابق",IF((P18&lt;='الصفحة 14'!$E$17)," ")))),"")</f>
        <v xml:space="preserve"> </v>
      </c>
      <c r="W18" s="4442"/>
      <c r="X18" s="3299"/>
      <c r="Y18" s="2037"/>
      <c r="Z18" s="1420"/>
    </row>
    <row r="19" spans="1:26" ht="12" customHeight="1">
      <c r="A19" s="1418"/>
      <c r="B19" s="1431"/>
      <c r="C19" s="1442"/>
      <c r="D19" s="2172"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299"/>
      <c r="Y19" s="2037"/>
      <c r="Z19" s="1420"/>
    </row>
    <row r="20" spans="1:26" ht="12" customHeight="1">
      <c r="A20" s="1418"/>
      <c r="B20" s="1431"/>
      <c r="C20" s="1442"/>
      <c r="D20" s="2408" t="s">
        <v>962</v>
      </c>
      <c r="E20" s="1991"/>
      <c r="F20" s="1991"/>
      <c r="G20" s="1991"/>
      <c r="H20" s="1991"/>
      <c r="I20" s="1990"/>
      <c r="J20" s="1990"/>
      <c r="K20" s="1990"/>
      <c r="L20" s="1990"/>
      <c r="M20" s="1990"/>
      <c r="N20" s="1990"/>
      <c r="O20" s="1968"/>
      <c r="P20" s="2400" t="s">
        <v>958</v>
      </c>
      <c r="Q20" s="1440"/>
      <c r="R20" s="1441"/>
      <c r="S20" s="1430"/>
      <c r="T20" s="1424"/>
      <c r="U20" s="1944"/>
      <c r="V20" s="2408" t="s">
        <v>962</v>
      </c>
      <c r="W20" s="2280"/>
      <c r="X20" s="3300"/>
      <c r="Y20" s="2037"/>
      <c r="Z20" s="1420"/>
    </row>
    <row r="21" spans="1:26" ht="12" customHeight="1">
      <c r="A21" s="1418"/>
      <c r="B21" s="1431"/>
      <c r="C21" s="1442"/>
      <c r="D21" s="2172" t="s">
        <v>20</v>
      </c>
      <c r="E21" s="2265">
        <v>3</v>
      </c>
      <c r="F21" s="1462"/>
      <c r="G21" s="1462"/>
      <c r="H21" s="1462"/>
      <c r="I21" s="1462"/>
      <c r="J21" s="1462"/>
      <c r="K21" s="1462"/>
      <c r="L21" s="1462"/>
      <c r="M21" s="1462"/>
      <c r="N21" s="1462"/>
      <c r="O21" s="1462"/>
      <c r="P21" s="1998">
        <f>E21+F21+G21+H21+I21+J21+K21+L21+M21+N21+O21</f>
        <v>3</v>
      </c>
      <c r="Q21" s="1440"/>
      <c r="R21" s="1441"/>
      <c r="S21" s="1430"/>
      <c r="T21" s="1424"/>
      <c r="U21" s="1944"/>
      <c r="V21" s="4441" t="str">
        <f>IF(('الصفحة 1'!$Q$14&gt;0),((IF((P21&gt;'الصفحة 14'!$E$19),"العدد غيرمطابق",IF((P21&lt;='الصفحة 14'!$E$19)," ")))),"")</f>
        <v xml:space="preserve"> </v>
      </c>
      <c r="W21" s="4442"/>
      <c r="X21" s="3299"/>
      <c r="Y21" s="2037"/>
      <c r="Z21" s="1420"/>
    </row>
    <row r="22" spans="1:26" ht="12" customHeight="1">
      <c r="A22" s="1418"/>
      <c r="B22" s="1431"/>
      <c r="C22" s="1442"/>
      <c r="D22" s="2172" t="s">
        <v>672</v>
      </c>
      <c r="E22" s="2265">
        <v>2</v>
      </c>
      <c r="F22" s="2265">
        <v>0</v>
      </c>
      <c r="G22" s="2265"/>
      <c r="H22" s="2265"/>
      <c r="I22" s="2265"/>
      <c r="J22" s="2265"/>
      <c r="K22" s="2265"/>
      <c r="L22" s="2265"/>
      <c r="M22" s="2265"/>
      <c r="N22" s="2265"/>
      <c r="O22" s="2265"/>
      <c r="P22" s="1998">
        <f>E22+F22+G22+H22+I22+J22+K22+L22+M22+N22+O22</f>
        <v>2</v>
      </c>
      <c r="Q22" s="1440"/>
      <c r="R22" s="1441"/>
      <c r="S22" s="1430"/>
      <c r="T22" s="1424"/>
      <c r="U22" s="1944"/>
      <c r="V22" s="4452" t="str">
        <f>IF(('الصفحة 1'!$Q$14&gt;0),((IF((P22&gt;P21),"العدد غيرمطابق",IF((P22&lt;=P21)," ")))),"")</f>
        <v xml:space="preserve"> </v>
      </c>
      <c r="W22" s="4453"/>
      <c r="X22" s="3299"/>
      <c r="Y22" s="2037"/>
      <c r="Z22" s="1420"/>
    </row>
    <row r="23" spans="1:26" ht="12" customHeight="1">
      <c r="A23" s="1418"/>
      <c r="B23" s="1431"/>
      <c r="C23" s="1442"/>
      <c r="D23" s="2408" t="s">
        <v>961</v>
      </c>
      <c r="E23" s="1991"/>
      <c r="F23" s="1991"/>
      <c r="G23" s="1991"/>
      <c r="H23" s="1991"/>
      <c r="I23" s="1990"/>
      <c r="J23" s="1990"/>
      <c r="K23" s="1990"/>
      <c r="L23" s="1990"/>
      <c r="M23" s="1990"/>
      <c r="N23" s="1990"/>
      <c r="O23" s="1968"/>
      <c r="P23" s="2400" t="s">
        <v>960</v>
      </c>
      <c r="Q23" s="1440"/>
      <c r="R23" s="1441"/>
      <c r="S23" s="1430"/>
      <c r="T23" s="1424"/>
      <c r="U23" s="1944"/>
      <c r="V23" s="2408" t="s">
        <v>961</v>
      </c>
      <c r="W23" s="1920"/>
      <c r="X23" s="3300"/>
      <c r="Y23" s="2037"/>
      <c r="Z23" s="1420"/>
    </row>
    <row r="24" spans="1:26" ht="12" customHeight="1">
      <c r="A24" s="1418"/>
      <c r="B24" s="1431"/>
      <c r="C24" s="1442"/>
      <c r="D24" s="2172"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41" t="str">
        <f>IF(('الصفحة 1'!$Q$14&gt;0),((IF((P24&gt;'الصفحة 14'!$E$21),"العدد غيرمطابق",IF((P24&lt;='الصفحة 14'!$E$21)," ")))),"")</f>
        <v xml:space="preserve"> </v>
      </c>
      <c r="W24" s="4442"/>
      <c r="X24" s="3299"/>
      <c r="Y24" s="2037"/>
      <c r="Z24" s="1420"/>
    </row>
    <row r="25" spans="1:26" ht="12" customHeight="1">
      <c r="A25" s="1418"/>
      <c r="B25" s="1431"/>
      <c r="C25" s="1442"/>
      <c r="D25" s="2172"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299"/>
      <c r="Y25" s="2037"/>
      <c r="Z25" s="1420"/>
    </row>
    <row r="26" spans="1:26" ht="12.9" customHeight="1">
      <c r="A26" s="1418"/>
      <c r="B26" s="1431"/>
      <c r="C26" s="1442"/>
      <c r="D26" s="2409" t="s">
        <v>1077</v>
      </c>
      <c r="E26" s="1992"/>
      <c r="F26" s="1992"/>
      <c r="G26" s="1992"/>
      <c r="H26" s="1992"/>
      <c r="I26" s="1992"/>
      <c r="J26" s="1992"/>
      <c r="K26" s="1992"/>
      <c r="L26" s="1992"/>
      <c r="M26" s="1992"/>
      <c r="N26" s="1992"/>
      <c r="O26" s="1993"/>
      <c r="P26" s="2401" t="s">
        <v>1080</v>
      </c>
      <c r="Q26" s="1440"/>
      <c r="R26" s="1441"/>
      <c r="S26" s="1430"/>
      <c r="T26" s="1424"/>
      <c r="U26" s="1944"/>
      <c r="V26" s="3301" t="s">
        <v>1083</v>
      </c>
      <c r="W26" s="1920"/>
      <c r="X26" s="3300"/>
      <c r="Y26" s="2037"/>
      <c r="Z26" s="1420"/>
    </row>
    <row r="27" spans="1:26" ht="12" customHeight="1">
      <c r="A27" s="1418"/>
      <c r="B27" s="1431"/>
      <c r="C27" s="1442"/>
      <c r="D27" s="2172" t="s">
        <v>20</v>
      </c>
      <c r="E27" s="1492">
        <f t="shared" ref="E27:O28" si="0">(E12+E15+E18+E21+E24)</f>
        <v>3</v>
      </c>
      <c r="F27" s="1969">
        <f t="shared" ref="F27:O27" si="1">(F12+F15+F18+F21+F24)</f>
        <v>1</v>
      </c>
      <c r="G27" s="1969">
        <f t="shared" si="1"/>
        <v>1</v>
      </c>
      <c r="H27" s="1969">
        <f t="shared" si="1"/>
        <v>0</v>
      </c>
      <c r="I27" s="1969">
        <f t="shared" si="1"/>
        <v>0</v>
      </c>
      <c r="J27" s="1969">
        <f t="shared" si="1"/>
        <v>0</v>
      </c>
      <c r="K27" s="1969">
        <f t="shared" si="1"/>
        <v>0</v>
      </c>
      <c r="L27" s="1969">
        <f t="shared" si="1"/>
        <v>0</v>
      </c>
      <c r="M27" s="1969">
        <f t="shared" si="1"/>
        <v>0</v>
      </c>
      <c r="N27" s="1969">
        <f t="shared" si="1"/>
        <v>0</v>
      </c>
      <c r="O27" s="1969">
        <f t="shared" si="1"/>
        <v>0</v>
      </c>
      <c r="P27" s="1998">
        <f>E27+F27+G27+H27+I27+J27+K27+L27+M27+N27+O27</f>
        <v>5</v>
      </c>
      <c r="Q27" s="1440"/>
      <c r="R27" s="1441"/>
      <c r="S27" s="1430"/>
      <c r="T27" s="1424"/>
      <c r="U27" s="1944"/>
      <c r="V27" s="4441" t="str">
        <f>IF(('الصفحة 1'!$Q$14&gt;0),((IF((P27&gt;'الصفحة 14'!$E$23),"العدد غيرمطابق",IF((P27&lt;='الصفحة 14'!$E$23)," ")))),"")</f>
        <v xml:space="preserve"> </v>
      </c>
      <c r="W27" s="4442"/>
      <c r="X27" s="3299"/>
      <c r="Y27" s="2037"/>
      <c r="Z27" s="1420"/>
    </row>
    <row r="28" spans="1:26" ht="12" customHeight="1">
      <c r="A28" s="1418"/>
      <c r="B28" s="1431"/>
      <c r="C28" s="1442"/>
      <c r="D28" s="2172" t="s">
        <v>672</v>
      </c>
      <c r="E28" s="1492">
        <f t="shared" si="0"/>
        <v>2</v>
      </c>
      <c r="F28" s="1492">
        <f t="shared" si="0"/>
        <v>1</v>
      </c>
      <c r="G28" s="1492">
        <f t="shared" si="0"/>
        <v>1</v>
      </c>
      <c r="H28" s="1492">
        <f t="shared" si="0"/>
        <v>0</v>
      </c>
      <c r="I28" s="1492">
        <f t="shared" si="0"/>
        <v>0</v>
      </c>
      <c r="J28" s="1492">
        <f t="shared" si="0"/>
        <v>0</v>
      </c>
      <c r="K28" s="1492">
        <f t="shared" si="0"/>
        <v>0</v>
      </c>
      <c r="L28" s="1492">
        <f t="shared" si="0"/>
        <v>0</v>
      </c>
      <c r="M28" s="1492">
        <f t="shared" si="0"/>
        <v>0</v>
      </c>
      <c r="N28" s="1492">
        <f t="shared" si="0"/>
        <v>0</v>
      </c>
      <c r="O28" s="1492">
        <f t="shared" si="0"/>
        <v>0</v>
      </c>
      <c r="P28" s="1998">
        <f>E28+F28+G28+H28+I28+J28+K28+L28+M28+N28+O28</f>
        <v>4</v>
      </c>
      <c r="Q28" s="1440"/>
      <c r="R28" s="1441"/>
      <c r="S28" s="1430"/>
      <c r="T28" s="1424"/>
      <c r="U28" s="1944"/>
      <c r="V28" s="4452" t="str">
        <f>IF(('الصفحة 1'!$Q$14&gt;0),((IF((P28&gt;P27),"العدد غيرمطابق",IF((P28&lt;=P27)," ")))),"")</f>
        <v xml:space="preserve"> </v>
      </c>
      <c r="W28" s="4453"/>
      <c r="X28" s="3299"/>
      <c r="Y28" s="2037"/>
      <c r="Z28" s="1420"/>
    </row>
    <row r="29" spans="1:26" ht="11.1" customHeight="1">
      <c r="A29" s="1418"/>
      <c r="B29" s="1431"/>
      <c r="C29" s="1442"/>
      <c r="D29" s="2410" t="s">
        <v>1078</v>
      </c>
      <c r="E29" s="1979"/>
      <c r="F29" s="1979"/>
      <c r="G29" s="1979"/>
      <c r="H29" s="1979"/>
      <c r="I29" s="1979"/>
      <c r="J29" s="1979"/>
      <c r="K29" s="1979"/>
      <c r="L29" s="1979"/>
      <c r="M29" s="1979"/>
      <c r="N29" s="1979"/>
      <c r="O29" s="1999"/>
      <c r="P29" s="2402" t="s">
        <v>1081</v>
      </c>
      <c r="Q29" s="1440"/>
      <c r="R29" s="1441"/>
      <c r="S29" s="1430"/>
      <c r="T29" s="1424"/>
      <c r="U29" s="1944"/>
      <c r="V29" s="3302"/>
      <c r="W29" s="3303"/>
      <c r="X29" s="3300"/>
      <c r="Y29" s="2037"/>
      <c r="Z29" s="1420"/>
    </row>
    <row r="30" spans="1:26" ht="12" customHeight="1">
      <c r="A30" s="1418"/>
      <c r="B30" s="1431"/>
      <c r="C30" s="1442"/>
      <c r="D30" s="2172"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47"/>
      <c r="W30" s="4447"/>
      <c r="X30" s="3300"/>
      <c r="Y30" s="2037"/>
      <c r="Z30" s="1420"/>
    </row>
    <row r="31" spans="1:26" ht="12" customHeight="1">
      <c r="A31" s="1418"/>
      <c r="B31" s="1431"/>
      <c r="C31" s="1442"/>
      <c r="D31" s="2172"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47"/>
      <c r="W31" s="4447"/>
      <c r="X31" s="3300"/>
      <c r="Y31" s="2037"/>
      <c r="Z31" s="1420"/>
    </row>
    <row r="32" spans="1:26" ht="11.1" customHeight="1">
      <c r="A32" s="1418"/>
      <c r="B32" s="1431"/>
      <c r="C32" s="1442"/>
      <c r="D32" s="2411" t="s">
        <v>1120</v>
      </c>
      <c r="E32" s="2000"/>
      <c r="F32" s="2000"/>
      <c r="G32" s="2000"/>
      <c r="H32" s="2000"/>
      <c r="I32" s="2000"/>
      <c r="J32" s="2000"/>
      <c r="K32" s="2000"/>
      <c r="L32" s="2000"/>
      <c r="M32" s="2000"/>
      <c r="N32" s="2000"/>
      <c r="O32" s="2000"/>
      <c r="P32" s="2403" t="s">
        <v>1196</v>
      </c>
      <c r="Q32" s="1440"/>
      <c r="R32" s="1441"/>
      <c r="S32" s="1430"/>
      <c r="T32" s="1424"/>
      <c r="U32" s="1944"/>
      <c r="V32" s="3304"/>
      <c r="W32" s="1920"/>
      <c r="X32" s="3300"/>
      <c r="Y32" s="2037"/>
      <c r="Z32" s="1420"/>
    </row>
    <row r="33" spans="1:26" ht="12.9" customHeight="1">
      <c r="A33" s="1418"/>
      <c r="B33" s="1431"/>
      <c r="C33" s="1442"/>
      <c r="D33" s="2172" t="s">
        <v>20</v>
      </c>
      <c r="E33" s="2265">
        <v>1</v>
      </c>
      <c r="F33" s="1462">
        <v>1</v>
      </c>
      <c r="G33" s="1462"/>
      <c r="H33" s="1462"/>
      <c r="I33" s="1462"/>
      <c r="J33" s="1462"/>
      <c r="K33" s="1462"/>
      <c r="L33" s="1462"/>
      <c r="M33" s="1462"/>
      <c r="N33" s="1462"/>
      <c r="O33" s="1462"/>
      <c r="P33" s="1998">
        <f>E33+F33+G33+H33+I33+J33+K33+L33+M33+N33+O33</f>
        <v>2</v>
      </c>
      <c r="Q33" s="1440"/>
      <c r="R33" s="1441"/>
      <c r="S33" s="1430"/>
      <c r="T33" s="1424"/>
      <c r="U33" s="1944"/>
      <c r="V33" s="4447"/>
      <c r="W33" s="4447"/>
      <c r="X33" s="3300"/>
      <c r="Y33" s="2037"/>
      <c r="Z33" s="1420"/>
    </row>
    <row r="34" spans="1:26" ht="12" customHeight="1">
      <c r="A34" s="1418"/>
      <c r="B34" s="1431"/>
      <c r="C34" s="1442"/>
      <c r="D34" s="2172" t="s">
        <v>672</v>
      </c>
      <c r="E34" s="2265">
        <v>1</v>
      </c>
      <c r="F34" s="2265">
        <v>1</v>
      </c>
      <c r="G34" s="2265"/>
      <c r="H34" s="2265"/>
      <c r="I34" s="2265"/>
      <c r="J34" s="2265"/>
      <c r="K34" s="2265"/>
      <c r="L34" s="2265"/>
      <c r="M34" s="2265"/>
      <c r="N34" s="2265"/>
      <c r="O34" s="2265"/>
      <c r="P34" s="1998">
        <f>E34+F34+G34+H34+I34+J34+K34+L34+M34+N34+O34</f>
        <v>2</v>
      </c>
      <c r="Q34" s="1440"/>
      <c r="R34" s="1441"/>
      <c r="S34" s="1430"/>
      <c r="T34" s="1424"/>
      <c r="U34" s="1944"/>
      <c r="V34" s="4447"/>
      <c r="W34" s="4447"/>
      <c r="X34" s="3300"/>
      <c r="Y34" s="2037"/>
      <c r="Z34" s="1420"/>
    </row>
    <row r="35" spans="1:26" ht="12" customHeight="1">
      <c r="A35" s="1418"/>
      <c r="B35" s="1431"/>
      <c r="C35" s="1442"/>
      <c r="D35" s="2412" t="s">
        <v>1079</v>
      </c>
      <c r="E35" s="1994"/>
      <c r="F35" s="1994"/>
      <c r="G35" s="1994"/>
      <c r="H35" s="1994"/>
      <c r="I35" s="1994"/>
      <c r="J35" s="1994"/>
      <c r="K35" s="1994"/>
      <c r="L35" s="1994"/>
      <c r="M35" s="1994"/>
      <c r="N35" s="1994"/>
      <c r="O35" s="1995"/>
      <c r="P35" s="2404" t="s">
        <v>1082</v>
      </c>
      <c r="Q35" s="1440"/>
      <c r="R35" s="1441"/>
      <c r="S35" s="1430"/>
      <c r="T35" s="1424"/>
      <c r="U35" s="1944"/>
      <c r="V35" s="3305"/>
      <c r="W35" s="1920"/>
      <c r="X35" s="3300"/>
      <c r="Y35" s="2037"/>
      <c r="Z35" s="1420"/>
    </row>
    <row r="36" spans="1:26" ht="12.9" customHeight="1">
      <c r="A36" s="1418"/>
      <c r="B36" s="1431"/>
      <c r="C36" s="1442"/>
      <c r="D36" s="2172" t="s">
        <v>20</v>
      </c>
      <c r="E36" s="1996">
        <f>(E27+E33)</f>
        <v>4</v>
      </c>
      <c r="F36" s="1997">
        <f t="shared" ref="F36:O36" si="2">(F27+F33)</f>
        <v>2</v>
      </c>
      <c r="G36" s="1997">
        <f t="shared" si="2"/>
        <v>1</v>
      </c>
      <c r="H36" s="1997">
        <f t="shared" si="2"/>
        <v>0</v>
      </c>
      <c r="I36" s="1997">
        <f t="shared" si="2"/>
        <v>0</v>
      </c>
      <c r="J36" s="1997">
        <f t="shared" si="2"/>
        <v>0</v>
      </c>
      <c r="K36" s="1997">
        <f t="shared" si="2"/>
        <v>0</v>
      </c>
      <c r="L36" s="1997">
        <f t="shared" si="2"/>
        <v>0</v>
      </c>
      <c r="M36" s="1997">
        <f t="shared" si="2"/>
        <v>0</v>
      </c>
      <c r="N36" s="1997">
        <f t="shared" si="2"/>
        <v>0</v>
      </c>
      <c r="O36" s="1997">
        <f t="shared" si="2"/>
        <v>0</v>
      </c>
      <c r="P36" s="1998">
        <f>E36+F36+G36+H36+I36+J36+K36+L36+M36+N36+O36</f>
        <v>7</v>
      </c>
      <c r="Q36" s="1440"/>
      <c r="R36" s="1441"/>
      <c r="S36" s="1430"/>
      <c r="T36" s="1424"/>
      <c r="U36" s="1944"/>
      <c r="V36" s="4447"/>
      <c r="W36" s="4447"/>
      <c r="X36" s="3300"/>
      <c r="Y36" s="2037"/>
      <c r="Z36" s="1420"/>
    </row>
    <row r="37" spans="1:26" ht="12.9" customHeight="1">
      <c r="A37" s="1418"/>
      <c r="B37" s="1431"/>
      <c r="C37" s="1442"/>
      <c r="D37" s="2172" t="s">
        <v>672</v>
      </c>
      <c r="E37" s="1996">
        <f t="shared" ref="E37:O37" si="3">(E28+E34)</f>
        <v>3</v>
      </c>
      <c r="F37" s="1996">
        <f t="shared" si="3"/>
        <v>2</v>
      </c>
      <c r="G37" s="1996">
        <f t="shared" si="3"/>
        <v>1</v>
      </c>
      <c r="H37" s="1996">
        <f t="shared" si="3"/>
        <v>0</v>
      </c>
      <c r="I37" s="1996">
        <f t="shared" si="3"/>
        <v>0</v>
      </c>
      <c r="J37" s="1996">
        <f t="shared" si="3"/>
        <v>0</v>
      </c>
      <c r="K37" s="1996">
        <f t="shared" si="3"/>
        <v>0</v>
      </c>
      <c r="L37" s="1996">
        <f t="shared" si="3"/>
        <v>0</v>
      </c>
      <c r="M37" s="1996">
        <f t="shared" si="3"/>
        <v>0</v>
      </c>
      <c r="N37" s="1996">
        <f t="shared" si="3"/>
        <v>0</v>
      </c>
      <c r="O37" s="1996">
        <f t="shared" si="3"/>
        <v>0</v>
      </c>
      <c r="P37" s="1998">
        <f>E37+F37+G37+H37+I37+J37+K37+L37+M37+N37+O37</f>
        <v>6</v>
      </c>
      <c r="Q37" s="1440"/>
      <c r="R37" s="1441"/>
      <c r="S37" s="1430"/>
      <c r="T37" s="1424"/>
      <c r="U37" s="1944"/>
      <c r="V37" s="4447"/>
      <c r="W37" s="4447"/>
      <c r="X37" s="3300"/>
      <c r="Y37" s="2037"/>
      <c r="Z37" s="1420"/>
    </row>
    <row r="38" spans="1:26" ht="2.1" customHeight="1">
      <c r="A38" s="1418"/>
      <c r="B38" s="1431"/>
      <c r="C38" s="1442"/>
      <c r="D38" s="1041"/>
      <c r="Q38" s="1440"/>
      <c r="R38" s="1441"/>
      <c r="S38" s="1430"/>
      <c r="T38" s="1424"/>
      <c r="U38" s="1944"/>
      <c r="V38" s="3306"/>
      <c r="W38" s="1920"/>
      <c r="X38" s="3300"/>
      <c r="Y38" s="2037"/>
      <c r="Z38" s="1420"/>
    </row>
    <row r="39" spans="1:26" ht="15" customHeight="1">
      <c r="A39" s="1418"/>
      <c r="B39" s="1431"/>
      <c r="C39" s="1442"/>
      <c r="D39" s="2413" t="s">
        <v>1121</v>
      </c>
      <c r="E39" s="1458"/>
      <c r="F39" s="1458"/>
      <c r="G39" s="1458"/>
      <c r="H39" s="2178" t="s">
        <v>1257</v>
      </c>
      <c r="I39" s="1459"/>
      <c r="J39" s="1459"/>
      <c r="K39" s="1459"/>
      <c r="L39" s="1458"/>
      <c r="M39" s="1458"/>
      <c r="N39" s="1458"/>
      <c r="O39" s="1458"/>
      <c r="P39" s="2002" t="s">
        <v>1197</v>
      </c>
      <c r="Q39" s="1440"/>
      <c r="R39" s="1441"/>
      <c r="S39" s="1430"/>
      <c r="T39" s="1424"/>
      <c r="U39" s="1944"/>
      <c r="V39" s="3306"/>
      <c r="W39" s="1920"/>
      <c r="X39" s="3300"/>
      <c r="Y39" s="2037"/>
      <c r="Z39" s="1420"/>
    </row>
    <row r="40" spans="1:26" ht="2.1" customHeight="1">
      <c r="A40" s="1418"/>
      <c r="B40" s="1431"/>
      <c r="C40" s="1442"/>
      <c r="D40" s="2414"/>
      <c r="E40" s="1971"/>
      <c r="F40" s="1971"/>
      <c r="G40" s="1971"/>
      <c r="H40" s="1971"/>
      <c r="I40" s="1971"/>
      <c r="J40" s="1971"/>
      <c r="K40" s="1971"/>
      <c r="L40" s="1971"/>
      <c r="M40" s="1971"/>
      <c r="N40" s="1970"/>
      <c r="O40" s="1972"/>
      <c r="P40" s="1489"/>
      <c r="Q40" s="1440"/>
      <c r="R40" s="1441"/>
      <c r="S40" s="1430"/>
      <c r="T40" s="1424"/>
      <c r="U40" s="1944"/>
      <c r="V40" s="3306"/>
      <c r="W40" s="1920"/>
      <c r="X40" s="3300"/>
      <c r="Y40" s="2037"/>
      <c r="Z40" s="1420"/>
    </row>
    <row r="41" spans="1:26" ht="26.1" customHeight="1">
      <c r="A41" s="1418"/>
      <c r="B41" s="1431"/>
      <c r="C41" s="1442"/>
      <c r="D41" s="2278" t="s">
        <v>940</v>
      </c>
      <c r="E41" s="1973" t="s">
        <v>941</v>
      </c>
      <c r="F41" s="1973" t="s">
        <v>56</v>
      </c>
      <c r="G41" s="1973" t="s">
        <v>942</v>
      </c>
      <c r="H41" s="1973" t="s">
        <v>943</v>
      </c>
      <c r="I41" s="1973" t="s">
        <v>944</v>
      </c>
      <c r="J41" s="1973" t="s">
        <v>1362</v>
      </c>
      <c r="K41" s="1973" t="s">
        <v>945</v>
      </c>
      <c r="L41" s="1973" t="s">
        <v>50</v>
      </c>
      <c r="M41" s="1461" t="s">
        <v>28</v>
      </c>
      <c r="N41" s="1974"/>
      <c r="O41" s="1440"/>
      <c r="P41" s="1440"/>
      <c r="Q41" s="1440"/>
      <c r="R41" s="1441"/>
      <c r="S41" s="1430"/>
      <c r="T41" s="1424"/>
      <c r="U41" s="1944"/>
      <c r="V41" s="3307" t="s">
        <v>1085</v>
      </c>
      <c r="W41" s="1920"/>
      <c r="X41" s="3300"/>
      <c r="Y41" s="2037"/>
      <c r="Z41" s="1420"/>
    </row>
    <row r="42" spans="1:26" ht="14.1" customHeight="1">
      <c r="A42" s="1418"/>
      <c r="B42" s="1431"/>
      <c r="C42" s="1442"/>
      <c r="D42" s="2172" t="s">
        <v>20</v>
      </c>
      <c r="E42" s="2265">
        <v>1</v>
      </c>
      <c r="F42" s="1462">
        <v>5</v>
      </c>
      <c r="G42" s="1462"/>
      <c r="H42" s="1462">
        <v>1</v>
      </c>
      <c r="I42" s="1462"/>
      <c r="J42" s="1462"/>
      <c r="K42" s="1462"/>
      <c r="L42" s="1462"/>
      <c r="M42" s="2417">
        <f>E42+F42+G42+H42+I42+J42+K42+L42</f>
        <v>7</v>
      </c>
      <c r="N42" s="1440"/>
      <c r="O42" s="1440"/>
      <c r="P42" s="1440"/>
      <c r="Q42" s="1440"/>
      <c r="R42" s="1441"/>
      <c r="S42" s="1430"/>
      <c r="T42" s="1424"/>
      <c r="U42" s="1944"/>
      <c r="V42" s="4441" t="str">
        <f>IF(('الصفحة 1'!$Q$14&gt;0),((IF((M42&gt;'الصفحة 14'!$E$23),"العدد غيرمطابق",IF((M42&lt;='الصفحة 14'!$E$23)," ")))),"")</f>
        <v xml:space="preserve"> </v>
      </c>
      <c r="W42" s="4442"/>
      <c r="X42" s="3308" t="str">
        <f>IF(('الصفحة 1'!$Q$14&gt;0),((IF((M42&lt;&gt;P27),"العدد غيرمطابق",IF((M42=P27)," ")))),"")</f>
        <v>العدد غيرمطابق</v>
      </c>
      <c r="Y42" s="2037"/>
      <c r="Z42" s="1420"/>
    </row>
    <row r="43" spans="1:26" ht="14.1" customHeight="1">
      <c r="A43" s="1418"/>
      <c r="B43" s="1431"/>
      <c r="C43" s="1442"/>
      <c r="D43" s="2172" t="s">
        <v>672</v>
      </c>
      <c r="E43" s="2265">
        <v>0</v>
      </c>
      <c r="F43" s="2265">
        <v>5</v>
      </c>
      <c r="G43" s="2265"/>
      <c r="H43" s="2265">
        <v>1</v>
      </c>
      <c r="I43" s="2265"/>
      <c r="J43" s="2265"/>
      <c r="K43" s="2265"/>
      <c r="L43" s="2265"/>
      <c r="M43" s="2417">
        <f>E43+F43+G43+H43+I43+J43+K43+L43</f>
        <v>6</v>
      </c>
      <c r="N43" s="1440"/>
      <c r="O43" s="1440"/>
      <c r="P43" s="1440"/>
      <c r="Q43" s="1440"/>
      <c r="R43" s="1441"/>
      <c r="S43" s="1430"/>
      <c r="T43" s="1424"/>
      <c r="U43" s="1944"/>
      <c r="V43" s="4441" t="str">
        <f>IF(('الصفحة 1'!$Q$14&gt;0),((IF((M43&gt;'الصفحة 14'!$E$23),"العدد غيرمطابق",IF((M43&lt;='الصفحة 14'!$E$23)," ")))),"")</f>
        <v xml:space="preserve"> </v>
      </c>
      <c r="W43" s="4442"/>
      <c r="X43" s="3308" t="str">
        <f>IF(('الصفحة 1'!$Q$14&gt;0),((IF((M43&lt;&gt;P28),"العدد غيرمطابق",IF((M43=P28)," ")))),"")</f>
        <v>العدد غيرمطابق</v>
      </c>
      <c r="Y43" s="2037"/>
      <c r="Z43" s="1420"/>
    </row>
    <row r="44" spans="1:26" ht="2.1" customHeight="1">
      <c r="A44" s="1418"/>
      <c r="B44" s="1431"/>
      <c r="C44" s="1442"/>
      <c r="D44" s="2415"/>
      <c r="E44" s="1976"/>
      <c r="F44" s="1976"/>
      <c r="G44" s="1976"/>
      <c r="H44" s="1976"/>
      <c r="I44" s="1976"/>
      <c r="J44" s="1976"/>
      <c r="K44" s="1976"/>
      <c r="L44" s="1976"/>
      <c r="M44" s="1976"/>
      <c r="N44" s="1440"/>
      <c r="O44" s="1440"/>
      <c r="P44" s="1440"/>
      <c r="Q44" s="1440"/>
      <c r="R44" s="1441"/>
      <c r="S44" s="1430"/>
      <c r="T44" s="1424"/>
      <c r="U44" s="1944"/>
      <c r="V44" s="3306"/>
      <c r="W44" s="1920"/>
      <c r="X44" s="3300"/>
      <c r="Y44" s="2037"/>
      <c r="Z44" s="1420"/>
    </row>
    <row r="45" spans="1:26" ht="2.1" customHeight="1">
      <c r="A45" s="1418"/>
      <c r="B45" s="1431"/>
      <c r="C45" s="1442"/>
      <c r="D45" s="1920"/>
      <c r="E45" s="1495"/>
      <c r="F45" s="1495"/>
      <c r="G45" s="1495"/>
      <c r="H45" s="1495"/>
      <c r="I45" s="1495"/>
      <c r="J45" s="1440"/>
      <c r="K45" s="1440"/>
      <c r="L45" s="1440"/>
      <c r="M45" s="1440"/>
      <c r="N45" s="1440"/>
      <c r="O45" s="1440"/>
      <c r="P45" s="1440"/>
      <c r="Q45" s="1440"/>
      <c r="R45" s="1441"/>
      <c r="S45" s="1430"/>
      <c r="T45" s="1424"/>
      <c r="U45" s="1944"/>
      <c r="V45" s="3306"/>
      <c r="W45" s="1920"/>
      <c r="X45" s="3300"/>
      <c r="Y45" s="2037"/>
      <c r="Z45" s="1420"/>
    </row>
    <row r="46" spans="1:26" ht="15" customHeight="1">
      <c r="A46" s="1418"/>
      <c r="B46" s="1431"/>
      <c r="C46" s="1442"/>
      <c r="D46" s="2413" t="s">
        <v>1122</v>
      </c>
      <c r="E46" s="1977"/>
      <c r="F46" s="1977"/>
      <c r="G46" s="1977"/>
      <c r="H46" s="2178" t="s">
        <v>1257</v>
      </c>
      <c r="I46" s="1978"/>
      <c r="J46" s="1978"/>
      <c r="K46" s="1978"/>
      <c r="L46" s="1977"/>
      <c r="M46" s="1977"/>
      <c r="N46" s="1977"/>
      <c r="O46" s="1977"/>
      <c r="P46" s="2003" t="s">
        <v>1123</v>
      </c>
      <c r="Q46" s="1440"/>
      <c r="R46" s="1441"/>
      <c r="S46" s="1430"/>
      <c r="T46" s="1424"/>
      <c r="U46" s="1944"/>
      <c r="V46" s="3306"/>
      <c r="W46" s="1920"/>
      <c r="X46" s="3300"/>
      <c r="Y46" s="2037"/>
      <c r="Z46" s="1420"/>
    </row>
    <row r="47" spans="1:26" ht="2.1" customHeight="1">
      <c r="A47" s="1418"/>
      <c r="B47" s="1431"/>
      <c r="C47" s="1442"/>
      <c r="D47" s="2414"/>
      <c r="E47" s="1979"/>
      <c r="F47" s="1979"/>
      <c r="G47" s="1979"/>
      <c r="H47" s="1979"/>
      <c r="I47" s="1979"/>
      <c r="J47" s="1980"/>
      <c r="K47" s="1980"/>
      <c r="L47" s="1980"/>
      <c r="M47" s="1980"/>
      <c r="N47" s="1980"/>
      <c r="O47" s="1981"/>
      <c r="P47" s="1982"/>
      <c r="Q47" s="1440"/>
      <c r="R47" s="1441"/>
      <c r="S47" s="1430"/>
      <c r="T47" s="1424"/>
      <c r="U47" s="1944"/>
      <c r="V47" s="3306"/>
      <c r="W47" s="1920"/>
      <c r="X47" s="3300"/>
      <c r="Y47" s="2037"/>
      <c r="Z47" s="1420"/>
    </row>
    <row r="48" spans="1:26" ht="18" customHeight="1">
      <c r="A48" s="1418"/>
      <c r="B48" s="1431"/>
      <c r="C48" s="1442"/>
      <c r="D48" s="2416" t="s">
        <v>946</v>
      </c>
      <c r="E48" s="4450" t="s">
        <v>947</v>
      </c>
      <c r="F48" s="4451"/>
      <c r="G48" s="4450" t="s">
        <v>948</v>
      </c>
      <c r="H48" s="4451"/>
      <c r="I48" s="4450" t="s">
        <v>949</v>
      </c>
      <c r="J48" s="4451"/>
      <c r="K48" s="4450" t="s">
        <v>950</v>
      </c>
      <c r="L48" s="4451"/>
      <c r="M48" s="4450" t="s">
        <v>951</v>
      </c>
      <c r="N48" s="4451"/>
      <c r="O48" s="4448" t="s">
        <v>28</v>
      </c>
      <c r="P48" s="4449"/>
      <c r="Q48" s="1440"/>
      <c r="R48" s="1441"/>
      <c r="S48" s="1430"/>
      <c r="T48" s="1424"/>
      <c r="U48" s="1944"/>
      <c r="V48" s="3307" t="s">
        <v>1084</v>
      </c>
      <c r="W48" s="1920"/>
      <c r="X48" s="3300"/>
      <c r="Y48" s="2037"/>
      <c r="Z48" s="1420"/>
    </row>
    <row r="49" spans="1:26" ht="14.1" customHeight="1">
      <c r="A49" s="1418"/>
      <c r="B49" s="1431"/>
      <c r="C49" s="1442"/>
      <c r="D49" s="2172" t="s">
        <v>20</v>
      </c>
      <c r="E49" s="4443"/>
      <c r="F49" s="4444"/>
      <c r="G49" s="4443"/>
      <c r="H49" s="4444"/>
      <c r="I49" s="4443"/>
      <c r="J49" s="4444"/>
      <c r="K49" s="4443"/>
      <c r="L49" s="4444"/>
      <c r="M49" s="4443"/>
      <c r="N49" s="4444"/>
      <c r="O49" s="4445">
        <f>E49+G49+I49+K49+M49</f>
        <v>0</v>
      </c>
      <c r="P49" s="4446"/>
      <c r="Q49" s="1440"/>
      <c r="R49" s="1441"/>
      <c r="S49" s="1430"/>
      <c r="T49" s="1424"/>
      <c r="U49" s="1944"/>
      <c r="V49" s="4441" t="str">
        <f>IF(('الصفحة 1'!$Q$14&gt;0),((IF((O49&gt;'الصفحة 14'!$E$23),"العدد غيرمطابق",IF((O49&lt;='الصفحة 14'!$E$23)," ")))),"")</f>
        <v xml:space="preserve"> </v>
      </c>
      <c r="W49" s="4442"/>
      <c r="X49" s="3308" t="str">
        <f>IF(('الصفحة 1'!$Q$14&gt;0),((IF((O49&lt;&gt;P27),"العدد غيرمطابق",IF((O49=P27)," ")))),"")</f>
        <v>العدد غيرمطابق</v>
      </c>
      <c r="Y49" s="2037"/>
      <c r="Z49" s="1420"/>
    </row>
    <row r="50" spans="1:26" ht="14.1" customHeight="1">
      <c r="A50" s="1418"/>
      <c r="B50" s="1431"/>
      <c r="C50" s="1442"/>
      <c r="D50" s="2172" t="s">
        <v>672</v>
      </c>
      <c r="E50" s="4443"/>
      <c r="F50" s="4444"/>
      <c r="G50" s="4443"/>
      <c r="H50" s="4444"/>
      <c r="I50" s="4443"/>
      <c r="J50" s="4444"/>
      <c r="K50" s="4443"/>
      <c r="L50" s="4444"/>
      <c r="M50" s="4443"/>
      <c r="N50" s="4444"/>
      <c r="O50" s="4445">
        <f>E50+G50+I50+K50+M50</f>
        <v>0</v>
      </c>
      <c r="P50" s="4446"/>
      <c r="Q50" s="1440"/>
      <c r="R50" s="1441"/>
      <c r="S50" s="1430"/>
      <c r="T50" s="1424"/>
      <c r="U50" s="1944"/>
      <c r="V50" s="4441" t="str">
        <f>IF(('الصفحة 1'!$Q$14&gt;0),((IF((O50&gt;'الصفحة 14'!$E$23),"العدد غيرمطابق",IF((O50&lt;='الصفحة 14'!$E$23)," ")))),"")</f>
        <v xml:space="preserve"> </v>
      </c>
      <c r="W50" s="4442"/>
      <c r="X50" s="3308" t="str">
        <f>IF(('الصفحة 1'!$Q$14&gt;0),((IF((O50&lt;&gt;P28),"العدد غيرمطابق",IF((O50=P28)," ")))),"")</f>
        <v>العدد غيرمطابق</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3306"/>
      <c r="W51" s="1920"/>
      <c r="X51" s="3300"/>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3306"/>
      <c r="W52" s="3306"/>
      <c r="X52" s="3306"/>
      <c r="Y52" s="2038"/>
      <c r="Z52" s="1420"/>
    </row>
    <row r="53" spans="1:26" ht="14.1" customHeight="1" thickBot="1">
      <c r="A53" s="1418"/>
      <c r="B53" s="1502"/>
      <c r="C53" s="4200">
        <v>15</v>
      </c>
      <c r="D53" s="4200"/>
      <c r="E53" s="4200"/>
      <c r="F53" s="4200"/>
      <c r="G53" s="4200"/>
      <c r="H53" s="4200"/>
      <c r="I53" s="4200"/>
      <c r="J53" s="4200"/>
      <c r="K53" s="4200"/>
      <c r="L53" s="4200"/>
      <c r="M53" s="4200"/>
      <c r="N53" s="4200"/>
      <c r="O53" s="4200"/>
      <c r="P53" s="4200"/>
      <c r="Q53" s="4200"/>
      <c r="R53" s="4200"/>
      <c r="S53" s="1503"/>
      <c r="T53" s="1416"/>
      <c r="U53" s="1984"/>
      <c r="V53" s="3306"/>
      <c r="W53" s="3306"/>
      <c r="X53" s="3306"/>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0:W10"/>
    <mergeCell ref="V12:W12"/>
    <mergeCell ref="V13:W13"/>
    <mergeCell ref="V2:X6"/>
    <mergeCell ref="V8:W8"/>
    <mergeCell ref="V27:W27"/>
    <mergeCell ref="V28:W28"/>
    <mergeCell ref="V30:W30"/>
    <mergeCell ref="V31:W31"/>
    <mergeCell ref="V15:W15"/>
    <mergeCell ref="V16:W16"/>
    <mergeCell ref="V18:W18"/>
    <mergeCell ref="V19:W19"/>
    <mergeCell ref="V21:W21"/>
    <mergeCell ref="V22:W22"/>
    <mergeCell ref="V24:W24"/>
    <mergeCell ref="V25:W25"/>
    <mergeCell ref="V43:W43"/>
    <mergeCell ref="O48:P48"/>
    <mergeCell ref="E48:F48"/>
    <mergeCell ref="G48:H48"/>
    <mergeCell ref="I48:J48"/>
    <mergeCell ref="K48:L48"/>
    <mergeCell ref="M48:N48"/>
    <mergeCell ref="V33:W33"/>
    <mergeCell ref="V34:W34"/>
    <mergeCell ref="V36:W36"/>
    <mergeCell ref="V37:W37"/>
    <mergeCell ref="V42:W42"/>
    <mergeCell ref="C53:R53"/>
    <mergeCell ref="V49:W49"/>
    <mergeCell ref="E50:F50"/>
    <mergeCell ref="G50:H50"/>
    <mergeCell ref="I50:J50"/>
    <mergeCell ref="K50:L50"/>
    <mergeCell ref="M50:N50"/>
    <mergeCell ref="O50:P50"/>
    <mergeCell ref="V50:W50"/>
    <mergeCell ref="E49:F49"/>
    <mergeCell ref="G49:H49"/>
    <mergeCell ref="I49:J49"/>
    <mergeCell ref="K49:L49"/>
    <mergeCell ref="M49:N49"/>
    <mergeCell ref="O49:P49"/>
  </mergeCells>
  <conditionalFormatting sqref="G49 I49:I50 K49:K50 M49:M50 O49:O50 X49:X50 E49 X42:X43 E42:P42 V42:V43 E27:P27 E12:P12 E15:P15 E18:P18 E21:P21 V12:V13 E30:P30 X12:X13 E24:P24 V49:V50 X15:X16 X18:X19 X21:X25 X27:X28 V15:V16 V18:V19 V21:V22 V24:V25 V27:V28">
    <cfRule type="cellIs" dxfId="21003" priority="957" operator="equal">
      <formula>0</formula>
    </cfRule>
  </conditionalFormatting>
  <conditionalFormatting sqref="E13 E43:P44 V50 X50">
    <cfRule type="cellIs" dxfId="21002" priority="955" operator="greaterThan">
      <formula>E12</formula>
    </cfRule>
    <cfRule type="cellIs" dxfId="21001" priority="956" operator="equal">
      <formula>0</formula>
    </cfRule>
  </conditionalFormatting>
  <conditionalFormatting sqref="F13">
    <cfRule type="cellIs" dxfId="21000" priority="953" operator="greaterThan">
      <formula>F12</formula>
    </cfRule>
    <cfRule type="cellIs" dxfId="20999" priority="954" operator="equal">
      <formula>0</formula>
    </cfRule>
  </conditionalFormatting>
  <conditionalFormatting sqref="G13">
    <cfRule type="cellIs" dxfId="20998" priority="951" operator="greaterThan">
      <formula>G12</formula>
    </cfRule>
    <cfRule type="cellIs" dxfId="20997" priority="952" operator="equal">
      <formula>0</formula>
    </cfRule>
  </conditionalFormatting>
  <conditionalFormatting sqref="H13">
    <cfRule type="cellIs" dxfId="20996" priority="949" operator="greaterThan">
      <formula>H12</formula>
    </cfRule>
    <cfRule type="cellIs" dxfId="20995" priority="950" operator="equal">
      <formula>0</formula>
    </cfRule>
  </conditionalFormatting>
  <conditionalFormatting sqref="I13">
    <cfRule type="cellIs" dxfId="20994" priority="947" operator="greaterThan">
      <formula>I12</formula>
    </cfRule>
    <cfRule type="cellIs" dxfId="20993" priority="948" operator="equal">
      <formula>0</formula>
    </cfRule>
  </conditionalFormatting>
  <conditionalFormatting sqref="J13">
    <cfRule type="cellIs" dxfId="20992" priority="945" operator="greaterThan">
      <formula>J12</formula>
    </cfRule>
    <cfRule type="cellIs" dxfId="20991" priority="946" operator="equal">
      <formula>0</formula>
    </cfRule>
  </conditionalFormatting>
  <conditionalFormatting sqref="K13">
    <cfRule type="cellIs" dxfId="20990" priority="943" operator="greaterThan">
      <formula>K12</formula>
    </cfRule>
    <cfRule type="cellIs" dxfId="20989" priority="944" operator="equal">
      <formula>0</formula>
    </cfRule>
  </conditionalFormatting>
  <conditionalFormatting sqref="L13">
    <cfRule type="cellIs" dxfId="20988" priority="941" operator="greaterThan">
      <formula>L12</formula>
    </cfRule>
    <cfRule type="cellIs" dxfId="20987" priority="942" operator="equal">
      <formula>0</formula>
    </cfRule>
  </conditionalFormatting>
  <conditionalFormatting sqref="M13">
    <cfRule type="cellIs" dxfId="20986" priority="939" operator="greaterThan">
      <formula>M12</formula>
    </cfRule>
    <cfRule type="cellIs" dxfId="20985" priority="940" operator="equal">
      <formula>0</formula>
    </cfRule>
  </conditionalFormatting>
  <conditionalFormatting sqref="N13">
    <cfRule type="cellIs" dxfId="20984" priority="937" operator="greaterThan">
      <formula>N12</formula>
    </cfRule>
    <cfRule type="cellIs" dxfId="20983" priority="938" operator="equal">
      <formula>0</formula>
    </cfRule>
  </conditionalFormatting>
  <conditionalFormatting sqref="O13">
    <cfRule type="cellIs" dxfId="20982" priority="935" operator="greaterThan">
      <formula>O12</formula>
    </cfRule>
    <cfRule type="cellIs" dxfId="20981" priority="936" operator="equal">
      <formula>0</formula>
    </cfRule>
  </conditionalFormatting>
  <conditionalFormatting sqref="P13">
    <cfRule type="cellIs" dxfId="20980" priority="933" operator="greaterThan">
      <formula>P12</formula>
    </cfRule>
    <cfRule type="cellIs" dxfId="20979" priority="934" operator="equal">
      <formula>0</formula>
    </cfRule>
  </conditionalFormatting>
  <conditionalFormatting sqref="E16">
    <cfRule type="cellIs" dxfId="20978" priority="931" operator="greaterThan">
      <formula>E15</formula>
    </cfRule>
    <cfRule type="cellIs" dxfId="20977" priority="932" operator="equal">
      <formula>0</formula>
    </cfRule>
  </conditionalFormatting>
  <conditionalFormatting sqref="F16">
    <cfRule type="cellIs" dxfId="20976" priority="929" operator="greaterThan">
      <formula>F15</formula>
    </cfRule>
    <cfRule type="cellIs" dxfId="20975" priority="930" operator="equal">
      <formula>0</formula>
    </cfRule>
  </conditionalFormatting>
  <conditionalFormatting sqref="G16">
    <cfRule type="cellIs" dxfId="20974" priority="927" operator="greaterThan">
      <formula>G15</formula>
    </cfRule>
    <cfRule type="cellIs" dxfId="20973" priority="928" operator="equal">
      <formula>0</formula>
    </cfRule>
  </conditionalFormatting>
  <conditionalFormatting sqref="H16">
    <cfRule type="cellIs" dxfId="20972" priority="925" operator="greaterThan">
      <formula>H15</formula>
    </cfRule>
    <cfRule type="cellIs" dxfId="20971" priority="926" operator="equal">
      <formula>0</formula>
    </cfRule>
  </conditionalFormatting>
  <conditionalFormatting sqref="I16">
    <cfRule type="cellIs" dxfId="20970" priority="923" operator="greaterThan">
      <formula>I15</formula>
    </cfRule>
    <cfRule type="cellIs" dxfId="20969" priority="924" operator="equal">
      <formula>0</formula>
    </cfRule>
  </conditionalFormatting>
  <conditionalFormatting sqref="J16">
    <cfRule type="cellIs" dxfId="20968" priority="921" operator="greaterThan">
      <formula>J15</formula>
    </cfRule>
    <cfRule type="cellIs" dxfId="20967" priority="922" operator="equal">
      <formula>0</formula>
    </cfRule>
  </conditionalFormatting>
  <conditionalFormatting sqref="K16">
    <cfRule type="cellIs" dxfId="20966" priority="919" operator="greaterThan">
      <formula>K15</formula>
    </cfRule>
    <cfRule type="cellIs" dxfId="20965" priority="920" operator="equal">
      <formula>0</formula>
    </cfRule>
  </conditionalFormatting>
  <conditionalFormatting sqref="L16">
    <cfRule type="cellIs" dxfId="20964" priority="917" operator="greaterThan">
      <formula>L15</formula>
    </cfRule>
    <cfRule type="cellIs" dxfId="20963" priority="918" operator="equal">
      <formula>0</formula>
    </cfRule>
  </conditionalFormatting>
  <conditionalFormatting sqref="M16">
    <cfRule type="cellIs" dxfId="20962" priority="915" operator="greaterThan">
      <formula>M15</formula>
    </cfRule>
    <cfRule type="cellIs" dxfId="20961" priority="916" operator="equal">
      <formula>0</formula>
    </cfRule>
  </conditionalFormatting>
  <conditionalFormatting sqref="N16">
    <cfRule type="cellIs" dxfId="20960" priority="913" operator="greaterThan">
      <formula>N15</formula>
    </cfRule>
    <cfRule type="cellIs" dxfId="20959" priority="914" operator="equal">
      <formula>0</formula>
    </cfRule>
  </conditionalFormatting>
  <conditionalFormatting sqref="O16">
    <cfRule type="cellIs" dxfId="20958" priority="911" operator="greaterThan">
      <formula>O15</formula>
    </cfRule>
    <cfRule type="cellIs" dxfId="20957" priority="912" operator="equal">
      <formula>0</formula>
    </cfRule>
  </conditionalFormatting>
  <conditionalFormatting sqref="P16">
    <cfRule type="cellIs" dxfId="20956" priority="909" operator="greaterThan">
      <formula>P15</formula>
    </cfRule>
    <cfRule type="cellIs" dxfId="20955" priority="910" operator="equal">
      <formula>0</formula>
    </cfRule>
  </conditionalFormatting>
  <conditionalFormatting sqref="E19">
    <cfRule type="cellIs" dxfId="20954" priority="907" operator="greaterThan">
      <formula>E18</formula>
    </cfRule>
    <cfRule type="cellIs" dxfId="20953" priority="908" operator="equal">
      <formula>0</formula>
    </cfRule>
  </conditionalFormatting>
  <conditionalFormatting sqref="F19">
    <cfRule type="cellIs" dxfId="20952" priority="905" operator="greaterThan">
      <formula>F18</formula>
    </cfRule>
    <cfRule type="cellIs" dxfId="20951" priority="906" operator="equal">
      <formula>0</formula>
    </cfRule>
  </conditionalFormatting>
  <conditionalFormatting sqref="G19">
    <cfRule type="cellIs" dxfId="20950" priority="903" operator="greaterThan">
      <formula>G18</formula>
    </cfRule>
    <cfRule type="cellIs" dxfId="20949" priority="904" operator="equal">
      <formula>0</formula>
    </cfRule>
  </conditionalFormatting>
  <conditionalFormatting sqref="H19">
    <cfRule type="cellIs" dxfId="20948" priority="901" operator="greaterThan">
      <formula>H18</formula>
    </cfRule>
    <cfRule type="cellIs" dxfId="20947" priority="902" operator="equal">
      <formula>0</formula>
    </cfRule>
  </conditionalFormatting>
  <conditionalFormatting sqref="I19">
    <cfRule type="cellIs" dxfId="20946" priority="899" operator="greaterThan">
      <formula>I18</formula>
    </cfRule>
    <cfRule type="cellIs" dxfId="20945" priority="900" operator="equal">
      <formula>0</formula>
    </cfRule>
  </conditionalFormatting>
  <conditionalFormatting sqref="J19">
    <cfRule type="cellIs" dxfId="20944" priority="897" operator="greaterThan">
      <formula>J18</formula>
    </cfRule>
    <cfRule type="cellIs" dxfId="20943" priority="898" operator="equal">
      <formula>0</formula>
    </cfRule>
  </conditionalFormatting>
  <conditionalFormatting sqref="K19">
    <cfRule type="cellIs" dxfId="20942" priority="895" operator="greaterThan">
      <formula>K18</formula>
    </cfRule>
    <cfRule type="cellIs" dxfId="20941" priority="896" operator="equal">
      <formula>0</formula>
    </cfRule>
  </conditionalFormatting>
  <conditionalFormatting sqref="L19">
    <cfRule type="cellIs" dxfId="20940" priority="893" operator="greaterThan">
      <formula>L18</formula>
    </cfRule>
    <cfRule type="cellIs" dxfId="20939" priority="894" operator="equal">
      <formula>0</formula>
    </cfRule>
  </conditionalFormatting>
  <conditionalFormatting sqref="M19">
    <cfRule type="cellIs" dxfId="20938" priority="891" operator="greaterThan">
      <formula>M18</formula>
    </cfRule>
    <cfRule type="cellIs" dxfId="20937" priority="892" operator="equal">
      <formula>0</formula>
    </cfRule>
  </conditionalFormatting>
  <conditionalFormatting sqref="N19">
    <cfRule type="cellIs" dxfId="20936" priority="889" operator="greaterThan">
      <formula>N18</formula>
    </cfRule>
    <cfRule type="cellIs" dxfId="20935" priority="890" operator="equal">
      <formula>0</formula>
    </cfRule>
  </conditionalFormatting>
  <conditionalFormatting sqref="O19">
    <cfRule type="cellIs" dxfId="20934" priority="887" operator="greaterThan">
      <formula>O18</formula>
    </cfRule>
    <cfRule type="cellIs" dxfId="20933" priority="888" operator="equal">
      <formula>0</formula>
    </cfRule>
  </conditionalFormatting>
  <conditionalFormatting sqref="P19">
    <cfRule type="cellIs" dxfId="20932" priority="885" operator="greaterThan">
      <formula>P18</formula>
    </cfRule>
    <cfRule type="cellIs" dxfId="20931" priority="886" operator="equal">
      <formula>0</formula>
    </cfRule>
  </conditionalFormatting>
  <conditionalFormatting sqref="E22">
    <cfRule type="cellIs" dxfId="20930" priority="883" operator="greaterThan">
      <formula>E21</formula>
    </cfRule>
    <cfRule type="cellIs" dxfId="20929" priority="884" operator="equal">
      <formula>0</formula>
    </cfRule>
  </conditionalFormatting>
  <conditionalFormatting sqref="F22">
    <cfRule type="cellIs" dxfId="20928" priority="881" operator="greaterThan">
      <formula>F21</formula>
    </cfRule>
    <cfRule type="cellIs" dxfId="20927" priority="882" operator="equal">
      <formula>0</formula>
    </cfRule>
  </conditionalFormatting>
  <conditionalFormatting sqref="G22">
    <cfRule type="cellIs" dxfId="20926" priority="879" operator="greaterThan">
      <formula>G21</formula>
    </cfRule>
    <cfRule type="cellIs" dxfId="20925" priority="880" operator="equal">
      <formula>0</formula>
    </cfRule>
  </conditionalFormatting>
  <conditionalFormatting sqref="H22">
    <cfRule type="cellIs" dxfId="20924" priority="877" operator="greaterThan">
      <formula>H21</formula>
    </cfRule>
    <cfRule type="cellIs" dxfId="20923" priority="878" operator="equal">
      <formula>0</formula>
    </cfRule>
  </conditionalFormatting>
  <conditionalFormatting sqref="I22">
    <cfRule type="cellIs" dxfId="20922" priority="875" operator="greaterThan">
      <formula>I21</formula>
    </cfRule>
    <cfRule type="cellIs" dxfId="20921" priority="876" operator="equal">
      <formula>0</formula>
    </cfRule>
  </conditionalFormatting>
  <conditionalFormatting sqref="J22">
    <cfRule type="cellIs" dxfId="20920" priority="873" operator="greaterThan">
      <formula>J21</formula>
    </cfRule>
    <cfRule type="cellIs" dxfId="20919" priority="874" operator="equal">
      <formula>0</formula>
    </cfRule>
  </conditionalFormatting>
  <conditionalFormatting sqref="K22">
    <cfRule type="cellIs" dxfId="20918" priority="871" operator="greaterThan">
      <formula>K21</formula>
    </cfRule>
    <cfRule type="cellIs" dxfId="20917" priority="872" operator="equal">
      <formula>0</formula>
    </cfRule>
  </conditionalFormatting>
  <conditionalFormatting sqref="L22">
    <cfRule type="cellIs" dxfId="20916" priority="869" operator="greaterThan">
      <formula>L21</formula>
    </cfRule>
    <cfRule type="cellIs" dxfId="20915" priority="870" operator="equal">
      <formula>0</formula>
    </cfRule>
  </conditionalFormatting>
  <conditionalFormatting sqref="M22">
    <cfRule type="cellIs" dxfId="20914" priority="867" operator="greaterThan">
      <formula>M21</formula>
    </cfRule>
    <cfRule type="cellIs" dxfId="20913" priority="868" operator="equal">
      <formula>0</formula>
    </cfRule>
  </conditionalFormatting>
  <conditionalFormatting sqref="N22">
    <cfRule type="cellIs" dxfId="20912" priority="865" operator="greaterThan">
      <formula>N21</formula>
    </cfRule>
    <cfRule type="cellIs" dxfId="20911" priority="866" operator="equal">
      <formula>0</formula>
    </cfRule>
  </conditionalFormatting>
  <conditionalFormatting sqref="O22">
    <cfRule type="cellIs" dxfId="20910" priority="863" operator="greaterThan">
      <formula>O21</formula>
    </cfRule>
    <cfRule type="cellIs" dxfId="20909" priority="864" operator="equal">
      <formula>0</formula>
    </cfRule>
  </conditionalFormatting>
  <conditionalFormatting sqref="P22">
    <cfRule type="cellIs" dxfId="20908" priority="861" operator="greaterThan">
      <formula>P21</formula>
    </cfRule>
    <cfRule type="cellIs" dxfId="20907" priority="862" operator="equal">
      <formula>0</formula>
    </cfRule>
  </conditionalFormatting>
  <conditionalFormatting sqref="E28">
    <cfRule type="cellIs" dxfId="20906" priority="859" operator="greaterThan">
      <formula>E27</formula>
    </cfRule>
    <cfRule type="cellIs" dxfId="20905" priority="860" operator="equal">
      <formula>0</formula>
    </cfRule>
  </conditionalFormatting>
  <conditionalFormatting sqref="F28">
    <cfRule type="cellIs" dxfId="20904" priority="857" operator="greaterThan">
      <formula>F27</formula>
    </cfRule>
    <cfRule type="cellIs" dxfId="20903" priority="858" operator="equal">
      <formula>0</formula>
    </cfRule>
  </conditionalFormatting>
  <conditionalFormatting sqref="G28">
    <cfRule type="cellIs" dxfId="20902" priority="855" operator="greaterThan">
      <formula>G27</formula>
    </cfRule>
    <cfRule type="cellIs" dxfId="20901" priority="856" operator="equal">
      <formula>0</formula>
    </cfRule>
  </conditionalFormatting>
  <conditionalFormatting sqref="H28">
    <cfRule type="cellIs" dxfId="20900" priority="853" operator="greaterThan">
      <formula>H27</formula>
    </cfRule>
    <cfRule type="cellIs" dxfId="20899" priority="854" operator="equal">
      <formula>0</formula>
    </cfRule>
  </conditionalFormatting>
  <conditionalFormatting sqref="I28">
    <cfRule type="cellIs" dxfId="20898" priority="851" operator="greaterThan">
      <formula>I27</formula>
    </cfRule>
    <cfRule type="cellIs" dxfId="20897" priority="852" operator="equal">
      <formula>0</formula>
    </cfRule>
  </conditionalFormatting>
  <conditionalFormatting sqref="J28">
    <cfRule type="cellIs" dxfId="20896" priority="849" operator="greaterThan">
      <formula>J27</formula>
    </cfRule>
    <cfRule type="cellIs" dxfId="20895" priority="850" operator="equal">
      <formula>0</formula>
    </cfRule>
  </conditionalFormatting>
  <conditionalFormatting sqref="K28">
    <cfRule type="cellIs" dxfId="20894" priority="847" operator="greaterThan">
      <formula>K27</formula>
    </cfRule>
    <cfRule type="cellIs" dxfId="20893" priority="848" operator="equal">
      <formula>0</formula>
    </cfRule>
  </conditionalFormatting>
  <conditionalFormatting sqref="L28">
    <cfRule type="cellIs" dxfId="20892" priority="845" operator="greaterThan">
      <formula>L27</formula>
    </cfRule>
    <cfRule type="cellIs" dxfId="20891" priority="846" operator="equal">
      <formula>0</formula>
    </cfRule>
  </conditionalFormatting>
  <conditionalFormatting sqref="M28">
    <cfRule type="cellIs" dxfId="20890" priority="843" operator="greaterThan">
      <formula>M27</formula>
    </cfRule>
    <cfRule type="cellIs" dxfId="20889" priority="844" operator="equal">
      <formula>0</formula>
    </cfRule>
  </conditionalFormatting>
  <conditionalFormatting sqref="N28">
    <cfRule type="cellIs" dxfId="20888" priority="841" operator="greaterThan">
      <formula>N27</formula>
    </cfRule>
    <cfRule type="cellIs" dxfId="20887" priority="842" operator="equal">
      <formula>0</formula>
    </cfRule>
  </conditionalFormatting>
  <conditionalFormatting sqref="O28">
    <cfRule type="cellIs" dxfId="20886" priority="839" operator="greaterThan">
      <formula>O27</formula>
    </cfRule>
    <cfRule type="cellIs" dxfId="20885" priority="840" operator="equal">
      <formula>0</formula>
    </cfRule>
  </conditionalFormatting>
  <conditionalFormatting sqref="P28">
    <cfRule type="cellIs" dxfId="20884" priority="837" operator="greaterThan">
      <formula>P27</formula>
    </cfRule>
    <cfRule type="cellIs" dxfId="20883" priority="838" operator="equal">
      <formula>0</formula>
    </cfRule>
  </conditionalFormatting>
  <conditionalFormatting sqref="E47:P47">
    <cfRule type="cellIs" dxfId="20882" priority="835" operator="greaterThan">
      <formula>E45</formula>
    </cfRule>
    <cfRule type="cellIs" dxfId="20881" priority="836" operator="equal">
      <formula>0</formula>
    </cfRule>
  </conditionalFormatting>
  <conditionalFormatting sqref="G50 I50 K50 M50 O50 E50">
    <cfRule type="cellIs" dxfId="20880" priority="831" operator="greaterThan">
      <formula>E49</formula>
    </cfRule>
    <cfRule type="cellIs" dxfId="20879" priority="832" operator="equal">
      <formula>0</formula>
    </cfRule>
  </conditionalFormatting>
  <conditionalFormatting sqref="E51:P51">
    <cfRule type="cellIs" dxfId="20878" priority="821" operator="greaterThan">
      <formula>E45</formula>
    </cfRule>
    <cfRule type="cellIs" dxfId="20877" priority="822" operator="equal">
      <formula>0</formula>
    </cfRule>
  </conditionalFormatting>
  <conditionalFormatting sqref="V28">
    <cfRule type="cellIs" dxfId="20876" priority="819" operator="greaterThan">
      <formula>V27</formula>
    </cfRule>
    <cfRule type="cellIs" dxfId="20875" priority="820" operator="equal">
      <formula>0</formula>
    </cfRule>
  </conditionalFormatting>
  <conditionalFormatting sqref="V43">
    <cfRule type="cellIs" dxfId="20874" priority="817" operator="greaterThan">
      <formula>V42</formula>
    </cfRule>
    <cfRule type="cellIs" dxfId="20873" priority="818" operator="equal">
      <formula>0</formula>
    </cfRule>
  </conditionalFormatting>
  <conditionalFormatting sqref="X43">
    <cfRule type="cellIs" dxfId="20872" priority="815" operator="greaterThan">
      <formula>X42</formula>
    </cfRule>
    <cfRule type="cellIs" dxfId="20871" priority="816" operator="equal">
      <formula>0</formula>
    </cfRule>
  </conditionalFormatting>
  <conditionalFormatting sqref="V27">
    <cfRule type="cellIs" dxfId="20870" priority="809" operator="greaterThan">
      <formula>V26</formula>
    </cfRule>
    <cfRule type="cellIs" dxfId="20869" priority="810" operator="equal">
      <formula>0</formula>
    </cfRule>
  </conditionalFormatting>
  <conditionalFormatting sqref="E51:N51">
    <cfRule type="cellIs" dxfId="20868" priority="807" operator="greaterThan">
      <formula>G50</formula>
    </cfRule>
    <cfRule type="cellIs" dxfId="20867" priority="808" operator="equal">
      <formula>0</formula>
    </cfRule>
  </conditionalFormatting>
  <conditionalFormatting sqref="O51:P51">
    <cfRule type="cellIs" dxfId="20866" priority="805" operator="greaterThan">
      <formula>#REF!</formula>
    </cfRule>
    <cfRule type="cellIs" dxfId="20865" priority="806" operator="equal">
      <formula>0</formula>
    </cfRule>
  </conditionalFormatting>
  <conditionalFormatting sqref="V13">
    <cfRule type="cellIs" dxfId="20864" priority="803" operator="greaterThan">
      <formula>V12</formula>
    </cfRule>
    <cfRule type="cellIs" dxfId="20863" priority="804" operator="equal">
      <formula>0</formula>
    </cfRule>
  </conditionalFormatting>
  <conditionalFormatting sqref="V12">
    <cfRule type="cellIs" dxfId="20862" priority="801" operator="greaterThan">
      <formula>V11</formula>
    </cfRule>
    <cfRule type="cellIs" dxfId="20861" priority="802" operator="equal">
      <formula>0</formula>
    </cfRule>
  </conditionalFormatting>
  <conditionalFormatting sqref="V16">
    <cfRule type="cellIs" dxfId="20860" priority="799" operator="greaterThan">
      <formula>V15</formula>
    </cfRule>
    <cfRule type="cellIs" dxfId="20859" priority="800" operator="equal">
      <formula>0</formula>
    </cfRule>
  </conditionalFormatting>
  <conditionalFormatting sqref="V15">
    <cfRule type="cellIs" dxfId="20858" priority="797" operator="greaterThan">
      <formula>V14</formula>
    </cfRule>
    <cfRule type="cellIs" dxfId="20857" priority="798" operator="equal">
      <formula>0</formula>
    </cfRule>
  </conditionalFormatting>
  <conditionalFormatting sqref="V19">
    <cfRule type="cellIs" dxfId="20856" priority="795" operator="greaterThan">
      <formula>V18</formula>
    </cfRule>
    <cfRule type="cellIs" dxfId="20855" priority="796" operator="equal">
      <formula>0</formula>
    </cfRule>
  </conditionalFormatting>
  <conditionalFormatting sqref="V18">
    <cfRule type="cellIs" dxfId="20854" priority="793" operator="greaterThan">
      <formula>V17</formula>
    </cfRule>
    <cfRule type="cellIs" dxfId="20853" priority="794" operator="equal">
      <formula>0</formula>
    </cfRule>
  </conditionalFormatting>
  <conditionalFormatting sqref="V22 V24:V25">
    <cfRule type="cellIs" dxfId="20852" priority="791" operator="greaterThan">
      <formula>V21</formula>
    </cfRule>
    <cfRule type="cellIs" dxfId="20851" priority="792" operator="equal">
      <formula>0</formula>
    </cfRule>
  </conditionalFormatting>
  <conditionalFormatting sqref="V21">
    <cfRule type="cellIs" dxfId="20850" priority="789" operator="greaterThan">
      <formula>V20</formula>
    </cfRule>
    <cfRule type="cellIs" dxfId="20849" priority="790" operator="equal">
      <formula>0</formula>
    </cfRule>
  </conditionalFormatting>
  <conditionalFormatting sqref="E31">
    <cfRule type="cellIs" dxfId="20848" priority="775" operator="greaterThan">
      <formula>E30</formula>
    </cfRule>
    <cfRule type="cellIs" dxfId="20847" priority="776" operator="equal">
      <formula>0</formula>
    </cfRule>
  </conditionalFormatting>
  <conditionalFormatting sqref="F31">
    <cfRule type="cellIs" dxfId="20846" priority="773" operator="greaterThan">
      <formula>F30</formula>
    </cfRule>
    <cfRule type="cellIs" dxfId="20845" priority="774" operator="equal">
      <formula>0</formula>
    </cfRule>
  </conditionalFormatting>
  <conditionalFormatting sqref="G31">
    <cfRule type="cellIs" dxfId="20844" priority="771" operator="greaterThan">
      <formula>G30</formula>
    </cfRule>
    <cfRule type="cellIs" dxfId="20843" priority="772" operator="equal">
      <formula>0</formula>
    </cfRule>
  </conditionalFormatting>
  <conditionalFormatting sqref="H31">
    <cfRule type="cellIs" dxfId="20842" priority="769" operator="greaterThan">
      <formula>H30</formula>
    </cfRule>
    <cfRule type="cellIs" dxfId="20841" priority="770" operator="equal">
      <formula>0</formula>
    </cfRule>
  </conditionalFormatting>
  <conditionalFormatting sqref="I31">
    <cfRule type="cellIs" dxfId="20840" priority="767" operator="greaterThan">
      <formula>I30</formula>
    </cfRule>
    <cfRule type="cellIs" dxfId="20839" priority="768" operator="equal">
      <formula>0</formula>
    </cfRule>
  </conditionalFormatting>
  <conditionalFormatting sqref="J31">
    <cfRule type="cellIs" dxfId="20838" priority="765" operator="greaterThan">
      <formula>J30</formula>
    </cfRule>
    <cfRule type="cellIs" dxfId="20837" priority="766" operator="equal">
      <formula>0</formula>
    </cfRule>
  </conditionalFormatting>
  <conditionalFormatting sqref="K31">
    <cfRule type="cellIs" dxfId="20836" priority="763" operator="greaterThan">
      <formula>K30</formula>
    </cfRule>
    <cfRule type="cellIs" dxfId="20835" priority="764" operator="equal">
      <formula>0</formula>
    </cfRule>
  </conditionalFormatting>
  <conditionalFormatting sqref="L31">
    <cfRule type="cellIs" dxfId="20834" priority="761" operator="greaterThan">
      <formula>L30</formula>
    </cfRule>
    <cfRule type="cellIs" dxfId="20833" priority="762" operator="equal">
      <formula>0</formula>
    </cfRule>
  </conditionalFormatting>
  <conditionalFormatting sqref="M31">
    <cfRule type="cellIs" dxfId="20832" priority="759" operator="greaterThan">
      <formula>M30</formula>
    </cfRule>
    <cfRule type="cellIs" dxfId="20831" priority="760" operator="equal">
      <formula>0</formula>
    </cfRule>
  </conditionalFormatting>
  <conditionalFormatting sqref="N31">
    <cfRule type="cellIs" dxfId="20830" priority="757" operator="greaterThan">
      <formula>N30</formula>
    </cfRule>
    <cfRule type="cellIs" dxfId="20829" priority="758" operator="equal">
      <formula>0</formula>
    </cfRule>
  </conditionalFormatting>
  <conditionalFormatting sqref="O31">
    <cfRule type="cellIs" dxfId="20828" priority="755" operator="greaterThan">
      <formula>O30</formula>
    </cfRule>
    <cfRule type="cellIs" dxfId="20827" priority="756" operator="equal">
      <formula>0</formula>
    </cfRule>
  </conditionalFormatting>
  <conditionalFormatting sqref="P31">
    <cfRule type="cellIs" dxfId="20826" priority="753" operator="greaterThan">
      <formula>P30</formula>
    </cfRule>
    <cfRule type="cellIs" dxfId="20825" priority="754" operator="equal">
      <formula>0</formula>
    </cfRule>
  </conditionalFormatting>
  <conditionalFormatting sqref="E25">
    <cfRule type="cellIs" dxfId="20824" priority="742" operator="greaterThan">
      <formula>E24</formula>
    </cfRule>
    <cfRule type="cellIs" dxfId="20823" priority="743" operator="equal">
      <formula>0</formula>
    </cfRule>
  </conditionalFormatting>
  <conditionalFormatting sqref="F25">
    <cfRule type="cellIs" dxfId="20822" priority="740" operator="greaterThan">
      <formula>F24</formula>
    </cfRule>
    <cfRule type="cellIs" dxfId="20821" priority="741" operator="equal">
      <formula>0</formula>
    </cfRule>
  </conditionalFormatting>
  <conditionalFormatting sqref="G25">
    <cfRule type="cellIs" dxfId="20820" priority="738" operator="greaterThan">
      <formula>G24</formula>
    </cfRule>
    <cfRule type="cellIs" dxfId="20819" priority="739" operator="equal">
      <formula>0</formula>
    </cfRule>
  </conditionalFormatting>
  <conditionalFormatting sqref="H25">
    <cfRule type="cellIs" dxfId="20818" priority="736" operator="greaterThan">
      <formula>H24</formula>
    </cfRule>
    <cfRule type="cellIs" dxfId="20817" priority="737" operator="equal">
      <formula>0</formula>
    </cfRule>
  </conditionalFormatting>
  <conditionalFormatting sqref="I25">
    <cfRule type="cellIs" dxfId="20816" priority="734" operator="greaterThan">
      <formula>I24</formula>
    </cfRule>
    <cfRule type="cellIs" dxfId="20815" priority="735" operator="equal">
      <formula>0</formula>
    </cfRule>
  </conditionalFormatting>
  <conditionalFormatting sqref="J25">
    <cfRule type="cellIs" dxfId="20814" priority="732" operator="greaterThan">
      <formula>J24</formula>
    </cfRule>
    <cfRule type="cellIs" dxfId="20813" priority="733" operator="equal">
      <formula>0</formula>
    </cfRule>
  </conditionalFormatting>
  <conditionalFormatting sqref="K25">
    <cfRule type="cellIs" dxfId="20812" priority="730" operator="greaterThan">
      <formula>K24</formula>
    </cfRule>
    <cfRule type="cellIs" dxfId="20811" priority="731" operator="equal">
      <formula>0</formula>
    </cfRule>
  </conditionalFormatting>
  <conditionalFormatting sqref="L25">
    <cfRule type="cellIs" dxfId="20810" priority="728" operator="greaterThan">
      <formula>L24</formula>
    </cfRule>
    <cfRule type="cellIs" dxfId="20809" priority="729" operator="equal">
      <formula>0</formula>
    </cfRule>
  </conditionalFormatting>
  <conditionalFormatting sqref="M25">
    <cfRule type="cellIs" dxfId="20808" priority="726" operator="greaterThan">
      <formula>M24</formula>
    </cfRule>
    <cfRule type="cellIs" dxfId="20807" priority="727" operator="equal">
      <formula>0</formula>
    </cfRule>
  </conditionalFormatting>
  <conditionalFormatting sqref="N25">
    <cfRule type="cellIs" dxfId="20806" priority="724" operator="greaterThan">
      <formula>N24</formula>
    </cfRule>
    <cfRule type="cellIs" dxfId="20805" priority="725" operator="equal">
      <formula>0</formula>
    </cfRule>
  </conditionalFormatting>
  <conditionalFormatting sqref="O25">
    <cfRule type="cellIs" dxfId="20804" priority="722" operator="greaterThan">
      <formula>O24</formula>
    </cfRule>
    <cfRule type="cellIs" dxfId="20803" priority="723" operator="equal">
      <formula>0</formula>
    </cfRule>
  </conditionalFormatting>
  <conditionalFormatting sqref="P25">
    <cfRule type="cellIs" dxfId="20802" priority="720" operator="greaterThan">
      <formula>P24</formula>
    </cfRule>
    <cfRule type="cellIs" dxfId="20801" priority="721" operator="equal">
      <formula>0</formula>
    </cfRule>
  </conditionalFormatting>
  <conditionalFormatting sqref="E45:P45 E46:G46 I46:O46">
    <cfRule type="cellIs" dxfId="20800" priority="974" operator="greaterThan">
      <formula>#REF!</formula>
    </cfRule>
    <cfRule type="cellIs" dxfId="20799" priority="975" operator="equal">
      <formula>0</formula>
    </cfRule>
  </conditionalFormatting>
  <conditionalFormatting sqref="E33:P33">
    <cfRule type="cellIs" dxfId="20798" priority="719" operator="equal">
      <formula>0</formula>
    </cfRule>
  </conditionalFormatting>
  <conditionalFormatting sqref="E34">
    <cfRule type="cellIs" dxfId="20797" priority="717" operator="greaterThan">
      <formula>E33</formula>
    </cfRule>
    <cfRule type="cellIs" dxfId="20796" priority="718" operator="equal">
      <formula>0</formula>
    </cfRule>
  </conditionalFormatting>
  <conditionalFormatting sqref="F34">
    <cfRule type="cellIs" dxfId="20795" priority="715" operator="greaterThan">
      <formula>F33</formula>
    </cfRule>
    <cfRule type="cellIs" dxfId="20794" priority="716" operator="equal">
      <formula>0</formula>
    </cfRule>
  </conditionalFormatting>
  <conditionalFormatting sqref="G34">
    <cfRule type="cellIs" dxfId="20793" priority="713" operator="greaterThan">
      <formula>G33</formula>
    </cfRule>
    <cfRule type="cellIs" dxfId="20792" priority="714" operator="equal">
      <formula>0</formula>
    </cfRule>
  </conditionalFormatting>
  <conditionalFormatting sqref="H34">
    <cfRule type="cellIs" dxfId="20791" priority="711" operator="greaterThan">
      <formula>H33</formula>
    </cfRule>
    <cfRule type="cellIs" dxfId="20790" priority="712" operator="equal">
      <formula>0</formula>
    </cfRule>
  </conditionalFormatting>
  <conditionalFormatting sqref="I34">
    <cfRule type="cellIs" dxfId="20789" priority="709" operator="greaterThan">
      <formula>I33</formula>
    </cfRule>
    <cfRule type="cellIs" dxfId="20788" priority="710" operator="equal">
      <formula>0</formula>
    </cfRule>
  </conditionalFormatting>
  <conditionalFormatting sqref="J34">
    <cfRule type="cellIs" dxfId="20787" priority="707" operator="greaterThan">
      <formula>J33</formula>
    </cfRule>
    <cfRule type="cellIs" dxfId="20786" priority="708" operator="equal">
      <formula>0</formula>
    </cfRule>
  </conditionalFormatting>
  <conditionalFormatting sqref="K34">
    <cfRule type="cellIs" dxfId="20785" priority="705" operator="greaterThan">
      <formula>K33</formula>
    </cfRule>
    <cfRule type="cellIs" dxfId="20784" priority="706" operator="equal">
      <formula>0</formula>
    </cfRule>
  </conditionalFormatting>
  <conditionalFormatting sqref="L34">
    <cfRule type="cellIs" dxfId="20783" priority="703" operator="greaterThan">
      <formula>L33</formula>
    </cfRule>
    <cfRule type="cellIs" dxfId="20782" priority="704" operator="equal">
      <formula>0</formula>
    </cfRule>
  </conditionalFormatting>
  <conditionalFormatting sqref="M34">
    <cfRule type="cellIs" dxfId="20781" priority="701" operator="greaterThan">
      <formula>M33</formula>
    </cfRule>
    <cfRule type="cellIs" dxfId="20780" priority="702" operator="equal">
      <formula>0</formula>
    </cfRule>
  </conditionalFormatting>
  <conditionalFormatting sqref="N34">
    <cfRule type="cellIs" dxfId="20779" priority="699" operator="greaterThan">
      <formula>N33</formula>
    </cfRule>
    <cfRule type="cellIs" dxfId="20778" priority="700" operator="equal">
      <formula>0</formula>
    </cfRule>
  </conditionalFormatting>
  <conditionalFormatting sqref="O34">
    <cfRule type="cellIs" dxfId="20777" priority="697" operator="greaterThan">
      <formula>O33</formula>
    </cfRule>
    <cfRule type="cellIs" dxfId="20776" priority="698" operator="equal">
      <formula>0</formula>
    </cfRule>
  </conditionalFormatting>
  <conditionalFormatting sqref="P34">
    <cfRule type="cellIs" dxfId="20775" priority="695" operator="greaterThan">
      <formula>P33</formula>
    </cfRule>
    <cfRule type="cellIs" dxfId="20774" priority="696" operator="equal">
      <formula>0</formula>
    </cfRule>
  </conditionalFormatting>
  <conditionalFormatting sqref="E36:P36">
    <cfRule type="cellIs" dxfId="20773" priority="694" operator="equal">
      <formula>0</formula>
    </cfRule>
  </conditionalFormatting>
  <conditionalFormatting sqref="E37">
    <cfRule type="cellIs" dxfId="20772" priority="692" operator="greaterThan">
      <formula>E36</formula>
    </cfRule>
    <cfRule type="cellIs" dxfId="20771" priority="693" operator="equal">
      <formula>0</formula>
    </cfRule>
  </conditionalFormatting>
  <conditionalFormatting sqref="F37">
    <cfRule type="cellIs" dxfId="20770" priority="690" operator="greaterThan">
      <formula>F36</formula>
    </cfRule>
    <cfRule type="cellIs" dxfId="20769" priority="691" operator="equal">
      <formula>0</formula>
    </cfRule>
  </conditionalFormatting>
  <conditionalFormatting sqref="G37">
    <cfRule type="cellIs" dxfId="20768" priority="688" operator="greaterThan">
      <formula>G36</formula>
    </cfRule>
    <cfRule type="cellIs" dxfId="20767" priority="689" operator="equal">
      <formula>0</formula>
    </cfRule>
  </conditionalFormatting>
  <conditionalFormatting sqref="H37">
    <cfRule type="cellIs" dxfId="20766" priority="686" operator="greaterThan">
      <formula>H36</formula>
    </cfRule>
    <cfRule type="cellIs" dxfId="20765" priority="687" operator="equal">
      <formula>0</formula>
    </cfRule>
  </conditionalFormatting>
  <conditionalFormatting sqref="I37">
    <cfRule type="cellIs" dxfId="20764" priority="684" operator="greaterThan">
      <formula>I36</formula>
    </cfRule>
    <cfRule type="cellIs" dxfId="20763" priority="685" operator="equal">
      <formula>0</formula>
    </cfRule>
  </conditionalFormatting>
  <conditionalFormatting sqref="J37">
    <cfRule type="cellIs" dxfId="20762" priority="682" operator="greaterThan">
      <formula>J36</formula>
    </cfRule>
    <cfRule type="cellIs" dxfId="20761" priority="683" operator="equal">
      <formula>0</formula>
    </cfRule>
  </conditionalFormatting>
  <conditionalFormatting sqref="K37">
    <cfRule type="cellIs" dxfId="20760" priority="680" operator="greaterThan">
      <formula>K36</formula>
    </cfRule>
    <cfRule type="cellIs" dxfId="20759" priority="681" operator="equal">
      <formula>0</formula>
    </cfRule>
  </conditionalFormatting>
  <conditionalFormatting sqref="L37">
    <cfRule type="cellIs" dxfId="20758" priority="678" operator="greaterThan">
      <formula>L36</formula>
    </cfRule>
    <cfRule type="cellIs" dxfId="20757" priority="679" operator="equal">
      <formula>0</formula>
    </cfRule>
  </conditionalFormatting>
  <conditionalFormatting sqref="M37">
    <cfRule type="cellIs" dxfId="20756" priority="676" operator="greaterThan">
      <formula>M36</formula>
    </cfRule>
    <cfRule type="cellIs" dxfId="20755" priority="677" operator="equal">
      <formula>0</formula>
    </cfRule>
  </conditionalFormatting>
  <conditionalFormatting sqref="N37">
    <cfRule type="cellIs" dxfId="20754" priority="674" operator="greaterThan">
      <formula>N36</formula>
    </cfRule>
    <cfRule type="cellIs" dxfId="20753" priority="675" operator="equal">
      <formula>0</formula>
    </cfRule>
  </conditionalFormatting>
  <conditionalFormatting sqref="O37">
    <cfRule type="cellIs" dxfId="20752" priority="672" operator="greaterThan">
      <formula>O36</formula>
    </cfRule>
    <cfRule type="cellIs" dxfId="20751" priority="673" operator="equal">
      <formula>0</formula>
    </cfRule>
  </conditionalFormatting>
  <conditionalFormatting sqref="P37">
    <cfRule type="cellIs" dxfId="20750" priority="670" operator="greaterThan">
      <formula>P36</formula>
    </cfRule>
    <cfRule type="cellIs" dxfId="20749" priority="671" operator="equal">
      <formula>0</formula>
    </cfRule>
  </conditionalFormatting>
  <conditionalFormatting sqref="V24">
    <cfRule type="cellIs" dxfId="20748" priority="668" operator="greaterThan">
      <formula>V23</formula>
    </cfRule>
    <cfRule type="cellIs" dxfId="20747" priority="669" operator="equal">
      <formula>0</formula>
    </cfRule>
  </conditionalFormatting>
  <conditionalFormatting sqref="V27:V28">
    <cfRule type="cellIs" dxfId="20746" priority="666" operator="greaterThan">
      <formula>V26</formula>
    </cfRule>
    <cfRule type="cellIs" dxfId="20745" priority="667" operator="equal">
      <formula>0</formula>
    </cfRule>
  </conditionalFormatting>
  <conditionalFormatting sqref="V27">
    <cfRule type="cellIs" dxfId="20744" priority="664" operator="greaterThan">
      <formula>V26</formula>
    </cfRule>
    <cfRule type="cellIs" dxfId="20743" priority="665" operator="equal">
      <formula>0</formula>
    </cfRule>
  </conditionalFormatting>
  <conditionalFormatting sqref="V16">
    <cfRule type="cellIs" dxfId="20742" priority="636" operator="greaterThan">
      <formula>V15</formula>
    </cfRule>
    <cfRule type="cellIs" dxfId="20741" priority="637" operator="equal">
      <formula>0</formula>
    </cfRule>
  </conditionalFormatting>
  <conditionalFormatting sqref="V15">
    <cfRule type="cellIs" dxfId="20740" priority="634" operator="greaterThan">
      <formula>V14</formula>
    </cfRule>
    <cfRule type="cellIs" dxfId="20739" priority="635" operator="equal">
      <formula>0</formula>
    </cfRule>
  </conditionalFormatting>
  <conditionalFormatting sqref="V19">
    <cfRule type="cellIs" dxfId="20738" priority="632" operator="greaterThan">
      <formula>V18</formula>
    </cfRule>
    <cfRule type="cellIs" dxfId="20737" priority="633" operator="equal">
      <formula>0</formula>
    </cfRule>
  </conditionalFormatting>
  <conditionalFormatting sqref="V18">
    <cfRule type="cellIs" dxfId="20736" priority="630" operator="greaterThan">
      <formula>V17</formula>
    </cfRule>
    <cfRule type="cellIs" dxfId="20735" priority="631" operator="equal">
      <formula>0</formula>
    </cfRule>
  </conditionalFormatting>
  <conditionalFormatting sqref="V22">
    <cfRule type="cellIs" dxfId="20734" priority="628" operator="greaterThan">
      <formula>V21</formula>
    </cfRule>
    <cfRule type="cellIs" dxfId="20733" priority="629" operator="equal">
      <formula>0</formula>
    </cfRule>
  </conditionalFormatting>
  <conditionalFormatting sqref="V21">
    <cfRule type="cellIs" dxfId="20732" priority="626" operator="greaterThan">
      <formula>V20</formula>
    </cfRule>
    <cfRule type="cellIs" dxfId="20731" priority="627" operator="equal">
      <formula>0</formula>
    </cfRule>
  </conditionalFormatting>
  <conditionalFormatting sqref="V25">
    <cfRule type="cellIs" dxfId="20730" priority="624" operator="greaterThan">
      <formula>V24</formula>
    </cfRule>
    <cfRule type="cellIs" dxfId="20729" priority="625" operator="equal">
      <formula>0</formula>
    </cfRule>
  </conditionalFormatting>
  <conditionalFormatting sqref="V24">
    <cfRule type="cellIs" dxfId="20728" priority="622" operator="greaterThan">
      <formula>V23</formula>
    </cfRule>
    <cfRule type="cellIs" dxfId="20727" priority="623" operator="equal">
      <formula>0</formula>
    </cfRule>
  </conditionalFormatting>
  <conditionalFormatting sqref="V28">
    <cfRule type="cellIs" dxfId="20726" priority="620" operator="greaterThan">
      <formula>V27</formula>
    </cfRule>
    <cfRule type="cellIs" dxfId="20725" priority="621" operator="equal">
      <formula>0</formula>
    </cfRule>
  </conditionalFormatting>
  <conditionalFormatting sqref="V27">
    <cfRule type="cellIs" dxfId="20724" priority="618" operator="greaterThan">
      <formula>V26</formula>
    </cfRule>
    <cfRule type="cellIs" dxfId="20723" priority="619" operator="equal">
      <formula>0</formula>
    </cfRule>
  </conditionalFormatting>
  <conditionalFormatting sqref="V30:V31 X30:X31">
    <cfRule type="cellIs" dxfId="20722" priority="617" operator="equal">
      <formula>0</formula>
    </cfRule>
  </conditionalFormatting>
  <conditionalFormatting sqref="V31">
    <cfRule type="cellIs" dxfId="20721" priority="615" operator="greaterThan">
      <formula>V30</formula>
    </cfRule>
    <cfRule type="cellIs" dxfId="20720" priority="616" operator="equal">
      <formula>0</formula>
    </cfRule>
  </conditionalFormatting>
  <conditionalFormatting sqref="V30">
    <cfRule type="cellIs" dxfId="20719" priority="613" operator="greaterThan">
      <formula>V29</formula>
    </cfRule>
    <cfRule type="cellIs" dxfId="20718" priority="614" operator="equal">
      <formula>0</formula>
    </cfRule>
  </conditionalFormatting>
  <conditionalFormatting sqref="V33:V34 X33:X34">
    <cfRule type="cellIs" dxfId="20717" priority="612" operator="equal">
      <formula>0</formula>
    </cfRule>
  </conditionalFormatting>
  <conditionalFormatting sqref="V34">
    <cfRule type="cellIs" dxfId="20716" priority="610" operator="greaterThan">
      <formula>V33</formula>
    </cfRule>
    <cfRule type="cellIs" dxfId="20715" priority="611" operator="equal">
      <formula>0</formula>
    </cfRule>
  </conditionalFormatting>
  <conditionalFormatting sqref="V33">
    <cfRule type="cellIs" dxfId="20714" priority="608" operator="greaterThan">
      <formula>V32</formula>
    </cfRule>
    <cfRule type="cellIs" dxfId="20713" priority="609" operator="equal">
      <formula>0</formula>
    </cfRule>
  </conditionalFormatting>
  <conditionalFormatting sqref="V36:V37 X36:X37">
    <cfRule type="cellIs" dxfId="20712" priority="607" operator="equal">
      <formula>0</formula>
    </cfRule>
  </conditionalFormatting>
  <conditionalFormatting sqref="V37">
    <cfRule type="cellIs" dxfId="20711" priority="605" operator="greaterThan">
      <formula>V36</formula>
    </cfRule>
    <cfRule type="cellIs" dxfId="20710" priority="606" operator="equal">
      <formula>0</formula>
    </cfRule>
  </conditionalFormatting>
  <conditionalFormatting sqref="V36">
    <cfRule type="cellIs" dxfId="20709" priority="603" operator="greaterThan">
      <formula>V35</formula>
    </cfRule>
    <cfRule type="cellIs" dxfId="20708" priority="604" operator="equal">
      <formula>0</formula>
    </cfRule>
  </conditionalFormatting>
  <conditionalFormatting sqref="V16">
    <cfRule type="cellIs" dxfId="20707" priority="601" operator="greaterThan">
      <formula>V15</formula>
    </cfRule>
    <cfRule type="cellIs" dxfId="20706" priority="602" operator="equal">
      <formula>0</formula>
    </cfRule>
  </conditionalFormatting>
  <conditionalFormatting sqref="V15">
    <cfRule type="cellIs" dxfId="20705" priority="599" operator="greaterThan">
      <formula>V14</formula>
    </cfRule>
    <cfRule type="cellIs" dxfId="20704" priority="600" operator="equal">
      <formula>0</formula>
    </cfRule>
  </conditionalFormatting>
  <conditionalFormatting sqref="V16">
    <cfRule type="cellIs" dxfId="20703" priority="597" operator="greaterThan">
      <formula>V15</formula>
    </cfRule>
    <cfRule type="cellIs" dxfId="20702" priority="598" operator="equal">
      <formula>0</formula>
    </cfRule>
  </conditionalFormatting>
  <conditionalFormatting sqref="V15">
    <cfRule type="cellIs" dxfId="20701" priority="595" operator="greaterThan">
      <formula>V14</formula>
    </cfRule>
    <cfRule type="cellIs" dxfId="20700" priority="596" operator="equal">
      <formula>0</formula>
    </cfRule>
  </conditionalFormatting>
  <conditionalFormatting sqref="V19">
    <cfRule type="cellIs" dxfId="20699" priority="593" operator="greaterThan">
      <formula>V18</formula>
    </cfRule>
    <cfRule type="cellIs" dxfId="20698" priority="594" operator="equal">
      <formula>0</formula>
    </cfRule>
  </conditionalFormatting>
  <conditionalFormatting sqref="V18">
    <cfRule type="cellIs" dxfId="20697" priority="591" operator="greaterThan">
      <formula>V17</formula>
    </cfRule>
    <cfRule type="cellIs" dxfId="20696" priority="592" operator="equal">
      <formula>0</formula>
    </cfRule>
  </conditionalFormatting>
  <conditionalFormatting sqref="V19">
    <cfRule type="cellIs" dxfId="20695" priority="589" operator="greaterThan">
      <formula>V18</formula>
    </cfRule>
    <cfRule type="cellIs" dxfId="20694" priority="590" operator="equal">
      <formula>0</formula>
    </cfRule>
  </conditionalFormatting>
  <conditionalFormatting sqref="V18">
    <cfRule type="cellIs" dxfId="20693" priority="587" operator="greaterThan">
      <formula>V17</formula>
    </cfRule>
    <cfRule type="cellIs" dxfId="20692" priority="588" operator="equal">
      <formula>0</formula>
    </cfRule>
  </conditionalFormatting>
  <conditionalFormatting sqref="V19">
    <cfRule type="cellIs" dxfId="20691" priority="585" operator="greaterThan">
      <formula>V18</formula>
    </cfRule>
    <cfRule type="cellIs" dxfId="20690" priority="586" operator="equal">
      <formula>0</formula>
    </cfRule>
  </conditionalFormatting>
  <conditionalFormatting sqref="V18">
    <cfRule type="cellIs" dxfId="20689" priority="583" operator="greaterThan">
      <formula>V17</formula>
    </cfRule>
    <cfRule type="cellIs" dxfId="20688" priority="584" operator="equal">
      <formula>0</formula>
    </cfRule>
  </conditionalFormatting>
  <conditionalFormatting sqref="V19">
    <cfRule type="cellIs" dxfId="20687" priority="581" operator="greaterThan">
      <formula>V18</formula>
    </cfRule>
    <cfRule type="cellIs" dxfId="20686" priority="582" operator="equal">
      <formula>0</formula>
    </cfRule>
  </conditionalFormatting>
  <conditionalFormatting sqref="V18">
    <cfRule type="cellIs" dxfId="20685" priority="579" operator="greaterThan">
      <formula>V17</formula>
    </cfRule>
    <cfRule type="cellIs" dxfId="20684" priority="580" operator="equal">
      <formula>0</formula>
    </cfRule>
  </conditionalFormatting>
  <conditionalFormatting sqref="V22">
    <cfRule type="cellIs" dxfId="20683" priority="577" operator="greaterThan">
      <formula>V21</formula>
    </cfRule>
    <cfRule type="cellIs" dxfId="20682" priority="578" operator="equal">
      <formula>0</formula>
    </cfRule>
  </conditionalFormatting>
  <conditionalFormatting sqref="V21">
    <cfRule type="cellIs" dxfId="20681" priority="575" operator="greaterThan">
      <formula>V20</formula>
    </cfRule>
    <cfRule type="cellIs" dxfId="20680" priority="576" operator="equal">
      <formula>0</formula>
    </cfRule>
  </conditionalFormatting>
  <conditionalFormatting sqref="V22">
    <cfRule type="cellIs" dxfId="20679" priority="573" operator="greaterThan">
      <formula>V21</formula>
    </cfRule>
    <cfRule type="cellIs" dxfId="20678" priority="574" operator="equal">
      <formula>0</formula>
    </cfRule>
  </conditionalFormatting>
  <conditionalFormatting sqref="V21">
    <cfRule type="cellIs" dxfId="20677" priority="571" operator="greaterThan">
      <formula>V20</formula>
    </cfRule>
    <cfRule type="cellIs" dxfId="20676" priority="572" operator="equal">
      <formula>0</formula>
    </cfRule>
  </conditionalFormatting>
  <conditionalFormatting sqref="V22">
    <cfRule type="cellIs" dxfId="20675" priority="569" operator="greaterThan">
      <formula>V21</formula>
    </cfRule>
    <cfRule type="cellIs" dxfId="20674" priority="570" operator="equal">
      <formula>0</formula>
    </cfRule>
  </conditionalFormatting>
  <conditionalFormatting sqref="V21">
    <cfRule type="cellIs" dxfId="20673" priority="567" operator="greaterThan">
      <formula>V20</formula>
    </cfRule>
    <cfRule type="cellIs" dxfId="20672" priority="568" operator="equal">
      <formula>0</formula>
    </cfRule>
  </conditionalFormatting>
  <conditionalFormatting sqref="V22">
    <cfRule type="cellIs" dxfId="20671" priority="565" operator="greaterThan">
      <formula>V21</formula>
    </cfRule>
    <cfRule type="cellIs" dxfId="20670" priority="566" operator="equal">
      <formula>0</formula>
    </cfRule>
  </conditionalFormatting>
  <conditionalFormatting sqref="V21">
    <cfRule type="cellIs" dxfId="20669" priority="563" operator="greaterThan">
      <formula>V20</formula>
    </cfRule>
    <cfRule type="cellIs" dxfId="20668" priority="564" operator="equal">
      <formula>0</formula>
    </cfRule>
  </conditionalFormatting>
  <conditionalFormatting sqref="V22">
    <cfRule type="cellIs" dxfId="20667" priority="561" operator="greaterThan">
      <formula>V21</formula>
    </cfRule>
    <cfRule type="cellIs" dxfId="20666" priority="562" operator="equal">
      <formula>0</formula>
    </cfRule>
  </conditionalFormatting>
  <conditionalFormatting sqref="V21">
    <cfRule type="cellIs" dxfId="20665" priority="559" operator="greaterThan">
      <formula>V20</formula>
    </cfRule>
    <cfRule type="cellIs" dxfId="20664" priority="560" operator="equal">
      <formula>0</formula>
    </cfRule>
  </conditionalFormatting>
  <conditionalFormatting sqref="V22">
    <cfRule type="cellIs" dxfId="20663" priority="557" operator="greaterThan">
      <formula>V21</formula>
    </cfRule>
    <cfRule type="cellIs" dxfId="20662" priority="558" operator="equal">
      <formula>0</formula>
    </cfRule>
  </conditionalFormatting>
  <conditionalFormatting sqref="V21">
    <cfRule type="cellIs" dxfId="20661" priority="555" operator="greaterThan">
      <formula>V20</formula>
    </cfRule>
    <cfRule type="cellIs" dxfId="20660" priority="556" operator="equal">
      <formula>0</formula>
    </cfRule>
  </conditionalFormatting>
  <conditionalFormatting sqref="V24">
    <cfRule type="cellIs" dxfId="20659" priority="553" operator="greaterThan">
      <formula>V23</formula>
    </cfRule>
    <cfRule type="cellIs" dxfId="20658" priority="554" operator="equal">
      <formula>0</formula>
    </cfRule>
  </conditionalFormatting>
  <conditionalFormatting sqref="V25">
    <cfRule type="cellIs" dxfId="20657" priority="551" operator="greaterThan">
      <formula>V24</formula>
    </cfRule>
    <cfRule type="cellIs" dxfId="20656" priority="552" operator="equal">
      <formula>0</formula>
    </cfRule>
  </conditionalFormatting>
  <conditionalFormatting sqref="V24">
    <cfRule type="cellIs" dxfId="20655" priority="549" operator="greaterThan">
      <formula>V23</formula>
    </cfRule>
    <cfRule type="cellIs" dxfId="20654" priority="550" operator="equal">
      <formula>0</formula>
    </cfRule>
  </conditionalFormatting>
  <conditionalFormatting sqref="V25">
    <cfRule type="cellIs" dxfId="20653" priority="547" operator="greaterThan">
      <formula>V24</formula>
    </cfRule>
    <cfRule type="cellIs" dxfId="20652" priority="548" operator="equal">
      <formula>0</formula>
    </cfRule>
  </conditionalFormatting>
  <conditionalFormatting sqref="V24">
    <cfRule type="cellIs" dxfId="20651" priority="545" operator="greaterThan">
      <formula>V23</formula>
    </cfRule>
    <cfRule type="cellIs" dxfId="20650" priority="546" operator="equal">
      <formula>0</formula>
    </cfRule>
  </conditionalFormatting>
  <conditionalFormatting sqref="V25">
    <cfRule type="cellIs" dxfId="20649" priority="543" operator="greaterThan">
      <formula>V24</formula>
    </cfRule>
    <cfRule type="cellIs" dxfId="20648" priority="544" operator="equal">
      <formula>0</formula>
    </cfRule>
  </conditionalFormatting>
  <conditionalFormatting sqref="V24">
    <cfRule type="cellIs" dxfId="20647" priority="541" operator="greaterThan">
      <formula>V23</formula>
    </cfRule>
    <cfRule type="cellIs" dxfId="20646" priority="542" operator="equal">
      <formula>0</formula>
    </cfRule>
  </conditionalFormatting>
  <conditionalFormatting sqref="V25">
    <cfRule type="cellIs" dxfId="20645" priority="539" operator="greaterThan">
      <formula>V24</formula>
    </cfRule>
    <cfRule type="cellIs" dxfId="20644" priority="540" operator="equal">
      <formula>0</formula>
    </cfRule>
  </conditionalFormatting>
  <conditionalFormatting sqref="V24">
    <cfRule type="cellIs" dxfId="20643" priority="537" operator="greaterThan">
      <formula>V23</formula>
    </cfRule>
    <cfRule type="cellIs" dxfId="20642" priority="538" operator="equal">
      <formula>0</formula>
    </cfRule>
  </conditionalFormatting>
  <conditionalFormatting sqref="V25">
    <cfRule type="cellIs" dxfId="20641" priority="535" operator="greaterThan">
      <formula>V24</formula>
    </cfRule>
    <cfRule type="cellIs" dxfId="20640" priority="536" operator="equal">
      <formula>0</formula>
    </cfRule>
  </conditionalFormatting>
  <conditionalFormatting sqref="V24">
    <cfRule type="cellIs" dxfId="20639" priority="533" operator="greaterThan">
      <formula>V23</formula>
    </cfRule>
    <cfRule type="cellIs" dxfId="20638" priority="534" operator="equal">
      <formula>0</formula>
    </cfRule>
  </conditionalFormatting>
  <conditionalFormatting sqref="V25">
    <cfRule type="cellIs" dxfId="20637" priority="531" operator="greaterThan">
      <formula>V24</formula>
    </cfRule>
    <cfRule type="cellIs" dxfId="20636" priority="532" operator="equal">
      <formula>0</formula>
    </cfRule>
  </conditionalFormatting>
  <conditionalFormatting sqref="V24">
    <cfRule type="cellIs" dxfId="20635" priority="529" operator="greaterThan">
      <formula>V23</formula>
    </cfRule>
    <cfRule type="cellIs" dxfId="20634" priority="530" operator="equal">
      <formula>0</formula>
    </cfRule>
  </conditionalFormatting>
  <conditionalFormatting sqref="V25">
    <cfRule type="cellIs" dxfId="20633" priority="527" operator="greaterThan">
      <formula>V24</formula>
    </cfRule>
    <cfRule type="cellIs" dxfId="20632" priority="528" operator="equal">
      <formula>0</formula>
    </cfRule>
  </conditionalFormatting>
  <conditionalFormatting sqref="V24">
    <cfRule type="cellIs" dxfId="20631" priority="525" operator="greaterThan">
      <formula>V23</formula>
    </cfRule>
    <cfRule type="cellIs" dxfId="20630" priority="526" operator="equal">
      <formula>0</formula>
    </cfRule>
  </conditionalFormatting>
  <conditionalFormatting sqref="V27:V28">
    <cfRule type="cellIs" dxfId="20629" priority="523" operator="greaterThan">
      <formula>V26</formula>
    </cfRule>
    <cfRule type="cellIs" dxfId="20628" priority="524" operator="equal">
      <formula>0</formula>
    </cfRule>
  </conditionalFormatting>
  <conditionalFormatting sqref="V27">
    <cfRule type="cellIs" dxfId="20627" priority="521" operator="greaterThan">
      <formula>V26</formula>
    </cfRule>
    <cfRule type="cellIs" dxfId="20626" priority="522" operator="equal">
      <formula>0</formula>
    </cfRule>
  </conditionalFormatting>
  <conditionalFormatting sqref="V28">
    <cfRule type="cellIs" dxfId="20625" priority="519" operator="greaterThan">
      <formula>V27</formula>
    </cfRule>
    <cfRule type="cellIs" dxfId="20624" priority="520" operator="equal">
      <formula>0</formula>
    </cfRule>
  </conditionalFormatting>
  <conditionalFormatting sqref="V27">
    <cfRule type="cellIs" dxfId="20623" priority="517" operator="greaterThan">
      <formula>V26</formula>
    </cfRule>
    <cfRule type="cellIs" dxfId="20622" priority="518" operator="equal">
      <formula>0</formula>
    </cfRule>
  </conditionalFormatting>
  <conditionalFormatting sqref="V27">
    <cfRule type="cellIs" dxfId="20621" priority="515" operator="greaterThan">
      <formula>V26</formula>
    </cfRule>
    <cfRule type="cellIs" dxfId="20620" priority="516" operator="equal">
      <formula>0</formula>
    </cfRule>
  </conditionalFormatting>
  <conditionalFormatting sqref="V28">
    <cfRule type="cellIs" dxfId="20619" priority="513" operator="greaterThan">
      <formula>V27</formula>
    </cfRule>
    <cfRule type="cellIs" dxfId="20618" priority="514" operator="equal">
      <formula>0</formula>
    </cfRule>
  </conditionalFormatting>
  <conditionalFormatting sqref="V27">
    <cfRule type="cellIs" dxfId="20617" priority="511" operator="greaterThan">
      <formula>V26</formula>
    </cfRule>
    <cfRule type="cellIs" dxfId="20616" priority="512" operator="equal">
      <formula>0</formula>
    </cfRule>
  </conditionalFormatting>
  <conditionalFormatting sqref="V28">
    <cfRule type="cellIs" dxfId="20615" priority="509" operator="greaterThan">
      <formula>V27</formula>
    </cfRule>
    <cfRule type="cellIs" dxfId="20614" priority="510" operator="equal">
      <formula>0</formula>
    </cfRule>
  </conditionalFormatting>
  <conditionalFormatting sqref="V27">
    <cfRule type="cellIs" dxfId="20613" priority="507" operator="greaterThan">
      <formula>V26</formula>
    </cfRule>
    <cfRule type="cellIs" dxfId="20612" priority="508" operator="equal">
      <formula>0</formula>
    </cfRule>
  </conditionalFormatting>
  <conditionalFormatting sqref="V28">
    <cfRule type="cellIs" dxfId="20611" priority="505" operator="greaterThan">
      <formula>V27</formula>
    </cfRule>
    <cfRule type="cellIs" dxfId="20610" priority="506" operator="equal">
      <formula>0</formula>
    </cfRule>
  </conditionalFormatting>
  <conditionalFormatting sqref="V27">
    <cfRule type="cellIs" dxfId="20609" priority="503" operator="greaterThan">
      <formula>V26</formula>
    </cfRule>
    <cfRule type="cellIs" dxfId="20608" priority="504" operator="equal">
      <formula>0</formula>
    </cfRule>
  </conditionalFormatting>
  <conditionalFormatting sqref="V28">
    <cfRule type="cellIs" dxfId="20607" priority="501" operator="greaterThan">
      <formula>V27</formula>
    </cfRule>
    <cfRule type="cellIs" dxfId="20606" priority="502" operator="equal">
      <formula>0</formula>
    </cfRule>
  </conditionalFormatting>
  <conditionalFormatting sqref="V27">
    <cfRule type="cellIs" dxfId="20605" priority="499" operator="greaterThan">
      <formula>V26</formula>
    </cfRule>
    <cfRule type="cellIs" dxfId="20604" priority="500" operator="equal">
      <formula>0</formula>
    </cfRule>
  </conditionalFormatting>
  <conditionalFormatting sqref="V28">
    <cfRule type="cellIs" dxfId="20603" priority="497" operator="greaterThan">
      <formula>V27</formula>
    </cfRule>
    <cfRule type="cellIs" dxfId="20602" priority="498" operator="equal">
      <formula>0</formula>
    </cfRule>
  </conditionalFormatting>
  <conditionalFormatting sqref="V27">
    <cfRule type="cellIs" dxfId="20601" priority="495" operator="greaterThan">
      <formula>V26</formula>
    </cfRule>
    <cfRule type="cellIs" dxfId="20600" priority="496" operator="equal">
      <formula>0</formula>
    </cfRule>
  </conditionalFormatting>
  <conditionalFormatting sqref="V28">
    <cfRule type="cellIs" dxfId="20599" priority="493" operator="greaterThan">
      <formula>V27</formula>
    </cfRule>
    <cfRule type="cellIs" dxfId="20598" priority="494" operator="equal">
      <formula>0</formula>
    </cfRule>
  </conditionalFormatting>
  <conditionalFormatting sqref="V27">
    <cfRule type="cellIs" dxfId="20597" priority="491" operator="greaterThan">
      <formula>V26</formula>
    </cfRule>
    <cfRule type="cellIs" dxfId="20596" priority="492" operator="equal">
      <formula>0</formula>
    </cfRule>
  </conditionalFormatting>
  <conditionalFormatting sqref="V28">
    <cfRule type="cellIs" dxfId="20595" priority="489" operator="greaterThan">
      <formula>V27</formula>
    </cfRule>
    <cfRule type="cellIs" dxfId="20594" priority="490" operator="equal">
      <formula>0</formula>
    </cfRule>
  </conditionalFormatting>
  <conditionalFormatting sqref="V27">
    <cfRule type="cellIs" dxfId="20593" priority="487" operator="greaterThan">
      <formula>V26</formula>
    </cfRule>
    <cfRule type="cellIs" dxfId="20592" priority="488" operator="equal">
      <formula>0</formula>
    </cfRule>
  </conditionalFormatting>
  <conditionalFormatting sqref="V50">
    <cfRule type="cellIs" dxfId="20591" priority="485" operator="greaterThan">
      <formula>V49</formula>
    </cfRule>
    <cfRule type="cellIs" dxfId="20590" priority="486" operator="equal">
      <formula>0</formula>
    </cfRule>
  </conditionalFormatting>
  <conditionalFormatting sqref="V19">
    <cfRule type="cellIs" dxfId="20589" priority="483" operator="greaterThan">
      <formula>V18</formula>
    </cfRule>
    <cfRule type="cellIs" dxfId="20588" priority="484" operator="equal">
      <formula>0</formula>
    </cfRule>
  </conditionalFormatting>
  <conditionalFormatting sqref="V18">
    <cfRule type="cellIs" dxfId="20587" priority="481" operator="greaterThan">
      <formula>V17</formula>
    </cfRule>
    <cfRule type="cellIs" dxfId="20586" priority="482" operator="equal">
      <formula>0</formula>
    </cfRule>
  </conditionalFormatting>
  <conditionalFormatting sqref="V19">
    <cfRule type="cellIs" dxfId="20585" priority="479" operator="greaterThan">
      <formula>V18</formula>
    </cfRule>
    <cfRule type="cellIs" dxfId="20584" priority="480" operator="equal">
      <formula>0</formula>
    </cfRule>
  </conditionalFormatting>
  <conditionalFormatting sqref="V18">
    <cfRule type="cellIs" dxfId="20583" priority="477" operator="greaterThan">
      <formula>V17</formula>
    </cfRule>
    <cfRule type="cellIs" dxfId="20582" priority="478" operator="equal">
      <formula>0</formula>
    </cfRule>
  </conditionalFormatting>
  <conditionalFormatting sqref="V19">
    <cfRule type="cellIs" dxfId="20581" priority="475" operator="greaterThan">
      <formula>V18</formula>
    </cfRule>
    <cfRule type="cellIs" dxfId="20580" priority="476" operator="equal">
      <formula>0</formula>
    </cfRule>
  </conditionalFormatting>
  <conditionalFormatting sqref="V18">
    <cfRule type="cellIs" dxfId="20579" priority="473" operator="greaterThan">
      <formula>V17</formula>
    </cfRule>
    <cfRule type="cellIs" dxfId="20578" priority="474" operator="equal">
      <formula>0</formula>
    </cfRule>
  </conditionalFormatting>
  <conditionalFormatting sqref="V19">
    <cfRule type="cellIs" dxfId="20577" priority="471" operator="greaterThan">
      <formula>V18</formula>
    </cfRule>
    <cfRule type="cellIs" dxfId="20576" priority="472" operator="equal">
      <formula>0</formula>
    </cfRule>
  </conditionalFormatting>
  <conditionalFormatting sqref="V18">
    <cfRule type="cellIs" dxfId="20575" priority="469" operator="greaterThan">
      <formula>V17</formula>
    </cfRule>
    <cfRule type="cellIs" dxfId="20574" priority="470" operator="equal">
      <formula>0</formula>
    </cfRule>
  </conditionalFormatting>
  <conditionalFormatting sqref="V16">
    <cfRule type="cellIs" dxfId="20573" priority="467" operator="greaterThan">
      <formula>V15</formula>
    </cfRule>
    <cfRule type="cellIs" dxfId="20572" priority="468" operator="equal">
      <formula>0</formula>
    </cfRule>
  </conditionalFormatting>
  <conditionalFormatting sqref="V16">
    <cfRule type="cellIs" dxfId="20571" priority="465" operator="greaterThan">
      <formula>V15</formula>
    </cfRule>
    <cfRule type="cellIs" dxfId="20570" priority="466" operator="equal">
      <formula>0</formula>
    </cfRule>
  </conditionalFormatting>
  <conditionalFormatting sqref="V16">
    <cfRule type="cellIs" dxfId="20569" priority="463" operator="greaterThan">
      <formula>V15</formula>
    </cfRule>
    <cfRule type="cellIs" dxfId="20568" priority="464" operator="equal">
      <formula>0</formula>
    </cfRule>
  </conditionalFormatting>
  <conditionalFormatting sqref="V16">
    <cfRule type="cellIs" dxfId="20567" priority="461" operator="greaterThan">
      <formula>V15</formula>
    </cfRule>
    <cfRule type="cellIs" dxfId="20566" priority="462" operator="equal">
      <formula>0</formula>
    </cfRule>
  </conditionalFormatting>
  <conditionalFormatting sqref="V19">
    <cfRule type="cellIs" dxfId="20565" priority="459" operator="greaterThan">
      <formula>V18</formula>
    </cfRule>
    <cfRule type="cellIs" dxfId="20564" priority="460" operator="equal">
      <formula>0</formula>
    </cfRule>
  </conditionalFormatting>
  <conditionalFormatting sqref="V19">
    <cfRule type="cellIs" dxfId="20563" priority="457" operator="greaterThan">
      <formula>V18</formula>
    </cfRule>
    <cfRule type="cellIs" dxfId="20562" priority="458" operator="equal">
      <formula>0</formula>
    </cfRule>
  </conditionalFormatting>
  <conditionalFormatting sqref="V19">
    <cfRule type="cellIs" dxfId="20561" priority="455" operator="greaterThan">
      <formula>V18</formula>
    </cfRule>
    <cfRule type="cellIs" dxfId="20560" priority="456" operator="equal">
      <formula>0</formula>
    </cfRule>
  </conditionalFormatting>
  <conditionalFormatting sqref="V19">
    <cfRule type="cellIs" dxfId="20559" priority="453" operator="greaterThan">
      <formula>V18</formula>
    </cfRule>
    <cfRule type="cellIs" dxfId="20558" priority="454" operator="equal">
      <formula>0</formula>
    </cfRule>
  </conditionalFormatting>
  <conditionalFormatting sqref="V19">
    <cfRule type="cellIs" dxfId="20557" priority="451" operator="greaterThan">
      <formula>V18</formula>
    </cfRule>
    <cfRule type="cellIs" dxfId="20556" priority="452" operator="equal">
      <formula>0</formula>
    </cfRule>
  </conditionalFormatting>
  <conditionalFormatting sqref="V19">
    <cfRule type="cellIs" dxfId="20555" priority="449" operator="greaterThan">
      <formula>V18</formula>
    </cfRule>
    <cfRule type="cellIs" dxfId="20554" priority="450" operator="equal">
      <formula>0</formula>
    </cfRule>
  </conditionalFormatting>
  <conditionalFormatting sqref="V19">
    <cfRule type="cellIs" dxfId="20553" priority="447" operator="greaterThan">
      <formula>V18</formula>
    </cfRule>
    <cfRule type="cellIs" dxfId="20552" priority="448" operator="equal">
      <formula>0</formula>
    </cfRule>
  </conditionalFormatting>
  <conditionalFormatting sqref="V19">
    <cfRule type="cellIs" dxfId="20551" priority="445" operator="greaterThan">
      <formula>V18</formula>
    </cfRule>
    <cfRule type="cellIs" dxfId="20550" priority="446" operator="equal">
      <formula>0</formula>
    </cfRule>
  </conditionalFormatting>
  <conditionalFormatting sqref="V19">
    <cfRule type="cellIs" dxfId="20549" priority="443" operator="greaterThan">
      <formula>V18</formula>
    </cfRule>
    <cfRule type="cellIs" dxfId="20548" priority="444" operator="equal">
      <formula>0</formula>
    </cfRule>
  </conditionalFormatting>
  <conditionalFormatting sqref="V19">
    <cfRule type="cellIs" dxfId="20547" priority="441" operator="greaterThan">
      <formula>V18</formula>
    </cfRule>
    <cfRule type="cellIs" dxfId="20546" priority="442" operator="equal">
      <formula>0</formula>
    </cfRule>
  </conditionalFormatting>
  <conditionalFormatting sqref="V22">
    <cfRule type="cellIs" dxfId="20545" priority="439" operator="greaterThan">
      <formula>V21</formula>
    </cfRule>
    <cfRule type="cellIs" dxfId="20544" priority="440" operator="equal">
      <formula>0</formula>
    </cfRule>
  </conditionalFormatting>
  <conditionalFormatting sqref="V21">
    <cfRule type="cellIs" dxfId="20543" priority="437" operator="greaterThan">
      <formula>V20</formula>
    </cfRule>
    <cfRule type="cellIs" dxfId="20542" priority="438" operator="equal">
      <formula>0</formula>
    </cfRule>
  </conditionalFormatting>
  <conditionalFormatting sqref="V22">
    <cfRule type="cellIs" dxfId="20541" priority="435" operator="greaterThan">
      <formula>V21</formula>
    </cfRule>
    <cfRule type="cellIs" dxfId="20540" priority="436" operator="equal">
      <formula>0</formula>
    </cfRule>
  </conditionalFormatting>
  <conditionalFormatting sqref="V21">
    <cfRule type="cellIs" dxfId="20539" priority="433" operator="greaterThan">
      <formula>V20</formula>
    </cfRule>
    <cfRule type="cellIs" dxfId="20538" priority="434" operator="equal">
      <formula>0</formula>
    </cfRule>
  </conditionalFormatting>
  <conditionalFormatting sqref="V22">
    <cfRule type="cellIs" dxfId="20537" priority="431" operator="greaterThan">
      <formula>V21</formula>
    </cfRule>
    <cfRule type="cellIs" dxfId="20536" priority="432" operator="equal">
      <formula>0</formula>
    </cfRule>
  </conditionalFormatting>
  <conditionalFormatting sqref="V21">
    <cfRule type="cellIs" dxfId="20535" priority="429" operator="greaterThan">
      <formula>V20</formula>
    </cfRule>
    <cfRule type="cellIs" dxfId="20534" priority="430" operator="equal">
      <formula>0</formula>
    </cfRule>
  </conditionalFormatting>
  <conditionalFormatting sqref="V22">
    <cfRule type="cellIs" dxfId="20533" priority="427" operator="greaterThan">
      <formula>V21</formula>
    </cfRule>
    <cfRule type="cellIs" dxfId="20532" priority="428" operator="equal">
      <formula>0</formula>
    </cfRule>
  </conditionalFormatting>
  <conditionalFormatting sqref="V21">
    <cfRule type="cellIs" dxfId="20531" priority="425" operator="greaterThan">
      <formula>V20</formula>
    </cfRule>
    <cfRule type="cellIs" dxfId="20530" priority="426" operator="equal">
      <formula>0</formula>
    </cfRule>
  </conditionalFormatting>
  <conditionalFormatting sqref="V22">
    <cfRule type="cellIs" dxfId="20529" priority="423" operator="greaterThan">
      <formula>V21</formula>
    </cfRule>
    <cfRule type="cellIs" dxfId="20528" priority="424" operator="equal">
      <formula>0</formula>
    </cfRule>
  </conditionalFormatting>
  <conditionalFormatting sqref="V21">
    <cfRule type="cellIs" dxfId="20527" priority="421" operator="greaterThan">
      <formula>V20</formula>
    </cfRule>
    <cfRule type="cellIs" dxfId="20526" priority="422" operator="equal">
      <formula>0</formula>
    </cfRule>
  </conditionalFormatting>
  <conditionalFormatting sqref="V22">
    <cfRule type="cellIs" dxfId="20525" priority="419" operator="greaterThan">
      <formula>V21</formula>
    </cfRule>
    <cfRule type="cellIs" dxfId="20524" priority="420" operator="equal">
      <formula>0</formula>
    </cfRule>
  </conditionalFormatting>
  <conditionalFormatting sqref="V21">
    <cfRule type="cellIs" dxfId="20523" priority="417" operator="greaterThan">
      <formula>V20</formula>
    </cfRule>
    <cfRule type="cellIs" dxfId="20522" priority="418" operator="equal">
      <formula>0</formula>
    </cfRule>
  </conditionalFormatting>
  <conditionalFormatting sqref="V22">
    <cfRule type="cellIs" dxfId="20521" priority="415" operator="greaterThan">
      <formula>V21</formula>
    </cfRule>
    <cfRule type="cellIs" dxfId="20520" priority="416" operator="equal">
      <formula>0</formula>
    </cfRule>
  </conditionalFormatting>
  <conditionalFormatting sqref="V21">
    <cfRule type="cellIs" dxfId="20519" priority="413" operator="greaterThan">
      <formula>V20</formula>
    </cfRule>
    <cfRule type="cellIs" dxfId="20518" priority="414" operator="equal">
      <formula>0</formula>
    </cfRule>
  </conditionalFormatting>
  <conditionalFormatting sqref="V22">
    <cfRule type="cellIs" dxfId="20517" priority="411" operator="greaterThan">
      <formula>V21</formula>
    </cfRule>
    <cfRule type="cellIs" dxfId="20516" priority="412" operator="equal">
      <formula>0</formula>
    </cfRule>
  </conditionalFormatting>
  <conditionalFormatting sqref="V21">
    <cfRule type="cellIs" dxfId="20515" priority="409" operator="greaterThan">
      <formula>V20</formula>
    </cfRule>
    <cfRule type="cellIs" dxfId="20514" priority="410" operator="equal">
      <formula>0</formula>
    </cfRule>
  </conditionalFormatting>
  <conditionalFormatting sqref="V22">
    <cfRule type="cellIs" dxfId="20513" priority="407" operator="greaterThan">
      <formula>V21</formula>
    </cfRule>
    <cfRule type="cellIs" dxfId="20512" priority="408" operator="equal">
      <formula>0</formula>
    </cfRule>
  </conditionalFormatting>
  <conditionalFormatting sqref="V21">
    <cfRule type="cellIs" dxfId="20511" priority="405" operator="greaterThan">
      <formula>V20</formula>
    </cfRule>
    <cfRule type="cellIs" dxfId="20510" priority="406" operator="equal">
      <formula>0</formula>
    </cfRule>
  </conditionalFormatting>
  <conditionalFormatting sqref="V22">
    <cfRule type="cellIs" dxfId="20509" priority="403" operator="greaterThan">
      <formula>V21</formula>
    </cfRule>
    <cfRule type="cellIs" dxfId="20508" priority="404" operator="equal">
      <formula>0</formula>
    </cfRule>
  </conditionalFormatting>
  <conditionalFormatting sqref="V21">
    <cfRule type="cellIs" dxfId="20507" priority="401" operator="greaterThan">
      <formula>V20</formula>
    </cfRule>
    <cfRule type="cellIs" dxfId="20506" priority="402" operator="equal">
      <formula>0</formula>
    </cfRule>
  </conditionalFormatting>
  <conditionalFormatting sqref="V22">
    <cfRule type="cellIs" dxfId="20505" priority="399" operator="greaterThan">
      <formula>V21</formula>
    </cfRule>
    <cfRule type="cellIs" dxfId="20504" priority="400" operator="equal">
      <formula>0</formula>
    </cfRule>
  </conditionalFormatting>
  <conditionalFormatting sqref="V22">
    <cfRule type="cellIs" dxfId="20503" priority="397" operator="greaterThan">
      <formula>V21</formula>
    </cfRule>
    <cfRule type="cellIs" dxfId="20502" priority="398" operator="equal">
      <formula>0</formula>
    </cfRule>
  </conditionalFormatting>
  <conditionalFormatting sqref="V22">
    <cfRule type="cellIs" dxfId="20501" priority="395" operator="greaterThan">
      <formula>V21</formula>
    </cfRule>
    <cfRule type="cellIs" dxfId="20500" priority="396" operator="equal">
      <formula>0</formula>
    </cfRule>
  </conditionalFormatting>
  <conditionalFormatting sqref="V22">
    <cfRule type="cellIs" dxfId="20499" priority="393" operator="greaterThan">
      <formula>V21</formula>
    </cfRule>
    <cfRule type="cellIs" dxfId="20498" priority="394" operator="equal">
      <formula>0</formula>
    </cfRule>
  </conditionalFormatting>
  <conditionalFormatting sqref="V22">
    <cfRule type="cellIs" dxfId="20497" priority="391" operator="greaterThan">
      <formula>V21</formula>
    </cfRule>
    <cfRule type="cellIs" dxfId="20496" priority="392" operator="equal">
      <formula>0</formula>
    </cfRule>
  </conditionalFormatting>
  <conditionalFormatting sqref="V22">
    <cfRule type="cellIs" dxfId="20495" priority="389" operator="greaterThan">
      <formula>V21</formula>
    </cfRule>
    <cfRule type="cellIs" dxfId="20494" priority="390" operator="equal">
      <formula>0</formula>
    </cfRule>
  </conditionalFormatting>
  <conditionalFormatting sqref="V22">
    <cfRule type="cellIs" dxfId="20493" priority="387" operator="greaterThan">
      <formula>V21</formula>
    </cfRule>
    <cfRule type="cellIs" dxfId="20492" priority="388" operator="equal">
      <formula>0</formula>
    </cfRule>
  </conditionalFormatting>
  <conditionalFormatting sqref="V22">
    <cfRule type="cellIs" dxfId="20491" priority="385" operator="greaterThan">
      <formula>V21</formula>
    </cfRule>
    <cfRule type="cellIs" dxfId="20490" priority="386" operator="equal">
      <formula>0</formula>
    </cfRule>
  </conditionalFormatting>
  <conditionalFormatting sqref="V22">
    <cfRule type="cellIs" dxfId="20489" priority="383" operator="greaterThan">
      <formula>V21</formula>
    </cfRule>
    <cfRule type="cellIs" dxfId="20488" priority="384" operator="equal">
      <formula>0</formula>
    </cfRule>
  </conditionalFormatting>
  <conditionalFormatting sqref="V22">
    <cfRule type="cellIs" dxfId="20487" priority="381" operator="greaterThan">
      <formula>V21</formula>
    </cfRule>
    <cfRule type="cellIs" dxfId="20486" priority="382" operator="equal">
      <formula>0</formula>
    </cfRule>
  </conditionalFormatting>
  <conditionalFormatting sqref="V22">
    <cfRule type="cellIs" dxfId="20485" priority="379" operator="greaterThan">
      <formula>V21</formula>
    </cfRule>
    <cfRule type="cellIs" dxfId="20484" priority="380" operator="equal">
      <formula>0</formula>
    </cfRule>
  </conditionalFormatting>
  <conditionalFormatting sqref="V22">
    <cfRule type="cellIs" dxfId="20483" priority="377" operator="greaterThan">
      <formula>V21</formula>
    </cfRule>
    <cfRule type="cellIs" dxfId="20482" priority="378" operator="equal">
      <formula>0</formula>
    </cfRule>
  </conditionalFormatting>
  <conditionalFormatting sqref="V22">
    <cfRule type="cellIs" dxfId="20481" priority="375" operator="greaterThan">
      <formula>V21</formula>
    </cfRule>
    <cfRule type="cellIs" dxfId="20480" priority="376" operator="equal">
      <formula>0</formula>
    </cfRule>
  </conditionalFormatting>
  <conditionalFormatting sqref="V22">
    <cfRule type="cellIs" dxfId="20479" priority="373" operator="greaterThan">
      <formula>V21</formula>
    </cfRule>
    <cfRule type="cellIs" dxfId="20478" priority="374" operator="equal">
      <formula>0</formula>
    </cfRule>
  </conditionalFormatting>
  <conditionalFormatting sqref="V22">
    <cfRule type="cellIs" dxfId="20477" priority="371" operator="greaterThan">
      <formula>V21</formula>
    </cfRule>
    <cfRule type="cellIs" dxfId="20476" priority="372" operator="equal">
      <formula>0</formula>
    </cfRule>
  </conditionalFormatting>
  <conditionalFormatting sqref="V22">
    <cfRule type="cellIs" dxfId="20475" priority="369" operator="greaterThan">
      <formula>V21</formula>
    </cfRule>
    <cfRule type="cellIs" dxfId="20474" priority="370" operator="equal">
      <formula>0</formula>
    </cfRule>
  </conditionalFormatting>
  <conditionalFormatting sqref="V22">
    <cfRule type="cellIs" dxfId="20473" priority="367" operator="greaterThan">
      <formula>V21</formula>
    </cfRule>
    <cfRule type="cellIs" dxfId="20472" priority="368" operator="equal">
      <formula>0</formula>
    </cfRule>
  </conditionalFormatting>
  <conditionalFormatting sqref="V22">
    <cfRule type="cellIs" dxfId="20471" priority="365" operator="greaterThan">
      <formula>V21</formula>
    </cfRule>
    <cfRule type="cellIs" dxfId="20470" priority="366" operator="equal">
      <formula>0</formula>
    </cfRule>
  </conditionalFormatting>
  <conditionalFormatting sqref="V22">
    <cfRule type="cellIs" dxfId="20469" priority="363" operator="greaterThan">
      <formula>V21</formula>
    </cfRule>
    <cfRule type="cellIs" dxfId="20468" priority="364" operator="equal">
      <formula>0</formula>
    </cfRule>
  </conditionalFormatting>
  <conditionalFormatting sqref="V22">
    <cfRule type="cellIs" dxfId="20467" priority="361" operator="greaterThan">
      <formula>V21</formula>
    </cfRule>
    <cfRule type="cellIs" dxfId="20466" priority="362" operator="equal">
      <formula>0</formula>
    </cfRule>
  </conditionalFormatting>
  <conditionalFormatting sqref="V22">
    <cfRule type="cellIs" dxfId="20465" priority="359" operator="greaterThan">
      <formula>V21</formula>
    </cfRule>
    <cfRule type="cellIs" dxfId="20464" priority="360" operator="equal">
      <formula>0</formula>
    </cfRule>
  </conditionalFormatting>
  <conditionalFormatting sqref="V22">
    <cfRule type="cellIs" dxfId="20463" priority="357" operator="greaterThan">
      <formula>V21</formula>
    </cfRule>
    <cfRule type="cellIs" dxfId="20462" priority="358" operator="equal">
      <formula>0</formula>
    </cfRule>
  </conditionalFormatting>
  <conditionalFormatting sqref="V22">
    <cfRule type="cellIs" dxfId="20461" priority="355" operator="greaterThan">
      <formula>V21</formula>
    </cfRule>
    <cfRule type="cellIs" dxfId="20460" priority="356" operator="equal">
      <formula>0</formula>
    </cfRule>
  </conditionalFormatting>
  <conditionalFormatting sqref="V22">
    <cfRule type="cellIs" dxfId="20459" priority="353" operator="greaterThan">
      <formula>V21</formula>
    </cfRule>
    <cfRule type="cellIs" dxfId="20458" priority="354" operator="equal">
      <formula>0</formula>
    </cfRule>
  </conditionalFormatting>
  <conditionalFormatting sqref="V22">
    <cfRule type="cellIs" dxfId="20457" priority="351" operator="greaterThan">
      <formula>V21</formula>
    </cfRule>
    <cfRule type="cellIs" dxfId="20456" priority="352" operator="equal">
      <formula>0</formula>
    </cfRule>
  </conditionalFormatting>
  <conditionalFormatting sqref="V22">
    <cfRule type="cellIs" dxfId="20455" priority="349" operator="greaterThan">
      <formula>V21</formula>
    </cfRule>
    <cfRule type="cellIs" dxfId="20454" priority="350" operator="equal">
      <formula>0</formula>
    </cfRule>
  </conditionalFormatting>
  <conditionalFormatting sqref="V22">
    <cfRule type="cellIs" dxfId="20453" priority="347" operator="greaterThan">
      <formula>V21</formula>
    </cfRule>
    <cfRule type="cellIs" dxfId="20452" priority="348" operator="equal">
      <formula>0</formula>
    </cfRule>
  </conditionalFormatting>
  <conditionalFormatting sqref="V22">
    <cfRule type="cellIs" dxfId="20451" priority="345" operator="greaterThan">
      <formula>V21</formula>
    </cfRule>
    <cfRule type="cellIs" dxfId="20450" priority="346" operator="equal">
      <formula>0</formula>
    </cfRule>
  </conditionalFormatting>
  <conditionalFormatting sqref="V24">
    <cfRule type="cellIs" dxfId="20449" priority="343" operator="greaterThan">
      <formula>V23</formula>
    </cfRule>
    <cfRule type="cellIs" dxfId="20448" priority="344" operator="equal">
      <formula>0</formula>
    </cfRule>
  </conditionalFormatting>
  <conditionalFormatting sqref="V24">
    <cfRule type="cellIs" dxfId="20447" priority="341" operator="greaterThan">
      <formula>V23</formula>
    </cfRule>
    <cfRule type="cellIs" dxfId="20446" priority="342" operator="equal">
      <formula>0</formula>
    </cfRule>
  </conditionalFormatting>
  <conditionalFormatting sqref="V24">
    <cfRule type="cellIs" dxfId="20445" priority="339" operator="greaterThan">
      <formula>V23</formula>
    </cfRule>
    <cfRule type="cellIs" dxfId="20444" priority="340" operator="equal">
      <formula>0</formula>
    </cfRule>
  </conditionalFormatting>
  <conditionalFormatting sqref="V24">
    <cfRule type="cellIs" dxfId="20443" priority="337" operator="greaterThan">
      <formula>V23</formula>
    </cfRule>
    <cfRule type="cellIs" dxfId="20442" priority="338" operator="equal">
      <formula>0</formula>
    </cfRule>
  </conditionalFormatting>
  <conditionalFormatting sqref="V24">
    <cfRule type="cellIs" dxfId="20441" priority="335" operator="greaterThan">
      <formula>V23</formula>
    </cfRule>
    <cfRule type="cellIs" dxfId="20440" priority="336" operator="equal">
      <formula>0</formula>
    </cfRule>
  </conditionalFormatting>
  <conditionalFormatting sqref="V24">
    <cfRule type="cellIs" dxfId="20439" priority="333" operator="greaterThan">
      <formula>V23</formula>
    </cfRule>
    <cfRule type="cellIs" dxfId="20438" priority="334" operator="equal">
      <formula>0</formula>
    </cfRule>
  </conditionalFormatting>
  <conditionalFormatting sqref="V24">
    <cfRule type="cellIs" dxfId="20437" priority="331" operator="greaterThan">
      <formula>V23</formula>
    </cfRule>
    <cfRule type="cellIs" dxfId="20436" priority="332" operator="equal">
      <formula>0</formula>
    </cfRule>
  </conditionalFormatting>
  <conditionalFormatting sqref="V24">
    <cfRule type="cellIs" dxfId="20435" priority="329" operator="greaterThan">
      <formula>V23</formula>
    </cfRule>
    <cfRule type="cellIs" dxfId="20434" priority="330" operator="equal">
      <formula>0</formula>
    </cfRule>
  </conditionalFormatting>
  <conditionalFormatting sqref="V24">
    <cfRule type="cellIs" dxfId="20433" priority="327" operator="greaterThan">
      <formula>V23</formula>
    </cfRule>
    <cfRule type="cellIs" dxfId="20432" priority="328" operator="equal">
      <formula>0</formula>
    </cfRule>
  </conditionalFormatting>
  <conditionalFormatting sqref="V24">
    <cfRule type="cellIs" dxfId="20431" priority="325" operator="greaterThan">
      <formula>V23</formula>
    </cfRule>
    <cfRule type="cellIs" dxfId="20430" priority="326" operator="equal">
      <formula>0</formula>
    </cfRule>
  </conditionalFormatting>
  <conditionalFormatting sqref="V24">
    <cfRule type="cellIs" dxfId="20429" priority="323" operator="greaterThan">
      <formula>V23</formula>
    </cfRule>
    <cfRule type="cellIs" dxfId="20428" priority="324" operator="equal">
      <formula>0</formula>
    </cfRule>
  </conditionalFormatting>
  <conditionalFormatting sqref="V24">
    <cfRule type="cellIs" dxfId="20427" priority="321" operator="greaterThan">
      <formula>V23</formula>
    </cfRule>
    <cfRule type="cellIs" dxfId="20426" priority="322" operator="equal">
      <formula>0</formula>
    </cfRule>
  </conditionalFormatting>
  <conditionalFormatting sqref="V24">
    <cfRule type="cellIs" dxfId="20425" priority="319" operator="greaterThan">
      <formula>V23</formula>
    </cfRule>
    <cfRule type="cellIs" dxfId="20424" priority="320" operator="equal">
      <formula>0</formula>
    </cfRule>
  </conditionalFormatting>
  <conditionalFormatting sqref="V24">
    <cfRule type="cellIs" dxfId="20423" priority="317" operator="greaterThan">
      <formula>V23</formula>
    </cfRule>
    <cfRule type="cellIs" dxfId="20422" priority="318" operator="equal">
      <formula>0</formula>
    </cfRule>
  </conditionalFormatting>
  <conditionalFormatting sqref="V24">
    <cfRule type="cellIs" dxfId="20421" priority="315" operator="greaterThan">
      <formula>V23</formula>
    </cfRule>
    <cfRule type="cellIs" dxfId="20420" priority="316" operator="equal">
      <formula>0</formula>
    </cfRule>
  </conditionalFormatting>
  <conditionalFormatting sqref="V24">
    <cfRule type="cellIs" dxfId="20419" priority="313" operator="greaterThan">
      <formula>V23</formula>
    </cfRule>
    <cfRule type="cellIs" dxfId="20418" priority="314" operator="equal">
      <formula>0</formula>
    </cfRule>
  </conditionalFormatting>
  <conditionalFormatting sqref="V24">
    <cfRule type="cellIs" dxfId="20417" priority="311" operator="greaterThan">
      <formula>V23</formula>
    </cfRule>
    <cfRule type="cellIs" dxfId="20416" priority="312" operator="equal">
      <formula>0</formula>
    </cfRule>
  </conditionalFormatting>
  <conditionalFormatting sqref="V24">
    <cfRule type="cellIs" dxfId="20415" priority="309" operator="greaterThan">
      <formula>V23</formula>
    </cfRule>
    <cfRule type="cellIs" dxfId="20414" priority="310" operator="equal">
      <formula>0</formula>
    </cfRule>
  </conditionalFormatting>
  <conditionalFormatting sqref="V25">
    <cfRule type="cellIs" dxfId="20413" priority="307" operator="greaterThan">
      <formula>V24</formula>
    </cfRule>
    <cfRule type="cellIs" dxfId="20412" priority="308" operator="equal">
      <formula>0</formula>
    </cfRule>
  </conditionalFormatting>
  <conditionalFormatting sqref="V25">
    <cfRule type="cellIs" dxfId="20411" priority="305" operator="greaterThan">
      <formula>V24</formula>
    </cfRule>
    <cfRule type="cellIs" dxfId="20410" priority="306" operator="equal">
      <formula>0</formula>
    </cfRule>
  </conditionalFormatting>
  <conditionalFormatting sqref="V25">
    <cfRule type="cellIs" dxfId="20409" priority="303" operator="greaterThan">
      <formula>V24</formula>
    </cfRule>
    <cfRule type="cellIs" dxfId="20408" priority="304" operator="equal">
      <formula>0</formula>
    </cfRule>
  </conditionalFormatting>
  <conditionalFormatting sqref="V25">
    <cfRule type="cellIs" dxfId="20407" priority="301" operator="greaterThan">
      <formula>V24</formula>
    </cfRule>
    <cfRule type="cellIs" dxfId="20406" priority="302" operator="equal">
      <formula>0</formula>
    </cfRule>
  </conditionalFormatting>
  <conditionalFormatting sqref="V25">
    <cfRule type="cellIs" dxfId="20405" priority="299" operator="greaterThan">
      <formula>V24</formula>
    </cfRule>
    <cfRule type="cellIs" dxfId="20404" priority="300" operator="equal">
      <formula>0</formula>
    </cfRule>
  </conditionalFormatting>
  <conditionalFormatting sqref="V25">
    <cfRule type="cellIs" dxfId="20403" priority="297" operator="greaterThan">
      <formula>V24</formula>
    </cfRule>
    <cfRule type="cellIs" dxfId="20402" priority="298" operator="equal">
      <formula>0</formula>
    </cfRule>
  </conditionalFormatting>
  <conditionalFormatting sqref="V25">
    <cfRule type="cellIs" dxfId="20401" priority="295" operator="greaterThan">
      <formula>V24</formula>
    </cfRule>
    <cfRule type="cellIs" dxfId="20400" priority="296" operator="equal">
      <formula>0</formula>
    </cfRule>
  </conditionalFormatting>
  <conditionalFormatting sqref="V25">
    <cfRule type="cellIs" dxfId="20399" priority="293" operator="greaterThan">
      <formula>V24</formula>
    </cfRule>
    <cfRule type="cellIs" dxfId="20398" priority="294" operator="equal">
      <formula>0</formula>
    </cfRule>
  </conditionalFormatting>
  <conditionalFormatting sqref="V25">
    <cfRule type="cellIs" dxfId="20397" priority="291" operator="greaterThan">
      <formula>V24</formula>
    </cfRule>
    <cfRule type="cellIs" dxfId="20396" priority="292" operator="equal">
      <formula>0</formula>
    </cfRule>
  </conditionalFormatting>
  <conditionalFormatting sqref="V25">
    <cfRule type="cellIs" dxfId="20395" priority="289" operator="greaterThan">
      <formula>V24</formula>
    </cfRule>
    <cfRule type="cellIs" dxfId="20394" priority="290" operator="equal">
      <formula>0</formula>
    </cfRule>
  </conditionalFormatting>
  <conditionalFormatting sqref="V25">
    <cfRule type="cellIs" dxfId="20393" priority="287" operator="greaterThan">
      <formula>V24</formula>
    </cfRule>
    <cfRule type="cellIs" dxfId="20392" priority="288" operator="equal">
      <formula>0</formula>
    </cfRule>
  </conditionalFormatting>
  <conditionalFormatting sqref="V25">
    <cfRule type="cellIs" dxfId="20391" priority="285" operator="greaterThan">
      <formula>V24</formula>
    </cfRule>
    <cfRule type="cellIs" dxfId="20390" priority="286" operator="equal">
      <formula>0</formula>
    </cfRule>
  </conditionalFormatting>
  <conditionalFormatting sqref="V25">
    <cfRule type="cellIs" dxfId="20389" priority="283" operator="greaterThan">
      <formula>V24</formula>
    </cfRule>
    <cfRule type="cellIs" dxfId="20388" priority="284" operator="equal">
      <formula>0</formula>
    </cfRule>
  </conditionalFormatting>
  <conditionalFormatting sqref="V25">
    <cfRule type="cellIs" dxfId="20387" priority="281" operator="greaterThan">
      <formula>V24</formula>
    </cfRule>
    <cfRule type="cellIs" dxfId="20386" priority="282" operator="equal">
      <formula>0</formula>
    </cfRule>
  </conditionalFormatting>
  <conditionalFormatting sqref="V25">
    <cfRule type="cellIs" dxfId="20385" priority="279" operator="greaterThan">
      <formula>V24</formula>
    </cfRule>
    <cfRule type="cellIs" dxfId="20384" priority="280" operator="equal">
      <formula>0</formula>
    </cfRule>
  </conditionalFormatting>
  <conditionalFormatting sqref="V25">
    <cfRule type="cellIs" dxfId="20383" priority="277" operator="greaterThan">
      <formula>V24</formula>
    </cfRule>
    <cfRule type="cellIs" dxfId="20382" priority="278" operator="equal">
      <formula>0</formula>
    </cfRule>
  </conditionalFormatting>
  <conditionalFormatting sqref="V25">
    <cfRule type="cellIs" dxfId="20381" priority="275" operator="greaterThan">
      <formula>V24</formula>
    </cfRule>
    <cfRule type="cellIs" dxfId="20380" priority="276" operator="equal">
      <formula>0</formula>
    </cfRule>
  </conditionalFormatting>
  <conditionalFormatting sqref="V25">
    <cfRule type="cellIs" dxfId="20379" priority="273" operator="greaterThan">
      <formula>V24</formula>
    </cfRule>
    <cfRule type="cellIs" dxfId="20378" priority="274" operator="equal">
      <formula>0</formula>
    </cfRule>
  </conditionalFormatting>
  <conditionalFormatting sqref="V25">
    <cfRule type="cellIs" dxfId="20377" priority="271" operator="greaterThan">
      <formula>V24</formula>
    </cfRule>
    <cfRule type="cellIs" dxfId="20376" priority="272" operator="equal">
      <formula>0</formula>
    </cfRule>
  </conditionalFormatting>
  <conditionalFormatting sqref="V25">
    <cfRule type="cellIs" dxfId="20375" priority="269" operator="greaterThan">
      <formula>V24</formula>
    </cfRule>
    <cfRule type="cellIs" dxfId="20374" priority="270" operator="equal">
      <formula>0</formula>
    </cfRule>
  </conditionalFormatting>
  <conditionalFormatting sqref="V25">
    <cfRule type="cellIs" dxfId="20373" priority="267" operator="greaterThan">
      <formula>V24</formula>
    </cfRule>
    <cfRule type="cellIs" dxfId="20372" priority="268" operator="equal">
      <formula>0</formula>
    </cfRule>
  </conditionalFormatting>
  <conditionalFormatting sqref="V25">
    <cfRule type="cellIs" dxfId="20371" priority="265" operator="greaterThan">
      <formula>V24</formula>
    </cfRule>
    <cfRule type="cellIs" dxfId="20370" priority="266" operator="equal">
      <formula>0</formula>
    </cfRule>
  </conditionalFormatting>
  <conditionalFormatting sqref="V25">
    <cfRule type="cellIs" dxfId="20369" priority="263" operator="greaterThan">
      <formula>V24</formula>
    </cfRule>
    <cfRule type="cellIs" dxfId="20368" priority="264" operator="equal">
      <formula>0</formula>
    </cfRule>
  </conditionalFormatting>
  <conditionalFormatting sqref="V25">
    <cfRule type="cellIs" dxfId="20367" priority="261" operator="greaterThan">
      <formula>V24</formula>
    </cfRule>
    <cfRule type="cellIs" dxfId="20366" priority="262" operator="equal">
      <formula>0</formula>
    </cfRule>
  </conditionalFormatting>
  <conditionalFormatting sqref="V25">
    <cfRule type="cellIs" dxfId="20365" priority="259" operator="greaterThan">
      <formula>V24</formula>
    </cfRule>
    <cfRule type="cellIs" dxfId="20364" priority="260" operator="equal">
      <formula>0</formula>
    </cfRule>
  </conditionalFormatting>
  <conditionalFormatting sqref="V25">
    <cfRule type="cellIs" dxfId="20363" priority="257" operator="greaterThan">
      <formula>V24</formula>
    </cfRule>
    <cfRule type="cellIs" dxfId="20362" priority="258" operator="equal">
      <formula>0</formula>
    </cfRule>
  </conditionalFormatting>
  <conditionalFormatting sqref="V25">
    <cfRule type="cellIs" dxfId="20361" priority="255" operator="greaterThan">
      <formula>V24</formula>
    </cfRule>
    <cfRule type="cellIs" dxfId="20360" priority="256" operator="equal">
      <formula>0</formula>
    </cfRule>
  </conditionalFormatting>
  <conditionalFormatting sqref="V25">
    <cfRule type="cellIs" dxfId="20359" priority="253" operator="greaterThan">
      <formula>V24</formula>
    </cfRule>
    <cfRule type="cellIs" dxfId="20358" priority="254" operator="equal">
      <formula>0</formula>
    </cfRule>
  </conditionalFormatting>
  <conditionalFormatting sqref="V27">
    <cfRule type="cellIs" dxfId="20357" priority="251" operator="greaterThan">
      <formula>V26</formula>
    </cfRule>
    <cfRule type="cellIs" dxfId="20356" priority="252" operator="equal">
      <formula>0</formula>
    </cfRule>
  </conditionalFormatting>
  <conditionalFormatting sqref="V27">
    <cfRule type="cellIs" dxfId="20355" priority="249" operator="greaterThan">
      <formula>V26</formula>
    </cfRule>
    <cfRule type="cellIs" dxfId="20354" priority="250" operator="equal">
      <formula>0</formula>
    </cfRule>
  </conditionalFormatting>
  <conditionalFormatting sqref="V27">
    <cfRule type="cellIs" dxfId="20353" priority="247" operator="greaterThan">
      <formula>V26</formula>
    </cfRule>
    <cfRule type="cellIs" dxfId="20352" priority="248" operator="equal">
      <formula>0</formula>
    </cfRule>
  </conditionalFormatting>
  <conditionalFormatting sqref="V27">
    <cfRule type="cellIs" dxfId="20351" priority="245" operator="greaterThan">
      <formula>V26</formula>
    </cfRule>
    <cfRule type="cellIs" dxfId="20350" priority="246" operator="equal">
      <formula>0</formula>
    </cfRule>
  </conditionalFormatting>
  <conditionalFormatting sqref="V27">
    <cfRule type="cellIs" dxfId="20349" priority="243" operator="greaterThan">
      <formula>V26</formula>
    </cfRule>
    <cfRule type="cellIs" dxfId="20348" priority="244" operator="equal">
      <formula>0</formula>
    </cfRule>
  </conditionalFormatting>
  <conditionalFormatting sqref="V27">
    <cfRule type="cellIs" dxfId="20347" priority="241" operator="greaterThan">
      <formula>V26</formula>
    </cfRule>
    <cfRule type="cellIs" dxfId="20346" priority="242" operator="equal">
      <formula>0</formula>
    </cfRule>
  </conditionalFormatting>
  <conditionalFormatting sqref="V27">
    <cfRule type="cellIs" dxfId="20345" priority="239" operator="greaterThan">
      <formula>V26</formula>
    </cfRule>
    <cfRule type="cellIs" dxfId="20344" priority="240" operator="equal">
      <formula>0</formula>
    </cfRule>
  </conditionalFormatting>
  <conditionalFormatting sqref="V27">
    <cfRule type="cellIs" dxfId="20343" priority="237" operator="greaterThan">
      <formula>V26</formula>
    </cfRule>
    <cfRule type="cellIs" dxfId="20342" priority="238" operator="equal">
      <formula>0</formula>
    </cfRule>
  </conditionalFormatting>
  <conditionalFormatting sqref="V27">
    <cfRule type="cellIs" dxfId="20341" priority="235" operator="greaterThan">
      <formula>V26</formula>
    </cfRule>
    <cfRule type="cellIs" dxfId="20340" priority="236" operator="equal">
      <formula>0</formula>
    </cfRule>
  </conditionalFormatting>
  <conditionalFormatting sqref="V27">
    <cfRule type="cellIs" dxfId="20339" priority="233" operator="greaterThan">
      <formula>V26</formula>
    </cfRule>
    <cfRule type="cellIs" dxfId="20338" priority="234" operator="equal">
      <formula>0</formula>
    </cfRule>
  </conditionalFormatting>
  <conditionalFormatting sqref="V27">
    <cfRule type="cellIs" dxfId="20337" priority="231" operator="greaterThan">
      <formula>V26</formula>
    </cfRule>
    <cfRule type="cellIs" dxfId="20336" priority="232" operator="equal">
      <formula>0</formula>
    </cfRule>
  </conditionalFormatting>
  <conditionalFormatting sqref="V27">
    <cfRule type="cellIs" dxfId="20335" priority="229" operator="greaterThan">
      <formula>V26</formula>
    </cfRule>
    <cfRule type="cellIs" dxfId="20334" priority="230" operator="equal">
      <formula>0</formula>
    </cfRule>
  </conditionalFormatting>
  <conditionalFormatting sqref="V27">
    <cfRule type="cellIs" dxfId="20333" priority="227" operator="greaterThan">
      <formula>V26</formula>
    </cfRule>
    <cfRule type="cellIs" dxfId="20332" priority="228" operator="equal">
      <formula>0</formula>
    </cfRule>
  </conditionalFormatting>
  <conditionalFormatting sqref="V27">
    <cfRule type="cellIs" dxfId="20331" priority="225" operator="greaterThan">
      <formula>V26</formula>
    </cfRule>
    <cfRule type="cellIs" dxfId="20330" priority="226" operator="equal">
      <formula>0</formula>
    </cfRule>
  </conditionalFormatting>
  <conditionalFormatting sqref="V27">
    <cfRule type="cellIs" dxfId="20329" priority="223" operator="greaterThan">
      <formula>V26</formula>
    </cfRule>
    <cfRule type="cellIs" dxfId="20328" priority="224" operator="equal">
      <formula>0</formula>
    </cfRule>
  </conditionalFormatting>
  <conditionalFormatting sqref="V27">
    <cfRule type="cellIs" dxfId="20327" priority="221" operator="greaterThan">
      <formula>V26</formula>
    </cfRule>
    <cfRule type="cellIs" dxfId="20326" priority="222" operator="equal">
      <formula>0</formula>
    </cfRule>
  </conditionalFormatting>
  <conditionalFormatting sqref="V27">
    <cfRule type="cellIs" dxfId="20325" priority="219" operator="greaterThan">
      <formula>V26</formula>
    </cfRule>
    <cfRule type="cellIs" dxfId="20324" priority="220" operator="equal">
      <formula>0</formula>
    </cfRule>
  </conditionalFormatting>
  <conditionalFormatting sqref="V27">
    <cfRule type="cellIs" dxfId="20323" priority="217" operator="greaterThan">
      <formula>V26</formula>
    </cfRule>
    <cfRule type="cellIs" dxfId="20322" priority="218" operator="equal">
      <formula>0</formula>
    </cfRule>
  </conditionalFormatting>
  <conditionalFormatting sqref="V27">
    <cfRule type="cellIs" dxfId="20321" priority="215" operator="greaterThan">
      <formula>V26</formula>
    </cfRule>
    <cfRule type="cellIs" dxfId="20320" priority="216" operator="equal">
      <formula>0</formula>
    </cfRule>
  </conditionalFormatting>
  <conditionalFormatting sqref="V27">
    <cfRule type="cellIs" dxfId="20319" priority="213" operator="greaterThan">
      <formula>V26</formula>
    </cfRule>
    <cfRule type="cellIs" dxfId="20318" priority="214" operator="equal">
      <formula>0</formula>
    </cfRule>
  </conditionalFormatting>
  <conditionalFormatting sqref="V27">
    <cfRule type="cellIs" dxfId="20317" priority="211" operator="greaterThan">
      <formula>V26</formula>
    </cfRule>
    <cfRule type="cellIs" dxfId="20316" priority="212" operator="equal">
      <formula>0</formula>
    </cfRule>
  </conditionalFormatting>
  <conditionalFormatting sqref="V27">
    <cfRule type="cellIs" dxfId="20315" priority="209" operator="greaterThan">
      <formula>V26</formula>
    </cfRule>
    <cfRule type="cellIs" dxfId="20314" priority="210" operator="equal">
      <formula>0</formula>
    </cfRule>
  </conditionalFormatting>
  <conditionalFormatting sqref="V27">
    <cfRule type="cellIs" dxfId="20313" priority="207" operator="greaterThan">
      <formula>V26</formula>
    </cfRule>
    <cfRule type="cellIs" dxfId="20312" priority="208" operator="equal">
      <formula>0</formula>
    </cfRule>
  </conditionalFormatting>
  <conditionalFormatting sqref="V27">
    <cfRule type="cellIs" dxfId="20311" priority="205" operator="greaterThan">
      <formula>V26</formula>
    </cfRule>
    <cfRule type="cellIs" dxfId="20310" priority="206" operator="equal">
      <formula>0</formula>
    </cfRule>
  </conditionalFormatting>
  <conditionalFormatting sqref="V27">
    <cfRule type="cellIs" dxfId="20309" priority="203" operator="greaterThan">
      <formula>V26</formula>
    </cfRule>
    <cfRule type="cellIs" dxfId="20308" priority="204" operator="equal">
      <formula>0</formula>
    </cfRule>
  </conditionalFormatting>
  <conditionalFormatting sqref="V27">
    <cfRule type="cellIs" dxfId="20307" priority="201" operator="greaterThan">
      <formula>V26</formula>
    </cfRule>
    <cfRule type="cellIs" dxfId="20306" priority="202" operator="equal">
      <formula>0</formula>
    </cfRule>
  </conditionalFormatting>
  <conditionalFormatting sqref="V27">
    <cfRule type="cellIs" dxfId="20305" priority="199" operator="greaterThan">
      <formula>V26</formula>
    </cfRule>
    <cfRule type="cellIs" dxfId="20304" priority="200" operator="equal">
      <formula>0</formula>
    </cfRule>
  </conditionalFormatting>
  <conditionalFormatting sqref="V27">
    <cfRule type="cellIs" dxfId="20303" priority="197" operator="greaterThan">
      <formula>V26</formula>
    </cfRule>
    <cfRule type="cellIs" dxfId="20302" priority="198" operator="equal">
      <formula>0</formula>
    </cfRule>
  </conditionalFormatting>
  <conditionalFormatting sqref="V27">
    <cfRule type="cellIs" dxfId="20301" priority="195" operator="greaterThan">
      <formula>V26</formula>
    </cfRule>
    <cfRule type="cellIs" dxfId="20300" priority="196" operator="equal">
      <formula>0</formula>
    </cfRule>
  </conditionalFormatting>
  <conditionalFormatting sqref="V28">
    <cfRule type="cellIs" dxfId="20299" priority="193" operator="greaterThan">
      <formula>V27</formula>
    </cfRule>
    <cfRule type="cellIs" dxfId="20298" priority="194" operator="equal">
      <formula>0</formula>
    </cfRule>
  </conditionalFormatting>
  <conditionalFormatting sqref="V28">
    <cfRule type="cellIs" dxfId="20297" priority="191" operator="greaterThan">
      <formula>V27</formula>
    </cfRule>
    <cfRule type="cellIs" dxfId="20296" priority="192" operator="equal">
      <formula>0</formula>
    </cfRule>
  </conditionalFormatting>
  <conditionalFormatting sqref="V28">
    <cfRule type="cellIs" dxfId="20295" priority="189" operator="greaterThan">
      <formula>V27</formula>
    </cfRule>
    <cfRule type="cellIs" dxfId="20294" priority="190" operator="equal">
      <formula>0</formula>
    </cfRule>
  </conditionalFormatting>
  <conditionalFormatting sqref="V28">
    <cfRule type="cellIs" dxfId="20293" priority="187" operator="greaterThan">
      <formula>V27</formula>
    </cfRule>
    <cfRule type="cellIs" dxfId="20292" priority="188" operator="equal">
      <formula>0</formula>
    </cfRule>
  </conditionalFormatting>
  <conditionalFormatting sqref="V28">
    <cfRule type="cellIs" dxfId="20291" priority="185" operator="greaterThan">
      <formula>V27</formula>
    </cfRule>
    <cfRule type="cellIs" dxfId="20290" priority="186" operator="equal">
      <formula>0</formula>
    </cfRule>
  </conditionalFormatting>
  <conditionalFormatting sqref="V28">
    <cfRule type="cellIs" dxfId="20289" priority="183" operator="greaterThan">
      <formula>V27</formula>
    </cfRule>
    <cfRule type="cellIs" dxfId="20288" priority="184" operator="equal">
      <formula>0</formula>
    </cfRule>
  </conditionalFormatting>
  <conditionalFormatting sqref="V28">
    <cfRule type="cellIs" dxfId="20287" priority="181" operator="greaterThan">
      <formula>V27</formula>
    </cfRule>
    <cfRule type="cellIs" dxfId="20286" priority="182" operator="equal">
      <formula>0</formula>
    </cfRule>
  </conditionalFormatting>
  <conditionalFormatting sqref="V28">
    <cfRule type="cellIs" dxfId="20285" priority="179" operator="greaterThan">
      <formula>V27</formula>
    </cfRule>
    <cfRule type="cellIs" dxfId="20284" priority="180" operator="equal">
      <formula>0</formula>
    </cfRule>
  </conditionalFormatting>
  <conditionalFormatting sqref="V28">
    <cfRule type="cellIs" dxfId="20283" priority="177" operator="greaterThan">
      <formula>V27</formula>
    </cfRule>
    <cfRule type="cellIs" dxfId="20282" priority="178" operator="equal">
      <formula>0</formula>
    </cfRule>
  </conditionalFormatting>
  <conditionalFormatting sqref="V28">
    <cfRule type="cellIs" dxfId="20281" priority="175" operator="greaterThan">
      <formula>V27</formula>
    </cfRule>
    <cfRule type="cellIs" dxfId="20280" priority="176" operator="equal">
      <formula>0</formula>
    </cfRule>
  </conditionalFormatting>
  <conditionalFormatting sqref="V28">
    <cfRule type="cellIs" dxfId="20279" priority="173" operator="greaterThan">
      <formula>V27</formula>
    </cfRule>
    <cfRule type="cellIs" dxfId="20278" priority="174" operator="equal">
      <formula>0</formula>
    </cfRule>
  </conditionalFormatting>
  <conditionalFormatting sqref="V28">
    <cfRule type="cellIs" dxfId="20277" priority="171" operator="greaterThan">
      <formula>V27</formula>
    </cfRule>
    <cfRule type="cellIs" dxfId="20276" priority="172" operator="equal">
      <formula>0</formula>
    </cfRule>
  </conditionalFormatting>
  <conditionalFormatting sqref="V28">
    <cfRule type="cellIs" dxfId="20275" priority="169" operator="greaterThan">
      <formula>V27</formula>
    </cfRule>
    <cfRule type="cellIs" dxfId="20274" priority="170" operator="equal">
      <formula>0</formula>
    </cfRule>
  </conditionalFormatting>
  <conditionalFormatting sqref="V28">
    <cfRule type="cellIs" dxfId="20273" priority="167" operator="greaterThan">
      <formula>V27</formula>
    </cfRule>
    <cfRule type="cellIs" dxfId="20272" priority="168" operator="equal">
      <formula>0</formula>
    </cfRule>
  </conditionalFormatting>
  <conditionalFormatting sqref="V28">
    <cfRule type="cellIs" dxfId="20271" priority="165" operator="greaterThan">
      <formula>V27</formula>
    </cfRule>
    <cfRule type="cellIs" dxfId="20270" priority="166" operator="equal">
      <formula>0</formula>
    </cfRule>
  </conditionalFormatting>
  <conditionalFormatting sqref="V28">
    <cfRule type="cellIs" dxfId="20269" priority="163" operator="greaterThan">
      <formula>V27</formula>
    </cfRule>
    <cfRule type="cellIs" dxfId="20268" priority="164" operator="equal">
      <formula>0</formula>
    </cfRule>
  </conditionalFormatting>
  <conditionalFormatting sqref="V28">
    <cfRule type="cellIs" dxfId="20267" priority="161" operator="greaterThan">
      <formula>V27</formula>
    </cfRule>
    <cfRule type="cellIs" dxfId="20266" priority="162" operator="equal">
      <formula>0</formula>
    </cfRule>
  </conditionalFormatting>
  <conditionalFormatting sqref="V28">
    <cfRule type="cellIs" dxfId="20265" priority="159" operator="greaterThan">
      <formula>V27</formula>
    </cfRule>
    <cfRule type="cellIs" dxfId="20264" priority="160" operator="equal">
      <formula>0</formula>
    </cfRule>
  </conditionalFormatting>
  <conditionalFormatting sqref="V28">
    <cfRule type="cellIs" dxfId="20263" priority="157" operator="greaterThan">
      <formula>V27</formula>
    </cfRule>
    <cfRule type="cellIs" dxfId="20262" priority="158" operator="equal">
      <formula>0</formula>
    </cfRule>
  </conditionalFormatting>
  <conditionalFormatting sqref="V28">
    <cfRule type="cellIs" dxfId="20261" priority="155" operator="greaterThan">
      <formula>V27</formula>
    </cfRule>
    <cfRule type="cellIs" dxfId="20260" priority="156" operator="equal">
      <formula>0</formula>
    </cfRule>
  </conditionalFormatting>
  <conditionalFormatting sqref="V28">
    <cfRule type="cellIs" dxfId="20259" priority="153" operator="greaterThan">
      <formula>V27</formula>
    </cfRule>
    <cfRule type="cellIs" dxfId="20258" priority="154" operator="equal">
      <formula>0</formula>
    </cfRule>
  </conditionalFormatting>
  <conditionalFormatting sqref="V28">
    <cfRule type="cellIs" dxfId="20257" priority="151" operator="greaterThan">
      <formula>V27</formula>
    </cfRule>
    <cfRule type="cellIs" dxfId="20256" priority="152" operator="equal">
      <formula>0</formula>
    </cfRule>
  </conditionalFormatting>
  <conditionalFormatting sqref="V28">
    <cfRule type="cellIs" dxfId="20255" priority="149" operator="greaterThan">
      <formula>V27</formula>
    </cfRule>
    <cfRule type="cellIs" dxfId="20254" priority="150" operator="equal">
      <formula>0</formula>
    </cfRule>
  </conditionalFormatting>
  <conditionalFormatting sqref="V28">
    <cfRule type="cellIs" dxfId="20253" priority="147" operator="greaterThan">
      <formula>V27</formula>
    </cfRule>
    <cfRule type="cellIs" dxfId="20252" priority="148" operator="equal">
      <formula>0</formula>
    </cfRule>
  </conditionalFormatting>
  <conditionalFormatting sqref="V28">
    <cfRule type="cellIs" dxfId="20251" priority="145" operator="greaterThan">
      <formula>V27</formula>
    </cfRule>
    <cfRule type="cellIs" dxfId="20250" priority="146" operator="equal">
      <formula>0</formula>
    </cfRule>
  </conditionalFormatting>
  <conditionalFormatting sqref="V28">
    <cfRule type="cellIs" dxfId="20249" priority="143" operator="greaterThan">
      <formula>V27</formula>
    </cfRule>
    <cfRule type="cellIs" dxfId="20248" priority="144" operator="equal">
      <formula>0</formula>
    </cfRule>
  </conditionalFormatting>
  <conditionalFormatting sqref="V28">
    <cfRule type="cellIs" dxfId="20247" priority="141" operator="greaterThan">
      <formula>V27</formula>
    </cfRule>
    <cfRule type="cellIs" dxfId="20246" priority="142" operator="equal">
      <formula>0</formula>
    </cfRule>
  </conditionalFormatting>
  <conditionalFormatting sqref="V28">
    <cfRule type="cellIs" dxfId="20245" priority="139" operator="greaterThan">
      <formula>V27</formula>
    </cfRule>
    <cfRule type="cellIs" dxfId="20244" priority="140" operator="equal">
      <formula>0</formula>
    </cfRule>
  </conditionalFormatting>
  <conditionalFormatting sqref="V28">
    <cfRule type="cellIs" dxfId="20243" priority="137" operator="greaterThan">
      <formula>V27</formula>
    </cfRule>
    <cfRule type="cellIs" dxfId="20242" priority="138" operator="equal">
      <formula>0</formula>
    </cfRule>
  </conditionalFormatting>
  <conditionalFormatting sqref="V28">
    <cfRule type="cellIs" dxfId="20241" priority="135" operator="greaterThan">
      <formula>V27</formula>
    </cfRule>
    <cfRule type="cellIs" dxfId="20240" priority="136" operator="equal">
      <formula>0</formula>
    </cfRule>
  </conditionalFormatting>
  <conditionalFormatting sqref="V28">
    <cfRule type="cellIs" dxfId="20239" priority="133" operator="greaterThan">
      <formula>V27</formula>
    </cfRule>
    <cfRule type="cellIs" dxfId="20238" priority="134" operator="equal">
      <formula>0</formula>
    </cfRule>
  </conditionalFormatting>
  <conditionalFormatting sqref="V28">
    <cfRule type="cellIs" dxfId="20237" priority="131" operator="greaterThan">
      <formula>V27</formula>
    </cfRule>
    <cfRule type="cellIs" dxfId="20236" priority="132" operator="equal">
      <formula>0</formula>
    </cfRule>
  </conditionalFormatting>
  <conditionalFormatting sqref="V28">
    <cfRule type="cellIs" dxfId="20235" priority="129" operator="greaterThan">
      <formula>V27</formula>
    </cfRule>
    <cfRule type="cellIs" dxfId="20234" priority="130" operator="equal">
      <formula>0</formula>
    </cfRule>
  </conditionalFormatting>
  <conditionalFormatting sqref="V28">
    <cfRule type="cellIs" dxfId="20233" priority="127" operator="greaterThan">
      <formula>V27</formula>
    </cfRule>
    <cfRule type="cellIs" dxfId="20232" priority="128" operator="equal">
      <formula>0</formula>
    </cfRule>
  </conditionalFormatting>
  <conditionalFormatting sqref="V28">
    <cfRule type="cellIs" dxfId="20231" priority="125" operator="greaterThan">
      <formula>V27</formula>
    </cfRule>
    <cfRule type="cellIs" dxfId="20230" priority="126" operator="equal">
      <formula>0</formula>
    </cfRule>
  </conditionalFormatting>
  <conditionalFormatting sqref="V28">
    <cfRule type="cellIs" dxfId="20229" priority="123" operator="greaterThan">
      <formula>V27</formula>
    </cfRule>
    <cfRule type="cellIs" dxfId="20228" priority="124" operator="equal">
      <formula>0</formula>
    </cfRule>
  </conditionalFormatting>
  <conditionalFormatting sqref="V28">
    <cfRule type="cellIs" dxfId="20227" priority="121" operator="greaterThan">
      <formula>V27</formula>
    </cfRule>
    <cfRule type="cellIs" dxfId="20226" priority="122" operator="equal">
      <formula>0</formula>
    </cfRule>
  </conditionalFormatting>
  <conditionalFormatting sqref="V28">
    <cfRule type="cellIs" dxfId="20225" priority="119" operator="greaterThan">
      <formula>V27</formula>
    </cfRule>
    <cfRule type="cellIs" dxfId="20224" priority="120" operator="equal">
      <formula>0</formula>
    </cfRule>
  </conditionalFormatting>
  <conditionalFormatting sqref="V28">
    <cfRule type="cellIs" dxfId="20223" priority="117" operator="greaterThan">
      <formula>V27</formula>
    </cfRule>
    <cfRule type="cellIs" dxfId="20222" priority="118" operator="equal">
      <formula>0</formula>
    </cfRule>
  </conditionalFormatting>
  <conditionalFormatting sqref="V28">
    <cfRule type="cellIs" dxfId="20221" priority="115" operator="greaterThan">
      <formula>V27</formula>
    </cfRule>
    <cfRule type="cellIs" dxfId="20220" priority="116" operator="equal">
      <formula>0</formula>
    </cfRule>
  </conditionalFormatting>
  <conditionalFormatting sqref="V28">
    <cfRule type="cellIs" dxfId="20219" priority="113" operator="greaterThan">
      <formula>V27</formula>
    </cfRule>
    <cfRule type="cellIs" dxfId="20218" priority="114" operator="equal">
      <formula>0</formula>
    </cfRule>
  </conditionalFormatting>
  <conditionalFormatting sqref="V28">
    <cfRule type="cellIs" dxfId="20217" priority="111" operator="greaterThan">
      <formula>V27</formula>
    </cfRule>
    <cfRule type="cellIs" dxfId="20216" priority="112" operator="equal">
      <formula>0</formula>
    </cfRule>
  </conditionalFormatting>
  <conditionalFormatting sqref="V28">
    <cfRule type="cellIs" dxfId="20215" priority="109" operator="greaterThan">
      <formula>V27</formula>
    </cfRule>
    <cfRule type="cellIs" dxfId="20214" priority="110" operator="equal">
      <formula>0</formula>
    </cfRule>
  </conditionalFormatting>
  <conditionalFormatting sqref="V28">
    <cfRule type="cellIs" dxfId="20213" priority="107" operator="greaterThan">
      <formula>V27</formula>
    </cfRule>
    <cfRule type="cellIs" dxfId="20212" priority="108" operator="equal">
      <formula>0</formula>
    </cfRule>
  </conditionalFormatting>
  <conditionalFormatting sqref="V28">
    <cfRule type="cellIs" dxfId="20211" priority="105" operator="greaterThan">
      <formula>V27</formula>
    </cfRule>
    <cfRule type="cellIs" dxfId="20210" priority="106" operator="equal">
      <formula>0</formula>
    </cfRule>
  </conditionalFormatting>
  <conditionalFormatting sqref="V28">
    <cfRule type="cellIs" dxfId="20209" priority="103" operator="greaterThan">
      <formula>V27</formula>
    </cfRule>
    <cfRule type="cellIs" dxfId="20208" priority="104" operator="equal">
      <formula>0</formula>
    </cfRule>
  </conditionalFormatting>
  <conditionalFormatting sqref="V28">
    <cfRule type="cellIs" dxfId="20207" priority="101" operator="greaterThan">
      <formula>V27</formula>
    </cfRule>
    <cfRule type="cellIs" dxfId="20206" priority="102" operator="equal">
      <formula>0</formula>
    </cfRule>
  </conditionalFormatting>
  <conditionalFormatting sqref="V28">
    <cfRule type="cellIs" dxfId="20205" priority="99" operator="greaterThan">
      <formula>V27</formula>
    </cfRule>
    <cfRule type="cellIs" dxfId="20204" priority="100" operator="equal">
      <formula>0</formula>
    </cfRule>
  </conditionalFormatting>
  <conditionalFormatting sqref="V28">
    <cfRule type="cellIs" dxfId="20203" priority="97" operator="greaterThan">
      <formula>V27</formula>
    </cfRule>
    <cfRule type="cellIs" dxfId="20202" priority="98" operator="equal">
      <formula>0</formula>
    </cfRule>
  </conditionalFormatting>
  <conditionalFormatting sqref="V28">
    <cfRule type="cellIs" dxfId="20201" priority="95" operator="greaterThan">
      <formula>V27</formula>
    </cfRule>
    <cfRule type="cellIs" dxfId="20200" priority="96" operator="equal">
      <formula>0</formula>
    </cfRule>
  </conditionalFormatting>
  <conditionalFormatting sqref="V28">
    <cfRule type="cellIs" dxfId="20199" priority="93" operator="greaterThan">
      <formula>V27</formula>
    </cfRule>
    <cfRule type="cellIs" dxfId="20198" priority="94" operator="equal">
      <formula>0</formula>
    </cfRule>
  </conditionalFormatting>
  <conditionalFormatting sqref="V28">
    <cfRule type="cellIs" dxfId="20197" priority="91" operator="greaterThan">
      <formula>V27</formula>
    </cfRule>
    <cfRule type="cellIs" dxfId="20196" priority="92" operator="equal">
      <formula>0</formula>
    </cfRule>
  </conditionalFormatting>
  <conditionalFormatting sqref="V28">
    <cfRule type="cellIs" dxfId="20195" priority="89" operator="greaterThan">
      <formula>V27</formula>
    </cfRule>
    <cfRule type="cellIs" dxfId="20194" priority="90" operator="equal">
      <formula>0</formula>
    </cfRule>
  </conditionalFormatting>
  <conditionalFormatting sqref="V28">
    <cfRule type="cellIs" dxfId="20193" priority="87" operator="greaterThan">
      <formula>V27</formula>
    </cfRule>
    <cfRule type="cellIs" dxfId="20192" priority="88" operator="equal">
      <formula>0</formula>
    </cfRule>
  </conditionalFormatting>
  <conditionalFormatting sqref="V28">
    <cfRule type="cellIs" dxfId="20191" priority="85" operator="greaterThan">
      <formula>V27</formula>
    </cfRule>
    <cfRule type="cellIs" dxfId="20190" priority="86" operator="equal">
      <formula>0</formula>
    </cfRule>
  </conditionalFormatting>
  <conditionalFormatting sqref="V28">
    <cfRule type="cellIs" dxfId="20189" priority="83" operator="greaterThan">
      <formula>V27</formula>
    </cfRule>
    <cfRule type="cellIs" dxfId="20188" priority="84" operator="equal">
      <formula>0</formula>
    </cfRule>
  </conditionalFormatting>
  <conditionalFormatting sqref="V28">
    <cfRule type="cellIs" dxfId="20187" priority="81" operator="greaterThan">
      <formula>V27</formula>
    </cfRule>
    <cfRule type="cellIs" dxfId="20186" priority="82" operator="equal">
      <formula>0</formula>
    </cfRule>
  </conditionalFormatting>
  <conditionalFormatting sqref="V28">
    <cfRule type="cellIs" dxfId="20185" priority="79" operator="greaterThan">
      <formula>V27</formula>
    </cfRule>
    <cfRule type="cellIs" dxfId="20184" priority="80" operator="equal">
      <formula>0</formula>
    </cfRule>
  </conditionalFormatting>
  <conditionalFormatting sqref="V28">
    <cfRule type="cellIs" dxfId="20183" priority="77" operator="greaterThan">
      <formula>V27</formula>
    </cfRule>
    <cfRule type="cellIs" dxfId="20182" priority="78" operator="equal">
      <formula>0</formula>
    </cfRule>
  </conditionalFormatting>
  <conditionalFormatting sqref="V28">
    <cfRule type="cellIs" dxfId="20181" priority="75" operator="greaterThan">
      <formula>V27</formula>
    </cfRule>
    <cfRule type="cellIs" dxfId="20180" priority="76" operator="equal">
      <formula>0</formula>
    </cfRule>
  </conditionalFormatting>
  <conditionalFormatting sqref="V28">
    <cfRule type="cellIs" dxfId="20179" priority="73" operator="greaterThan">
      <formula>V27</formula>
    </cfRule>
    <cfRule type="cellIs" dxfId="20178" priority="74" operator="equal">
      <formula>0</formula>
    </cfRule>
  </conditionalFormatting>
  <conditionalFormatting sqref="V28">
    <cfRule type="cellIs" dxfId="20177" priority="71" operator="greaterThan">
      <formula>V27</formula>
    </cfRule>
    <cfRule type="cellIs" dxfId="20176" priority="72" operator="equal">
      <formula>0</formula>
    </cfRule>
  </conditionalFormatting>
  <conditionalFormatting sqref="V28">
    <cfRule type="cellIs" dxfId="20175" priority="69" operator="greaterThan">
      <formula>V27</formula>
    </cfRule>
    <cfRule type="cellIs" dxfId="20174" priority="70" operator="equal">
      <formula>0</formula>
    </cfRule>
  </conditionalFormatting>
  <conditionalFormatting sqref="V28">
    <cfRule type="cellIs" dxfId="20173" priority="67" operator="greaterThan">
      <formula>V27</formula>
    </cfRule>
    <cfRule type="cellIs" dxfId="20172" priority="68" operator="equal">
      <formula>0</formula>
    </cfRule>
  </conditionalFormatting>
  <conditionalFormatting sqref="V28">
    <cfRule type="cellIs" dxfId="20171" priority="65" operator="greaterThan">
      <formula>V27</formula>
    </cfRule>
    <cfRule type="cellIs" dxfId="20170" priority="66" operator="equal">
      <formula>0</formula>
    </cfRule>
  </conditionalFormatting>
  <conditionalFormatting sqref="V28">
    <cfRule type="cellIs" dxfId="20169" priority="63" operator="greaterThan">
      <formula>V27</formula>
    </cfRule>
    <cfRule type="cellIs" dxfId="20168" priority="64" operator="equal">
      <formula>0</formula>
    </cfRule>
  </conditionalFormatting>
  <conditionalFormatting sqref="V28">
    <cfRule type="cellIs" dxfId="20167" priority="61" operator="greaterThan">
      <formula>V27</formula>
    </cfRule>
    <cfRule type="cellIs" dxfId="20166" priority="62" operator="equal">
      <formula>0</formula>
    </cfRule>
  </conditionalFormatting>
  <conditionalFormatting sqref="V28">
    <cfRule type="cellIs" dxfId="20165" priority="59" operator="greaterThan">
      <formula>V27</formula>
    </cfRule>
    <cfRule type="cellIs" dxfId="20164" priority="60" operator="equal">
      <formula>0</formula>
    </cfRule>
  </conditionalFormatting>
  <conditionalFormatting sqref="V28">
    <cfRule type="cellIs" dxfId="20163" priority="57" operator="greaterThan">
      <formula>V27</formula>
    </cfRule>
    <cfRule type="cellIs" dxfId="20162" priority="58" operator="equal">
      <formula>0</formula>
    </cfRule>
  </conditionalFormatting>
  <conditionalFormatting sqref="V28">
    <cfRule type="cellIs" dxfId="20161" priority="55" operator="greaterThan">
      <formula>V27</formula>
    </cfRule>
    <cfRule type="cellIs" dxfId="20160" priority="56" operator="equal">
      <formula>0</formula>
    </cfRule>
  </conditionalFormatting>
  <conditionalFormatting sqref="V28">
    <cfRule type="cellIs" dxfId="20159" priority="53" operator="greaterThan">
      <formula>V27</formula>
    </cfRule>
    <cfRule type="cellIs" dxfId="20158" priority="54" operator="equal">
      <formula>0</formula>
    </cfRule>
  </conditionalFormatting>
  <conditionalFormatting sqref="V28">
    <cfRule type="cellIs" dxfId="20157" priority="51" operator="greaterThan">
      <formula>V27</formula>
    </cfRule>
    <cfRule type="cellIs" dxfId="20156" priority="52" operator="equal">
      <formula>0</formula>
    </cfRule>
  </conditionalFormatting>
  <conditionalFormatting sqref="V28">
    <cfRule type="cellIs" dxfId="20155" priority="49" operator="greaterThan">
      <formula>V27</formula>
    </cfRule>
    <cfRule type="cellIs" dxfId="20154" priority="50" operator="equal">
      <formula>0</formula>
    </cfRule>
  </conditionalFormatting>
  <conditionalFormatting sqref="V28">
    <cfRule type="cellIs" dxfId="20153" priority="47" operator="greaterThan">
      <formula>V27</formula>
    </cfRule>
    <cfRule type="cellIs" dxfId="20152" priority="48" operator="equal">
      <formula>0</formula>
    </cfRule>
  </conditionalFormatting>
  <conditionalFormatting sqref="V28">
    <cfRule type="cellIs" dxfId="20151" priority="45" operator="greaterThan">
      <formula>V27</formula>
    </cfRule>
    <cfRule type="cellIs" dxfId="20150" priority="46" operator="equal">
      <formula>0</formula>
    </cfRule>
  </conditionalFormatting>
  <conditionalFormatting sqref="V28">
    <cfRule type="cellIs" dxfId="20149" priority="43" operator="greaterThan">
      <formula>V27</formula>
    </cfRule>
    <cfRule type="cellIs" dxfId="20148" priority="44" operator="equal">
      <formula>0</formula>
    </cfRule>
  </conditionalFormatting>
  <conditionalFormatting sqref="V28">
    <cfRule type="cellIs" dxfId="20147" priority="41" operator="greaterThan">
      <formula>V27</formula>
    </cfRule>
    <cfRule type="cellIs" dxfId="20146" priority="42" operator="equal">
      <formula>0</formula>
    </cfRule>
  </conditionalFormatting>
  <conditionalFormatting sqref="V28">
    <cfRule type="cellIs" dxfId="20145" priority="39" operator="greaterThan">
      <formula>V27</formula>
    </cfRule>
    <cfRule type="cellIs" dxfId="20144" priority="40" operator="equal">
      <formula>0</formula>
    </cfRule>
  </conditionalFormatting>
  <conditionalFormatting sqref="V28">
    <cfRule type="cellIs" dxfId="20143" priority="37" operator="greaterThan">
      <formula>V27</formula>
    </cfRule>
    <cfRule type="cellIs" dxfId="20142" priority="38" operator="equal">
      <formula>0</formula>
    </cfRule>
  </conditionalFormatting>
  <conditionalFormatting sqref="V28">
    <cfRule type="cellIs" dxfId="20141" priority="35" operator="greaterThan">
      <formula>V27</formula>
    </cfRule>
    <cfRule type="cellIs" dxfId="20140" priority="36" operator="equal">
      <formula>0</formula>
    </cfRule>
  </conditionalFormatting>
  <conditionalFormatting sqref="V28">
    <cfRule type="cellIs" dxfId="20139" priority="33" operator="greaterThan">
      <formula>V27</formula>
    </cfRule>
    <cfRule type="cellIs" dxfId="20138" priority="34" operator="equal">
      <formula>0</formula>
    </cfRule>
  </conditionalFormatting>
  <conditionalFormatting sqref="V28">
    <cfRule type="cellIs" dxfId="20137" priority="31" operator="greaterThan">
      <formula>V27</formula>
    </cfRule>
    <cfRule type="cellIs" dxfId="20136" priority="32" operator="equal">
      <formula>0</formula>
    </cfRule>
  </conditionalFormatting>
  <conditionalFormatting sqref="V28">
    <cfRule type="cellIs" dxfId="20135" priority="29" operator="greaterThan">
      <formula>V27</formula>
    </cfRule>
    <cfRule type="cellIs" dxfId="20134" priority="30" operator="equal">
      <formula>0</formula>
    </cfRule>
  </conditionalFormatting>
  <conditionalFormatting sqref="V28">
    <cfRule type="cellIs" dxfId="20133" priority="27" operator="greaterThan">
      <formula>V27</formula>
    </cfRule>
    <cfRule type="cellIs" dxfId="20132" priority="28" operator="equal">
      <formula>0</formula>
    </cfRule>
  </conditionalFormatting>
  <conditionalFormatting sqref="V13">
    <cfRule type="cellIs" dxfId="20131" priority="25" operator="greaterThan">
      <formula>V12</formula>
    </cfRule>
    <cfRule type="cellIs" dxfId="20130" priority="26" operator="equal">
      <formula>0</formula>
    </cfRule>
  </conditionalFormatting>
  <conditionalFormatting sqref="V16">
    <cfRule type="cellIs" dxfId="20129" priority="23" operator="greaterThan">
      <formula>V15</formula>
    </cfRule>
    <cfRule type="cellIs" dxfId="20128" priority="24" operator="equal">
      <formula>0</formula>
    </cfRule>
  </conditionalFormatting>
  <conditionalFormatting sqref="V16">
    <cfRule type="cellIs" dxfId="20127" priority="21" operator="greaterThan">
      <formula>V15</formula>
    </cfRule>
    <cfRule type="cellIs" dxfId="20126" priority="22" operator="equal">
      <formula>0</formula>
    </cfRule>
  </conditionalFormatting>
  <conditionalFormatting sqref="V16">
    <cfRule type="cellIs" dxfId="20125" priority="19" operator="greaterThan">
      <formula>V15</formula>
    </cfRule>
    <cfRule type="cellIs" dxfId="20124" priority="20" operator="equal">
      <formula>0</formula>
    </cfRule>
  </conditionalFormatting>
  <conditionalFormatting sqref="V16">
    <cfRule type="cellIs" dxfId="20123" priority="17" operator="greaterThan">
      <formula>V15</formula>
    </cfRule>
    <cfRule type="cellIs" dxfId="20122" priority="18" operator="equal">
      <formula>0</formula>
    </cfRule>
  </conditionalFormatting>
  <conditionalFormatting sqref="V19">
    <cfRule type="cellIs" dxfId="20121" priority="15" operator="greaterThan">
      <formula>V18</formula>
    </cfRule>
    <cfRule type="cellIs" dxfId="20120" priority="16" operator="equal">
      <formula>0</formula>
    </cfRule>
  </conditionalFormatting>
  <conditionalFormatting sqref="V19">
    <cfRule type="cellIs" dxfId="20119" priority="13" operator="greaterThan">
      <formula>V18</formula>
    </cfRule>
    <cfRule type="cellIs" dxfId="20118" priority="14" operator="equal">
      <formula>0</formula>
    </cfRule>
  </conditionalFormatting>
  <conditionalFormatting sqref="V22">
    <cfRule type="cellIs" dxfId="20117" priority="11" operator="greaterThan">
      <formula>V21</formula>
    </cfRule>
    <cfRule type="cellIs" dxfId="20116" priority="12" operator="equal">
      <formula>0</formula>
    </cfRule>
  </conditionalFormatting>
  <conditionalFormatting sqref="V22">
    <cfRule type="cellIs" dxfId="20115" priority="9" operator="greaterThan">
      <formula>V21</formula>
    </cfRule>
    <cfRule type="cellIs" dxfId="20114" priority="10" operator="equal">
      <formula>0</formula>
    </cfRule>
  </conditionalFormatting>
  <conditionalFormatting sqref="V25">
    <cfRule type="cellIs" dxfId="20113" priority="7" operator="greaterThan">
      <formula>V24</formula>
    </cfRule>
    <cfRule type="cellIs" dxfId="20112" priority="8" operator="equal">
      <formula>0</formula>
    </cfRule>
  </conditionalFormatting>
  <conditionalFormatting sqref="V25">
    <cfRule type="cellIs" dxfId="20111" priority="5" operator="greaterThan">
      <formula>V24</formula>
    </cfRule>
    <cfRule type="cellIs" dxfId="20110" priority="6" operator="equal">
      <formula>0</formula>
    </cfRule>
  </conditionalFormatting>
  <conditionalFormatting sqref="V28">
    <cfRule type="cellIs" dxfId="20109" priority="3" operator="greaterThan">
      <formula>V27</formula>
    </cfRule>
    <cfRule type="cellIs" dxfId="20108" priority="4" operator="equal">
      <formula>0</formula>
    </cfRule>
  </conditionalFormatting>
  <conditionalFormatting sqref="V28">
    <cfRule type="cellIs" dxfId="20107" priority="1" operator="greaterThan">
      <formula>V27</formula>
    </cfRule>
    <cfRule type="cellIs" dxfId="20106" priority="2" operator="equal">
      <formula>0</formula>
    </cfRule>
  </conditionalFormatting>
  <dataValidations count="25">
    <dataValidation type="whole" operator="greaterThanOrEqual" allowBlank="1" showInputMessage="1" showErrorMessage="1" errorTitle="المجموع" error="العدد المناسب" sqref="P33 M42 P30 P12 P15 P18 P21 P27 P24 O49 P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إناث 8 سنوات" error="ضع العدد المناسب" sqref="H34 H31 H16 H19 H28 H13 H43:H45 H22 H25 H51 H37">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operator="greaterThanOrEqual" allowBlank="1" showInputMessage="1" showErrorMessage="1" errorTitle="مجموع البنات" error="العدد المناسب" sqref="P34 P31 P13 P16 P19 P28 M43:M44 P22 P25 O50 I45 I51 P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8 سنوات" error="ضع العدد المناسب" sqref="H33 H30 H12 H15 H18 H21 H27 H24 H42 H36">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allowBlank="1" showInputMessage="1" showErrorMessage="1" sqref="X51 X44:X48 Y16:Y51 X17 X20 X23 X26 X29 X32 X35 X38:X41">
      <formula1>0</formula1>
      <formula2>5000</formula2>
    </dataValidation>
  </dataValidations>
  <printOptions horizontalCentered="1" verticalCentered="1"/>
  <pageMargins left="0.19685039370078741" right="0.19685039370078741" top="0.27559055118110237" bottom="0.11811023622047245" header="0" footer="0.19685039370078741"/>
  <pageSetup paperSize="9" orientation="landscape" r:id="rId1"/>
  <headerFooter>
    <oddFooter xml:space="preserve">&amp;R&amp;"-,Gras"&amp;8&amp;K00-034Echamil V.08      &amp;F         &amp;K00-019                     &amp;K00-016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00B0F0"/>
  </sheetPr>
  <dimension ref="A1:Q73"/>
  <sheetViews>
    <sheetView showGridLines="0" rightToLeft="1" topLeftCell="A4" workbookViewId="0">
      <selection activeCell="L21" sqref="L21:N22"/>
    </sheetView>
  </sheetViews>
  <sheetFormatPr baseColWidth="10" defaultColWidth="0" defaultRowHeight="14.4" zeroHeight="1"/>
  <cols>
    <col min="1" max="1" width="2.33203125" customWidth="1"/>
    <col min="2" max="3" width="1.6640625" customWidth="1"/>
    <col min="4" max="4" width="9.6640625" customWidth="1"/>
    <col min="5" max="6" width="10.33203125" customWidth="1"/>
    <col min="7" max="7" width="7.6640625" customWidth="1"/>
    <col min="8" max="10" width="5.6640625" customWidth="1"/>
    <col min="11" max="11" width="9.6640625" customWidth="1"/>
    <col min="12" max="13" width="10.33203125" customWidth="1"/>
    <col min="14" max="14" width="9.6640625" customWidth="1"/>
    <col min="15" max="16" width="1.6640625" customWidth="1"/>
    <col min="17" max="17" width="2.33203125" customWidth="1"/>
  </cols>
  <sheetData>
    <row r="1" spans="1:17" ht="12.9" customHeight="1" thickBot="1">
      <c r="A1" s="703"/>
      <c r="B1" s="1019"/>
      <c r="C1" s="1019"/>
      <c r="D1" s="1019"/>
      <c r="E1" s="1019"/>
      <c r="F1" s="1019"/>
      <c r="G1" s="1019"/>
      <c r="H1" s="1019"/>
      <c r="I1" s="1019"/>
      <c r="J1" s="1019"/>
      <c r="K1" s="1019"/>
      <c r="L1" s="1019"/>
      <c r="M1" s="1019"/>
      <c r="N1" s="1019"/>
      <c r="O1" s="1019"/>
      <c r="P1" s="1019"/>
      <c r="Q1" s="703"/>
    </row>
    <row r="2" spans="1:17" ht="9.9" customHeight="1" thickBot="1">
      <c r="A2" s="703"/>
      <c r="B2" s="727"/>
      <c r="C2" s="728"/>
      <c r="D2" s="728"/>
      <c r="E2" s="728"/>
      <c r="F2" s="728"/>
      <c r="G2" s="728"/>
      <c r="H2" s="728"/>
      <c r="I2" s="728"/>
      <c r="J2" s="728"/>
      <c r="K2" s="728"/>
      <c r="L2" s="728"/>
      <c r="M2" s="728"/>
      <c r="N2" s="728"/>
      <c r="O2" s="728"/>
      <c r="P2" s="729"/>
      <c r="Q2" s="705"/>
    </row>
    <row r="3" spans="1:17" ht="12" customHeight="1" thickBot="1">
      <c r="A3" s="703"/>
      <c r="B3" s="719"/>
      <c r="C3" s="711"/>
      <c r="D3" s="712"/>
      <c r="E3" s="712"/>
      <c r="F3" s="712"/>
      <c r="G3" s="712"/>
      <c r="H3" s="712"/>
      <c r="I3" s="712"/>
      <c r="J3" s="712"/>
      <c r="K3" s="713"/>
      <c r="L3" s="712"/>
      <c r="M3" s="712"/>
      <c r="N3" s="712"/>
      <c r="O3" s="714"/>
      <c r="P3" s="730"/>
      <c r="Q3" s="705"/>
    </row>
    <row r="4" spans="1:17" ht="15" customHeight="1">
      <c r="A4" s="703"/>
      <c r="B4" s="731"/>
      <c r="C4" s="715"/>
      <c r="D4" s="3849" t="s">
        <v>7</v>
      </c>
      <c r="E4" s="3850"/>
      <c r="F4" s="3850"/>
      <c r="G4" s="3851"/>
      <c r="H4" s="1"/>
      <c r="I4" s="1"/>
      <c r="J4" s="1"/>
      <c r="K4" s="3828" t="s">
        <v>1341</v>
      </c>
      <c r="L4" s="3829"/>
      <c r="M4" s="3829"/>
      <c r="N4" s="3830"/>
      <c r="O4" s="716"/>
      <c r="P4" s="730"/>
      <c r="Q4" s="705"/>
    </row>
    <row r="5" spans="1:17" ht="15" customHeight="1">
      <c r="A5" s="703"/>
      <c r="B5" s="732"/>
      <c r="C5" s="715"/>
      <c r="D5" s="3852"/>
      <c r="E5" s="3853"/>
      <c r="F5" s="3853"/>
      <c r="G5" s="3854"/>
      <c r="H5" s="1"/>
      <c r="I5" s="1"/>
      <c r="J5" s="1"/>
      <c r="K5" s="3831"/>
      <c r="L5" s="3832"/>
      <c r="M5" s="3832"/>
      <c r="N5" s="3833"/>
      <c r="O5" s="716"/>
      <c r="P5" s="730"/>
      <c r="Q5" s="706"/>
    </row>
    <row r="6" spans="1:17" ht="15" customHeight="1">
      <c r="A6" s="703"/>
      <c r="B6" s="732"/>
      <c r="C6" s="715"/>
      <c r="D6" s="3843" t="s">
        <v>5</v>
      </c>
      <c r="E6" s="3844"/>
      <c r="F6" s="3844"/>
      <c r="G6" s="3845"/>
      <c r="H6" s="1"/>
      <c r="I6" s="1"/>
      <c r="J6" s="1"/>
      <c r="K6" s="3831"/>
      <c r="L6" s="3832"/>
      <c r="M6" s="3832"/>
      <c r="N6" s="3833"/>
      <c r="O6" s="716"/>
      <c r="P6" s="730"/>
      <c r="Q6" s="706"/>
    </row>
    <row r="7" spans="1:17" ht="15" customHeight="1">
      <c r="A7" s="703"/>
      <c r="B7" s="732"/>
      <c r="C7" s="715"/>
      <c r="D7" s="3843" t="s">
        <v>1468</v>
      </c>
      <c r="E7" s="3844"/>
      <c r="F7" s="3844"/>
      <c r="G7" s="3845"/>
      <c r="H7" s="1"/>
      <c r="I7" s="1"/>
      <c r="J7" s="1"/>
      <c r="K7" s="3831"/>
      <c r="L7" s="3832"/>
      <c r="M7" s="3832"/>
      <c r="N7" s="3833"/>
      <c r="O7" s="717"/>
      <c r="P7" s="717"/>
      <c r="Q7" s="703"/>
    </row>
    <row r="8" spans="1:17" ht="15" customHeight="1" thickBot="1">
      <c r="A8" s="703"/>
      <c r="B8" s="732"/>
      <c r="C8" s="718"/>
      <c r="D8" s="3846"/>
      <c r="E8" s="3847"/>
      <c r="F8" s="3847"/>
      <c r="G8" s="3848"/>
      <c r="H8" s="9"/>
      <c r="I8" s="9"/>
      <c r="J8" s="9"/>
      <c r="K8" s="3834"/>
      <c r="L8" s="3835"/>
      <c r="M8" s="3835"/>
      <c r="N8" s="3836"/>
      <c r="O8" s="717"/>
      <c r="P8" s="717"/>
      <c r="Q8" s="703"/>
    </row>
    <row r="9" spans="1:17" ht="12.9" customHeight="1">
      <c r="A9" s="703"/>
      <c r="B9" s="732"/>
      <c r="C9" s="719"/>
      <c r="D9" s="7"/>
      <c r="E9" s="7"/>
      <c r="F9" s="7"/>
      <c r="G9" s="7"/>
      <c r="H9" s="7"/>
      <c r="I9" s="7"/>
      <c r="J9" s="7"/>
      <c r="K9" s="8"/>
      <c r="L9" s="8"/>
      <c r="M9" s="8"/>
      <c r="N9" s="8"/>
      <c r="O9" s="717"/>
      <c r="P9" s="717"/>
      <c r="Q9" s="703"/>
    </row>
    <row r="10" spans="1:17" ht="12.9" customHeight="1">
      <c r="A10" s="703"/>
      <c r="B10" s="732"/>
      <c r="C10" s="719"/>
      <c r="D10" s="7"/>
      <c r="E10" s="7"/>
      <c r="F10" s="7"/>
      <c r="G10" s="7"/>
      <c r="H10" s="7"/>
      <c r="I10" s="7"/>
      <c r="J10" s="7"/>
      <c r="K10" s="8"/>
      <c r="L10" s="8"/>
      <c r="M10" s="8"/>
      <c r="N10" s="8"/>
      <c r="O10" s="717"/>
      <c r="P10" s="717"/>
      <c r="Q10" s="703"/>
    </row>
    <row r="11" spans="1:17" ht="12.9" customHeight="1">
      <c r="A11" s="703"/>
      <c r="B11" s="732"/>
      <c r="C11" s="719"/>
      <c r="D11" s="7"/>
      <c r="E11" s="7"/>
      <c r="F11" s="7"/>
      <c r="G11" s="7"/>
      <c r="H11" s="7"/>
      <c r="I11" s="7"/>
      <c r="J11" s="7"/>
      <c r="K11" s="8"/>
      <c r="L11" s="8"/>
      <c r="M11" s="8"/>
      <c r="N11" s="8"/>
      <c r="O11" s="717"/>
      <c r="P11" s="717"/>
      <c r="Q11" s="703"/>
    </row>
    <row r="12" spans="1:17" ht="12.9" customHeight="1" thickBot="1">
      <c r="A12" s="703"/>
      <c r="B12" s="732"/>
      <c r="C12" s="719"/>
      <c r="D12" s="7"/>
      <c r="E12" s="7"/>
      <c r="F12" s="7"/>
      <c r="G12" s="7"/>
      <c r="H12" s="7"/>
      <c r="I12" s="7"/>
      <c r="J12" s="7"/>
      <c r="K12" s="8"/>
      <c r="L12" s="8"/>
      <c r="M12" s="8"/>
      <c r="N12" s="8"/>
      <c r="O12" s="717"/>
      <c r="P12" s="717"/>
      <c r="Q12" s="703"/>
    </row>
    <row r="13" spans="1:17" ht="15" customHeight="1">
      <c r="A13" s="703"/>
      <c r="B13" s="732"/>
      <c r="C13" s="720"/>
      <c r="D13" s="7"/>
      <c r="E13" s="7"/>
      <c r="F13" s="7"/>
      <c r="G13" s="3837" t="s">
        <v>654</v>
      </c>
      <c r="H13" s="3838"/>
      <c r="I13" s="3838"/>
      <c r="J13" s="3838"/>
      <c r="K13" s="3839"/>
      <c r="L13" s="8"/>
      <c r="M13" s="8"/>
      <c r="N13" s="8"/>
      <c r="O13" s="717"/>
      <c r="P13" s="717"/>
      <c r="Q13" s="703"/>
    </row>
    <row r="14" spans="1:17" ht="15" customHeight="1" thickBot="1">
      <c r="A14" s="703"/>
      <c r="B14" s="732"/>
      <c r="C14" s="719"/>
      <c r="D14" s="7"/>
      <c r="E14" s="7"/>
      <c r="F14" s="7"/>
      <c r="G14" s="3840"/>
      <c r="H14" s="3841"/>
      <c r="I14" s="3841"/>
      <c r="J14" s="3841"/>
      <c r="K14" s="3842"/>
      <c r="L14" s="8"/>
      <c r="M14" s="8"/>
      <c r="N14" s="8"/>
      <c r="O14" s="717"/>
      <c r="P14" s="717"/>
      <c r="Q14" s="706"/>
    </row>
    <row r="15" spans="1:17" ht="15" customHeight="1">
      <c r="A15" s="703"/>
      <c r="B15" s="732"/>
      <c r="C15" s="719"/>
      <c r="D15" s="7"/>
      <c r="E15" s="7"/>
      <c r="F15" s="7"/>
      <c r="G15" s="3820" t="s">
        <v>655</v>
      </c>
      <c r="H15" s="3820"/>
      <c r="I15" s="3820"/>
      <c r="J15" s="3820"/>
      <c r="K15" s="3820"/>
      <c r="L15" s="8"/>
      <c r="M15" s="8"/>
      <c r="N15" s="8"/>
      <c r="O15" s="717"/>
      <c r="P15" s="717"/>
      <c r="Q15" s="703"/>
    </row>
    <row r="16" spans="1:17" ht="12.9" customHeight="1" thickBot="1">
      <c r="A16" s="703"/>
      <c r="B16" s="732"/>
      <c r="C16" s="719"/>
      <c r="D16" s="8"/>
      <c r="E16" s="8"/>
      <c r="F16" s="8"/>
      <c r="G16" s="8"/>
      <c r="H16" s="8"/>
      <c r="I16" s="8"/>
      <c r="J16" s="8"/>
      <c r="K16" s="8"/>
      <c r="L16" s="8"/>
      <c r="M16" s="8"/>
      <c r="N16" s="8"/>
      <c r="O16" s="717"/>
      <c r="P16" s="717"/>
      <c r="Q16" s="703"/>
    </row>
    <row r="17" spans="1:17" ht="15" customHeight="1" thickBot="1">
      <c r="A17" s="703"/>
      <c r="B17" s="732"/>
      <c r="C17" s="719"/>
      <c r="D17" s="8"/>
      <c r="E17" s="8"/>
      <c r="F17" s="8"/>
      <c r="G17" s="8"/>
      <c r="H17" s="737"/>
      <c r="I17" s="738" t="s">
        <v>692</v>
      </c>
      <c r="J17" s="739"/>
      <c r="K17" s="8"/>
      <c r="L17" s="8"/>
      <c r="M17" s="8"/>
      <c r="N17" s="8"/>
      <c r="O17" s="717"/>
      <c r="P17" s="717"/>
      <c r="Q17" s="703"/>
    </row>
    <row r="18" spans="1:17" ht="15" customHeight="1">
      <c r="A18" s="703"/>
      <c r="B18" s="732"/>
      <c r="C18" s="719"/>
      <c r="D18" s="8"/>
      <c r="E18" s="8"/>
      <c r="F18" s="8"/>
      <c r="G18" s="8"/>
      <c r="H18" s="3821" t="s">
        <v>656</v>
      </c>
      <c r="I18" s="3821"/>
      <c r="J18" s="3821"/>
      <c r="K18" s="8"/>
      <c r="L18" s="8"/>
      <c r="M18" s="8"/>
      <c r="N18" s="8"/>
      <c r="O18" s="717"/>
      <c r="P18" s="717"/>
      <c r="Q18" s="703"/>
    </row>
    <row r="19" spans="1:17" ht="12.9" customHeight="1">
      <c r="A19" s="703"/>
      <c r="B19" s="732"/>
      <c r="C19" s="719"/>
      <c r="D19" s="8"/>
      <c r="E19" s="8"/>
      <c r="F19" s="8"/>
      <c r="L19" s="8"/>
      <c r="M19" s="8"/>
      <c r="N19" s="8"/>
      <c r="O19" s="717"/>
      <c r="P19" s="717"/>
      <c r="Q19" s="703"/>
    </row>
    <row r="20" spans="1:17" ht="12.9" customHeight="1">
      <c r="A20" s="703"/>
      <c r="B20" s="732"/>
      <c r="C20" s="719"/>
      <c r="D20" s="8"/>
      <c r="E20" s="8"/>
      <c r="F20" s="8"/>
      <c r="G20" s="8"/>
      <c r="H20" s="7"/>
      <c r="I20" s="7"/>
      <c r="J20" s="13"/>
      <c r="K20" s="8"/>
      <c r="L20" s="8"/>
      <c r="M20" s="8"/>
      <c r="N20" s="8"/>
      <c r="O20" s="717"/>
      <c r="P20" s="717"/>
      <c r="Q20" s="703"/>
    </row>
    <row r="21" spans="1:17" ht="12.9" customHeight="1">
      <c r="A21" s="703"/>
      <c r="B21" s="732"/>
      <c r="C21" s="719"/>
      <c r="D21" s="3812" t="s">
        <v>3</v>
      </c>
      <c r="E21" s="3812"/>
      <c r="F21" s="3822" t="s">
        <v>1471</v>
      </c>
      <c r="G21" s="3823"/>
      <c r="H21" s="3824"/>
      <c r="I21" s="12"/>
      <c r="J21" s="3812" t="s">
        <v>2</v>
      </c>
      <c r="K21" s="3813"/>
      <c r="L21" s="3855" t="str">
        <f>'الصفحة 1'!E16</f>
        <v>بلحاتم رابح</v>
      </c>
      <c r="M21" s="3856"/>
      <c r="N21" s="3857"/>
      <c r="O21" s="717"/>
      <c r="P21" s="717"/>
      <c r="Q21" s="703"/>
    </row>
    <row r="22" spans="1:17" ht="12.9" customHeight="1">
      <c r="A22" s="703"/>
      <c r="B22" s="732"/>
      <c r="C22" s="719"/>
      <c r="D22" s="3812"/>
      <c r="E22" s="3812"/>
      <c r="F22" s="3825"/>
      <c r="G22" s="3826"/>
      <c r="H22" s="3827"/>
      <c r="I22" s="12"/>
      <c r="J22" s="3812"/>
      <c r="K22" s="3813"/>
      <c r="L22" s="3858"/>
      <c r="M22" s="3859"/>
      <c r="N22" s="3860"/>
      <c r="O22" s="717"/>
      <c r="P22" s="717"/>
      <c r="Q22" s="703"/>
    </row>
    <row r="23" spans="1:17" ht="12.9" customHeight="1">
      <c r="A23" s="703"/>
      <c r="B23" s="732"/>
      <c r="C23" s="719"/>
      <c r="D23" s="8"/>
      <c r="E23" s="8"/>
      <c r="F23" s="8"/>
      <c r="G23" s="7"/>
      <c r="H23" s="10"/>
      <c r="I23" s="11"/>
      <c r="J23" s="10"/>
      <c r="K23" s="9"/>
      <c r="L23" s="8"/>
      <c r="M23" s="8"/>
      <c r="N23" s="8"/>
      <c r="O23" s="717"/>
      <c r="P23" s="717"/>
      <c r="Q23" s="703"/>
    </row>
    <row r="24" spans="1:17" ht="12.9" customHeight="1">
      <c r="A24" s="703"/>
      <c r="B24" s="732"/>
      <c r="C24" s="719"/>
      <c r="D24" s="7"/>
      <c r="E24" s="7"/>
      <c r="F24" s="7"/>
      <c r="G24" s="7"/>
      <c r="H24" s="7"/>
      <c r="I24" s="7"/>
      <c r="J24" s="7"/>
      <c r="K24" s="7"/>
      <c r="L24" s="7"/>
      <c r="M24" s="721"/>
      <c r="N24" s="7"/>
      <c r="O24" s="717"/>
      <c r="P24" s="733"/>
      <c r="Q24" s="707"/>
    </row>
    <row r="25" spans="1:17" ht="12.9" customHeight="1">
      <c r="A25" s="703"/>
      <c r="B25" s="732"/>
      <c r="C25" s="719"/>
      <c r="D25" s="7"/>
      <c r="E25" s="7"/>
      <c r="F25" s="7"/>
      <c r="G25" s="7"/>
      <c r="H25" s="7"/>
      <c r="I25" s="7"/>
      <c r="J25" s="7"/>
      <c r="K25" s="7"/>
      <c r="L25" s="7"/>
      <c r="M25" s="7"/>
      <c r="N25" s="7"/>
      <c r="O25" s="717"/>
      <c r="P25" s="733"/>
      <c r="Q25" s="708"/>
    </row>
    <row r="26" spans="1:17" ht="12.9" customHeight="1">
      <c r="A26" s="703"/>
      <c r="B26" s="732"/>
      <c r="C26" s="719"/>
      <c r="D26" s="7"/>
      <c r="E26" s="7"/>
      <c r="F26" s="7"/>
      <c r="G26" s="7"/>
      <c r="H26" s="7"/>
      <c r="I26" s="7"/>
      <c r="J26" s="7"/>
      <c r="K26" s="7"/>
      <c r="L26" s="7"/>
      <c r="M26" s="7"/>
      <c r="N26" s="7"/>
      <c r="O26" s="717"/>
      <c r="P26" s="733"/>
      <c r="Q26" s="707"/>
    </row>
    <row r="27" spans="1:17" ht="12.9" customHeight="1">
      <c r="A27" s="703"/>
      <c r="B27" s="732"/>
      <c r="C27" s="719"/>
      <c r="D27" s="7"/>
      <c r="E27" s="7"/>
      <c r="F27" s="7"/>
      <c r="G27" s="7"/>
      <c r="H27" s="7"/>
      <c r="I27" s="7"/>
      <c r="J27" s="7"/>
      <c r="K27" s="7"/>
      <c r="L27" s="7"/>
      <c r="M27" s="7"/>
      <c r="N27" s="7"/>
      <c r="O27" s="717"/>
      <c r="P27" s="733"/>
      <c r="Q27" s="707"/>
    </row>
    <row r="28" spans="1:17" ht="12.9" customHeight="1">
      <c r="A28" s="703"/>
      <c r="B28" s="732"/>
      <c r="C28" s="719"/>
      <c r="D28" s="7"/>
      <c r="E28" s="7"/>
      <c r="F28" s="7"/>
      <c r="G28" s="7"/>
      <c r="H28" s="7"/>
      <c r="I28" s="7"/>
      <c r="J28" s="7"/>
      <c r="K28" s="7"/>
      <c r="L28" s="7"/>
      <c r="M28" s="7"/>
      <c r="N28" s="7"/>
      <c r="O28" s="717"/>
      <c r="P28" s="733"/>
      <c r="Q28" s="707"/>
    </row>
    <row r="29" spans="1:17" ht="12.9" customHeight="1">
      <c r="A29" s="703"/>
      <c r="B29" s="732"/>
      <c r="C29" s="719"/>
      <c r="D29" s="7"/>
      <c r="E29" s="7"/>
      <c r="F29" s="7"/>
      <c r="G29" s="7"/>
      <c r="H29" s="7"/>
      <c r="I29" s="7"/>
      <c r="J29" s="7"/>
      <c r="K29" s="7"/>
      <c r="L29" s="7"/>
      <c r="M29" s="7"/>
      <c r="N29" s="7"/>
      <c r="O29" s="717"/>
      <c r="P29" s="733"/>
      <c r="Q29" s="708"/>
    </row>
    <row r="30" spans="1:17" ht="12.9" customHeight="1">
      <c r="A30" s="703"/>
      <c r="B30" s="732"/>
      <c r="C30" s="719"/>
      <c r="D30" s="8"/>
      <c r="E30" s="8"/>
      <c r="F30" s="8"/>
      <c r="G30" s="8"/>
      <c r="H30" s="8"/>
      <c r="I30" s="8"/>
      <c r="J30" s="8"/>
      <c r="K30" s="8"/>
      <c r="L30" s="8"/>
      <c r="M30" s="8"/>
      <c r="N30" s="8"/>
      <c r="O30" s="717"/>
      <c r="P30" s="733"/>
      <c r="Q30" s="708"/>
    </row>
    <row r="31" spans="1:17" ht="12.9" customHeight="1" thickBot="1">
      <c r="A31" s="703"/>
      <c r="B31" s="732"/>
      <c r="C31" s="719"/>
      <c r="D31" s="7"/>
      <c r="E31" s="6"/>
      <c r="F31" s="6"/>
      <c r="G31" s="6"/>
      <c r="H31" s="6"/>
      <c r="I31" s="6"/>
      <c r="J31" s="6"/>
      <c r="K31" s="6"/>
      <c r="L31" s="6"/>
      <c r="M31" s="6"/>
      <c r="N31" s="6"/>
      <c r="O31" s="717"/>
      <c r="P31" s="733"/>
      <c r="Q31" s="708"/>
    </row>
    <row r="32" spans="1:17" ht="12.9" customHeight="1">
      <c r="A32" s="703"/>
      <c r="B32" s="732"/>
      <c r="C32" s="719"/>
      <c r="D32" s="7"/>
      <c r="E32" s="3771"/>
      <c r="F32" s="3772"/>
      <c r="G32" s="3772"/>
      <c r="H32" s="3772"/>
      <c r="I32" s="3772"/>
      <c r="J32" s="3772"/>
      <c r="K32" s="3772"/>
      <c r="L32" s="3772"/>
      <c r="M32" s="3773"/>
      <c r="N32" s="6"/>
      <c r="O32" s="717"/>
      <c r="P32" s="733"/>
      <c r="Q32" s="708"/>
    </row>
    <row r="33" spans="1:17" ht="12.9" customHeight="1">
      <c r="A33" s="703"/>
      <c r="B33" s="732"/>
      <c r="C33" s="719"/>
      <c r="D33" s="6"/>
      <c r="E33" s="3774"/>
      <c r="F33" s="3775"/>
      <c r="G33" s="3775"/>
      <c r="H33" s="3775"/>
      <c r="I33" s="3775"/>
      <c r="J33" s="3775"/>
      <c r="K33" s="3775"/>
      <c r="L33" s="3775"/>
      <c r="M33" s="3776"/>
      <c r="N33" s="6"/>
      <c r="O33" s="717"/>
      <c r="P33" s="733"/>
      <c r="Q33" s="708"/>
    </row>
    <row r="34" spans="1:17" ht="12.9" customHeight="1">
      <c r="A34" s="703"/>
      <c r="B34" s="732"/>
      <c r="C34" s="719"/>
      <c r="D34" s="6"/>
      <c r="E34" s="3774"/>
      <c r="F34" s="3775"/>
      <c r="G34" s="3775"/>
      <c r="H34" s="3775"/>
      <c r="I34" s="3775"/>
      <c r="J34" s="3775"/>
      <c r="K34" s="3775"/>
      <c r="L34" s="3775"/>
      <c r="M34" s="3776"/>
      <c r="N34" s="6"/>
      <c r="O34" s="717"/>
      <c r="P34" s="733"/>
      <c r="Q34" s="708"/>
    </row>
    <row r="35" spans="1:17" ht="12.9" customHeight="1">
      <c r="A35" s="703"/>
      <c r="B35" s="732"/>
      <c r="C35" s="719"/>
      <c r="D35" s="6"/>
      <c r="E35" s="3774"/>
      <c r="F35" s="3816" t="s">
        <v>1</v>
      </c>
      <c r="G35" s="3816"/>
      <c r="H35" s="3816"/>
      <c r="I35" s="3816"/>
      <c r="J35" s="3816"/>
      <c r="K35" s="3816"/>
      <c r="L35" s="3816"/>
      <c r="M35" s="3776"/>
      <c r="N35" s="6"/>
      <c r="O35" s="717"/>
      <c r="P35" s="733"/>
      <c r="Q35" s="708"/>
    </row>
    <row r="36" spans="1:17" ht="12.9" customHeight="1">
      <c r="A36" s="703"/>
      <c r="B36" s="732"/>
      <c r="C36" s="719"/>
      <c r="D36" s="6"/>
      <c r="E36" s="3774"/>
      <c r="F36" s="3816"/>
      <c r="G36" s="3816"/>
      <c r="H36" s="3816"/>
      <c r="I36" s="3816"/>
      <c r="J36" s="3816"/>
      <c r="K36" s="3816"/>
      <c r="L36" s="3816"/>
      <c r="M36" s="3776"/>
      <c r="N36" s="6"/>
      <c r="O36" s="717"/>
      <c r="P36" s="733"/>
      <c r="Q36" s="708"/>
    </row>
    <row r="37" spans="1:17" ht="12.9" customHeight="1">
      <c r="A37" s="703"/>
      <c r="B37" s="732"/>
      <c r="C37" s="719"/>
      <c r="D37" s="6"/>
      <c r="E37" s="3774"/>
      <c r="F37" s="3816"/>
      <c r="G37" s="3816"/>
      <c r="H37" s="3816"/>
      <c r="I37" s="3816"/>
      <c r="J37" s="3816"/>
      <c r="K37" s="3816"/>
      <c r="L37" s="3816"/>
      <c r="M37" s="3776"/>
      <c r="N37" s="6"/>
      <c r="O37" s="717"/>
      <c r="P37" s="733"/>
      <c r="Q37" s="708"/>
    </row>
    <row r="38" spans="1:17" ht="12.9" customHeight="1">
      <c r="A38" s="703"/>
      <c r="B38" s="732"/>
      <c r="C38" s="719"/>
      <c r="D38" s="6"/>
      <c r="E38" s="3774"/>
      <c r="F38" s="3816"/>
      <c r="G38" s="3816"/>
      <c r="H38" s="3816"/>
      <c r="I38" s="3816"/>
      <c r="J38" s="3816"/>
      <c r="K38" s="3816"/>
      <c r="L38" s="3816"/>
      <c r="M38" s="3776"/>
      <c r="N38" s="6"/>
      <c r="O38" s="717"/>
      <c r="P38" s="734"/>
      <c r="Q38" s="708"/>
    </row>
    <row r="39" spans="1:17" ht="12.9" customHeight="1">
      <c r="A39" s="703"/>
      <c r="B39" s="732"/>
      <c r="C39" s="719"/>
      <c r="D39" s="6"/>
      <c r="E39" s="3774"/>
      <c r="F39" s="3817" t="s">
        <v>657</v>
      </c>
      <c r="G39" s="3817"/>
      <c r="H39" s="3817"/>
      <c r="I39" s="3817"/>
      <c r="J39" s="3817"/>
      <c r="K39" s="3817"/>
      <c r="L39" s="3817"/>
      <c r="M39" s="3776"/>
      <c r="N39" s="6"/>
      <c r="O39" s="717"/>
      <c r="P39" s="733"/>
      <c r="Q39" s="708"/>
    </row>
    <row r="40" spans="1:17" ht="12.9" customHeight="1">
      <c r="A40" s="703"/>
      <c r="B40" s="732"/>
      <c r="C40" s="719"/>
      <c r="D40" s="7"/>
      <c r="E40" s="3777"/>
      <c r="F40" s="3817"/>
      <c r="G40" s="3817"/>
      <c r="H40" s="3817"/>
      <c r="I40" s="3817"/>
      <c r="J40" s="3817"/>
      <c r="K40" s="3817"/>
      <c r="L40" s="3817"/>
      <c r="M40" s="3777"/>
      <c r="N40" s="5"/>
      <c r="O40" s="717"/>
      <c r="P40" s="734"/>
      <c r="Q40" s="708"/>
    </row>
    <row r="41" spans="1:17" ht="12.9" customHeight="1">
      <c r="A41" s="703"/>
      <c r="B41" s="732"/>
      <c r="C41" s="719"/>
      <c r="D41" s="5"/>
      <c r="E41" s="3777"/>
      <c r="F41" s="3817"/>
      <c r="G41" s="3817"/>
      <c r="H41" s="3817"/>
      <c r="I41" s="3817"/>
      <c r="J41" s="3817"/>
      <c r="K41" s="3817"/>
      <c r="L41" s="3817"/>
      <c r="M41" s="3777"/>
      <c r="N41" s="5"/>
      <c r="O41" s="717"/>
      <c r="P41" s="733"/>
      <c r="Q41" s="708"/>
    </row>
    <row r="42" spans="1:17" ht="12.9" customHeight="1">
      <c r="A42" s="703"/>
      <c r="B42" s="732"/>
      <c r="C42" s="719"/>
      <c r="D42" s="5"/>
      <c r="E42" s="3777"/>
      <c r="F42" s="3778"/>
      <c r="G42" s="3778"/>
      <c r="H42" s="3778"/>
      <c r="I42" s="3778"/>
      <c r="J42" s="3778"/>
      <c r="K42" s="3778"/>
      <c r="L42" s="3778"/>
      <c r="M42" s="3777"/>
      <c r="N42" s="5"/>
      <c r="O42" s="717"/>
      <c r="P42" s="723"/>
      <c r="Q42" s="708"/>
    </row>
    <row r="43" spans="1:17" ht="12.9" customHeight="1">
      <c r="A43" s="703"/>
      <c r="B43" s="732"/>
      <c r="C43" s="722"/>
      <c r="D43" s="5"/>
      <c r="E43" s="3777"/>
      <c r="F43" s="3778"/>
      <c r="G43" s="3778"/>
      <c r="H43" s="3778"/>
      <c r="I43" s="3778"/>
      <c r="J43" s="3778"/>
      <c r="K43" s="3778"/>
      <c r="L43" s="3778"/>
      <c r="M43" s="3777"/>
      <c r="N43" s="5"/>
      <c r="O43" s="723"/>
      <c r="P43" s="723"/>
      <c r="Q43" s="708"/>
    </row>
    <row r="44" spans="1:17" ht="12.9" customHeight="1" thickBot="1">
      <c r="A44" s="703"/>
      <c r="B44" s="732"/>
      <c r="C44" s="715"/>
      <c r="D44" s="5"/>
      <c r="E44" s="3779"/>
      <c r="F44" s="3780"/>
      <c r="G44" s="3780"/>
      <c r="H44" s="3780"/>
      <c r="I44" s="3780"/>
      <c r="J44" s="3780"/>
      <c r="K44" s="3780"/>
      <c r="L44" s="3780"/>
      <c r="M44" s="3779"/>
      <c r="N44" s="5"/>
      <c r="O44" s="716"/>
      <c r="P44" s="723"/>
      <c r="Q44" s="708"/>
    </row>
    <row r="45" spans="1:17" ht="12.9" customHeight="1">
      <c r="A45" s="703"/>
      <c r="B45" s="732"/>
      <c r="C45" s="715"/>
      <c r="D45" s="5"/>
      <c r="E45" s="5"/>
      <c r="F45" s="5"/>
      <c r="G45" s="5"/>
      <c r="H45" s="5"/>
      <c r="I45" s="5"/>
      <c r="J45" s="5"/>
      <c r="K45" s="5"/>
      <c r="L45" s="5"/>
      <c r="M45" s="5"/>
      <c r="N45" s="5"/>
      <c r="O45" s="716"/>
      <c r="P45" s="723"/>
      <c r="Q45" s="708"/>
    </row>
    <row r="46" spans="1:17" ht="12.9" customHeight="1">
      <c r="A46" s="703"/>
      <c r="B46" s="732"/>
      <c r="C46" s="715"/>
      <c r="D46" s="1"/>
      <c r="E46" s="1"/>
      <c r="F46" s="1"/>
      <c r="G46" s="1"/>
      <c r="H46" s="1"/>
      <c r="I46" s="1"/>
      <c r="J46" s="1"/>
      <c r="K46" s="1"/>
      <c r="L46" s="1"/>
      <c r="M46" s="1"/>
      <c r="N46" s="1"/>
      <c r="O46" s="716"/>
      <c r="P46" s="723"/>
      <c r="Q46" s="708"/>
    </row>
    <row r="47" spans="1:17" ht="12.9" customHeight="1">
      <c r="A47" s="703"/>
      <c r="B47" s="732"/>
      <c r="C47" s="715"/>
      <c r="D47" s="1"/>
      <c r="E47" s="1"/>
      <c r="F47" s="1"/>
      <c r="G47" s="1"/>
      <c r="H47" s="1"/>
      <c r="I47" s="1"/>
      <c r="J47" s="1"/>
      <c r="K47" s="1"/>
      <c r="L47" s="1"/>
      <c r="M47" s="1"/>
      <c r="N47" s="1"/>
      <c r="O47" s="716"/>
      <c r="P47" s="723"/>
      <c r="Q47" s="708"/>
    </row>
    <row r="48" spans="1:17" ht="12.9" customHeight="1">
      <c r="A48" s="703"/>
      <c r="B48" s="732"/>
      <c r="C48" s="715"/>
      <c r="D48" s="1"/>
      <c r="E48" s="1"/>
      <c r="F48" s="1"/>
      <c r="G48" s="1"/>
      <c r="H48" s="1"/>
      <c r="I48" s="1"/>
      <c r="J48" s="1"/>
      <c r="K48" s="1"/>
      <c r="L48" s="1"/>
      <c r="M48" s="1"/>
      <c r="N48" s="1"/>
      <c r="O48" s="716"/>
      <c r="P48" s="723"/>
      <c r="Q48" s="708"/>
    </row>
    <row r="49" spans="1:17" ht="12.9" customHeight="1">
      <c r="A49" s="703"/>
      <c r="B49" s="732"/>
      <c r="C49" s="715"/>
      <c r="D49" s="1"/>
      <c r="E49" s="1"/>
      <c r="F49" s="1"/>
      <c r="G49" s="1"/>
      <c r="H49" s="1"/>
      <c r="I49" s="1"/>
      <c r="J49" s="1"/>
      <c r="K49" s="1"/>
      <c r="L49" s="1"/>
      <c r="M49" s="1"/>
      <c r="N49" s="1"/>
      <c r="O49" s="716"/>
      <c r="P49" s="723"/>
      <c r="Q49" s="708"/>
    </row>
    <row r="50" spans="1:17" ht="12.9" customHeight="1">
      <c r="A50" s="703"/>
      <c r="B50" s="732"/>
      <c r="C50" s="715"/>
      <c r="D50" s="1"/>
      <c r="E50" s="1"/>
      <c r="F50" s="1"/>
      <c r="G50" s="1"/>
      <c r="H50" s="1"/>
      <c r="I50" s="1"/>
      <c r="J50" s="1"/>
      <c r="K50" s="1"/>
      <c r="L50" s="1"/>
      <c r="M50" s="1"/>
      <c r="N50" s="1"/>
      <c r="O50" s="716"/>
      <c r="P50" s="723"/>
      <c r="Q50" s="708"/>
    </row>
    <row r="51" spans="1:17" ht="12.9" customHeight="1">
      <c r="A51" s="703"/>
      <c r="B51" s="732"/>
      <c r="C51" s="715"/>
      <c r="D51" s="1"/>
      <c r="E51" s="1"/>
      <c r="F51" s="1"/>
      <c r="G51" s="1"/>
      <c r="H51" s="1"/>
      <c r="I51" s="1"/>
      <c r="J51" s="1"/>
      <c r="K51" s="1"/>
      <c r="L51" s="1"/>
      <c r="M51" s="1"/>
      <c r="N51" s="1"/>
      <c r="O51" s="716"/>
      <c r="P51" s="723"/>
      <c r="Q51" s="708"/>
    </row>
    <row r="52" spans="1:17" ht="12.9" customHeight="1">
      <c r="A52" s="703"/>
      <c r="B52" s="732"/>
      <c r="C52" s="715"/>
      <c r="D52" s="1"/>
      <c r="E52" s="1"/>
      <c r="F52" s="1"/>
      <c r="G52" s="1"/>
      <c r="H52" s="3814" t="s">
        <v>0</v>
      </c>
      <c r="I52" s="3814"/>
      <c r="J52" s="3814"/>
      <c r="K52" s="1"/>
      <c r="L52" s="1"/>
      <c r="M52" s="1"/>
      <c r="N52" s="1"/>
      <c r="O52" s="716"/>
      <c r="P52" s="723"/>
      <c r="Q52" s="708"/>
    </row>
    <row r="53" spans="1:17" ht="12.9" customHeight="1">
      <c r="A53" s="703"/>
      <c r="B53" s="732"/>
      <c r="C53" s="715"/>
      <c r="D53" s="1"/>
      <c r="E53" s="1"/>
      <c r="F53" s="1"/>
      <c r="G53" s="1"/>
      <c r="H53" s="3815"/>
      <c r="I53" s="3815"/>
      <c r="J53" s="3815"/>
      <c r="K53" s="1"/>
      <c r="L53" s="1"/>
      <c r="M53" s="1"/>
      <c r="N53" s="1"/>
      <c r="O53" s="716"/>
      <c r="P53" s="723"/>
      <c r="Q53" s="708"/>
    </row>
    <row r="54" spans="1:17" ht="12.9" customHeight="1">
      <c r="A54" s="703"/>
      <c r="B54" s="732"/>
      <c r="C54" s="715"/>
      <c r="D54" s="1"/>
      <c r="E54" s="1"/>
      <c r="F54" s="1"/>
      <c r="G54" s="1404"/>
      <c r="H54" s="1405"/>
      <c r="I54" s="1405"/>
      <c r="J54" s="1405"/>
      <c r="K54" s="1406"/>
      <c r="L54" s="1"/>
      <c r="M54" s="1"/>
      <c r="N54" s="1"/>
      <c r="O54" s="716"/>
      <c r="P54" s="723"/>
      <c r="Q54" s="708"/>
    </row>
    <row r="55" spans="1:17" ht="21.9" customHeight="1">
      <c r="A55" s="703"/>
      <c r="B55" s="732"/>
      <c r="C55" s="715"/>
      <c r="D55" s="1"/>
      <c r="E55" s="1"/>
      <c r="F55" s="1"/>
      <c r="G55" s="3810">
        <v>2022</v>
      </c>
      <c r="H55" s="3811"/>
      <c r="I55" s="1286" t="s">
        <v>653</v>
      </c>
      <c r="J55" s="3818">
        <v>2023</v>
      </c>
      <c r="K55" s="3819"/>
      <c r="L55" s="1"/>
      <c r="M55" s="1"/>
      <c r="N55" s="1"/>
      <c r="O55" s="716"/>
      <c r="P55" s="723"/>
      <c r="Q55" s="708"/>
    </row>
    <row r="56" spans="1:17" ht="3.9" customHeight="1">
      <c r="A56" s="703"/>
      <c r="B56" s="732"/>
      <c r="C56" s="715"/>
      <c r="D56" s="1"/>
      <c r="E56" s="1"/>
      <c r="F56" s="1"/>
      <c r="G56" s="1407"/>
      <c r="H56" s="1408"/>
      <c r="I56" s="1408"/>
      <c r="J56" s="1408"/>
      <c r="K56" s="1409"/>
      <c r="L56" s="1"/>
      <c r="M56" s="1"/>
      <c r="N56" s="1"/>
      <c r="O56" s="716"/>
      <c r="P56" s="723"/>
      <c r="Q56" s="708"/>
    </row>
    <row r="57" spans="1:17" ht="12.9" customHeight="1">
      <c r="A57" s="703"/>
      <c r="B57" s="732"/>
      <c r="C57" s="715"/>
      <c r="D57" s="1"/>
      <c r="E57" s="1"/>
      <c r="F57" s="1"/>
      <c r="G57" s="1"/>
      <c r="H57" s="1"/>
      <c r="I57" s="1"/>
      <c r="J57" s="1"/>
      <c r="K57" s="1"/>
      <c r="L57" s="1"/>
      <c r="M57" s="1"/>
      <c r="N57" s="1"/>
      <c r="O57" s="716"/>
      <c r="P57" s="723"/>
      <c r="Q57" s="708"/>
    </row>
    <row r="58" spans="1:17" ht="12.9" customHeight="1">
      <c r="A58" s="703"/>
      <c r="B58" s="732"/>
      <c r="C58" s="715"/>
      <c r="D58" s="1"/>
      <c r="E58" s="1"/>
      <c r="F58" s="1"/>
      <c r="G58" s="1"/>
      <c r="H58" s="1"/>
      <c r="I58" s="1"/>
      <c r="J58" s="1"/>
      <c r="K58" s="1"/>
      <c r="L58" s="1"/>
      <c r="M58" s="1"/>
      <c r="N58" s="1"/>
      <c r="O58" s="716"/>
      <c r="P58" s="723"/>
      <c r="Q58" s="708"/>
    </row>
    <row r="59" spans="1:17" ht="12.9" customHeight="1">
      <c r="A59" s="703"/>
      <c r="B59" s="732"/>
      <c r="C59" s="722"/>
      <c r="D59" s="4"/>
      <c r="E59" s="3"/>
      <c r="F59" s="3"/>
      <c r="G59" s="2"/>
      <c r="H59" s="2"/>
      <c r="I59" s="2"/>
      <c r="J59" s="2"/>
      <c r="K59" s="2"/>
      <c r="L59" s="2"/>
      <c r="M59" s="2"/>
      <c r="N59" s="2"/>
      <c r="O59" s="723"/>
      <c r="P59" s="723"/>
      <c r="Q59" s="708"/>
    </row>
    <row r="60" spans="1:17" ht="12.9" customHeight="1">
      <c r="A60" s="703"/>
      <c r="B60" s="732"/>
      <c r="C60" s="715"/>
      <c r="D60" s="1"/>
      <c r="E60" s="1"/>
      <c r="F60" s="1"/>
      <c r="G60" s="1"/>
      <c r="H60" s="1"/>
      <c r="I60" s="1"/>
      <c r="J60" s="1"/>
      <c r="K60" s="1"/>
      <c r="L60" s="1"/>
      <c r="M60" s="1"/>
      <c r="N60" s="1"/>
      <c r="O60" s="716"/>
      <c r="P60" s="723"/>
      <c r="Q60" s="708"/>
    </row>
    <row r="61" spans="1:17" ht="12.9" customHeight="1">
      <c r="A61" s="703"/>
      <c r="B61" s="732"/>
      <c r="C61" s="715"/>
      <c r="D61" s="1"/>
      <c r="E61" s="1"/>
      <c r="F61" s="1"/>
      <c r="G61" s="1"/>
      <c r="H61" s="1"/>
      <c r="I61" s="1"/>
      <c r="J61" s="1"/>
      <c r="K61" s="1"/>
      <c r="L61" s="1"/>
      <c r="M61" s="1"/>
      <c r="N61" s="1"/>
      <c r="O61" s="716"/>
      <c r="P61" s="723"/>
      <c r="Q61" s="708"/>
    </row>
    <row r="62" spans="1:17" ht="12.9" customHeight="1">
      <c r="A62" s="703"/>
      <c r="B62" s="735"/>
      <c r="C62" s="715"/>
      <c r="D62" s="1"/>
      <c r="E62" s="1"/>
      <c r="F62" s="1"/>
      <c r="G62" s="1"/>
      <c r="H62" s="1"/>
      <c r="I62" s="1"/>
      <c r="J62" s="1"/>
      <c r="K62" s="1"/>
      <c r="L62" s="1"/>
      <c r="M62" s="1"/>
      <c r="N62" s="1"/>
      <c r="O62" s="716"/>
      <c r="P62" s="736"/>
      <c r="Q62" s="709"/>
    </row>
    <row r="63" spans="1:17" ht="12.9" customHeight="1">
      <c r="A63" s="703"/>
      <c r="B63" s="735"/>
      <c r="C63" s="715"/>
      <c r="D63" s="1"/>
      <c r="E63" s="1"/>
      <c r="F63" s="1"/>
      <c r="G63" s="1"/>
      <c r="H63" s="1"/>
      <c r="I63" s="1"/>
      <c r="J63" s="1"/>
      <c r="K63" s="1"/>
      <c r="L63" s="1"/>
      <c r="M63" s="1"/>
      <c r="N63" s="1"/>
      <c r="O63" s="716"/>
      <c r="P63" s="736"/>
      <c r="Q63" s="709"/>
    </row>
    <row r="64" spans="1:17" ht="12.9" customHeight="1">
      <c r="A64" s="703"/>
      <c r="B64" s="735"/>
      <c r="C64" s="715"/>
      <c r="D64" s="1"/>
      <c r="E64" s="1"/>
      <c r="F64" s="1"/>
      <c r="G64" s="1"/>
      <c r="H64" s="1"/>
      <c r="I64" s="1"/>
      <c r="J64" s="1"/>
      <c r="K64" s="1"/>
      <c r="L64" s="1"/>
      <c r="M64" s="1"/>
      <c r="N64" s="1"/>
      <c r="O64" s="716"/>
      <c r="P64" s="736"/>
      <c r="Q64" s="709"/>
    </row>
    <row r="65" spans="1:17" ht="12.9" customHeight="1">
      <c r="A65" s="703"/>
      <c r="B65" s="735"/>
      <c r="C65" s="715"/>
      <c r="D65" s="1"/>
      <c r="E65" s="1"/>
      <c r="F65" s="1"/>
      <c r="G65" s="1"/>
      <c r="H65" s="1"/>
      <c r="I65" s="1"/>
      <c r="J65" s="1"/>
      <c r="K65" s="1"/>
      <c r="L65" s="1"/>
      <c r="M65" s="1"/>
      <c r="N65" s="1"/>
      <c r="O65" s="716"/>
      <c r="P65" s="736"/>
      <c r="Q65" s="709"/>
    </row>
    <row r="66" spans="1:17" ht="12.9" customHeight="1" thickBot="1">
      <c r="A66" s="703"/>
      <c r="B66" s="735"/>
      <c r="C66" s="724"/>
      <c r="D66" s="725"/>
      <c r="E66" s="725"/>
      <c r="F66" s="725"/>
      <c r="G66" s="725"/>
      <c r="H66" s="725"/>
      <c r="I66" s="725"/>
      <c r="J66" s="725"/>
      <c r="K66" s="725"/>
      <c r="L66" s="725"/>
      <c r="M66" s="725"/>
      <c r="N66" s="725"/>
      <c r="O66" s="726"/>
      <c r="P66" s="736"/>
      <c r="Q66" s="709"/>
    </row>
    <row r="67" spans="1:17" ht="12.9" customHeight="1" thickBot="1">
      <c r="A67" s="703"/>
      <c r="B67" s="724"/>
      <c r="C67" s="725"/>
      <c r="D67" s="725"/>
      <c r="E67" s="725"/>
      <c r="F67" s="725"/>
      <c r="G67" s="725"/>
      <c r="H67" s="725"/>
      <c r="I67" s="725"/>
      <c r="J67" s="725"/>
      <c r="K67" s="725"/>
      <c r="L67" s="725"/>
      <c r="M67" s="725"/>
      <c r="N67" s="725"/>
      <c r="O67" s="725"/>
      <c r="P67" s="726"/>
      <c r="Q67" s="709"/>
    </row>
    <row r="68" spans="1:17" ht="12.9" customHeight="1">
      <c r="A68" s="1020"/>
      <c r="B68" s="3163" t="str">
        <f>'الصفحة 1'!$B$101</f>
        <v>السنة الدراسية  2022 - 2023</v>
      </c>
      <c r="C68" s="1020"/>
      <c r="D68" s="1020"/>
      <c r="E68" s="1020"/>
      <c r="F68" s="1020"/>
      <c r="G68" s="1020"/>
      <c r="H68" s="1020"/>
      <c r="I68" s="1020"/>
      <c r="J68" s="1020"/>
      <c r="K68" s="1020"/>
      <c r="L68" s="1020"/>
      <c r="M68" s="1020"/>
      <c r="N68" s="1020"/>
      <c r="O68" s="1020"/>
      <c r="P68" s="1020"/>
      <c r="Q68" s="1020"/>
    </row>
    <row r="69" spans="1:17" hidden="1"/>
    <row r="70" spans="1:17" hidden="1"/>
    <row r="71" spans="1:17" hidden="1"/>
    <row r="72" spans="1:17" hidden="1"/>
    <row r="73" spans="1:17" hidden="1"/>
  </sheetData>
  <sheetProtection sheet="1" objects="1" scenarios="1" formatCells="0" formatColumns="0"/>
  <mergeCells count="16">
    <mergeCell ref="G15:K15"/>
    <mergeCell ref="H18:J18"/>
    <mergeCell ref="D21:E22"/>
    <mergeCell ref="F21:H22"/>
    <mergeCell ref="K4:N8"/>
    <mergeCell ref="G13:K14"/>
    <mergeCell ref="D7:G8"/>
    <mergeCell ref="D4:G5"/>
    <mergeCell ref="D6:G6"/>
    <mergeCell ref="L21:N22"/>
    <mergeCell ref="G55:H55"/>
    <mergeCell ref="J21:K22"/>
    <mergeCell ref="H52:J53"/>
    <mergeCell ref="F35:L38"/>
    <mergeCell ref="F39:L41"/>
    <mergeCell ref="J55:K55"/>
  </mergeCells>
  <conditionalFormatting sqref="F21:H22 L21:N22">
    <cfRule type="cellIs" dxfId="22110" priority="3" stopIfTrue="1" operator="equal">
      <formula>0</formula>
    </cfRule>
  </conditionalFormatting>
  <conditionalFormatting sqref="J55">
    <cfRule type="cellIs" dxfId="22109" priority="1" operator="lessThanOrEqual">
      <formula>1</formula>
    </cfRule>
  </conditionalFormatting>
  <printOptions horizontalCentered="1" verticalCentered="1"/>
  <pageMargins left="0.19685039370078741" right="0.19685039370078741" top="0.19685039370078741" bottom="0.19685039370078741" header="0" footer="0.23622047244094491"/>
  <pageSetup paperSize="9" scale="95" orientation="portrait" r:id="rId1"/>
  <headerFooter>
    <oddFooter xml:space="preserve">&amp;R&amp;"-,Gras"&amp;8&amp;K00-024Echamil  V.08    &amp;F     &amp;A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9">
    <tabColor rgb="FF00B050"/>
  </sheetPr>
  <dimension ref="A1:Z54"/>
  <sheetViews>
    <sheetView showGridLines="0" rightToLeft="1" topLeftCell="A4" zoomScale="115" zoomScaleNormal="115" workbookViewId="0">
      <selection activeCell="B2" sqref="B2"/>
    </sheetView>
  </sheetViews>
  <sheetFormatPr baseColWidth="10" defaultColWidth="0" defaultRowHeight="14.4" zeroHeight="1"/>
  <cols>
    <col min="1" max="1" width="1.6640625"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9" t="s">
        <v>603</v>
      </c>
      <c r="W2" s="4459"/>
      <c r="X2" s="4459"/>
      <c r="Y2" s="1945"/>
      <c r="Z2" s="1420"/>
    </row>
    <row r="3" spans="1:26"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9"/>
      <c r="W3" s="4459"/>
      <c r="X3" s="4459"/>
      <c r="Y3" s="1945"/>
      <c r="Z3" s="1420"/>
    </row>
    <row r="4" spans="1:26" ht="20.100000000000001" customHeight="1">
      <c r="A4" s="1418"/>
      <c r="B4" s="1431"/>
      <c r="C4" s="1432"/>
      <c r="D4" s="1946" t="s">
        <v>1463</v>
      </c>
      <c r="E4" s="1434"/>
      <c r="F4" s="1434"/>
      <c r="M4" s="1947"/>
      <c r="N4" s="1438"/>
      <c r="O4" s="1438"/>
      <c r="P4" s="1948" t="s">
        <v>1464</v>
      </c>
      <c r="Q4" s="1948"/>
      <c r="R4" s="1441"/>
      <c r="S4" s="1430"/>
      <c r="T4" s="1424"/>
      <c r="U4" s="1944"/>
      <c r="V4" s="4459"/>
      <c r="W4" s="4459"/>
      <c r="X4" s="4459"/>
      <c r="Y4" s="1945"/>
      <c r="Z4" s="1420"/>
    </row>
    <row r="5" spans="1:26" ht="2.1" customHeight="1">
      <c r="A5" s="1418"/>
      <c r="B5" s="1431"/>
      <c r="C5" s="1442"/>
      <c r="D5" s="1434"/>
      <c r="E5" s="1434"/>
      <c r="F5" s="1434"/>
      <c r="G5" s="1434"/>
      <c r="H5" s="1444"/>
      <c r="I5" s="1445"/>
      <c r="J5" s="1445"/>
      <c r="K5" s="1445"/>
      <c r="L5" s="1446"/>
      <c r="M5" s="1438"/>
      <c r="N5" s="1438"/>
      <c r="O5" s="1438"/>
      <c r="P5" s="1443"/>
      <c r="Q5" s="1440"/>
      <c r="R5" s="1441"/>
      <c r="S5" s="1430"/>
      <c r="T5" s="1424"/>
      <c r="U5" s="1944"/>
      <c r="V5" s="4459"/>
      <c r="W5" s="4459"/>
      <c r="X5" s="4459"/>
      <c r="Y5" s="1945"/>
      <c r="Z5" s="1420"/>
    </row>
    <row r="6" spans="1:26" ht="15.9" customHeight="1">
      <c r="A6" s="1418"/>
      <c r="B6" s="1431"/>
      <c r="C6" s="1442"/>
      <c r="F6" s="1951"/>
      <c r="G6" s="1952" t="s">
        <v>936</v>
      </c>
      <c r="H6" s="1953" t="s">
        <v>1086</v>
      </c>
      <c r="I6" s="1954"/>
      <c r="J6" s="2041"/>
      <c r="K6" s="1955"/>
      <c r="L6" s="1956" t="s">
        <v>1101</v>
      </c>
      <c r="M6" s="1955"/>
      <c r="N6" s="1957"/>
      <c r="O6" s="1957" t="s">
        <v>937</v>
      </c>
      <c r="Q6" s="1440"/>
      <c r="R6" s="1441"/>
      <c r="S6" s="1430"/>
      <c r="T6" s="1424"/>
      <c r="U6" s="1944"/>
      <c r="V6" s="4459"/>
      <c r="W6" s="4459"/>
      <c r="X6" s="4459"/>
      <c r="Y6" s="1950"/>
      <c r="Z6" s="1420"/>
    </row>
    <row r="7" spans="1:26" ht="2.1" customHeight="1">
      <c r="A7" s="1418"/>
      <c r="B7" s="1431"/>
      <c r="C7" s="1442"/>
      <c r="D7" s="1493"/>
      <c r="E7" s="1949"/>
      <c r="F7" s="1949"/>
      <c r="G7" s="1949"/>
      <c r="H7" s="1949"/>
      <c r="I7" s="1949"/>
      <c r="J7" s="1949"/>
      <c r="K7" s="1949"/>
      <c r="L7" s="1949"/>
      <c r="M7" s="1949"/>
      <c r="N7" s="1949"/>
      <c r="O7" s="1949"/>
      <c r="P7" s="1949"/>
      <c r="Q7" s="1440"/>
      <c r="R7" s="1441"/>
      <c r="S7" s="1430"/>
      <c r="T7" s="1424"/>
      <c r="U7" s="1944"/>
      <c r="V7" s="1032"/>
      <c r="W7" s="1950"/>
      <c r="X7" s="1950"/>
      <c r="Y7" s="1950"/>
      <c r="Z7" s="1420"/>
    </row>
    <row r="8" spans="1:26" ht="14.1" customHeight="1">
      <c r="A8" s="1418"/>
      <c r="B8" s="1431"/>
      <c r="C8" s="1442"/>
      <c r="D8" s="2418" t="s">
        <v>1191</v>
      </c>
      <c r="E8" s="2419"/>
      <c r="F8" s="2419"/>
      <c r="G8" s="2419"/>
      <c r="H8" s="2420"/>
      <c r="I8" s="2420"/>
      <c r="J8" s="2420"/>
      <c r="K8" s="2420"/>
      <c r="L8" s="2419"/>
      <c r="M8" s="2419"/>
      <c r="N8" s="2419"/>
      <c r="O8" s="2419"/>
      <c r="P8" s="2396" t="s">
        <v>1192</v>
      </c>
      <c r="Q8" s="1440"/>
      <c r="R8" s="144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1440"/>
      <c r="R9" s="144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1440"/>
      <c r="R10" s="144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1440"/>
      <c r="R11" s="1441"/>
      <c r="S11" s="1430"/>
      <c r="T11" s="1424"/>
      <c r="U11" s="1944"/>
      <c r="V11" s="3100" t="s">
        <v>965</v>
      </c>
      <c r="W11" s="1966"/>
      <c r="X11" s="2036"/>
      <c r="Y11" s="2036"/>
      <c r="Z11" s="1420"/>
    </row>
    <row r="12" spans="1:26" ht="12" customHeight="1">
      <c r="A12" s="1418"/>
      <c r="B12" s="1431"/>
      <c r="C12" s="1442"/>
      <c r="D12" s="2430" t="s">
        <v>20</v>
      </c>
      <c r="E12" s="2265"/>
      <c r="F12" s="1462"/>
      <c r="G12" s="1462">
        <v>0</v>
      </c>
      <c r="H12" s="1462"/>
      <c r="I12" s="1462"/>
      <c r="J12" s="1462"/>
      <c r="K12" s="1462"/>
      <c r="L12" s="1462"/>
      <c r="M12" s="1462"/>
      <c r="N12" s="1462"/>
      <c r="O12" s="1462"/>
      <c r="P12" s="1998">
        <f>E12+F12+G12+H12+I12+J12+K12+L12+M12+N12+O12</f>
        <v>0</v>
      </c>
      <c r="Q12" s="1440"/>
      <c r="R12" s="1441"/>
      <c r="S12" s="1430"/>
      <c r="T12" s="1424"/>
      <c r="U12" s="1944"/>
      <c r="V12" s="4452" t="str">
        <f>IF(('الصفحة 1'!$Q$14&gt;0),((IF((P12&gt;'الصفحة 14'!$F$13),"العدد غيرمطابق",IF((P12&lt;='الصفحة 14'!$F$13)," ")))),"")</f>
        <v xml:space="preserve"> </v>
      </c>
      <c r="W12" s="4453"/>
      <c r="X12" s="3097"/>
      <c r="Y12" s="3096"/>
      <c r="Z12" s="1420"/>
    </row>
    <row r="13" spans="1:26" ht="12" customHeight="1">
      <c r="A13" s="1418"/>
      <c r="B13" s="1431"/>
      <c r="C13" s="1442"/>
      <c r="D13" s="2430" t="s">
        <v>672</v>
      </c>
      <c r="E13" s="2265"/>
      <c r="F13" s="2265"/>
      <c r="G13" s="2265"/>
      <c r="H13" s="2265"/>
      <c r="I13" s="2265"/>
      <c r="J13" s="2265"/>
      <c r="K13" s="2265"/>
      <c r="L13" s="2265"/>
      <c r="M13" s="2265"/>
      <c r="N13" s="2265"/>
      <c r="O13" s="2265"/>
      <c r="P13" s="1998">
        <f>E13+F13+G13+H13+I13+J13+K13+L13+M13+N13+O13</f>
        <v>0</v>
      </c>
      <c r="Q13" s="1440"/>
      <c r="R13" s="144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1440"/>
      <c r="R14" s="1441"/>
      <c r="S14" s="1430"/>
      <c r="T14" s="1424"/>
      <c r="U14" s="1944"/>
      <c r="V14" s="3100" t="s">
        <v>964</v>
      </c>
      <c r="W14" s="2036"/>
      <c r="X14" s="2036"/>
      <c r="Y14" s="2036"/>
      <c r="Z14" s="1420"/>
    </row>
    <row r="15" spans="1:26" ht="12" customHeight="1">
      <c r="A15" s="1418"/>
      <c r="B15" s="1431"/>
      <c r="C15" s="1442"/>
      <c r="D15" s="2430" t="s">
        <v>20</v>
      </c>
      <c r="E15" s="2265"/>
      <c r="F15" s="1462"/>
      <c r="G15" s="1462"/>
      <c r="H15" s="1462"/>
      <c r="I15" s="1462"/>
      <c r="J15" s="1462"/>
      <c r="K15" s="1462"/>
      <c r="L15" s="1462"/>
      <c r="M15" s="1462"/>
      <c r="N15" s="1462"/>
      <c r="O15" s="1462"/>
      <c r="P15" s="1998">
        <f>E15+F15+G15+H15+I15+J15+K15+L15+M15+N15+O15</f>
        <v>0</v>
      </c>
      <c r="Q15" s="1440"/>
      <c r="R15" s="1441"/>
      <c r="S15" s="1430"/>
      <c r="T15" s="1424"/>
      <c r="U15" s="1944"/>
      <c r="V15" s="4452" t="str">
        <f>IF(('الصفحة 1'!$Q$14&gt;0),((IF((P15&gt;'الصفحة 14'!$F$15),"العدد غيرمطابق",IF((P15&lt;='الصفحة 14'!$F$15)," ")))),"")</f>
        <v xml:space="preserve"> </v>
      </c>
      <c r="W15" s="4453"/>
      <c r="X15" s="3097"/>
      <c r="Y15" s="2036"/>
      <c r="Z15" s="1420"/>
    </row>
    <row r="16" spans="1:26" ht="12" customHeight="1">
      <c r="A16" s="1418"/>
      <c r="B16" s="1431"/>
      <c r="C16" s="1442"/>
      <c r="D16" s="2430" t="s">
        <v>672</v>
      </c>
      <c r="E16" s="2265"/>
      <c r="F16" s="2265"/>
      <c r="G16" s="2265"/>
      <c r="H16" s="2265"/>
      <c r="I16" s="2265"/>
      <c r="J16" s="2265"/>
      <c r="K16" s="2265"/>
      <c r="L16" s="2265"/>
      <c r="M16" s="2265"/>
      <c r="N16" s="2265"/>
      <c r="O16" s="2265"/>
      <c r="P16" s="1998">
        <f>E16+F16+G16+H16+I16+J16+K16+L16+M16+N16+O16</f>
        <v>0</v>
      </c>
      <c r="Q16" s="1440"/>
      <c r="R16" s="144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1440"/>
      <c r="R17" s="144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52" t="str">
        <f>IF(('الصفحة 1'!$Q$14&gt;0),((IF((P18&gt;'الصفحة 14'!$F$17),"العدد غيرمطابق",IF((P18&lt;='الصفحة 14'!$F$17),"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1440"/>
      <c r="R20" s="1441"/>
      <c r="S20" s="1430"/>
      <c r="T20" s="1424"/>
      <c r="U20" s="1944"/>
      <c r="V20" s="3100" t="s">
        <v>962</v>
      </c>
      <c r="W20" s="2039"/>
      <c r="X20" s="3052"/>
      <c r="Y20" s="3052"/>
      <c r="Z20" s="1420"/>
    </row>
    <row r="21" spans="1:26" ht="12" customHeight="1">
      <c r="A21" s="1418"/>
      <c r="B21" s="1431"/>
      <c r="C21" s="1442"/>
      <c r="D21" s="2430" t="s">
        <v>20</v>
      </c>
      <c r="E21" s="2265"/>
      <c r="F21" s="1462"/>
      <c r="G21" s="1462"/>
      <c r="H21" s="1462"/>
      <c r="I21" s="1462"/>
      <c r="J21" s="1462"/>
      <c r="K21" s="1462"/>
      <c r="L21" s="1462"/>
      <c r="M21" s="1462"/>
      <c r="N21" s="1462"/>
      <c r="O21" s="1462"/>
      <c r="P21" s="1998">
        <f>E21+F21+G21+H21+I21+J21+K21+L21+M21+N21+O21</f>
        <v>0</v>
      </c>
      <c r="Q21" s="1440"/>
      <c r="R21" s="1441"/>
      <c r="S21" s="1430"/>
      <c r="T21" s="1424"/>
      <c r="U21" s="1944"/>
      <c r="V21" s="4452" t="str">
        <f>IF(('الصفحة 1'!$Q$14&gt;0),((IF((P21&gt;'الصفحة 14'!$F$19),"العدد غيرمطابق",IF((P21&lt;='الصفحة 14'!$F$19)," ")))),"")</f>
        <v xml:space="preserve"> </v>
      </c>
      <c r="W21" s="4453"/>
      <c r="X21" s="3097"/>
      <c r="Y21" s="3052"/>
      <c r="Z21" s="1420"/>
    </row>
    <row r="22" spans="1:26" ht="12" customHeight="1">
      <c r="A22" s="1418"/>
      <c r="B22" s="1431"/>
      <c r="C22" s="1442"/>
      <c r="D22" s="2430" t="s">
        <v>672</v>
      </c>
      <c r="E22" s="2265"/>
      <c r="F22" s="2265"/>
      <c r="G22" s="2265"/>
      <c r="H22" s="2265"/>
      <c r="I22" s="2265"/>
      <c r="J22" s="2265"/>
      <c r="K22" s="2265"/>
      <c r="L22" s="2265"/>
      <c r="M22" s="2265"/>
      <c r="N22" s="2265"/>
      <c r="O22" s="2265"/>
      <c r="P22" s="1998">
        <f>E22+F22+G22+H22+I22+J22+K22+L22+M22+N22+O22</f>
        <v>0</v>
      </c>
      <c r="Q22" s="1440"/>
      <c r="R22" s="144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1440"/>
      <c r="R23" s="144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52" t="str">
        <f>IF(('الصفحة 1'!$Q$14&gt;0),((IF((P24&gt;'الصفحة 14'!$F$21),"العدد غيرمطابق",IF((P24&lt;='الصفحة 14'!$F$21),"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1440"/>
      <c r="R26" s="1441"/>
      <c r="S26" s="1430"/>
      <c r="T26" s="1424"/>
      <c r="U26" s="1944"/>
      <c r="V26" s="3109" t="s">
        <v>1083</v>
      </c>
      <c r="W26" s="1966"/>
      <c r="X26" s="3052"/>
      <c r="Y26" s="3052"/>
      <c r="Z26" s="1420"/>
    </row>
    <row r="27" spans="1:26" ht="12" customHeight="1">
      <c r="A27" s="1418"/>
      <c r="B27" s="1431"/>
      <c r="C27" s="1442"/>
      <c r="D27" s="2430" t="s">
        <v>20</v>
      </c>
      <c r="E27" s="1996">
        <f t="shared" ref="E27:O27" si="0">(E12+E15+E18+E21+E24)</f>
        <v>0</v>
      </c>
      <c r="F27" s="1997">
        <f t="shared" si="0"/>
        <v>0</v>
      </c>
      <c r="G27" s="1997">
        <f t="shared" si="0"/>
        <v>0</v>
      </c>
      <c r="H27" s="1997">
        <f t="shared" si="0"/>
        <v>0</v>
      </c>
      <c r="I27" s="1997">
        <f t="shared" si="0"/>
        <v>0</v>
      </c>
      <c r="J27" s="1997">
        <f t="shared" si="0"/>
        <v>0</v>
      </c>
      <c r="K27" s="1997">
        <f t="shared" si="0"/>
        <v>0</v>
      </c>
      <c r="L27" s="1997">
        <f t="shared" si="0"/>
        <v>0</v>
      </c>
      <c r="M27" s="1997">
        <f t="shared" si="0"/>
        <v>0</v>
      </c>
      <c r="N27" s="1997">
        <f t="shared" si="0"/>
        <v>0</v>
      </c>
      <c r="O27" s="1997">
        <f t="shared" si="0"/>
        <v>0</v>
      </c>
      <c r="P27" s="1998">
        <f>E27+F27+G27+H27+I27+J27+K27+L27+M27+N27+O27</f>
        <v>0</v>
      </c>
      <c r="Q27" s="1440"/>
      <c r="R27" s="1441"/>
      <c r="S27" s="1430"/>
      <c r="T27" s="1424"/>
      <c r="U27" s="1944"/>
      <c r="V27" s="4452" t="str">
        <f>IF(('الصفحة 1'!$Q$14&gt;0),((IF((P27&gt;'الصفحة 14'!$F$23),"العدد غيرمطابق",IF((P27&lt;='الصفحة 14'!$F$23)," ")))),"")</f>
        <v xml:space="preserve"> </v>
      </c>
      <c r="W27" s="4453"/>
      <c r="X27" s="3097"/>
      <c r="Y27" s="3052"/>
      <c r="Z27" s="1420"/>
    </row>
    <row r="28" spans="1:26" ht="12" customHeight="1">
      <c r="A28" s="1418"/>
      <c r="B28" s="1431"/>
      <c r="C28" s="1442"/>
      <c r="D28" s="2430" t="s">
        <v>672</v>
      </c>
      <c r="E28" s="1996">
        <f t="shared" ref="E28:O28" si="1">(E13+E16+E19+E22+E25)</f>
        <v>0</v>
      </c>
      <c r="F28" s="1996">
        <f t="shared" si="1"/>
        <v>0</v>
      </c>
      <c r="G28" s="1996">
        <f t="shared" si="1"/>
        <v>0</v>
      </c>
      <c r="H28" s="1996">
        <f t="shared" si="1"/>
        <v>0</v>
      </c>
      <c r="I28" s="1996">
        <f t="shared" si="1"/>
        <v>0</v>
      </c>
      <c r="J28" s="1996">
        <f t="shared" si="1"/>
        <v>0</v>
      </c>
      <c r="K28" s="1996">
        <f t="shared" si="1"/>
        <v>0</v>
      </c>
      <c r="L28" s="1996">
        <f t="shared" si="1"/>
        <v>0</v>
      </c>
      <c r="M28" s="1996">
        <f t="shared" si="1"/>
        <v>0</v>
      </c>
      <c r="N28" s="1996">
        <f t="shared" si="1"/>
        <v>0</v>
      </c>
      <c r="O28" s="1996">
        <f t="shared" si="1"/>
        <v>0</v>
      </c>
      <c r="P28" s="1998">
        <f>E28+F28+G28+H28+I28+J28+K28+L28+M28+N28+O28</f>
        <v>0</v>
      </c>
      <c r="Q28" s="1440"/>
      <c r="R28" s="144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1440"/>
      <c r="R29" s="144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64"/>
      <c r="W31" s="4464"/>
      <c r="X31" s="3052"/>
      <c r="Y31" s="3052"/>
      <c r="Z31" s="1420"/>
    </row>
    <row r="32" spans="1:26" ht="11.1" customHeight="1">
      <c r="A32" s="1418"/>
      <c r="B32" s="1431"/>
      <c r="C32" s="1442"/>
      <c r="D32" s="2437" t="s">
        <v>1193</v>
      </c>
      <c r="E32" s="2000"/>
      <c r="F32" s="2000"/>
      <c r="G32" s="2000"/>
      <c r="H32" s="2000"/>
      <c r="I32" s="2000"/>
      <c r="J32" s="2000"/>
      <c r="K32" s="2000"/>
      <c r="L32" s="2000"/>
      <c r="M32" s="2000"/>
      <c r="N32" s="2000"/>
      <c r="O32" s="2000"/>
      <c r="P32" s="2403" t="s">
        <v>1194</v>
      </c>
      <c r="Q32" s="1440"/>
      <c r="R32" s="1441"/>
      <c r="S32" s="1430"/>
      <c r="T32" s="1424"/>
      <c r="U32" s="1944"/>
      <c r="V32" s="2177"/>
      <c r="W32" s="1966"/>
      <c r="X32" s="3052"/>
      <c r="Y32" s="3052"/>
      <c r="Z32" s="1420"/>
    </row>
    <row r="33" spans="1:26" ht="12.9" customHeight="1">
      <c r="A33" s="1418"/>
      <c r="B33" s="1431"/>
      <c r="C33" s="1442"/>
      <c r="D33" s="2430" t="s">
        <v>20</v>
      </c>
      <c r="E33" s="2265"/>
      <c r="F33" s="1462"/>
      <c r="G33" s="1462"/>
      <c r="H33" s="1462"/>
      <c r="I33" s="1462"/>
      <c r="J33" s="1462"/>
      <c r="K33" s="1462"/>
      <c r="L33" s="1462"/>
      <c r="M33" s="1462"/>
      <c r="N33" s="1462"/>
      <c r="O33" s="1462"/>
      <c r="P33" s="1998">
        <f>E33+F33+G33+H33+I33+J33+K33+L33+M33+N33+O33</f>
        <v>0</v>
      </c>
      <c r="Q33" s="1440"/>
      <c r="R33" s="1441"/>
      <c r="S33" s="1430"/>
      <c r="T33" s="1424"/>
      <c r="U33" s="1944"/>
      <c r="V33" s="4464"/>
      <c r="W33" s="4464"/>
      <c r="X33" s="3052"/>
      <c r="Y33" s="3052"/>
      <c r="Z33" s="1420"/>
    </row>
    <row r="34" spans="1:26" ht="12" customHeight="1">
      <c r="A34" s="1418"/>
      <c r="B34" s="1431"/>
      <c r="C34" s="1442"/>
      <c r="D34" s="2430" t="s">
        <v>672</v>
      </c>
      <c r="E34" s="2265"/>
      <c r="F34" s="2265"/>
      <c r="G34" s="2265"/>
      <c r="H34" s="2265"/>
      <c r="I34" s="2265"/>
      <c r="J34" s="2265"/>
      <c r="K34" s="2265"/>
      <c r="L34" s="2265"/>
      <c r="M34" s="2265"/>
      <c r="N34" s="2265"/>
      <c r="O34" s="2265"/>
      <c r="P34" s="1998">
        <f>E34+F34+G34+H34+I34+J34+K34+L34+M34+N34+O34</f>
        <v>0</v>
      </c>
      <c r="Q34" s="1440"/>
      <c r="R34" s="144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1440"/>
      <c r="R35" s="1441"/>
      <c r="S35" s="1430"/>
      <c r="T35" s="1424"/>
      <c r="U35" s="1944"/>
      <c r="V35" s="2176"/>
      <c r="W35" s="1966"/>
      <c r="X35" s="3052"/>
      <c r="Y35" s="3052"/>
      <c r="Z35" s="1420"/>
    </row>
    <row r="36" spans="1:26" ht="12.9" customHeight="1">
      <c r="A36" s="1418"/>
      <c r="B36" s="1431"/>
      <c r="C36" s="1442"/>
      <c r="D36" s="2430" t="s">
        <v>20</v>
      </c>
      <c r="E36" s="1996">
        <f t="shared" ref="E36:O36" si="2">(E27+E33)</f>
        <v>0</v>
      </c>
      <c r="F36" s="1997">
        <f t="shared" si="2"/>
        <v>0</v>
      </c>
      <c r="G36" s="1997">
        <f t="shared" si="2"/>
        <v>0</v>
      </c>
      <c r="H36" s="1997">
        <f t="shared" si="2"/>
        <v>0</v>
      </c>
      <c r="I36" s="1997">
        <f t="shared" si="2"/>
        <v>0</v>
      </c>
      <c r="J36" s="1997">
        <f t="shared" si="2"/>
        <v>0</v>
      </c>
      <c r="K36" s="1997">
        <f t="shared" si="2"/>
        <v>0</v>
      </c>
      <c r="L36" s="1997">
        <f t="shared" si="2"/>
        <v>0</v>
      </c>
      <c r="M36" s="1997">
        <f t="shared" si="2"/>
        <v>0</v>
      </c>
      <c r="N36" s="1997">
        <f t="shared" si="2"/>
        <v>0</v>
      </c>
      <c r="O36" s="1997">
        <f t="shared" si="2"/>
        <v>0</v>
      </c>
      <c r="P36" s="1998">
        <f>E36+F36+G36+H36+I36+J36+K36+L36+M36+N36+O36</f>
        <v>0</v>
      </c>
      <c r="Q36" s="1440"/>
      <c r="R36" s="1441"/>
      <c r="S36" s="1430"/>
      <c r="T36" s="1424"/>
      <c r="U36" s="1944"/>
      <c r="V36" s="4464"/>
      <c r="W36" s="4464"/>
      <c r="X36" s="3052"/>
      <c r="Y36" s="3052"/>
      <c r="Z36" s="1420"/>
    </row>
    <row r="37" spans="1:26" ht="12.9" customHeight="1">
      <c r="A37" s="1418"/>
      <c r="B37" s="1431"/>
      <c r="C37" s="1442"/>
      <c r="D37" s="2430" t="s">
        <v>672</v>
      </c>
      <c r="E37" s="1996">
        <f t="shared" ref="E37:O37" si="3">(E28+E34)</f>
        <v>0</v>
      </c>
      <c r="F37" s="1996">
        <f t="shared" si="3"/>
        <v>0</v>
      </c>
      <c r="G37" s="1996">
        <f t="shared" si="3"/>
        <v>0</v>
      </c>
      <c r="H37" s="1996">
        <f t="shared" si="3"/>
        <v>0</v>
      </c>
      <c r="I37" s="1996">
        <f t="shared" si="3"/>
        <v>0</v>
      </c>
      <c r="J37" s="1996">
        <f t="shared" si="3"/>
        <v>0</v>
      </c>
      <c r="K37" s="1996">
        <f t="shared" si="3"/>
        <v>0</v>
      </c>
      <c r="L37" s="1996">
        <f t="shared" si="3"/>
        <v>0</v>
      </c>
      <c r="M37" s="1996">
        <f t="shared" si="3"/>
        <v>0</v>
      </c>
      <c r="N37" s="1996">
        <f t="shared" si="3"/>
        <v>0</v>
      </c>
      <c r="O37" s="1996">
        <f t="shared" si="3"/>
        <v>0</v>
      </c>
      <c r="P37" s="1998">
        <f>E37+F37+G37+H37+I37+J37+K37+L37+M37+N37+O37</f>
        <v>0</v>
      </c>
      <c r="Q37" s="1440"/>
      <c r="R37" s="144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1440"/>
      <c r="R38" s="1441"/>
      <c r="S38" s="1430"/>
      <c r="T38" s="1424"/>
      <c r="U38" s="1944"/>
      <c r="V38" s="2038"/>
      <c r="W38" s="1966"/>
      <c r="X38" s="3052"/>
      <c r="Y38" s="3052"/>
      <c r="Z38" s="1420"/>
    </row>
    <row r="39" spans="1:26" ht="15" customHeight="1">
      <c r="A39" s="1418"/>
      <c r="B39" s="1431"/>
      <c r="C39" s="1442"/>
      <c r="D39" s="2441" t="s">
        <v>1125</v>
      </c>
      <c r="E39" s="2419"/>
      <c r="F39" s="2419"/>
      <c r="G39" s="2419"/>
      <c r="H39" s="2442" t="s">
        <v>1257</v>
      </c>
      <c r="I39" s="2420"/>
      <c r="J39" s="2420"/>
      <c r="K39" s="2420"/>
      <c r="L39" s="2419"/>
      <c r="M39" s="2419"/>
      <c r="N39" s="2419"/>
      <c r="O39" s="2419"/>
      <c r="P39" s="2443" t="s">
        <v>1198</v>
      </c>
      <c r="Q39" s="1440"/>
      <c r="R39" s="144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1440"/>
      <c r="R40" s="144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1440"/>
      <c r="R41" s="1441"/>
      <c r="S41" s="1430"/>
      <c r="T41" s="1424"/>
      <c r="U41" s="1944"/>
      <c r="V41" s="2179" t="s">
        <v>1085</v>
      </c>
      <c r="W41" s="1966"/>
      <c r="X41" s="2037"/>
      <c r="Y41" s="2037"/>
      <c r="Z41" s="1420"/>
    </row>
    <row r="42" spans="1:26" ht="14.1" customHeight="1">
      <c r="A42" s="1418"/>
      <c r="B42" s="1431"/>
      <c r="C42" s="1442"/>
      <c r="D42" s="2430" t="s">
        <v>20</v>
      </c>
      <c r="E42" s="2265"/>
      <c r="F42" s="1462"/>
      <c r="G42" s="1462"/>
      <c r="H42" s="1462"/>
      <c r="I42" s="1462"/>
      <c r="J42" s="1462"/>
      <c r="K42" s="1462"/>
      <c r="L42" s="1462"/>
      <c r="M42" s="2453">
        <f>E42+F42+G42+H42+I42+J42+K42+L42</f>
        <v>0</v>
      </c>
      <c r="N42" s="2452"/>
      <c r="O42" s="2452"/>
      <c r="P42" s="2452"/>
      <c r="Q42" s="1440"/>
      <c r="R42" s="1441"/>
      <c r="S42" s="1430"/>
      <c r="T42" s="1424"/>
      <c r="U42" s="1944"/>
      <c r="V42" s="4452" t="str">
        <f>IF(('الصفحة 1'!$Q$14&gt;0),((IF((M42&gt;'الصفحة 14'!$F$23),"العدد غيرمطابق",IF((M42&lt;='الصفحة 14'!$F$23)," ")))),"")</f>
        <v xml:space="preserve"> </v>
      </c>
      <c r="W42" s="4453"/>
      <c r="X42" s="1975" t="str">
        <f>IF(('الصفحة 1'!$Q$14&gt;0),((IF((M42&lt;&gt;P27),"العدد غيرمطابق",IF((M42=P27)," ")))),"")</f>
        <v xml:space="preserve"> </v>
      </c>
      <c r="Y42" s="2037"/>
      <c r="Z42" s="1420"/>
    </row>
    <row r="43" spans="1:26" ht="14.1" customHeight="1">
      <c r="A43" s="1418"/>
      <c r="B43" s="1431"/>
      <c r="C43" s="1442"/>
      <c r="D43" s="2430" t="s">
        <v>672</v>
      </c>
      <c r="E43" s="2265"/>
      <c r="F43" s="2265"/>
      <c r="G43" s="2265"/>
      <c r="H43" s="2265"/>
      <c r="I43" s="2265"/>
      <c r="J43" s="2265"/>
      <c r="K43" s="2265"/>
      <c r="L43" s="2265"/>
      <c r="M43" s="2453">
        <f>E43+F43+G43+H43+I43+J43+K43+L43</f>
        <v>0</v>
      </c>
      <c r="N43" s="2452"/>
      <c r="O43" s="2452"/>
      <c r="P43" s="2452"/>
      <c r="Q43" s="1440"/>
      <c r="R43" s="1441"/>
      <c r="S43" s="1430"/>
      <c r="T43" s="1424"/>
      <c r="U43" s="1944"/>
      <c r="V43" s="4452" t="str">
        <f>IF(('الصفحة 1'!$Q$14&gt;0),((IF((M43&gt;'الصفحة 14'!$F$23),"العدد غيرمطابق",IF((M43&lt;='الصفحة 14'!$F$23)," ")))),"")</f>
        <v xml:space="preserve"> </v>
      </c>
      <c r="W43" s="4453"/>
      <c r="X43" s="1975" t="str">
        <f>IF(('الصفحة 1'!$Q$14&gt;0),((IF((M43&lt;&gt;P28),"العدد غيرمطابق",IF((M43=P28)," ")))),"")</f>
        <v xml:space="preserve"> </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1440"/>
      <c r="R44" s="144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1440"/>
      <c r="R45" s="1441"/>
      <c r="S45" s="1430"/>
      <c r="T45" s="1424"/>
      <c r="U45" s="1944"/>
      <c r="V45" s="2038"/>
      <c r="W45" s="1966"/>
      <c r="X45" s="2037"/>
      <c r="Y45" s="2037"/>
      <c r="Z45" s="1420"/>
    </row>
    <row r="46" spans="1:26" ht="15" customHeight="1">
      <c r="A46" s="1418"/>
      <c r="B46" s="1431"/>
      <c r="C46" s="1442"/>
      <c r="D46" s="2441" t="s">
        <v>1126</v>
      </c>
      <c r="E46" s="2457"/>
      <c r="F46" s="2457"/>
      <c r="G46" s="2457"/>
      <c r="H46" s="2442" t="s">
        <v>1257</v>
      </c>
      <c r="I46" s="2458"/>
      <c r="J46" s="2458"/>
      <c r="K46" s="2458"/>
      <c r="L46" s="2457"/>
      <c r="M46" s="2457"/>
      <c r="N46" s="2457"/>
      <c r="O46" s="2457"/>
      <c r="P46" s="2459" t="s">
        <v>1124</v>
      </c>
      <c r="Q46" s="1440"/>
      <c r="R46" s="144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1440"/>
      <c r="R47" s="144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1440"/>
      <c r="R48" s="144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1440"/>
      <c r="R49" s="1441"/>
      <c r="S49" s="1430"/>
      <c r="T49" s="1424"/>
      <c r="U49" s="1944"/>
      <c r="V49" s="4452" t="str">
        <f>IF(('الصفحة 1'!$Q$14&gt;0),((IF((O49&gt;'الصفحة 14'!$F$23),"العدد غيرمطابق",IF((O49&lt;='الصفحة 14'!$F$23)," ")))),"")</f>
        <v xml:space="preserve"> </v>
      </c>
      <c r="W49" s="4453"/>
      <c r="X49" s="1975" t="str">
        <f>IF(('الصفحة 1'!$Q$14&gt;0),((IF((O49&lt;&gt;P27),"العدد غيرمطابق",IF((O49=P27)," ")))),"")</f>
        <v xml:space="preserve"> </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1440"/>
      <c r="R50" s="1441"/>
      <c r="S50" s="1430"/>
      <c r="T50" s="1424"/>
      <c r="U50" s="1944"/>
      <c r="V50" s="4452" t="str">
        <f>IF(('الصفحة 1'!$Q$14&gt;0),((IF((O50&gt;'الصفحة 14'!$F$23),"العدد غيرمطابق",IF((O50&lt;='الصفحة 14'!$F$23)," ")))),"")</f>
        <v xml:space="preserve"> </v>
      </c>
      <c r="W50" s="4453"/>
      <c r="X50" s="1975" t="str">
        <f>IF(('الصفحة 1'!$Q$14&gt;0),((IF((O50&lt;&gt;P28),"العدد غيرمطابق",IF((O50=P28)," ")))),"")</f>
        <v xml:space="preserve"> </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16</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O49:P49"/>
    <mergeCell ref="C53:R53"/>
    <mergeCell ref="V49:W49"/>
    <mergeCell ref="E50:F50"/>
    <mergeCell ref="G50:H50"/>
    <mergeCell ref="I50:J50"/>
    <mergeCell ref="K50:L50"/>
    <mergeCell ref="M50:N50"/>
    <mergeCell ref="O50:P50"/>
    <mergeCell ref="V50:W50"/>
    <mergeCell ref="E49:F49"/>
    <mergeCell ref="G49:H49"/>
    <mergeCell ref="I49:J49"/>
    <mergeCell ref="K49:L49"/>
    <mergeCell ref="M49:N49"/>
    <mergeCell ref="V37:W37"/>
    <mergeCell ref="V42:W42"/>
    <mergeCell ref="V43:W43"/>
    <mergeCell ref="E48:F48"/>
    <mergeCell ref="G48:H48"/>
    <mergeCell ref="I48:J48"/>
    <mergeCell ref="K48:L48"/>
    <mergeCell ref="M48:N48"/>
    <mergeCell ref="O48:P48"/>
    <mergeCell ref="V30:W30"/>
    <mergeCell ref="V31:W31"/>
    <mergeCell ref="V33:W33"/>
    <mergeCell ref="V34:W34"/>
    <mergeCell ref="V36:W36"/>
    <mergeCell ref="V22:W22"/>
    <mergeCell ref="V24:W24"/>
    <mergeCell ref="V25:W25"/>
    <mergeCell ref="V27:W27"/>
    <mergeCell ref="V28:W28"/>
    <mergeCell ref="V2:X6"/>
    <mergeCell ref="V16:W16"/>
    <mergeCell ref="V18:W18"/>
    <mergeCell ref="V19:W19"/>
    <mergeCell ref="V21:W21"/>
    <mergeCell ref="V10:W10"/>
    <mergeCell ref="V12:W12"/>
    <mergeCell ref="V13:W13"/>
    <mergeCell ref="V15:W15"/>
    <mergeCell ref="V8:W8"/>
  </mergeCells>
  <conditionalFormatting sqref="G49 I49:I50 K49:K50 M49:M50 O49:O50 V49:V50 X49:X50 E49 X42:X43 E42:P42 V42:V43 E27:P27 E12:P12 E15:P15 E18:P18 E21:P21 V12:V13 V15:V16 V18:V19 E30:P30 X12:X13 X15:X16 X18:X19 E24:P24 X21:X25 V21:V22 V24:V25 X27:X28 V27:V28">
    <cfRule type="cellIs" dxfId="20105" priority="1176" operator="equal">
      <formula>0</formula>
    </cfRule>
  </conditionalFormatting>
  <conditionalFormatting sqref="E13 E43:P44 V50 X50">
    <cfRule type="cellIs" dxfId="20104" priority="1174" operator="greaterThan">
      <formula>E12</formula>
    </cfRule>
    <cfRule type="cellIs" dxfId="20103" priority="1175" operator="equal">
      <formula>0</formula>
    </cfRule>
  </conditionalFormatting>
  <conditionalFormatting sqref="F13">
    <cfRule type="cellIs" dxfId="20102" priority="1172" operator="greaterThan">
      <formula>F12</formula>
    </cfRule>
    <cfRule type="cellIs" dxfId="20101" priority="1173" operator="equal">
      <formula>0</formula>
    </cfRule>
  </conditionalFormatting>
  <conditionalFormatting sqref="G13">
    <cfRule type="cellIs" dxfId="20100" priority="1170" operator="greaterThan">
      <formula>G12</formula>
    </cfRule>
    <cfRule type="cellIs" dxfId="20099" priority="1171" operator="equal">
      <formula>0</formula>
    </cfRule>
  </conditionalFormatting>
  <conditionalFormatting sqref="H13">
    <cfRule type="cellIs" dxfId="20098" priority="1168" operator="greaterThan">
      <formula>H12</formula>
    </cfRule>
    <cfRule type="cellIs" dxfId="20097" priority="1169" operator="equal">
      <formula>0</formula>
    </cfRule>
  </conditionalFormatting>
  <conditionalFormatting sqref="I13">
    <cfRule type="cellIs" dxfId="20096" priority="1166" operator="greaterThan">
      <formula>I12</formula>
    </cfRule>
    <cfRule type="cellIs" dxfId="20095" priority="1167" operator="equal">
      <formula>0</formula>
    </cfRule>
  </conditionalFormatting>
  <conditionalFormatting sqref="J13">
    <cfRule type="cellIs" dxfId="20094" priority="1164" operator="greaterThan">
      <formula>J12</formula>
    </cfRule>
    <cfRule type="cellIs" dxfId="20093" priority="1165" operator="equal">
      <formula>0</formula>
    </cfRule>
  </conditionalFormatting>
  <conditionalFormatting sqref="K13">
    <cfRule type="cellIs" dxfId="20092" priority="1162" operator="greaterThan">
      <formula>K12</formula>
    </cfRule>
    <cfRule type="cellIs" dxfId="20091" priority="1163" operator="equal">
      <formula>0</formula>
    </cfRule>
  </conditionalFormatting>
  <conditionalFormatting sqref="L13">
    <cfRule type="cellIs" dxfId="20090" priority="1160" operator="greaterThan">
      <formula>L12</formula>
    </cfRule>
    <cfRule type="cellIs" dxfId="20089" priority="1161" operator="equal">
      <formula>0</formula>
    </cfRule>
  </conditionalFormatting>
  <conditionalFormatting sqref="M13">
    <cfRule type="cellIs" dxfId="20088" priority="1158" operator="greaterThan">
      <formula>M12</formula>
    </cfRule>
    <cfRule type="cellIs" dxfId="20087" priority="1159" operator="equal">
      <formula>0</formula>
    </cfRule>
  </conditionalFormatting>
  <conditionalFormatting sqref="N13">
    <cfRule type="cellIs" dxfId="20086" priority="1156" operator="greaterThan">
      <formula>N12</formula>
    </cfRule>
    <cfRule type="cellIs" dxfId="20085" priority="1157" operator="equal">
      <formula>0</formula>
    </cfRule>
  </conditionalFormatting>
  <conditionalFormatting sqref="O13">
    <cfRule type="cellIs" dxfId="20084" priority="1154" operator="greaterThan">
      <formula>O12</formula>
    </cfRule>
    <cfRule type="cellIs" dxfId="20083" priority="1155" operator="equal">
      <formula>0</formula>
    </cfRule>
  </conditionalFormatting>
  <conditionalFormatting sqref="P13">
    <cfRule type="cellIs" dxfId="20082" priority="1152" operator="greaterThan">
      <formula>P12</formula>
    </cfRule>
    <cfRule type="cellIs" dxfId="20081" priority="1153" operator="equal">
      <formula>0</formula>
    </cfRule>
  </conditionalFormatting>
  <conditionalFormatting sqref="E16">
    <cfRule type="cellIs" dxfId="20080" priority="1150" operator="greaterThan">
      <formula>E15</formula>
    </cfRule>
    <cfRule type="cellIs" dxfId="20079" priority="1151" operator="equal">
      <formula>0</formula>
    </cfRule>
  </conditionalFormatting>
  <conditionalFormatting sqref="F16">
    <cfRule type="cellIs" dxfId="20078" priority="1148" operator="greaterThan">
      <formula>F15</formula>
    </cfRule>
    <cfRule type="cellIs" dxfId="20077" priority="1149" operator="equal">
      <formula>0</formula>
    </cfRule>
  </conditionalFormatting>
  <conditionalFormatting sqref="G16">
    <cfRule type="cellIs" dxfId="20076" priority="1146" operator="greaterThan">
      <formula>G15</formula>
    </cfRule>
    <cfRule type="cellIs" dxfId="20075" priority="1147" operator="equal">
      <formula>0</formula>
    </cfRule>
  </conditionalFormatting>
  <conditionalFormatting sqref="H16">
    <cfRule type="cellIs" dxfId="20074" priority="1144" operator="greaterThan">
      <formula>H15</formula>
    </cfRule>
    <cfRule type="cellIs" dxfId="20073" priority="1145" operator="equal">
      <formula>0</formula>
    </cfRule>
  </conditionalFormatting>
  <conditionalFormatting sqref="I16">
    <cfRule type="cellIs" dxfId="20072" priority="1142" operator="greaterThan">
      <formula>I15</formula>
    </cfRule>
    <cfRule type="cellIs" dxfId="20071" priority="1143" operator="equal">
      <formula>0</formula>
    </cfRule>
  </conditionalFormatting>
  <conditionalFormatting sqref="J16">
    <cfRule type="cellIs" dxfId="20070" priority="1140" operator="greaterThan">
      <formula>J15</formula>
    </cfRule>
    <cfRule type="cellIs" dxfId="20069" priority="1141" operator="equal">
      <formula>0</formula>
    </cfRule>
  </conditionalFormatting>
  <conditionalFormatting sqref="K16">
    <cfRule type="cellIs" dxfId="20068" priority="1138" operator="greaterThan">
      <formula>K15</formula>
    </cfRule>
    <cfRule type="cellIs" dxfId="20067" priority="1139" operator="equal">
      <formula>0</formula>
    </cfRule>
  </conditionalFormatting>
  <conditionalFormatting sqref="L16">
    <cfRule type="cellIs" dxfId="20066" priority="1136" operator="greaterThan">
      <formula>L15</formula>
    </cfRule>
    <cfRule type="cellIs" dxfId="20065" priority="1137" operator="equal">
      <formula>0</formula>
    </cfRule>
  </conditionalFormatting>
  <conditionalFormatting sqref="M16">
    <cfRule type="cellIs" dxfId="20064" priority="1134" operator="greaterThan">
      <formula>M15</formula>
    </cfRule>
    <cfRule type="cellIs" dxfId="20063" priority="1135" operator="equal">
      <formula>0</formula>
    </cfRule>
  </conditionalFormatting>
  <conditionalFormatting sqref="N16">
    <cfRule type="cellIs" dxfId="20062" priority="1132" operator="greaterThan">
      <formula>N15</formula>
    </cfRule>
    <cfRule type="cellIs" dxfId="20061" priority="1133" operator="equal">
      <formula>0</formula>
    </cfRule>
  </conditionalFormatting>
  <conditionalFormatting sqref="O16">
    <cfRule type="cellIs" dxfId="20060" priority="1130" operator="greaterThan">
      <formula>O15</formula>
    </cfRule>
    <cfRule type="cellIs" dxfId="20059" priority="1131" operator="equal">
      <formula>0</formula>
    </cfRule>
  </conditionalFormatting>
  <conditionalFormatting sqref="P16">
    <cfRule type="cellIs" dxfId="20058" priority="1128" operator="greaterThan">
      <formula>P15</formula>
    </cfRule>
    <cfRule type="cellIs" dxfId="20057" priority="1129" operator="equal">
      <formula>0</formula>
    </cfRule>
  </conditionalFormatting>
  <conditionalFormatting sqref="E19">
    <cfRule type="cellIs" dxfId="20056" priority="1126" operator="greaterThan">
      <formula>E18</formula>
    </cfRule>
    <cfRule type="cellIs" dxfId="20055" priority="1127" operator="equal">
      <formula>0</formula>
    </cfRule>
  </conditionalFormatting>
  <conditionalFormatting sqref="F19">
    <cfRule type="cellIs" dxfId="20054" priority="1124" operator="greaterThan">
      <formula>F18</formula>
    </cfRule>
    <cfRule type="cellIs" dxfId="20053" priority="1125" operator="equal">
      <formula>0</formula>
    </cfRule>
  </conditionalFormatting>
  <conditionalFormatting sqref="G19">
    <cfRule type="cellIs" dxfId="20052" priority="1122" operator="greaterThan">
      <formula>G18</formula>
    </cfRule>
    <cfRule type="cellIs" dxfId="20051" priority="1123" operator="equal">
      <formula>0</formula>
    </cfRule>
  </conditionalFormatting>
  <conditionalFormatting sqref="H19">
    <cfRule type="cellIs" dxfId="20050" priority="1120" operator="greaterThan">
      <formula>H18</formula>
    </cfRule>
    <cfRule type="cellIs" dxfId="20049" priority="1121" operator="equal">
      <formula>0</formula>
    </cfRule>
  </conditionalFormatting>
  <conditionalFormatting sqref="I19">
    <cfRule type="cellIs" dxfId="20048" priority="1118" operator="greaterThan">
      <formula>I18</formula>
    </cfRule>
    <cfRule type="cellIs" dxfId="20047" priority="1119" operator="equal">
      <formula>0</formula>
    </cfRule>
  </conditionalFormatting>
  <conditionalFormatting sqref="J19">
    <cfRule type="cellIs" dxfId="20046" priority="1116" operator="greaterThan">
      <formula>J18</formula>
    </cfRule>
    <cfRule type="cellIs" dxfId="20045" priority="1117" operator="equal">
      <formula>0</formula>
    </cfRule>
  </conditionalFormatting>
  <conditionalFormatting sqref="K19">
    <cfRule type="cellIs" dxfId="20044" priority="1114" operator="greaterThan">
      <formula>K18</formula>
    </cfRule>
    <cfRule type="cellIs" dxfId="20043" priority="1115" operator="equal">
      <formula>0</formula>
    </cfRule>
  </conditionalFormatting>
  <conditionalFormatting sqref="L19">
    <cfRule type="cellIs" dxfId="20042" priority="1112" operator="greaterThan">
      <formula>L18</formula>
    </cfRule>
    <cfRule type="cellIs" dxfId="20041" priority="1113" operator="equal">
      <formula>0</formula>
    </cfRule>
  </conditionalFormatting>
  <conditionalFormatting sqref="M19">
    <cfRule type="cellIs" dxfId="20040" priority="1110" operator="greaterThan">
      <formula>M18</formula>
    </cfRule>
    <cfRule type="cellIs" dxfId="20039" priority="1111" operator="equal">
      <formula>0</formula>
    </cfRule>
  </conditionalFormatting>
  <conditionalFormatting sqref="N19">
    <cfRule type="cellIs" dxfId="20038" priority="1108" operator="greaterThan">
      <formula>N18</formula>
    </cfRule>
    <cfRule type="cellIs" dxfId="20037" priority="1109" operator="equal">
      <formula>0</formula>
    </cfRule>
  </conditionalFormatting>
  <conditionalFormatting sqref="O19">
    <cfRule type="cellIs" dxfId="20036" priority="1106" operator="greaterThan">
      <formula>O18</formula>
    </cfRule>
    <cfRule type="cellIs" dxfId="20035" priority="1107" operator="equal">
      <formula>0</formula>
    </cfRule>
  </conditionalFormatting>
  <conditionalFormatting sqref="P19">
    <cfRule type="cellIs" dxfId="20034" priority="1104" operator="greaterThan">
      <formula>P18</formula>
    </cfRule>
    <cfRule type="cellIs" dxfId="20033" priority="1105" operator="equal">
      <formula>0</formula>
    </cfRule>
  </conditionalFormatting>
  <conditionalFormatting sqref="E22">
    <cfRule type="cellIs" dxfId="20032" priority="1102" operator="greaterThan">
      <formula>E21</formula>
    </cfRule>
    <cfRule type="cellIs" dxfId="20031" priority="1103" operator="equal">
      <formula>0</formula>
    </cfRule>
  </conditionalFormatting>
  <conditionalFormatting sqref="F22">
    <cfRule type="cellIs" dxfId="20030" priority="1100" operator="greaterThan">
      <formula>F21</formula>
    </cfRule>
    <cfRule type="cellIs" dxfId="20029" priority="1101" operator="equal">
      <formula>0</formula>
    </cfRule>
  </conditionalFormatting>
  <conditionalFormatting sqref="G22">
    <cfRule type="cellIs" dxfId="20028" priority="1098" operator="greaterThan">
      <formula>G21</formula>
    </cfRule>
    <cfRule type="cellIs" dxfId="20027" priority="1099" operator="equal">
      <formula>0</formula>
    </cfRule>
  </conditionalFormatting>
  <conditionalFormatting sqref="H22">
    <cfRule type="cellIs" dxfId="20026" priority="1096" operator="greaterThan">
      <formula>H21</formula>
    </cfRule>
    <cfRule type="cellIs" dxfId="20025" priority="1097" operator="equal">
      <formula>0</formula>
    </cfRule>
  </conditionalFormatting>
  <conditionalFormatting sqref="I22">
    <cfRule type="cellIs" dxfId="20024" priority="1094" operator="greaterThan">
      <formula>I21</formula>
    </cfRule>
    <cfRule type="cellIs" dxfId="20023" priority="1095" operator="equal">
      <formula>0</formula>
    </cfRule>
  </conditionalFormatting>
  <conditionalFormatting sqref="J22">
    <cfRule type="cellIs" dxfId="20022" priority="1092" operator="greaterThan">
      <formula>J21</formula>
    </cfRule>
    <cfRule type="cellIs" dxfId="20021" priority="1093" operator="equal">
      <formula>0</formula>
    </cfRule>
  </conditionalFormatting>
  <conditionalFormatting sqref="K22">
    <cfRule type="cellIs" dxfId="20020" priority="1090" operator="greaterThan">
      <formula>K21</formula>
    </cfRule>
    <cfRule type="cellIs" dxfId="20019" priority="1091" operator="equal">
      <formula>0</formula>
    </cfRule>
  </conditionalFormatting>
  <conditionalFormatting sqref="L22">
    <cfRule type="cellIs" dxfId="20018" priority="1088" operator="greaterThan">
      <formula>L21</formula>
    </cfRule>
    <cfRule type="cellIs" dxfId="20017" priority="1089" operator="equal">
      <formula>0</formula>
    </cfRule>
  </conditionalFormatting>
  <conditionalFormatting sqref="M22">
    <cfRule type="cellIs" dxfId="20016" priority="1086" operator="greaterThan">
      <formula>M21</formula>
    </cfRule>
    <cfRule type="cellIs" dxfId="20015" priority="1087" operator="equal">
      <formula>0</formula>
    </cfRule>
  </conditionalFormatting>
  <conditionalFormatting sqref="N22">
    <cfRule type="cellIs" dxfId="20014" priority="1084" operator="greaterThan">
      <formula>N21</formula>
    </cfRule>
    <cfRule type="cellIs" dxfId="20013" priority="1085" operator="equal">
      <formula>0</formula>
    </cfRule>
  </conditionalFormatting>
  <conditionalFormatting sqref="O22">
    <cfRule type="cellIs" dxfId="20012" priority="1082" operator="greaterThan">
      <formula>O21</formula>
    </cfRule>
    <cfRule type="cellIs" dxfId="20011" priority="1083" operator="equal">
      <formula>0</formula>
    </cfRule>
  </conditionalFormatting>
  <conditionalFormatting sqref="P22">
    <cfRule type="cellIs" dxfId="20010" priority="1080" operator="greaterThan">
      <formula>P21</formula>
    </cfRule>
    <cfRule type="cellIs" dxfId="20009" priority="1081" operator="equal">
      <formula>0</formula>
    </cfRule>
  </conditionalFormatting>
  <conditionalFormatting sqref="E28">
    <cfRule type="cellIs" dxfId="20008" priority="1078" operator="greaterThan">
      <formula>E27</formula>
    </cfRule>
    <cfRule type="cellIs" dxfId="20007" priority="1079" operator="equal">
      <formula>0</formula>
    </cfRule>
  </conditionalFormatting>
  <conditionalFormatting sqref="F28">
    <cfRule type="cellIs" dxfId="20006" priority="1076" operator="greaterThan">
      <formula>F27</formula>
    </cfRule>
    <cfRule type="cellIs" dxfId="20005" priority="1077" operator="equal">
      <formula>0</formula>
    </cfRule>
  </conditionalFormatting>
  <conditionalFormatting sqref="G28">
    <cfRule type="cellIs" dxfId="20004" priority="1074" operator="greaterThan">
      <formula>G27</formula>
    </cfRule>
    <cfRule type="cellIs" dxfId="20003" priority="1075" operator="equal">
      <formula>0</formula>
    </cfRule>
  </conditionalFormatting>
  <conditionalFormatting sqref="H28">
    <cfRule type="cellIs" dxfId="20002" priority="1072" operator="greaterThan">
      <formula>H27</formula>
    </cfRule>
    <cfRule type="cellIs" dxfId="20001" priority="1073" operator="equal">
      <formula>0</formula>
    </cfRule>
  </conditionalFormatting>
  <conditionalFormatting sqref="I28">
    <cfRule type="cellIs" dxfId="20000" priority="1070" operator="greaterThan">
      <formula>I27</formula>
    </cfRule>
    <cfRule type="cellIs" dxfId="19999" priority="1071" operator="equal">
      <formula>0</formula>
    </cfRule>
  </conditionalFormatting>
  <conditionalFormatting sqref="J28">
    <cfRule type="cellIs" dxfId="19998" priority="1068" operator="greaterThan">
      <formula>J27</formula>
    </cfRule>
    <cfRule type="cellIs" dxfId="19997" priority="1069" operator="equal">
      <formula>0</formula>
    </cfRule>
  </conditionalFormatting>
  <conditionalFormatting sqref="K28">
    <cfRule type="cellIs" dxfId="19996" priority="1066" operator="greaterThan">
      <formula>K27</formula>
    </cfRule>
    <cfRule type="cellIs" dxfId="19995" priority="1067" operator="equal">
      <formula>0</formula>
    </cfRule>
  </conditionalFormatting>
  <conditionalFormatting sqref="L28">
    <cfRule type="cellIs" dxfId="19994" priority="1064" operator="greaterThan">
      <formula>L27</formula>
    </cfRule>
    <cfRule type="cellIs" dxfId="19993" priority="1065" operator="equal">
      <formula>0</formula>
    </cfRule>
  </conditionalFormatting>
  <conditionalFormatting sqref="M28">
    <cfRule type="cellIs" dxfId="19992" priority="1062" operator="greaterThan">
      <formula>M27</formula>
    </cfRule>
    <cfRule type="cellIs" dxfId="19991" priority="1063" operator="equal">
      <formula>0</formula>
    </cfRule>
  </conditionalFormatting>
  <conditionalFormatting sqref="N28">
    <cfRule type="cellIs" dxfId="19990" priority="1060" operator="greaterThan">
      <formula>N27</formula>
    </cfRule>
    <cfRule type="cellIs" dxfId="19989" priority="1061" operator="equal">
      <formula>0</formula>
    </cfRule>
  </conditionalFormatting>
  <conditionalFormatting sqref="O28">
    <cfRule type="cellIs" dxfId="19988" priority="1058" operator="greaterThan">
      <formula>O27</formula>
    </cfRule>
    <cfRule type="cellIs" dxfId="19987" priority="1059" operator="equal">
      <formula>0</formula>
    </cfRule>
  </conditionalFormatting>
  <conditionalFormatting sqref="P28">
    <cfRule type="cellIs" dxfId="19986" priority="1056" operator="greaterThan">
      <formula>P27</formula>
    </cfRule>
    <cfRule type="cellIs" dxfId="19985" priority="1057" operator="equal">
      <formula>0</formula>
    </cfRule>
  </conditionalFormatting>
  <conditionalFormatting sqref="E47:P47">
    <cfRule type="cellIs" dxfId="19984" priority="1054" operator="greaterThan">
      <formula>E45</formula>
    </cfRule>
    <cfRule type="cellIs" dxfId="19983" priority="1055" operator="equal">
      <formula>0</formula>
    </cfRule>
  </conditionalFormatting>
  <conditionalFormatting sqref="G50 I50 K50 M50 O50 E50">
    <cfRule type="cellIs" dxfId="19982" priority="1052" operator="greaterThan">
      <formula>E49</formula>
    </cfRule>
    <cfRule type="cellIs" dxfId="19981" priority="1053" operator="equal">
      <formula>0</formula>
    </cfRule>
  </conditionalFormatting>
  <conditionalFormatting sqref="E51:P51">
    <cfRule type="cellIs" dxfId="19980" priority="1050" operator="greaterThan">
      <formula>E45</formula>
    </cfRule>
    <cfRule type="cellIs" dxfId="19979" priority="1051" operator="equal">
      <formula>0</formula>
    </cfRule>
  </conditionalFormatting>
  <conditionalFormatting sqref="V28">
    <cfRule type="cellIs" dxfId="19978" priority="1048" operator="greaterThan">
      <formula>V27</formula>
    </cfRule>
    <cfRule type="cellIs" dxfId="19977" priority="1049" operator="equal">
      <formula>0</formula>
    </cfRule>
  </conditionalFormatting>
  <conditionalFormatting sqref="V43">
    <cfRule type="cellIs" dxfId="19976" priority="1046" operator="greaterThan">
      <formula>V42</formula>
    </cfRule>
    <cfRule type="cellIs" dxfId="19975" priority="1047" operator="equal">
      <formula>0</formula>
    </cfRule>
  </conditionalFormatting>
  <conditionalFormatting sqref="X43">
    <cfRule type="cellIs" dxfId="19974" priority="1044" operator="greaterThan">
      <formula>X42</formula>
    </cfRule>
    <cfRule type="cellIs" dxfId="19973" priority="1045" operator="equal">
      <formula>0</formula>
    </cfRule>
  </conditionalFormatting>
  <conditionalFormatting sqref="V27">
    <cfRule type="cellIs" dxfId="19972" priority="1042" operator="greaterThan">
      <formula>V26</formula>
    </cfRule>
    <cfRule type="cellIs" dxfId="19971" priority="1043" operator="equal">
      <formula>0</formula>
    </cfRule>
  </conditionalFormatting>
  <conditionalFormatting sqref="E51:N51">
    <cfRule type="cellIs" dxfId="19970" priority="1040" operator="greaterThan">
      <formula>G50</formula>
    </cfRule>
    <cfRule type="cellIs" dxfId="19969" priority="1041" operator="equal">
      <formula>0</formula>
    </cfRule>
  </conditionalFormatting>
  <conditionalFormatting sqref="O51:P51">
    <cfRule type="cellIs" dxfId="19968" priority="1038" operator="greaterThan">
      <formula>#REF!</formula>
    </cfRule>
    <cfRule type="cellIs" dxfId="19967" priority="1039" operator="equal">
      <formula>0</formula>
    </cfRule>
  </conditionalFormatting>
  <conditionalFormatting sqref="V13">
    <cfRule type="cellIs" dxfId="19966" priority="1036" operator="greaterThan">
      <formula>V12</formula>
    </cfRule>
    <cfRule type="cellIs" dxfId="19965" priority="1037" operator="equal">
      <formula>0</formula>
    </cfRule>
  </conditionalFormatting>
  <conditionalFormatting sqref="V12">
    <cfRule type="cellIs" dxfId="19964" priority="1034" operator="greaterThan">
      <formula>V11</formula>
    </cfRule>
    <cfRule type="cellIs" dxfId="19963" priority="1035" operator="equal">
      <formula>0</formula>
    </cfRule>
  </conditionalFormatting>
  <conditionalFormatting sqref="V16">
    <cfRule type="cellIs" dxfId="19962" priority="1032" operator="greaterThan">
      <formula>V15</formula>
    </cfRule>
    <cfRule type="cellIs" dxfId="19961" priority="1033" operator="equal">
      <formula>0</formula>
    </cfRule>
  </conditionalFormatting>
  <conditionalFormatting sqref="V15">
    <cfRule type="cellIs" dxfId="19960" priority="1030" operator="greaterThan">
      <formula>V14</formula>
    </cfRule>
    <cfRule type="cellIs" dxfId="19959" priority="1031" operator="equal">
      <formula>0</formula>
    </cfRule>
  </conditionalFormatting>
  <conditionalFormatting sqref="V19">
    <cfRule type="cellIs" dxfId="19958" priority="1028" operator="greaterThan">
      <formula>V18</formula>
    </cfRule>
    <cfRule type="cellIs" dxfId="19957" priority="1029" operator="equal">
      <formula>0</formula>
    </cfRule>
  </conditionalFormatting>
  <conditionalFormatting sqref="V18">
    <cfRule type="cellIs" dxfId="19956" priority="1026" operator="greaterThan">
      <formula>V17</formula>
    </cfRule>
    <cfRule type="cellIs" dxfId="19955" priority="1027" operator="equal">
      <formula>0</formula>
    </cfRule>
  </conditionalFormatting>
  <conditionalFormatting sqref="V22 V24:V25">
    <cfRule type="cellIs" dxfId="19954" priority="1024" operator="greaterThan">
      <formula>V21</formula>
    </cfRule>
    <cfRule type="cellIs" dxfId="19953" priority="1025" operator="equal">
      <formula>0</formula>
    </cfRule>
  </conditionalFormatting>
  <conditionalFormatting sqref="V21">
    <cfRule type="cellIs" dxfId="19952" priority="1022" operator="greaterThan">
      <formula>V20</formula>
    </cfRule>
    <cfRule type="cellIs" dxfId="19951" priority="1023" operator="equal">
      <formula>0</formula>
    </cfRule>
  </conditionalFormatting>
  <conditionalFormatting sqref="E31">
    <cfRule type="cellIs" dxfId="19950" priority="1020" operator="greaterThan">
      <formula>E30</formula>
    </cfRule>
    <cfRule type="cellIs" dxfId="19949" priority="1021" operator="equal">
      <formula>0</formula>
    </cfRule>
  </conditionalFormatting>
  <conditionalFormatting sqref="F31">
    <cfRule type="cellIs" dxfId="19948" priority="1018" operator="greaterThan">
      <formula>F30</formula>
    </cfRule>
    <cfRule type="cellIs" dxfId="19947" priority="1019" operator="equal">
      <formula>0</formula>
    </cfRule>
  </conditionalFormatting>
  <conditionalFormatting sqref="G31">
    <cfRule type="cellIs" dxfId="19946" priority="1016" operator="greaterThan">
      <formula>G30</formula>
    </cfRule>
    <cfRule type="cellIs" dxfId="19945" priority="1017" operator="equal">
      <formula>0</formula>
    </cfRule>
  </conditionalFormatting>
  <conditionalFormatting sqref="H31">
    <cfRule type="cellIs" dxfId="19944" priority="1014" operator="greaterThan">
      <formula>H30</formula>
    </cfRule>
    <cfRule type="cellIs" dxfId="19943" priority="1015" operator="equal">
      <formula>0</formula>
    </cfRule>
  </conditionalFormatting>
  <conditionalFormatting sqref="I31">
    <cfRule type="cellIs" dxfId="19942" priority="1012" operator="greaterThan">
      <formula>I30</formula>
    </cfRule>
    <cfRule type="cellIs" dxfId="19941" priority="1013" operator="equal">
      <formula>0</formula>
    </cfRule>
  </conditionalFormatting>
  <conditionalFormatting sqref="J31">
    <cfRule type="cellIs" dxfId="19940" priority="1010" operator="greaterThan">
      <formula>J30</formula>
    </cfRule>
    <cfRule type="cellIs" dxfId="19939" priority="1011" operator="equal">
      <formula>0</formula>
    </cfRule>
  </conditionalFormatting>
  <conditionalFormatting sqref="K31">
    <cfRule type="cellIs" dxfId="19938" priority="1008" operator="greaterThan">
      <formula>K30</formula>
    </cfRule>
    <cfRule type="cellIs" dxfId="19937" priority="1009" operator="equal">
      <formula>0</formula>
    </cfRule>
  </conditionalFormatting>
  <conditionalFormatting sqref="L31">
    <cfRule type="cellIs" dxfId="19936" priority="1006" operator="greaterThan">
      <formula>L30</formula>
    </cfRule>
    <cfRule type="cellIs" dxfId="19935" priority="1007" operator="equal">
      <formula>0</formula>
    </cfRule>
  </conditionalFormatting>
  <conditionalFormatting sqref="M31">
    <cfRule type="cellIs" dxfId="19934" priority="1004" operator="greaterThan">
      <formula>M30</formula>
    </cfRule>
    <cfRule type="cellIs" dxfId="19933" priority="1005" operator="equal">
      <formula>0</formula>
    </cfRule>
  </conditionalFormatting>
  <conditionalFormatting sqref="N31">
    <cfRule type="cellIs" dxfId="19932" priority="1002" operator="greaterThan">
      <formula>N30</formula>
    </cfRule>
    <cfRule type="cellIs" dxfId="19931" priority="1003" operator="equal">
      <formula>0</formula>
    </cfRule>
  </conditionalFormatting>
  <conditionalFormatting sqref="O31">
    <cfRule type="cellIs" dxfId="19930" priority="1000" operator="greaterThan">
      <formula>O30</formula>
    </cfRule>
    <cfRule type="cellIs" dxfId="19929" priority="1001" operator="equal">
      <formula>0</formula>
    </cfRule>
  </conditionalFormatting>
  <conditionalFormatting sqref="P31">
    <cfRule type="cellIs" dxfId="19928" priority="998" operator="greaterThan">
      <formula>P30</formula>
    </cfRule>
    <cfRule type="cellIs" dxfId="19927" priority="999" operator="equal">
      <formula>0</formula>
    </cfRule>
  </conditionalFormatting>
  <conditionalFormatting sqref="E25">
    <cfRule type="cellIs" dxfId="19926" priority="996" operator="greaterThan">
      <formula>E24</formula>
    </cfRule>
    <cfRule type="cellIs" dxfId="19925" priority="997" operator="equal">
      <formula>0</formula>
    </cfRule>
  </conditionalFormatting>
  <conditionalFormatting sqref="F25">
    <cfRule type="cellIs" dxfId="19924" priority="994" operator="greaterThan">
      <formula>F24</formula>
    </cfRule>
    <cfRule type="cellIs" dxfId="19923" priority="995" operator="equal">
      <formula>0</formula>
    </cfRule>
  </conditionalFormatting>
  <conditionalFormatting sqref="G25">
    <cfRule type="cellIs" dxfId="19922" priority="992" operator="greaterThan">
      <formula>G24</formula>
    </cfRule>
    <cfRule type="cellIs" dxfId="19921" priority="993" operator="equal">
      <formula>0</formula>
    </cfRule>
  </conditionalFormatting>
  <conditionalFormatting sqref="H25">
    <cfRule type="cellIs" dxfId="19920" priority="990" operator="greaterThan">
      <formula>H24</formula>
    </cfRule>
    <cfRule type="cellIs" dxfId="19919" priority="991" operator="equal">
      <formula>0</formula>
    </cfRule>
  </conditionalFormatting>
  <conditionalFormatting sqref="I25">
    <cfRule type="cellIs" dxfId="19918" priority="988" operator="greaterThan">
      <formula>I24</formula>
    </cfRule>
    <cfRule type="cellIs" dxfId="19917" priority="989" operator="equal">
      <formula>0</formula>
    </cfRule>
  </conditionalFormatting>
  <conditionalFormatting sqref="J25">
    <cfRule type="cellIs" dxfId="19916" priority="986" operator="greaterThan">
      <formula>J24</formula>
    </cfRule>
    <cfRule type="cellIs" dxfId="19915" priority="987" operator="equal">
      <formula>0</formula>
    </cfRule>
  </conditionalFormatting>
  <conditionalFormatting sqref="K25">
    <cfRule type="cellIs" dxfId="19914" priority="984" operator="greaterThan">
      <formula>K24</formula>
    </cfRule>
    <cfRule type="cellIs" dxfId="19913" priority="985" operator="equal">
      <formula>0</formula>
    </cfRule>
  </conditionalFormatting>
  <conditionalFormatting sqref="L25">
    <cfRule type="cellIs" dxfId="19912" priority="982" operator="greaterThan">
      <formula>L24</formula>
    </cfRule>
    <cfRule type="cellIs" dxfId="19911" priority="983" operator="equal">
      <formula>0</formula>
    </cfRule>
  </conditionalFormatting>
  <conditionalFormatting sqref="M25">
    <cfRule type="cellIs" dxfId="19910" priority="980" operator="greaterThan">
      <formula>M24</formula>
    </cfRule>
    <cfRule type="cellIs" dxfId="19909" priority="981" operator="equal">
      <formula>0</formula>
    </cfRule>
  </conditionalFormatting>
  <conditionalFormatting sqref="N25">
    <cfRule type="cellIs" dxfId="19908" priority="978" operator="greaterThan">
      <formula>N24</formula>
    </cfRule>
    <cfRule type="cellIs" dxfId="19907" priority="979" operator="equal">
      <formula>0</formula>
    </cfRule>
  </conditionalFormatting>
  <conditionalFormatting sqref="O25">
    <cfRule type="cellIs" dxfId="19906" priority="976" operator="greaterThan">
      <formula>O24</formula>
    </cfRule>
    <cfRule type="cellIs" dxfId="19905" priority="977" operator="equal">
      <formula>0</formula>
    </cfRule>
  </conditionalFormatting>
  <conditionalFormatting sqref="P25">
    <cfRule type="cellIs" dxfId="19904" priority="974" operator="greaterThan">
      <formula>P24</formula>
    </cfRule>
    <cfRule type="cellIs" dxfId="19903" priority="975" operator="equal">
      <formula>0</formula>
    </cfRule>
  </conditionalFormatting>
  <conditionalFormatting sqref="E45:P45 E46:O46">
    <cfRule type="cellIs" dxfId="19902" priority="972" operator="greaterThan">
      <formula>#REF!</formula>
    </cfRule>
    <cfRule type="cellIs" dxfId="19901" priority="973" operator="equal">
      <formula>0</formula>
    </cfRule>
  </conditionalFormatting>
  <conditionalFormatting sqref="E33:P33">
    <cfRule type="cellIs" dxfId="19900" priority="971" operator="equal">
      <formula>0</formula>
    </cfRule>
  </conditionalFormatting>
  <conditionalFormatting sqref="E34">
    <cfRule type="cellIs" dxfId="19899" priority="969" operator="greaterThan">
      <formula>E33</formula>
    </cfRule>
    <cfRule type="cellIs" dxfId="19898" priority="970" operator="equal">
      <formula>0</formula>
    </cfRule>
  </conditionalFormatting>
  <conditionalFormatting sqref="F34">
    <cfRule type="cellIs" dxfId="19897" priority="967" operator="greaterThan">
      <formula>F33</formula>
    </cfRule>
    <cfRule type="cellIs" dxfId="19896" priority="968" operator="equal">
      <formula>0</formula>
    </cfRule>
  </conditionalFormatting>
  <conditionalFormatting sqref="G34">
    <cfRule type="cellIs" dxfId="19895" priority="965" operator="greaterThan">
      <formula>G33</formula>
    </cfRule>
    <cfRule type="cellIs" dxfId="19894" priority="966" operator="equal">
      <formula>0</formula>
    </cfRule>
  </conditionalFormatting>
  <conditionalFormatting sqref="H34">
    <cfRule type="cellIs" dxfId="19893" priority="963" operator="greaterThan">
      <formula>H33</formula>
    </cfRule>
    <cfRule type="cellIs" dxfId="19892" priority="964" operator="equal">
      <formula>0</formula>
    </cfRule>
  </conditionalFormatting>
  <conditionalFormatting sqref="I34">
    <cfRule type="cellIs" dxfId="19891" priority="961" operator="greaterThan">
      <formula>I33</formula>
    </cfRule>
    <cfRule type="cellIs" dxfId="19890" priority="962" operator="equal">
      <formula>0</formula>
    </cfRule>
  </conditionalFormatting>
  <conditionalFormatting sqref="J34">
    <cfRule type="cellIs" dxfId="19889" priority="959" operator="greaterThan">
      <formula>J33</formula>
    </cfRule>
    <cfRule type="cellIs" dxfId="19888" priority="960" operator="equal">
      <formula>0</formula>
    </cfRule>
  </conditionalFormatting>
  <conditionalFormatting sqref="K34">
    <cfRule type="cellIs" dxfId="19887" priority="957" operator="greaterThan">
      <formula>K33</formula>
    </cfRule>
    <cfRule type="cellIs" dxfId="19886" priority="958" operator="equal">
      <formula>0</formula>
    </cfRule>
  </conditionalFormatting>
  <conditionalFormatting sqref="L34">
    <cfRule type="cellIs" dxfId="19885" priority="955" operator="greaterThan">
      <formula>L33</formula>
    </cfRule>
    <cfRule type="cellIs" dxfId="19884" priority="956" operator="equal">
      <formula>0</formula>
    </cfRule>
  </conditionalFormatting>
  <conditionalFormatting sqref="M34">
    <cfRule type="cellIs" dxfId="19883" priority="953" operator="greaterThan">
      <formula>M33</formula>
    </cfRule>
    <cfRule type="cellIs" dxfId="19882" priority="954" operator="equal">
      <formula>0</formula>
    </cfRule>
  </conditionalFormatting>
  <conditionalFormatting sqref="N34">
    <cfRule type="cellIs" dxfId="19881" priority="951" operator="greaterThan">
      <formula>N33</formula>
    </cfRule>
    <cfRule type="cellIs" dxfId="19880" priority="952" operator="equal">
      <formula>0</formula>
    </cfRule>
  </conditionalFormatting>
  <conditionalFormatting sqref="O34">
    <cfRule type="cellIs" dxfId="19879" priority="949" operator="greaterThan">
      <formula>O33</formula>
    </cfRule>
    <cfRule type="cellIs" dxfId="19878" priority="950" operator="equal">
      <formula>0</formula>
    </cfRule>
  </conditionalFormatting>
  <conditionalFormatting sqref="P34">
    <cfRule type="cellIs" dxfId="19877" priority="947" operator="greaterThan">
      <formula>P33</formula>
    </cfRule>
    <cfRule type="cellIs" dxfId="19876" priority="948" operator="equal">
      <formula>0</formula>
    </cfRule>
  </conditionalFormatting>
  <conditionalFormatting sqref="E36:P36">
    <cfRule type="cellIs" dxfId="19875" priority="946" operator="equal">
      <formula>0</formula>
    </cfRule>
  </conditionalFormatting>
  <conditionalFormatting sqref="E37">
    <cfRule type="cellIs" dxfId="19874" priority="944" operator="greaterThan">
      <formula>E36</formula>
    </cfRule>
    <cfRule type="cellIs" dxfId="19873" priority="945" operator="equal">
      <formula>0</formula>
    </cfRule>
  </conditionalFormatting>
  <conditionalFormatting sqref="F37">
    <cfRule type="cellIs" dxfId="19872" priority="942" operator="greaterThan">
      <formula>F36</formula>
    </cfRule>
    <cfRule type="cellIs" dxfId="19871" priority="943" operator="equal">
      <formula>0</formula>
    </cfRule>
  </conditionalFormatting>
  <conditionalFormatting sqref="G37">
    <cfRule type="cellIs" dxfId="19870" priority="940" operator="greaterThan">
      <formula>G36</formula>
    </cfRule>
    <cfRule type="cellIs" dxfId="19869" priority="941" operator="equal">
      <formula>0</formula>
    </cfRule>
  </conditionalFormatting>
  <conditionalFormatting sqref="H37">
    <cfRule type="cellIs" dxfId="19868" priority="938" operator="greaterThan">
      <formula>H36</formula>
    </cfRule>
    <cfRule type="cellIs" dxfId="19867" priority="939" operator="equal">
      <formula>0</formula>
    </cfRule>
  </conditionalFormatting>
  <conditionalFormatting sqref="I37">
    <cfRule type="cellIs" dxfId="19866" priority="936" operator="greaterThan">
      <formula>I36</formula>
    </cfRule>
    <cfRule type="cellIs" dxfId="19865" priority="937" operator="equal">
      <formula>0</formula>
    </cfRule>
  </conditionalFormatting>
  <conditionalFormatting sqref="J37">
    <cfRule type="cellIs" dxfId="19864" priority="934" operator="greaterThan">
      <formula>J36</formula>
    </cfRule>
    <cfRule type="cellIs" dxfId="19863" priority="935" operator="equal">
      <formula>0</formula>
    </cfRule>
  </conditionalFormatting>
  <conditionalFormatting sqref="K37">
    <cfRule type="cellIs" dxfId="19862" priority="932" operator="greaterThan">
      <formula>K36</formula>
    </cfRule>
    <cfRule type="cellIs" dxfId="19861" priority="933" operator="equal">
      <formula>0</formula>
    </cfRule>
  </conditionalFormatting>
  <conditionalFormatting sqref="L37">
    <cfRule type="cellIs" dxfId="19860" priority="930" operator="greaterThan">
      <formula>L36</formula>
    </cfRule>
    <cfRule type="cellIs" dxfId="19859" priority="931" operator="equal">
      <formula>0</formula>
    </cfRule>
  </conditionalFormatting>
  <conditionalFormatting sqref="M37">
    <cfRule type="cellIs" dxfId="19858" priority="928" operator="greaterThan">
      <formula>M36</formula>
    </cfRule>
    <cfRule type="cellIs" dxfId="19857" priority="929" operator="equal">
      <formula>0</formula>
    </cfRule>
  </conditionalFormatting>
  <conditionalFormatting sqref="N37">
    <cfRule type="cellIs" dxfId="19856" priority="926" operator="greaterThan">
      <formula>N36</formula>
    </cfRule>
    <cfRule type="cellIs" dxfId="19855" priority="927" operator="equal">
      <formula>0</formula>
    </cfRule>
  </conditionalFormatting>
  <conditionalFormatting sqref="O37">
    <cfRule type="cellIs" dxfId="19854" priority="924" operator="greaterThan">
      <formula>O36</formula>
    </cfRule>
    <cfRule type="cellIs" dxfId="19853" priority="925" operator="equal">
      <formula>0</formula>
    </cfRule>
  </conditionalFormatting>
  <conditionalFormatting sqref="P37">
    <cfRule type="cellIs" dxfId="19852" priority="922" operator="greaterThan">
      <formula>P36</formula>
    </cfRule>
    <cfRule type="cellIs" dxfId="19851" priority="923" operator="equal">
      <formula>0</formula>
    </cfRule>
  </conditionalFormatting>
  <conditionalFormatting sqref="V24">
    <cfRule type="cellIs" dxfId="19850" priority="920" operator="greaterThan">
      <formula>V23</formula>
    </cfRule>
    <cfRule type="cellIs" dxfId="19849" priority="921" operator="equal">
      <formula>0</formula>
    </cfRule>
  </conditionalFormatting>
  <conditionalFormatting sqref="V27:V28">
    <cfRule type="cellIs" dxfId="19848" priority="918" operator="greaterThan">
      <formula>V26</formula>
    </cfRule>
    <cfRule type="cellIs" dxfId="19847" priority="919" operator="equal">
      <formula>0</formula>
    </cfRule>
  </conditionalFormatting>
  <conditionalFormatting sqref="V27">
    <cfRule type="cellIs" dxfId="19846" priority="916" operator="greaterThan">
      <formula>V26</formula>
    </cfRule>
    <cfRule type="cellIs" dxfId="19845" priority="917" operator="equal">
      <formula>0</formula>
    </cfRule>
  </conditionalFormatting>
  <conditionalFormatting sqref="V49:V50 X49:X50 X42:X43 V42:V43 V12:V13 V15:V16 V18:V19 X12:X13 X15:X16 X18:X19 X21:X25 V21:V22 V24:V25 X27:X28 V27:V28">
    <cfRule type="cellIs" dxfId="19844" priority="915" operator="equal">
      <formula>0</formula>
    </cfRule>
  </conditionalFormatting>
  <conditionalFormatting sqref="V50 X50">
    <cfRule type="cellIs" dxfId="19843" priority="913" operator="greaterThan">
      <formula>V49</formula>
    </cfRule>
    <cfRule type="cellIs" dxfId="19842" priority="914" operator="equal">
      <formula>0</formula>
    </cfRule>
  </conditionalFormatting>
  <conditionalFormatting sqref="V28">
    <cfRule type="cellIs" dxfId="19841" priority="911" operator="greaterThan">
      <formula>V27</formula>
    </cfRule>
    <cfRule type="cellIs" dxfId="19840" priority="912" operator="equal">
      <formula>0</formula>
    </cfRule>
  </conditionalFormatting>
  <conditionalFormatting sqref="V43">
    <cfRule type="cellIs" dxfId="19839" priority="909" operator="greaterThan">
      <formula>V42</formula>
    </cfRule>
    <cfRule type="cellIs" dxfId="19838" priority="910" operator="equal">
      <formula>0</formula>
    </cfRule>
  </conditionalFormatting>
  <conditionalFormatting sqref="X43">
    <cfRule type="cellIs" dxfId="19837" priority="907" operator="greaterThan">
      <formula>X42</formula>
    </cfRule>
    <cfRule type="cellIs" dxfId="19836" priority="908" operator="equal">
      <formula>0</formula>
    </cfRule>
  </conditionalFormatting>
  <conditionalFormatting sqref="V27">
    <cfRule type="cellIs" dxfId="19835" priority="905" operator="greaterThan">
      <formula>V26</formula>
    </cfRule>
    <cfRule type="cellIs" dxfId="19834" priority="906" operator="equal">
      <formula>0</formula>
    </cfRule>
  </conditionalFormatting>
  <conditionalFormatting sqref="V13">
    <cfRule type="cellIs" dxfId="19833" priority="903" operator="greaterThan">
      <formula>V12</formula>
    </cfRule>
    <cfRule type="cellIs" dxfId="19832" priority="904" operator="equal">
      <formula>0</formula>
    </cfRule>
  </conditionalFormatting>
  <conditionalFormatting sqref="V12">
    <cfRule type="cellIs" dxfId="19831" priority="901" operator="greaterThan">
      <formula>V11</formula>
    </cfRule>
    <cfRule type="cellIs" dxfId="19830" priority="902" operator="equal">
      <formula>0</formula>
    </cfRule>
  </conditionalFormatting>
  <conditionalFormatting sqref="V16">
    <cfRule type="cellIs" dxfId="19829" priority="899" operator="greaterThan">
      <formula>V15</formula>
    </cfRule>
    <cfRule type="cellIs" dxfId="19828" priority="900" operator="equal">
      <formula>0</formula>
    </cfRule>
  </conditionalFormatting>
  <conditionalFormatting sqref="V15">
    <cfRule type="cellIs" dxfId="19827" priority="897" operator="greaterThan">
      <formula>V14</formula>
    </cfRule>
    <cfRule type="cellIs" dxfId="19826" priority="898" operator="equal">
      <formula>0</formula>
    </cfRule>
  </conditionalFormatting>
  <conditionalFormatting sqref="V19">
    <cfRule type="cellIs" dxfId="19825" priority="895" operator="greaterThan">
      <formula>V18</formula>
    </cfRule>
    <cfRule type="cellIs" dxfId="19824" priority="896" operator="equal">
      <formula>0</formula>
    </cfRule>
  </conditionalFormatting>
  <conditionalFormatting sqref="V18">
    <cfRule type="cellIs" dxfId="19823" priority="893" operator="greaterThan">
      <formula>V17</formula>
    </cfRule>
    <cfRule type="cellIs" dxfId="19822" priority="894" operator="equal">
      <formula>0</formula>
    </cfRule>
  </conditionalFormatting>
  <conditionalFormatting sqref="V22 V24:V25">
    <cfRule type="cellIs" dxfId="19821" priority="891" operator="greaterThan">
      <formula>V21</formula>
    </cfRule>
    <cfRule type="cellIs" dxfId="19820" priority="892" operator="equal">
      <formula>0</formula>
    </cfRule>
  </conditionalFormatting>
  <conditionalFormatting sqref="V21">
    <cfRule type="cellIs" dxfId="19819" priority="889" operator="greaterThan">
      <formula>V20</formula>
    </cfRule>
    <cfRule type="cellIs" dxfId="19818" priority="890" operator="equal">
      <formula>0</formula>
    </cfRule>
  </conditionalFormatting>
  <conditionalFormatting sqref="V24">
    <cfRule type="cellIs" dxfId="19817" priority="887" operator="greaterThan">
      <formula>V23</formula>
    </cfRule>
    <cfRule type="cellIs" dxfId="19816" priority="888" operator="equal">
      <formula>0</formula>
    </cfRule>
  </conditionalFormatting>
  <conditionalFormatting sqref="V27:V28">
    <cfRule type="cellIs" dxfId="19815" priority="885" operator="greaterThan">
      <formula>V26</formula>
    </cfRule>
    <cfRule type="cellIs" dxfId="19814" priority="886" operator="equal">
      <formula>0</formula>
    </cfRule>
  </conditionalFormatting>
  <conditionalFormatting sqref="V27">
    <cfRule type="cellIs" dxfId="19813" priority="883" operator="greaterThan">
      <formula>V26</formula>
    </cfRule>
    <cfRule type="cellIs" dxfId="19812" priority="884" operator="equal">
      <formula>0</formula>
    </cfRule>
  </conditionalFormatting>
  <conditionalFormatting sqref="P42 P27 P12 P15 P18 P21 P30 P24">
    <cfRule type="cellIs" dxfId="19811" priority="882" operator="equal">
      <formula>0</formula>
    </cfRule>
  </conditionalFormatting>
  <conditionalFormatting sqref="P43:P44">
    <cfRule type="cellIs" dxfId="19810" priority="880" operator="greaterThan">
      <formula>P42</formula>
    </cfRule>
    <cfRule type="cellIs" dxfId="19809" priority="881" operator="equal">
      <formula>0</formula>
    </cfRule>
  </conditionalFormatting>
  <conditionalFormatting sqref="P13">
    <cfRule type="cellIs" dxfId="19808" priority="878" operator="greaterThan">
      <formula>P12</formula>
    </cfRule>
    <cfRule type="cellIs" dxfId="19807" priority="879" operator="equal">
      <formula>0</formula>
    </cfRule>
  </conditionalFormatting>
  <conditionalFormatting sqref="P16">
    <cfRule type="cellIs" dxfId="19806" priority="876" operator="greaterThan">
      <formula>P15</formula>
    </cfRule>
    <cfRule type="cellIs" dxfId="19805" priority="877" operator="equal">
      <formula>0</formula>
    </cfRule>
  </conditionalFormatting>
  <conditionalFormatting sqref="P19">
    <cfRule type="cellIs" dxfId="19804" priority="874" operator="greaterThan">
      <formula>P18</formula>
    </cfRule>
    <cfRule type="cellIs" dxfId="19803" priority="875" operator="equal">
      <formula>0</formula>
    </cfRule>
  </conditionalFormatting>
  <conditionalFormatting sqref="P22">
    <cfRule type="cellIs" dxfId="19802" priority="872" operator="greaterThan">
      <formula>P21</formula>
    </cfRule>
    <cfRule type="cellIs" dxfId="19801" priority="873" operator="equal">
      <formula>0</formula>
    </cfRule>
  </conditionalFormatting>
  <conditionalFormatting sqref="P28">
    <cfRule type="cellIs" dxfId="19800" priority="870" operator="greaterThan">
      <formula>P27</formula>
    </cfRule>
    <cfRule type="cellIs" dxfId="19799" priority="871" operator="equal">
      <formula>0</formula>
    </cfRule>
  </conditionalFormatting>
  <conditionalFormatting sqref="P31">
    <cfRule type="cellIs" dxfId="19798" priority="868" operator="greaterThan">
      <formula>P30</formula>
    </cfRule>
    <cfRule type="cellIs" dxfId="19797" priority="869" operator="equal">
      <formula>0</formula>
    </cfRule>
  </conditionalFormatting>
  <conditionalFormatting sqref="P25">
    <cfRule type="cellIs" dxfId="19796" priority="866" operator="greaterThan">
      <formula>P24</formula>
    </cfRule>
    <cfRule type="cellIs" dxfId="19795" priority="867" operator="equal">
      <formula>0</formula>
    </cfRule>
  </conditionalFormatting>
  <conditionalFormatting sqref="P45">
    <cfRule type="cellIs" dxfId="19794" priority="864" operator="greaterThan">
      <formula>#REF!</formula>
    </cfRule>
    <cfRule type="cellIs" dxfId="19793" priority="865" operator="equal">
      <formula>0</formula>
    </cfRule>
  </conditionalFormatting>
  <conditionalFormatting sqref="P33">
    <cfRule type="cellIs" dxfId="19792" priority="863" operator="equal">
      <formula>0</formula>
    </cfRule>
  </conditionalFormatting>
  <conditionalFormatting sqref="P34">
    <cfRule type="cellIs" dxfId="19791" priority="861" operator="greaterThan">
      <formula>P33</formula>
    </cfRule>
    <cfRule type="cellIs" dxfId="19790" priority="862" operator="equal">
      <formula>0</formula>
    </cfRule>
  </conditionalFormatting>
  <conditionalFormatting sqref="P36">
    <cfRule type="cellIs" dxfId="19789" priority="860" operator="equal">
      <formula>0</formula>
    </cfRule>
  </conditionalFormatting>
  <conditionalFormatting sqref="P37">
    <cfRule type="cellIs" dxfId="19788" priority="858" operator="greaterThan">
      <formula>P36</formula>
    </cfRule>
    <cfRule type="cellIs" dxfId="19787" priority="859" operator="equal">
      <formula>0</formula>
    </cfRule>
  </conditionalFormatting>
  <conditionalFormatting sqref="H42">
    <cfRule type="cellIs" dxfId="19786" priority="857" operator="equal">
      <formula>0</formula>
    </cfRule>
  </conditionalFormatting>
  <conditionalFormatting sqref="H43:H44">
    <cfRule type="cellIs" dxfId="19785" priority="855" operator="greaterThan">
      <formula>H42</formula>
    </cfRule>
    <cfRule type="cellIs" dxfId="19784" priority="856" operator="equal">
      <formula>0</formula>
    </cfRule>
  </conditionalFormatting>
  <conditionalFormatting sqref="H45">
    <cfRule type="cellIs" dxfId="19783" priority="853" operator="greaterThan">
      <formula>#REF!</formula>
    </cfRule>
    <cfRule type="cellIs" dxfId="19782" priority="854" operator="equal">
      <formula>0</formula>
    </cfRule>
  </conditionalFormatting>
  <conditionalFormatting sqref="X49:X50 X42:X43 V42:V43 V12:V13 X12:X13 V15:V16 X15:X16 V18:V19 X18:X19 V21:V22 V24:V25 X21:X25 V27:V28 X27:X28 V49:V50">
    <cfRule type="cellIs" dxfId="19781" priority="852" operator="equal">
      <formula>0</formula>
    </cfRule>
  </conditionalFormatting>
  <conditionalFormatting sqref="V50 X50">
    <cfRule type="cellIs" dxfId="19780" priority="850" operator="greaterThan">
      <formula>V49</formula>
    </cfRule>
    <cfRule type="cellIs" dxfId="19779" priority="851" operator="equal">
      <formula>0</formula>
    </cfRule>
  </conditionalFormatting>
  <conditionalFormatting sqref="V28">
    <cfRule type="cellIs" dxfId="19778" priority="848" operator="greaterThan">
      <formula>V27</formula>
    </cfRule>
    <cfRule type="cellIs" dxfId="19777" priority="849" operator="equal">
      <formula>0</formula>
    </cfRule>
  </conditionalFormatting>
  <conditionalFormatting sqref="V43">
    <cfRule type="cellIs" dxfId="19776" priority="846" operator="greaterThan">
      <formula>V42</formula>
    </cfRule>
    <cfRule type="cellIs" dxfId="19775" priority="847" operator="equal">
      <formula>0</formula>
    </cfRule>
  </conditionalFormatting>
  <conditionalFormatting sqref="X43">
    <cfRule type="cellIs" dxfId="19774" priority="844" operator="greaterThan">
      <formula>X42</formula>
    </cfRule>
    <cfRule type="cellIs" dxfId="19773" priority="845" operator="equal">
      <formula>0</formula>
    </cfRule>
  </conditionalFormatting>
  <conditionalFormatting sqref="V27">
    <cfRule type="cellIs" dxfId="19772" priority="842" operator="greaterThan">
      <formula>V26</formula>
    </cfRule>
    <cfRule type="cellIs" dxfId="19771" priority="843" operator="equal">
      <formula>0</formula>
    </cfRule>
  </conditionalFormatting>
  <conditionalFormatting sqref="V13">
    <cfRule type="cellIs" dxfId="19770" priority="840" operator="greaterThan">
      <formula>V12</formula>
    </cfRule>
    <cfRule type="cellIs" dxfId="19769" priority="841" operator="equal">
      <formula>0</formula>
    </cfRule>
  </conditionalFormatting>
  <conditionalFormatting sqref="V12">
    <cfRule type="cellIs" dxfId="19768" priority="838" operator="greaterThan">
      <formula>V11</formula>
    </cfRule>
    <cfRule type="cellIs" dxfId="19767" priority="839" operator="equal">
      <formula>0</formula>
    </cfRule>
  </conditionalFormatting>
  <conditionalFormatting sqref="V16">
    <cfRule type="cellIs" dxfId="19766" priority="836" operator="greaterThan">
      <formula>V15</formula>
    </cfRule>
    <cfRule type="cellIs" dxfId="19765" priority="837" operator="equal">
      <formula>0</formula>
    </cfRule>
  </conditionalFormatting>
  <conditionalFormatting sqref="V15">
    <cfRule type="cellIs" dxfId="19764" priority="834" operator="greaterThan">
      <formula>V14</formula>
    </cfRule>
    <cfRule type="cellIs" dxfId="19763" priority="835" operator="equal">
      <formula>0</formula>
    </cfRule>
  </conditionalFormatting>
  <conditionalFormatting sqref="V19">
    <cfRule type="cellIs" dxfId="19762" priority="832" operator="greaterThan">
      <formula>V18</formula>
    </cfRule>
    <cfRule type="cellIs" dxfId="19761" priority="833" operator="equal">
      <formula>0</formula>
    </cfRule>
  </conditionalFormatting>
  <conditionalFormatting sqref="V18">
    <cfRule type="cellIs" dxfId="19760" priority="830" operator="greaterThan">
      <formula>V17</formula>
    </cfRule>
    <cfRule type="cellIs" dxfId="19759" priority="831" operator="equal">
      <formula>0</formula>
    </cfRule>
  </conditionalFormatting>
  <conditionalFormatting sqref="V22 V24:V25">
    <cfRule type="cellIs" dxfId="19758" priority="828" operator="greaterThan">
      <formula>V21</formula>
    </cfRule>
    <cfRule type="cellIs" dxfId="19757" priority="829" operator="equal">
      <formula>0</formula>
    </cfRule>
  </conditionalFormatting>
  <conditionalFormatting sqref="V21">
    <cfRule type="cellIs" dxfId="19756" priority="826" operator="greaterThan">
      <formula>V20</formula>
    </cfRule>
    <cfRule type="cellIs" dxfId="19755" priority="827" operator="equal">
      <formula>0</formula>
    </cfRule>
  </conditionalFormatting>
  <conditionalFormatting sqref="V24">
    <cfRule type="cellIs" dxfId="19754" priority="824" operator="greaterThan">
      <formula>V23</formula>
    </cfRule>
    <cfRule type="cellIs" dxfId="19753" priority="825" operator="equal">
      <formula>0</formula>
    </cfRule>
  </conditionalFormatting>
  <conditionalFormatting sqref="V27:V28">
    <cfRule type="cellIs" dxfId="19752" priority="822" operator="greaterThan">
      <formula>V26</formula>
    </cfRule>
    <cfRule type="cellIs" dxfId="19751" priority="823" operator="equal">
      <formula>0</formula>
    </cfRule>
  </conditionalFormatting>
  <conditionalFormatting sqref="V27">
    <cfRule type="cellIs" dxfId="19750" priority="820" operator="greaterThan">
      <formula>V26</formula>
    </cfRule>
    <cfRule type="cellIs" dxfId="19749" priority="821" operator="equal">
      <formula>0</formula>
    </cfRule>
  </conditionalFormatting>
  <conditionalFormatting sqref="V16">
    <cfRule type="cellIs" dxfId="19748" priority="818" operator="greaterThan">
      <formula>V15</formula>
    </cfRule>
    <cfRule type="cellIs" dxfId="19747" priority="819" operator="equal">
      <formula>0</formula>
    </cfRule>
  </conditionalFormatting>
  <conditionalFormatting sqref="V15">
    <cfRule type="cellIs" dxfId="19746" priority="816" operator="greaterThan">
      <formula>V14</formula>
    </cfRule>
    <cfRule type="cellIs" dxfId="19745" priority="817" operator="equal">
      <formula>0</formula>
    </cfRule>
  </conditionalFormatting>
  <conditionalFormatting sqref="V19">
    <cfRule type="cellIs" dxfId="19744" priority="814" operator="greaterThan">
      <formula>V18</formula>
    </cfRule>
    <cfRule type="cellIs" dxfId="19743" priority="815" operator="equal">
      <formula>0</formula>
    </cfRule>
  </conditionalFormatting>
  <conditionalFormatting sqref="V18">
    <cfRule type="cellIs" dxfId="19742" priority="812" operator="greaterThan">
      <formula>V17</formula>
    </cfRule>
    <cfRule type="cellIs" dxfId="19741" priority="813" operator="equal">
      <formula>0</formula>
    </cfRule>
  </conditionalFormatting>
  <conditionalFormatting sqref="V22">
    <cfRule type="cellIs" dxfId="19740" priority="810" operator="greaterThan">
      <formula>V21</formula>
    </cfRule>
    <cfRule type="cellIs" dxfId="19739" priority="811" operator="equal">
      <formula>0</formula>
    </cfRule>
  </conditionalFormatting>
  <conditionalFormatting sqref="V21">
    <cfRule type="cellIs" dxfId="19738" priority="808" operator="greaterThan">
      <formula>V20</formula>
    </cfRule>
    <cfRule type="cellIs" dxfId="19737" priority="809" operator="equal">
      <formula>0</formula>
    </cfRule>
  </conditionalFormatting>
  <conditionalFormatting sqref="V25">
    <cfRule type="cellIs" dxfId="19736" priority="806" operator="greaterThan">
      <formula>V24</formula>
    </cfRule>
    <cfRule type="cellIs" dxfId="19735" priority="807" operator="equal">
      <formula>0</formula>
    </cfRule>
  </conditionalFormatting>
  <conditionalFormatting sqref="V24">
    <cfRule type="cellIs" dxfId="19734" priority="804" operator="greaterThan">
      <formula>V23</formula>
    </cfRule>
    <cfRule type="cellIs" dxfId="19733" priority="805" operator="equal">
      <formula>0</formula>
    </cfRule>
  </conditionalFormatting>
  <conditionalFormatting sqref="V28">
    <cfRule type="cellIs" dxfId="19732" priority="802" operator="greaterThan">
      <formula>V27</formula>
    </cfRule>
    <cfRule type="cellIs" dxfId="19731" priority="803" operator="equal">
      <formula>0</formula>
    </cfRule>
  </conditionalFormatting>
  <conditionalFormatting sqref="V27">
    <cfRule type="cellIs" dxfId="19730" priority="800" operator="greaterThan">
      <formula>V26</formula>
    </cfRule>
    <cfRule type="cellIs" dxfId="19729" priority="801" operator="equal">
      <formula>0</formula>
    </cfRule>
  </conditionalFormatting>
  <conditionalFormatting sqref="V30:V31 X30:X31">
    <cfRule type="cellIs" dxfId="19728" priority="799" operator="equal">
      <formula>0</formula>
    </cfRule>
  </conditionalFormatting>
  <conditionalFormatting sqref="V31">
    <cfRule type="cellIs" dxfId="19727" priority="797" operator="greaterThan">
      <formula>V30</formula>
    </cfRule>
    <cfRule type="cellIs" dxfId="19726" priority="798" operator="equal">
      <formula>0</formula>
    </cfRule>
  </conditionalFormatting>
  <conditionalFormatting sqref="V30">
    <cfRule type="cellIs" dxfId="19725" priority="795" operator="greaterThan">
      <formula>V29</formula>
    </cfRule>
    <cfRule type="cellIs" dxfId="19724" priority="796" operator="equal">
      <formula>0</formula>
    </cfRule>
  </conditionalFormatting>
  <conditionalFormatting sqref="V33:V34 X33:X34">
    <cfRule type="cellIs" dxfId="19723" priority="794" operator="equal">
      <formula>0</formula>
    </cfRule>
  </conditionalFormatting>
  <conditionalFormatting sqref="V34">
    <cfRule type="cellIs" dxfId="19722" priority="792" operator="greaterThan">
      <formula>V33</formula>
    </cfRule>
    <cfRule type="cellIs" dxfId="19721" priority="793" operator="equal">
      <formula>0</formula>
    </cfRule>
  </conditionalFormatting>
  <conditionalFormatting sqref="V33">
    <cfRule type="cellIs" dxfId="19720" priority="790" operator="greaterThan">
      <formula>V32</formula>
    </cfRule>
    <cfRule type="cellIs" dxfId="19719" priority="791" operator="equal">
      <formula>0</formula>
    </cfRule>
  </conditionalFormatting>
  <conditionalFormatting sqref="V36:V37 X36:X37">
    <cfRule type="cellIs" dxfId="19718" priority="789" operator="equal">
      <formula>0</formula>
    </cfRule>
  </conditionalFormatting>
  <conditionalFormatting sqref="V37">
    <cfRule type="cellIs" dxfId="19717" priority="787" operator="greaterThan">
      <formula>V36</formula>
    </cfRule>
    <cfRule type="cellIs" dxfId="19716" priority="788" operator="equal">
      <formula>0</formula>
    </cfRule>
  </conditionalFormatting>
  <conditionalFormatting sqref="V36">
    <cfRule type="cellIs" dxfId="19715" priority="785" operator="greaterThan">
      <formula>V35</formula>
    </cfRule>
    <cfRule type="cellIs" dxfId="19714" priority="786" operator="equal">
      <formula>0</formula>
    </cfRule>
  </conditionalFormatting>
  <conditionalFormatting sqref="V16">
    <cfRule type="cellIs" dxfId="19713" priority="783" operator="greaterThan">
      <formula>V15</formula>
    </cfRule>
    <cfRule type="cellIs" dxfId="19712" priority="784" operator="equal">
      <formula>0</formula>
    </cfRule>
  </conditionalFormatting>
  <conditionalFormatting sqref="V15">
    <cfRule type="cellIs" dxfId="19711" priority="781" operator="greaterThan">
      <formula>V14</formula>
    </cfRule>
    <cfRule type="cellIs" dxfId="19710" priority="782" operator="equal">
      <formula>0</formula>
    </cfRule>
  </conditionalFormatting>
  <conditionalFormatting sqref="V16">
    <cfRule type="cellIs" dxfId="19709" priority="779" operator="greaterThan">
      <formula>V15</formula>
    </cfRule>
    <cfRule type="cellIs" dxfId="19708" priority="780" operator="equal">
      <formula>0</formula>
    </cfRule>
  </conditionalFormatting>
  <conditionalFormatting sqref="V15">
    <cfRule type="cellIs" dxfId="19707" priority="777" operator="greaterThan">
      <formula>V14</formula>
    </cfRule>
    <cfRule type="cellIs" dxfId="19706" priority="778" operator="equal">
      <formula>0</formula>
    </cfRule>
  </conditionalFormatting>
  <conditionalFormatting sqref="V19">
    <cfRule type="cellIs" dxfId="19705" priority="775" operator="greaterThan">
      <formula>V18</formula>
    </cfRule>
    <cfRule type="cellIs" dxfId="19704" priority="776" operator="equal">
      <formula>0</formula>
    </cfRule>
  </conditionalFormatting>
  <conditionalFormatting sqref="V18">
    <cfRule type="cellIs" dxfId="19703" priority="773" operator="greaterThan">
      <formula>V17</formula>
    </cfRule>
    <cfRule type="cellIs" dxfId="19702" priority="774" operator="equal">
      <formula>0</formula>
    </cfRule>
  </conditionalFormatting>
  <conditionalFormatting sqref="V19">
    <cfRule type="cellIs" dxfId="19701" priority="771" operator="greaterThan">
      <formula>V18</formula>
    </cfRule>
    <cfRule type="cellIs" dxfId="19700" priority="772" operator="equal">
      <formula>0</formula>
    </cfRule>
  </conditionalFormatting>
  <conditionalFormatting sqref="V18">
    <cfRule type="cellIs" dxfId="19699" priority="769" operator="greaterThan">
      <formula>V17</formula>
    </cfRule>
    <cfRule type="cellIs" dxfId="19698" priority="770" operator="equal">
      <formula>0</formula>
    </cfRule>
  </conditionalFormatting>
  <conditionalFormatting sqref="V19">
    <cfRule type="cellIs" dxfId="19697" priority="767" operator="greaterThan">
      <formula>V18</formula>
    </cfRule>
    <cfRule type="cellIs" dxfId="19696" priority="768" operator="equal">
      <formula>0</formula>
    </cfRule>
  </conditionalFormatting>
  <conditionalFormatting sqref="V18">
    <cfRule type="cellIs" dxfId="19695" priority="765" operator="greaterThan">
      <formula>V17</formula>
    </cfRule>
    <cfRule type="cellIs" dxfId="19694" priority="766" operator="equal">
      <formula>0</formula>
    </cfRule>
  </conditionalFormatting>
  <conditionalFormatting sqref="V19">
    <cfRule type="cellIs" dxfId="19693" priority="763" operator="greaterThan">
      <formula>V18</formula>
    </cfRule>
    <cfRule type="cellIs" dxfId="19692" priority="764" operator="equal">
      <formula>0</formula>
    </cfRule>
  </conditionalFormatting>
  <conditionalFormatting sqref="V18">
    <cfRule type="cellIs" dxfId="19691" priority="761" operator="greaterThan">
      <formula>V17</formula>
    </cfRule>
    <cfRule type="cellIs" dxfId="19690" priority="762" operator="equal">
      <formula>0</formula>
    </cfRule>
  </conditionalFormatting>
  <conditionalFormatting sqref="V22">
    <cfRule type="cellIs" dxfId="19689" priority="759" operator="greaterThan">
      <formula>V21</formula>
    </cfRule>
    <cfRule type="cellIs" dxfId="19688" priority="760" operator="equal">
      <formula>0</formula>
    </cfRule>
  </conditionalFormatting>
  <conditionalFormatting sqref="V21">
    <cfRule type="cellIs" dxfId="19687" priority="757" operator="greaterThan">
      <formula>V20</formula>
    </cfRule>
    <cfRule type="cellIs" dxfId="19686" priority="758" operator="equal">
      <formula>0</formula>
    </cfRule>
  </conditionalFormatting>
  <conditionalFormatting sqref="V22">
    <cfRule type="cellIs" dxfId="19685" priority="755" operator="greaterThan">
      <formula>V21</formula>
    </cfRule>
    <cfRule type="cellIs" dxfId="19684" priority="756" operator="equal">
      <formula>0</formula>
    </cfRule>
  </conditionalFormatting>
  <conditionalFormatting sqref="V21">
    <cfRule type="cellIs" dxfId="19683" priority="753" operator="greaterThan">
      <formula>V20</formula>
    </cfRule>
    <cfRule type="cellIs" dxfId="19682" priority="754" operator="equal">
      <formula>0</formula>
    </cfRule>
  </conditionalFormatting>
  <conditionalFormatting sqref="V22">
    <cfRule type="cellIs" dxfId="19681" priority="751" operator="greaterThan">
      <formula>V21</formula>
    </cfRule>
    <cfRule type="cellIs" dxfId="19680" priority="752" operator="equal">
      <formula>0</formula>
    </cfRule>
  </conditionalFormatting>
  <conditionalFormatting sqref="V21">
    <cfRule type="cellIs" dxfId="19679" priority="749" operator="greaterThan">
      <formula>V20</formula>
    </cfRule>
    <cfRule type="cellIs" dxfId="19678" priority="750" operator="equal">
      <formula>0</formula>
    </cfRule>
  </conditionalFormatting>
  <conditionalFormatting sqref="V22">
    <cfRule type="cellIs" dxfId="19677" priority="747" operator="greaterThan">
      <formula>V21</formula>
    </cfRule>
    <cfRule type="cellIs" dxfId="19676" priority="748" operator="equal">
      <formula>0</formula>
    </cfRule>
  </conditionalFormatting>
  <conditionalFormatting sqref="V21">
    <cfRule type="cellIs" dxfId="19675" priority="745" operator="greaterThan">
      <formula>V20</formula>
    </cfRule>
    <cfRule type="cellIs" dxfId="19674" priority="746" operator="equal">
      <formula>0</formula>
    </cfRule>
  </conditionalFormatting>
  <conditionalFormatting sqref="V22">
    <cfRule type="cellIs" dxfId="19673" priority="743" operator="greaterThan">
      <formula>V21</formula>
    </cfRule>
    <cfRule type="cellIs" dxfId="19672" priority="744" operator="equal">
      <formula>0</formula>
    </cfRule>
  </conditionalFormatting>
  <conditionalFormatting sqref="V21">
    <cfRule type="cellIs" dxfId="19671" priority="741" operator="greaterThan">
      <formula>V20</formula>
    </cfRule>
    <cfRule type="cellIs" dxfId="19670" priority="742" operator="equal">
      <formula>0</formula>
    </cfRule>
  </conditionalFormatting>
  <conditionalFormatting sqref="V22">
    <cfRule type="cellIs" dxfId="19669" priority="739" operator="greaterThan">
      <formula>V21</formula>
    </cfRule>
    <cfRule type="cellIs" dxfId="19668" priority="740" operator="equal">
      <formula>0</formula>
    </cfRule>
  </conditionalFormatting>
  <conditionalFormatting sqref="V21">
    <cfRule type="cellIs" dxfId="19667" priority="737" operator="greaterThan">
      <formula>V20</formula>
    </cfRule>
    <cfRule type="cellIs" dxfId="19666" priority="738" operator="equal">
      <formula>0</formula>
    </cfRule>
  </conditionalFormatting>
  <conditionalFormatting sqref="V24">
    <cfRule type="cellIs" dxfId="19665" priority="735" operator="greaterThan">
      <formula>V23</formula>
    </cfRule>
    <cfRule type="cellIs" dxfId="19664" priority="736" operator="equal">
      <formula>0</formula>
    </cfRule>
  </conditionalFormatting>
  <conditionalFormatting sqref="V25">
    <cfRule type="cellIs" dxfId="19663" priority="733" operator="greaterThan">
      <formula>V24</formula>
    </cfRule>
    <cfRule type="cellIs" dxfId="19662" priority="734" operator="equal">
      <formula>0</formula>
    </cfRule>
  </conditionalFormatting>
  <conditionalFormatting sqref="V24">
    <cfRule type="cellIs" dxfId="19661" priority="731" operator="greaterThan">
      <formula>V23</formula>
    </cfRule>
    <cfRule type="cellIs" dxfId="19660" priority="732" operator="equal">
      <formula>0</formula>
    </cfRule>
  </conditionalFormatting>
  <conditionalFormatting sqref="V25">
    <cfRule type="cellIs" dxfId="19659" priority="729" operator="greaterThan">
      <formula>V24</formula>
    </cfRule>
    <cfRule type="cellIs" dxfId="19658" priority="730" operator="equal">
      <formula>0</formula>
    </cfRule>
  </conditionalFormatting>
  <conditionalFormatting sqref="V24">
    <cfRule type="cellIs" dxfId="19657" priority="727" operator="greaterThan">
      <formula>V23</formula>
    </cfRule>
    <cfRule type="cellIs" dxfId="19656" priority="728" operator="equal">
      <formula>0</formula>
    </cfRule>
  </conditionalFormatting>
  <conditionalFormatting sqref="V25">
    <cfRule type="cellIs" dxfId="19655" priority="725" operator="greaterThan">
      <formula>V24</formula>
    </cfRule>
    <cfRule type="cellIs" dxfId="19654" priority="726" operator="equal">
      <formula>0</formula>
    </cfRule>
  </conditionalFormatting>
  <conditionalFormatting sqref="V24">
    <cfRule type="cellIs" dxfId="19653" priority="723" operator="greaterThan">
      <formula>V23</formula>
    </cfRule>
    <cfRule type="cellIs" dxfId="19652" priority="724" operator="equal">
      <formula>0</formula>
    </cfRule>
  </conditionalFormatting>
  <conditionalFormatting sqref="V25">
    <cfRule type="cellIs" dxfId="19651" priority="721" operator="greaterThan">
      <formula>V24</formula>
    </cfRule>
    <cfRule type="cellIs" dxfId="19650" priority="722" operator="equal">
      <formula>0</formula>
    </cfRule>
  </conditionalFormatting>
  <conditionalFormatting sqref="V24">
    <cfRule type="cellIs" dxfId="19649" priority="719" operator="greaterThan">
      <formula>V23</formula>
    </cfRule>
    <cfRule type="cellIs" dxfId="19648" priority="720" operator="equal">
      <formula>0</formula>
    </cfRule>
  </conditionalFormatting>
  <conditionalFormatting sqref="V25">
    <cfRule type="cellIs" dxfId="19647" priority="717" operator="greaterThan">
      <formula>V24</formula>
    </cfRule>
    <cfRule type="cellIs" dxfId="19646" priority="718" operator="equal">
      <formula>0</formula>
    </cfRule>
  </conditionalFormatting>
  <conditionalFormatting sqref="V24">
    <cfRule type="cellIs" dxfId="19645" priority="715" operator="greaterThan">
      <formula>V23</formula>
    </cfRule>
    <cfRule type="cellIs" dxfId="19644" priority="716" operator="equal">
      <formula>0</formula>
    </cfRule>
  </conditionalFormatting>
  <conditionalFormatting sqref="V25">
    <cfRule type="cellIs" dxfId="19643" priority="713" operator="greaterThan">
      <formula>V24</formula>
    </cfRule>
    <cfRule type="cellIs" dxfId="19642" priority="714" operator="equal">
      <formula>0</formula>
    </cfRule>
  </conditionalFormatting>
  <conditionalFormatting sqref="V24">
    <cfRule type="cellIs" dxfId="19641" priority="711" operator="greaterThan">
      <formula>V23</formula>
    </cfRule>
    <cfRule type="cellIs" dxfId="19640" priority="712" operator="equal">
      <formula>0</formula>
    </cfRule>
  </conditionalFormatting>
  <conditionalFormatting sqref="V25">
    <cfRule type="cellIs" dxfId="19639" priority="709" operator="greaterThan">
      <formula>V24</formula>
    </cfRule>
    <cfRule type="cellIs" dxfId="19638" priority="710" operator="equal">
      <formula>0</formula>
    </cfRule>
  </conditionalFormatting>
  <conditionalFormatting sqref="V24">
    <cfRule type="cellIs" dxfId="19637" priority="707" operator="greaterThan">
      <formula>V23</formula>
    </cfRule>
    <cfRule type="cellIs" dxfId="19636" priority="708" operator="equal">
      <formula>0</formula>
    </cfRule>
  </conditionalFormatting>
  <conditionalFormatting sqref="V27:V28">
    <cfRule type="cellIs" dxfId="19635" priority="705" operator="greaterThan">
      <formula>V26</formula>
    </cfRule>
    <cfRule type="cellIs" dxfId="19634" priority="706" operator="equal">
      <formula>0</formula>
    </cfRule>
  </conditionalFormatting>
  <conditionalFormatting sqref="V27">
    <cfRule type="cellIs" dxfId="19633" priority="703" operator="greaterThan">
      <formula>V26</formula>
    </cfRule>
    <cfRule type="cellIs" dxfId="19632" priority="704" operator="equal">
      <formula>0</formula>
    </cfRule>
  </conditionalFormatting>
  <conditionalFormatting sqref="V28">
    <cfRule type="cellIs" dxfId="19631" priority="701" operator="greaterThan">
      <formula>V27</formula>
    </cfRule>
    <cfRule type="cellIs" dxfId="19630" priority="702" operator="equal">
      <formula>0</formula>
    </cfRule>
  </conditionalFormatting>
  <conditionalFormatting sqref="V27">
    <cfRule type="cellIs" dxfId="19629" priority="699" operator="greaterThan">
      <formula>V26</formula>
    </cfRule>
    <cfRule type="cellIs" dxfId="19628" priority="700" operator="equal">
      <formula>0</formula>
    </cfRule>
  </conditionalFormatting>
  <conditionalFormatting sqref="V27">
    <cfRule type="cellIs" dxfId="19627" priority="697" operator="greaterThan">
      <formula>V26</formula>
    </cfRule>
    <cfRule type="cellIs" dxfId="19626" priority="698" operator="equal">
      <formula>0</formula>
    </cfRule>
  </conditionalFormatting>
  <conditionalFormatting sqref="V28">
    <cfRule type="cellIs" dxfId="19625" priority="695" operator="greaterThan">
      <formula>V27</formula>
    </cfRule>
    <cfRule type="cellIs" dxfId="19624" priority="696" operator="equal">
      <formula>0</formula>
    </cfRule>
  </conditionalFormatting>
  <conditionalFormatting sqref="V27">
    <cfRule type="cellIs" dxfId="19623" priority="693" operator="greaterThan">
      <formula>V26</formula>
    </cfRule>
    <cfRule type="cellIs" dxfId="19622" priority="694" operator="equal">
      <formula>0</formula>
    </cfRule>
  </conditionalFormatting>
  <conditionalFormatting sqref="V28">
    <cfRule type="cellIs" dxfId="19621" priority="691" operator="greaterThan">
      <formula>V27</formula>
    </cfRule>
    <cfRule type="cellIs" dxfId="19620" priority="692" operator="equal">
      <formula>0</formula>
    </cfRule>
  </conditionalFormatting>
  <conditionalFormatting sqref="V27">
    <cfRule type="cellIs" dxfId="19619" priority="689" operator="greaterThan">
      <formula>V26</formula>
    </cfRule>
    <cfRule type="cellIs" dxfId="19618" priority="690" operator="equal">
      <formula>0</formula>
    </cfRule>
  </conditionalFormatting>
  <conditionalFormatting sqref="V28">
    <cfRule type="cellIs" dxfId="19617" priority="687" operator="greaterThan">
      <formula>V27</formula>
    </cfRule>
    <cfRule type="cellIs" dxfId="19616" priority="688" operator="equal">
      <formula>0</formula>
    </cfRule>
  </conditionalFormatting>
  <conditionalFormatting sqref="V27">
    <cfRule type="cellIs" dxfId="19615" priority="685" operator="greaterThan">
      <formula>V26</formula>
    </cfRule>
    <cfRule type="cellIs" dxfId="19614" priority="686" operator="equal">
      <formula>0</formula>
    </cfRule>
  </conditionalFormatting>
  <conditionalFormatting sqref="V28">
    <cfRule type="cellIs" dxfId="19613" priority="683" operator="greaterThan">
      <formula>V27</formula>
    </cfRule>
    <cfRule type="cellIs" dxfId="19612" priority="684" operator="equal">
      <formula>0</formula>
    </cfRule>
  </conditionalFormatting>
  <conditionalFormatting sqref="V27">
    <cfRule type="cellIs" dxfId="19611" priority="681" operator="greaterThan">
      <formula>V26</formula>
    </cfRule>
    <cfRule type="cellIs" dxfId="19610" priority="682" operator="equal">
      <formula>0</formula>
    </cfRule>
  </conditionalFormatting>
  <conditionalFormatting sqref="V28">
    <cfRule type="cellIs" dxfId="19609" priority="679" operator="greaterThan">
      <formula>V27</formula>
    </cfRule>
    <cfRule type="cellIs" dxfId="19608" priority="680" operator="equal">
      <formula>0</formula>
    </cfRule>
  </conditionalFormatting>
  <conditionalFormatting sqref="V27">
    <cfRule type="cellIs" dxfId="19607" priority="677" operator="greaterThan">
      <formula>V26</formula>
    </cfRule>
    <cfRule type="cellIs" dxfId="19606" priority="678" operator="equal">
      <formula>0</formula>
    </cfRule>
  </conditionalFormatting>
  <conditionalFormatting sqref="V28">
    <cfRule type="cellIs" dxfId="19605" priority="675" operator="greaterThan">
      <formula>V27</formula>
    </cfRule>
    <cfRule type="cellIs" dxfId="19604" priority="676" operator="equal">
      <formula>0</formula>
    </cfRule>
  </conditionalFormatting>
  <conditionalFormatting sqref="V27">
    <cfRule type="cellIs" dxfId="19603" priority="673" operator="greaterThan">
      <formula>V26</formula>
    </cfRule>
    <cfRule type="cellIs" dxfId="19602" priority="674" operator="equal">
      <formula>0</formula>
    </cfRule>
  </conditionalFormatting>
  <conditionalFormatting sqref="V28">
    <cfRule type="cellIs" dxfId="19601" priority="671" operator="greaterThan">
      <formula>V27</formula>
    </cfRule>
    <cfRule type="cellIs" dxfId="19600" priority="672" operator="equal">
      <formula>0</formula>
    </cfRule>
  </conditionalFormatting>
  <conditionalFormatting sqref="V27">
    <cfRule type="cellIs" dxfId="19599" priority="669" operator="greaterThan">
      <formula>V26</formula>
    </cfRule>
    <cfRule type="cellIs" dxfId="19598" priority="670" operator="equal">
      <formula>0</formula>
    </cfRule>
  </conditionalFormatting>
  <conditionalFormatting sqref="V50">
    <cfRule type="cellIs" dxfId="19597" priority="667" operator="greaterThan">
      <formula>V49</formula>
    </cfRule>
    <cfRule type="cellIs" dxfId="19596" priority="668" operator="equal">
      <formula>0</formula>
    </cfRule>
  </conditionalFormatting>
  <conditionalFormatting sqref="V12:V13 X12:X13 X15:X16 X18:X19 X21:X25 X27:X28 V15:V16 V18:V19 V21:V22 V24:V25 V27:V28">
    <cfRule type="cellIs" dxfId="19595" priority="666" operator="equal">
      <formula>0</formula>
    </cfRule>
  </conditionalFormatting>
  <conditionalFormatting sqref="V28">
    <cfRule type="cellIs" dxfId="19594" priority="664" operator="greaterThan">
      <formula>V27</formula>
    </cfRule>
    <cfRule type="cellIs" dxfId="19593" priority="665" operator="equal">
      <formula>0</formula>
    </cfRule>
  </conditionalFormatting>
  <conditionalFormatting sqref="V27">
    <cfRule type="cellIs" dxfId="19592" priority="662" operator="greaterThan">
      <formula>V26</formula>
    </cfRule>
    <cfRule type="cellIs" dxfId="19591" priority="663" operator="equal">
      <formula>0</formula>
    </cfRule>
  </conditionalFormatting>
  <conditionalFormatting sqref="V13">
    <cfRule type="cellIs" dxfId="19590" priority="660" operator="greaterThan">
      <formula>V12</formula>
    </cfRule>
    <cfRule type="cellIs" dxfId="19589" priority="661" operator="equal">
      <formula>0</formula>
    </cfRule>
  </conditionalFormatting>
  <conditionalFormatting sqref="V12">
    <cfRule type="cellIs" dxfId="19588" priority="658" operator="greaterThan">
      <formula>V11</formula>
    </cfRule>
    <cfRule type="cellIs" dxfId="19587" priority="659" operator="equal">
      <formula>0</formula>
    </cfRule>
  </conditionalFormatting>
  <conditionalFormatting sqref="V16">
    <cfRule type="cellIs" dxfId="19586" priority="656" operator="greaterThan">
      <formula>V15</formula>
    </cfRule>
    <cfRule type="cellIs" dxfId="19585" priority="657" operator="equal">
      <formula>0</formula>
    </cfRule>
  </conditionalFormatting>
  <conditionalFormatting sqref="V15">
    <cfRule type="cellIs" dxfId="19584" priority="654" operator="greaterThan">
      <formula>V14</formula>
    </cfRule>
    <cfRule type="cellIs" dxfId="19583" priority="655" operator="equal">
      <formula>0</formula>
    </cfRule>
  </conditionalFormatting>
  <conditionalFormatting sqref="V19">
    <cfRule type="cellIs" dxfId="19582" priority="652" operator="greaterThan">
      <formula>V18</formula>
    </cfRule>
    <cfRule type="cellIs" dxfId="19581" priority="653" operator="equal">
      <formula>0</formula>
    </cfRule>
  </conditionalFormatting>
  <conditionalFormatting sqref="V18">
    <cfRule type="cellIs" dxfId="19580" priority="650" operator="greaterThan">
      <formula>V17</formula>
    </cfRule>
    <cfRule type="cellIs" dxfId="19579" priority="651" operator="equal">
      <formula>0</formula>
    </cfRule>
  </conditionalFormatting>
  <conditionalFormatting sqref="V22 V24:V25">
    <cfRule type="cellIs" dxfId="19578" priority="648" operator="greaterThan">
      <formula>V21</formula>
    </cfRule>
    <cfRule type="cellIs" dxfId="19577" priority="649" operator="equal">
      <formula>0</formula>
    </cfRule>
  </conditionalFormatting>
  <conditionalFormatting sqref="V21">
    <cfRule type="cellIs" dxfId="19576" priority="646" operator="greaterThan">
      <formula>V20</formula>
    </cfRule>
    <cfRule type="cellIs" dxfId="19575" priority="647" operator="equal">
      <formula>0</formula>
    </cfRule>
  </conditionalFormatting>
  <conditionalFormatting sqref="V24">
    <cfRule type="cellIs" dxfId="19574" priority="644" operator="greaterThan">
      <formula>V23</formula>
    </cfRule>
    <cfRule type="cellIs" dxfId="19573" priority="645" operator="equal">
      <formula>0</formula>
    </cfRule>
  </conditionalFormatting>
  <conditionalFormatting sqref="V27:V28">
    <cfRule type="cellIs" dxfId="19572" priority="642" operator="greaterThan">
      <formula>V26</formula>
    </cfRule>
    <cfRule type="cellIs" dxfId="19571" priority="643" operator="equal">
      <formula>0</formula>
    </cfRule>
  </conditionalFormatting>
  <conditionalFormatting sqref="V27">
    <cfRule type="cellIs" dxfId="19570" priority="640" operator="greaterThan">
      <formula>V26</formula>
    </cfRule>
    <cfRule type="cellIs" dxfId="19569" priority="641" operator="equal">
      <formula>0</formula>
    </cfRule>
  </conditionalFormatting>
  <conditionalFormatting sqref="V16">
    <cfRule type="cellIs" dxfId="19568" priority="638" operator="greaterThan">
      <formula>V15</formula>
    </cfRule>
    <cfRule type="cellIs" dxfId="19567" priority="639" operator="equal">
      <formula>0</formula>
    </cfRule>
  </conditionalFormatting>
  <conditionalFormatting sqref="V15">
    <cfRule type="cellIs" dxfId="19566" priority="636" operator="greaterThan">
      <formula>V14</formula>
    </cfRule>
    <cfRule type="cellIs" dxfId="19565" priority="637" operator="equal">
      <formula>0</formula>
    </cfRule>
  </conditionalFormatting>
  <conditionalFormatting sqref="V19">
    <cfRule type="cellIs" dxfId="19564" priority="634" operator="greaterThan">
      <formula>V18</formula>
    </cfRule>
    <cfRule type="cellIs" dxfId="19563" priority="635" operator="equal">
      <formula>0</formula>
    </cfRule>
  </conditionalFormatting>
  <conditionalFormatting sqref="V18">
    <cfRule type="cellIs" dxfId="19562" priority="632" operator="greaterThan">
      <formula>V17</formula>
    </cfRule>
    <cfRule type="cellIs" dxfId="19561" priority="633" operator="equal">
      <formula>0</formula>
    </cfRule>
  </conditionalFormatting>
  <conditionalFormatting sqref="V22">
    <cfRule type="cellIs" dxfId="19560" priority="630" operator="greaterThan">
      <formula>V21</formula>
    </cfRule>
    <cfRule type="cellIs" dxfId="19559" priority="631" operator="equal">
      <formula>0</formula>
    </cfRule>
  </conditionalFormatting>
  <conditionalFormatting sqref="V21">
    <cfRule type="cellIs" dxfId="19558" priority="628" operator="greaterThan">
      <formula>V20</formula>
    </cfRule>
    <cfRule type="cellIs" dxfId="19557" priority="629" operator="equal">
      <formula>0</formula>
    </cfRule>
  </conditionalFormatting>
  <conditionalFormatting sqref="V25">
    <cfRule type="cellIs" dxfId="19556" priority="626" operator="greaterThan">
      <formula>V24</formula>
    </cfRule>
    <cfRule type="cellIs" dxfId="19555" priority="627" operator="equal">
      <formula>0</formula>
    </cfRule>
  </conditionalFormatting>
  <conditionalFormatting sqref="V24">
    <cfRule type="cellIs" dxfId="19554" priority="624" operator="greaterThan">
      <formula>V23</formula>
    </cfRule>
    <cfRule type="cellIs" dxfId="19553" priority="625" operator="equal">
      <formula>0</formula>
    </cfRule>
  </conditionalFormatting>
  <conditionalFormatting sqref="V28">
    <cfRule type="cellIs" dxfId="19552" priority="622" operator="greaterThan">
      <formula>V27</formula>
    </cfRule>
    <cfRule type="cellIs" dxfId="19551" priority="623" operator="equal">
      <formula>0</formula>
    </cfRule>
  </conditionalFormatting>
  <conditionalFormatting sqref="V27">
    <cfRule type="cellIs" dxfId="19550" priority="620" operator="greaterThan">
      <formula>V26</formula>
    </cfRule>
    <cfRule type="cellIs" dxfId="19549" priority="621" operator="equal">
      <formula>0</formula>
    </cfRule>
  </conditionalFormatting>
  <conditionalFormatting sqref="V30:V31 X30:X31">
    <cfRule type="cellIs" dxfId="19548" priority="619" operator="equal">
      <formula>0</formula>
    </cfRule>
  </conditionalFormatting>
  <conditionalFormatting sqref="V31">
    <cfRule type="cellIs" dxfId="19547" priority="617" operator="greaterThan">
      <formula>V30</formula>
    </cfRule>
    <cfRule type="cellIs" dxfId="19546" priority="618" operator="equal">
      <formula>0</formula>
    </cfRule>
  </conditionalFormatting>
  <conditionalFormatting sqref="V30">
    <cfRule type="cellIs" dxfId="19545" priority="615" operator="greaterThan">
      <formula>V29</formula>
    </cfRule>
    <cfRule type="cellIs" dxfId="19544" priority="616" operator="equal">
      <formula>0</formula>
    </cfRule>
  </conditionalFormatting>
  <conditionalFormatting sqref="V33:V34 X33:X34">
    <cfRule type="cellIs" dxfId="19543" priority="614" operator="equal">
      <formula>0</formula>
    </cfRule>
  </conditionalFormatting>
  <conditionalFormatting sqref="V34">
    <cfRule type="cellIs" dxfId="19542" priority="612" operator="greaterThan">
      <formula>V33</formula>
    </cfRule>
    <cfRule type="cellIs" dxfId="19541" priority="613" operator="equal">
      <formula>0</formula>
    </cfRule>
  </conditionalFormatting>
  <conditionalFormatting sqref="V33">
    <cfRule type="cellIs" dxfId="19540" priority="610" operator="greaterThan">
      <formula>V32</formula>
    </cfRule>
    <cfRule type="cellIs" dxfId="19539" priority="611" operator="equal">
      <formula>0</formula>
    </cfRule>
  </conditionalFormatting>
  <conditionalFormatting sqref="V36:V37 X36:X37">
    <cfRule type="cellIs" dxfId="19538" priority="609" operator="equal">
      <formula>0</formula>
    </cfRule>
  </conditionalFormatting>
  <conditionalFormatting sqref="V37">
    <cfRule type="cellIs" dxfId="19537" priority="607" operator="greaterThan">
      <formula>V36</formula>
    </cfRule>
    <cfRule type="cellIs" dxfId="19536" priority="608" operator="equal">
      <formula>0</formula>
    </cfRule>
  </conditionalFormatting>
  <conditionalFormatting sqref="V36">
    <cfRule type="cellIs" dxfId="19535" priority="605" operator="greaterThan">
      <formula>V35</formula>
    </cfRule>
    <cfRule type="cellIs" dxfId="19534" priority="606" operator="equal">
      <formula>0</formula>
    </cfRule>
  </conditionalFormatting>
  <conditionalFormatting sqref="V16">
    <cfRule type="cellIs" dxfId="19533" priority="603" operator="greaterThan">
      <formula>V15</formula>
    </cfRule>
    <cfRule type="cellIs" dxfId="19532" priority="604" operator="equal">
      <formula>0</formula>
    </cfRule>
  </conditionalFormatting>
  <conditionalFormatting sqref="V15">
    <cfRule type="cellIs" dxfId="19531" priority="601" operator="greaterThan">
      <formula>V14</formula>
    </cfRule>
    <cfRule type="cellIs" dxfId="19530" priority="602" operator="equal">
      <formula>0</formula>
    </cfRule>
  </conditionalFormatting>
  <conditionalFormatting sqref="V16">
    <cfRule type="cellIs" dxfId="19529" priority="599" operator="greaterThan">
      <formula>V15</formula>
    </cfRule>
    <cfRule type="cellIs" dxfId="19528" priority="600" operator="equal">
      <formula>0</formula>
    </cfRule>
  </conditionalFormatting>
  <conditionalFormatting sqref="V15">
    <cfRule type="cellIs" dxfId="19527" priority="597" operator="greaterThan">
      <formula>V14</formula>
    </cfRule>
    <cfRule type="cellIs" dxfId="19526" priority="598" operator="equal">
      <formula>0</formula>
    </cfRule>
  </conditionalFormatting>
  <conditionalFormatting sqref="V19">
    <cfRule type="cellIs" dxfId="19525" priority="595" operator="greaterThan">
      <formula>V18</formula>
    </cfRule>
    <cfRule type="cellIs" dxfId="19524" priority="596" operator="equal">
      <formula>0</formula>
    </cfRule>
  </conditionalFormatting>
  <conditionalFormatting sqref="V18">
    <cfRule type="cellIs" dxfId="19523" priority="593" operator="greaterThan">
      <formula>V17</formula>
    </cfRule>
    <cfRule type="cellIs" dxfId="19522" priority="594" operator="equal">
      <formula>0</formula>
    </cfRule>
  </conditionalFormatting>
  <conditionalFormatting sqref="V19">
    <cfRule type="cellIs" dxfId="19521" priority="591" operator="greaterThan">
      <formula>V18</formula>
    </cfRule>
    <cfRule type="cellIs" dxfId="19520" priority="592" operator="equal">
      <formula>0</formula>
    </cfRule>
  </conditionalFormatting>
  <conditionalFormatting sqref="V18">
    <cfRule type="cellIs" dxfId="19519" priority="589" operator="greaterThan">
      <formula>V17</formula>
    </cfRule>
    <cfRule type="cellIs" dxfId="19518" priority="590" operator="equal">
      <formula>0</formula>
    </cfRule>
  </conditionalFormatting>
  <conditionalFormatting sqref="V19">
    <cfRule type="cellIs" dxfId="19517" priority="587" operator="greaterThan">
      <formula>V18</formula>
    </cfRule>
    <cfRule type="cellIs" dxfId="19516" priority="588" operator="equal">
      <formula>0</formula>
    </cfRule>
  </conditionalFormatting>
  <conditionalFormatting sqref="V18">
    <cfRule type="cellIs" dxfId="19515" priority="585" operator="greaterThan">
      <formula>V17</formula>
    </cfRule>
    <cfRule type="cellIs" dxfId="19514" priority="586" operator="equal">
      <formula>0</formula>
    </cfRule>
  </conditionalFormatting>
  <conditionalFormatting sqref="V19">
    <cfRule type="cellIs" dxfId="19513" priority="583" operator="greaterThan">
      <formula>V18</formula>
    </cfRule>
    <cfRule type="cellIs" dxfId="19512" priority="584" operator="equal">
      <formula>0</formula>
    </cfRule>
  </conditionalFormatting>
  <conditionalFormatting sqref="V18">
    <cfRule type="cellIs" dxfId="19511" priority="581" operator="greaterThan">
      <formula>V17</formula>
    </cfRule>
    <cfRule type="cellIs" dxfId="19510" priority="582" operator="equal">
      <formula>0</formula>
    </cfRule>
  </conditionalFormatting>
  <conditionalFormatting sqref="V22">
    <cfRule type="cellIs" dxfId="19509" priority="579" operator="greaterThan">
      <formula>V21</formula>
    </cfRule>
    <cfRule type="cellIs" dxfId="19508" priority="580" operator="equal">
      <formula>0</formula>
    </cfRule>
  </conditionalFormatting>
  <conditionalFormatting sqref="V21">
    <cfRule type="cellIs" dxfId="19507" priority="577" operator="greaterThan">
      <formula>V20</formula>
    </cfRule>
    <cfRule type="cellIs" dxfId="19506" priority="578" operator="equal">
      <formula>0</formula>
    </cfRule>
  </conditionalFormatting>
  <conditionalFormatting sqref="V22">
    <cfRule type="cellIs" dxfId="19505" priority="575" operator="greaterThan">
      <formula>V21</formula>
    </cfRule>
    <cfRule type="cellIs" dxfId="19504" priority="576" operator="equal">
      <formula>0</formula>
    </cfRule>
  </conditionalFormatting>
  <conditionalFormatting sqref="V21">
    <cfRule type="cellIs" dxfId="19503" priority="573" operator="greaterThan">
      <formula>V20</formula>
    </cfRule>
    <cfRule type="cellIs" dxfId="19502" priority="574" operator="equal">
      <formula>0</formula>
    </cfRule>
  </conditionalFormatting>
  <conditionalFormatting sqref="V22">
    <cfRule type="cellIs" dxfId="19501" priority="571" operator="greaterThan">
      <formula>V21</formula>
    </cfRule>
    <cfRule type="cellIs" dxfId="19500" priority="572" operator="equal">
      <formula>0</formula>
    </cfRule>
  </conditionalFormatting>
  <conditionalFormatting sqref="V21">
    <cfRule type="cellIs" dxfId="19499" priority="569" operator="greaterThan">
      <formula>V20</formula>
    </cfRule>
    <cfRule type="cellIs" dxfId="19498" priority="570" operator="equal">
      <formula>0</formula>
    </cfRule>
  </conditionalFormatting>
  <conditionalFormatting sqref="V22">
    <cfRule type="cellIs" dxfId="19497" priority="567" operator="greaterThan">
      <formula>V21</formula>
    </cfRule>
    <cfRule type="cellIs" dxfId="19496" priority="568" operator="equal">
      <formula>0</formula>
    </cfRule>
  </conditionalFormatting>
  <conditionalFormatting sqref="V21">
    <cfRule type="cellIs" dxfId="19495" priority="565" operator="greaterThan">
      <formula>V20</formula>
    </cfRule>
    <cfRule type="cellIs" dxfId="19494" priority="566" operator="equal">
      <formula>0</formula>
    </cfRule>
  </conditionalFormatting>
  <conditionalFormatting sqref="V22">
    <cfRule type="cellIs" dxfId="19493" priority="563" operator="greaterThan">
      <formula>V21</formula>
    </cfRule>
    <cfRule type="cellIs" dxfId="19492" priority="564" operator="equal">
      <formula>0</formula>
    </cfRule>
  </conditionalFormatting>
  <conditionalFormatting sqref="V21">
    <cfRule type="cellIs" dxfId="19491" priority="561" operator="greaterThan">
      <formula>V20</formula>
    </cfRule>
    <cfRule type="cellIs" dxfId="19490" priority="562" operator="equal">
      <formula>0</formula>
    </cfRule>
  </conditionalFormatting>
  <conditionalFormatting sqref="V22">
    <cfRule type="cellIs" dxfId="19489" priority="559" operator="greaterThan">
      <formula>V21</formula>
    </cfRule>
    <cfRule type="cellIs" dxfId="19488" priority="560" operator="equal">
      <formula>0</formula>
    </cfRule>
  </conditionalFormatting>
  <conditionalFormatting sqref="V21">
    <cfRule type="cellIs" dxfId="19487" priority="557" operator="greaterThan">
      <formula>V20</formula>
    </cfRule>
    <cfRule type="cellIs" dxfId="19486" priority="558" operator="equal">
      <formula>0</formula>
    </cfRule>
  </conditionalFormatting>
  <conditionalFormatting sqref="V24">
    <cfRule type="cellIs" dxfId="19485" priority="555" operator="greaterThan">
      <formula>V23</formula>
    </cfRule>
    <cfRule type="cellIs" dxfId="19484" priority="556" operator="equal">
      <formula>0</formula>
    </cfRule>
  </conditionalFormatting>
  <conditionalFormatting sqref="V25">
    <cfRule type="cellIs" dxfId="19483" priority="553" operator="greaterThan">
      <formula>V24</formula>
    </cfRule>
    <cfRule type="cellIs" dxfId="19482" priority="554" operator="equal">
      <formula>0</formula>
    </cfRule>
  </conditionalFormatting>
  <conditionalFormatting sqref="V24">
    <cfRule type="cellIs" dxfId="19481" priority="551" operator="greaterThan">
      <formula>V23</formula>
    </cfRule>
    <cfRule type="cellIs" dxfId="19480" priority="552" operator="equal">
      <formula>0</formula>
    </cfRule>
  </conditionalFormatting>
  <conditionalFormatting sqref="V25">
    <cfRule type="cellIs" dxfId="19479" priority="549" operator="greaterThan">
      <formula>V24</formula>
    </cfRule>
    <cfRule type="cellIs" dxfId="19478" priority="550" operator="equal">
      <formula>0</formula>
    </cfRule>
  </conditionalFormatting>
  <conditionalFormatting sqref="V24">
    <cfRule type="cellIs" dxfId="19477" priority="547" operator="greaterThan">
      <formula>V23</formula>
    </cfRule>
    <cfRule type="cellIs" dxfId="19476" priority="548" operator="equal">
      <formula>0</formula>
    </cfRule>
  </conditionalFormatting>
  <conditionalFormatting sqref="V25">
    <cfRule type="cellIs" dxfId="19475" priority="545" operator="greaterThan">
      <formula>V24</formula>
    </cfRule>
    <cfRule type="cellIs" dxfId="19474" priority="546" operator="equal">
      <formula>0</formula>
    </cfRule>
  </conditionalFormatting>
  <conditionalFormatting sqref="V24">
    <cfRule type="cellIs" dxfId="19473" priority="543" operator="greaterThan">
      <formula>V23</formula>
    </cfRule>
    <cfRule type="cellIs" dxfId="19472" priority="544" operator="equal">
      <formula>0</formula>
    </cfRule>
  </conditionalFormatting>
  <conditionalFormatting sqref="V25">
    <cfRule type="cellIs" dxfId="19471" priority="541" operator="greaterThan">
      <formula>V24</formula>
    </cfRule>
    <cfRule type="cellIs" dxfId="19470" priority="542" operator="equal">
      <formula>0</formula>
    </cfRule>
  </conditionalFormatting>
  <conditionalFormatting sqref="V24">
    <cfRule type="cellIs" dxfId="19469" priority="539" operator="greaterThan">
      <formula>V23</formula>
    </cfRule>
    <cfRule type="cellIs" dxfId="19468" priority="540" operator="equal">
      <formula>0</formula>
    </cfRule>
  </conditionalFormatting>
  <conditionalFormatting sqref="V25">
    <cfRule type="cellIs" dxfId="19467" priority="537" operator="greaterThan">
      <formula>V24</formula>
    </cfRule>
    <cfRule type="cellIs" dxfId="19466" priority="538" operator="equal">
      <formula>0</formula>
    </cfRule>
  </conditionalFormatting>
  <conditionalFormatting sqref="V24">
    <cfRule type="cellIs" dxfId="19465" priority="535" operator="greaterThan">
      <formula>V23</formula>
    </cfRule>
    <cfRule type="cellIs" dxfId="19464" priority="536" operator="equal">
      <formula>0</formula>
    </cfRule>
  </conditionalFormatting>
  <conditionalFormatting sqref="V25">
    <cfRule type="cellIs" dxfId="19463" priority="533" operator="greaterThan">
      <formula>V24</formula>
    </cfRule>
    <cfRule type="cellIs" dxfId="19462" priority="534" operator="equal">
      <formula>0</formula>
    </cfRule>
  </conditionalFormatting>
  <conditionalFormatting sqref="V24">
    <cfRule type="cellIs" dxfId="19461" priority="531" operator="greaterThan">
      <formula>V23</formula>
    </cfRule>
    <cfRule type="cellIs" dxfId="19460" priority="532" operator="equal">
      <formula>0</formula>
    </cfRule>
  </conditionalFormatting>
  <conditionalFormatting sqref="V25">
    <cfRule type="cellIs" dxfId="19459" priority="529" operator="greaterThan">
      <formula>V24</formula>
    </cfRule>
    <cfRule type="cellIs" dxfId="19458" priority="530" operator="equal">
      <formula>0</formula>
    </cfRule>
  </conditionalFormatting>
  <conditionalFormatting sqref="V24">
    <cfRule type="cellIs" dxfId="19457" priority="527" operator="greaterThan">
      <formula>V23</formula>
    </cfRule>
    <cfRule type="cellIs" dxfId="19456" priority="528" operator="equal">
      <formula>0</formula>
    </cfRule>
  </conditionalFormatting>
  <conditionalFormatting sqref="V27:V28">
    <cfRule type="cellIs" dxfId="19455" priority="525" operator="greaterThan">
      <formula>V26</formula>
    </cfRule>
    <cfRule type="cellIs" dxfId="19454" priority="526" operator="equal">
      <formula>0</formula>
    </cfRule>
  </conditionalFormatting>
  <conditionalFormatting sqref="V27">
    <cfRule type="cellIs" dxfId="19453" priority="523" operator="greaterThan">
      <formula>V26</formula>
    </cfRule>
    <cfRule type="cellIs" dxfId="19452" priority="524" operator="equal">
      <formula>0</formula>
    </cfRule>
  </conditionalFormatting>
  <conditionalFormatting sqref="V28">
    <cfRule type="cellIs" dxfId="19451" priority="521" operator="greaterThan">
      <formula>V27</formula>
    </cfRule>
    <cfRule type="cellIs" dxfId="19450" priority="522" operator="equal">
      <formula>0</formula>
    </cfRule>
  </conditionalFormatting>
  <conditionalFormatting sqref="V27">
    <cfRule type="cellIs" dxfId="19449" priority="519" operator="greaterThan">
      <formula>V26</formula>
    </cfRule>
    <cfRule type="cellIs" dxfId="19448" priority="520" operator="equal">
      <formula>0</formula>
    </cfRule>
  </conditionalFormatting>
  <conditionalFormatting sqref="V27">
    <cfRule type="cellIs" dxfId="19447" priority="517" operator="greaterThan">
      <formula>V26</formula>
    </cfRule>
    <cfRule type="cellIs" dxfId="19446" priority="518" operator="equal">
      <formula>0</formula>
    </cfRule>
  </conditionalFormatting>
  <conditionalFormatting sqref="V28">
    <cfRule type="cellIs" dxfId="19445" priority="515" operator="greaterThan">
      <formula>V27</formula>
    </cfRule>
    <cfRule type="cellIs" dxfId="19444" priority="516" operator="equal">
      <formula>0</formula>
    </cfRule>
  </conditionalFormatting>
  <conditionalFormatting sqref="V27">
    <cfRule type="cellIs" dxfId="19443" priority="513" operator="greaterThan">
      <formula>V26</formula>
    </cfRule>
    <cfRule type="cellIs" dxfId="19442" priority="514" operator="equal">
      <formula>0</formula>
    </cfRule>
  </conditionalFormatting>
  <conditionalFormatting sqref="V28">
    <cfRule type="cellIs" dxfId="19441" priority="511" operator="greaterThan">
      <formula>V27</formula>
    </cfRule>
    <cfRule type="cellIs" dxfId="19440" priority="512" operator="equal">
      <formula>0</formula>
    </cfRule>
  </conditionalFormatting>
  <conditionalFormatting sqref="V27">
    <cfRule type="cellIs" dxfId="19439" priority="509" operator="greaterThan">
      <formula>V26</formula>
    </cfRule>
    <cfRule type="cellIs" dxfId="19438" priority="510" operator="equal">
      <formula>0</formula>
    </cfRule>
  </conditionalFormatting>
  <conditionalFormatting sqref="V28">
    <cfRule type="cellIs" dxfId="19437" priority="507" operator="greaterThan">
      <formula>V27</formula>
    </cfRule>
    <cfRule type="cellIs" dxfId="19436" priority="508" operator="equal">
      <formula>0</formula>
    </cfRule>
  </conditionalFormatting>
  <conditionalFormatting sqref="V27">
    <cfRule type="cellIs" dxfId="19435" priority="505" operator="greaterThan">
      <formula>V26</formula>
    </cfRule>
    <cfRule type="cellIs" dxfId="19434" priority="506" operator="equal">
      <formula>0</formula>
    </cfRule>
  </conditionalFormatting>
  <conditionalFormatting sqref="V28">
    <cfRule type="cellIs" dxfId="19433" priority="503" operator="greaterThan">
      <formula>V27</formula>
    </cfRule>
    <cfRule type="cellIs" dxfId="19432" priority="504" operator="equal">
      <formula>0</formula>
    </cfRule>
  </conditionalFormatting>
  <conditionalFormatting sqref="V27">
    <cfRule type="cellIs" dxfId="19431" priority="501" operator="greaterThan">
      <formula>V26</formula>
    </cfRule>
    <cfRule type="cellIs" dxfId="19430" priority="502" operator="equal">
      <formula>0</formula>
    </cfRule>
  </conditionalFormatting>
  <conditionalFormatting sqref="V28">
    <cfRule type="cellIs" dxfId="19429" priority="499" operator="greaterThan">
      <formula>V27</formula>
    </cfRule>
    <cfRule type="cellIs" dxfId="19428" priority="500" operator="equal">
      <formula>0</formula>
    </cfRule>
  </conditionalFormatting>
  <conditionalFormatting sqref="V27">
    <cfRule type="cellIs" dxfId="19427" priority="497" operator="greaterThan">
      <formula>V26</formula>
    </cfRule>
    <cfRule type="cellIs" dxfId="19426" priority="498" operator="equal">
      <formula>0</formula>
    </cfRule>
  </conditionalFormatting>
  <conditionalFormatting sqref="V28">
    <cfRule type="cellIs" dxfId="19425" priority="495" operator="greaterThan">
      <formula>V27</formula>
    </cfRule>
    <cfRule type="cellIs" dxfId="19424" priority="496" operator="equal">
      <formula>0</formula>
    </cfRule>
  </conditionalFormatting>
  <conditionalFormatting sqref="V27">
    <cfRule type="cellIs" dxfId="19423" priority="493" operator="greaterThan">
      <formula>V26</formula>
    </cfRule>
    <cfRule type="cellIs" dxfId="19422" priority="494" operator="equal">
      <formula>0</formula>
    </cfRule>
  </conditionalFormatting>
  <conditionalFormatting sqref="V28">
    <cfRule type="cellIs" dxfId="19421" priority="491" operator="greaterThan">
      <formula>V27</formula>
    </cfRule>
    <cfRule type="cellIs" dxfId="19420" priority="492" operator="equal">
      <formula>0</formula>
    </cfRule>
  </conditionalFormatting>
  <conditionalFormatting sqref="V27">
    <cfRule type="cellIs" dxfId="19419" priority="489" operator="greaterThan">
      <formula>V26</formula>
    </cfRule>
    <cfRule type="cellIs" dxfId="19418" priority="490" operator="equal">
      <formula>0</formula>
    </cfRule>
  </conditionalFormatting>
  <conditionalFormatting sqref="V19">
    <cfRule type="cellIs" dxfId="19417" priority="487" operator="greaterThan">
      <formula>V18</formula>
    </cfRule>
    <cfRule type="cellIs" dxfId="19416" priority="488" operator="equal">
      <formula>0</formula>
    </cfRule>
  </conditionalFormatting>
  <conditionalFormatting sqref="V18">
    <cfRule type="cellIs" dxfId="19415" priority="485" operator="greaterThan">
      <formula>V17</formula>
    </cfRule>
    <cfRule type="cellIs" dxfId="19414" priority="486" operator="equal">
      <formula>0</formula>
    </cfRule>
  </conditionalFormatting>
  <conditionalFormatting sqref="V19">
    <cfRule type="cellIs" dxfId="19413" priority="483" operator="greaterThan">
      <formula>V18</formula>
    </cfRule>
    <cfRule type="cellIs" dxfId="19412" priority="484" operator="equal">
      <formula>0</formula>
    </cfRule>
  </conditionalFormatting>
  <conditionalFormatting sqref="V18">
    <cfRule type="cellIs" dxfId="19411" priority="481" operator="greaterThan">
      <formula>V17</formula>
    </cfRule>
    <cfRule type="cellIs" dxfId="19410" priority="482" operator="equal">
      <formula>0</formula>
    </cfRule>
  </conditionalFormatting>
  <conditionalFormatting sqref="V19">
    <cfRule type="cellIs" dxfId="19409" priority="479" operator="greaterThan">
      <formula>V18</formula>
    </cfRule>
    <cfRule type="cellIs" dxfId="19408" priority="480" operator="equal">
      <formula>0</formula>
    </cfRule>
  </conditionalFormatting>
  <conditionalFormatting sqref="V18">
    <cfRule type="cellIs" dxfId="19407" priority="477" operator="greaterThan">
      <formula>V17</formula>
    </cfRule>
    <cfRule type="cellIs" dxfId="19406" priority="478" operator="equal">
      <formula>0</formula>
    </cfRule>
  </conditionalFormatting>
  <conditionalFormatting sqref="V19">
    <cfRule type="cellIs" dxfId="19405" priority="475" operator="greaterThan">
      <formula>V18</formula>
    </cfRule>
    <cfRule type="cellIs" dxfId="19404" priority="476" operator="equal">
      <formula>0</formula>
    </cfRule>
  </conditionalFormatting>
  <conditionalFormatting sqref="V18">
    <cfRule type="cellIs" dxfId="19403" priority="473" operator="greaterThan">
      <formula>V17</formula>
    </cfRule>
    <cfRule type="cellIs" dxfId="19402" priority="474" operator="equal">
      <formula>0</formula>
    </cfRule>
  </conditionalFormatting>
  <conditionalFormatting sqref="V16">
    <cfRule type="cellIs" dxfId="19401" priority="471" operator="greaterThan">
      <formula>V15</formula>
    </cfRule>
    <cfRule type="cellIs" dxfId="19400" priority="472" operator="equal">
      <formula>0</formula>
    </cfRule>
  </conditionalFormatting>
  <conditionalFormatting sqref="V16">
    <cfRule type="cellIs" dxfId="19399" priority="469" operator="greaterThan">
      <formula>V15</formula>
    </cfRule>
    <cfRule type="cellIs" dxfId="19398" priority="470" operator="equal">
      <formula>0</formula>
    </cfRule>
  </conditionalFormatting>
  <conditionalFormatting sqref="V16">
    <cfRule type="cellIs" dxfId="19397" priority="467" operator="greaterThan">
      <formula>V15</formula>
    </cfRule>
    <cfRule type="cellIs" dxfId="19396" priority="468" operator="equal">
      <formula>0</formula>
    </cfRule>
  </conditionalFormatting>
  <conditionalFormatting sqref="V16">
    <cfRule type="cellIs" dxfId="19395" priority="465" operator="greaterThan">
      <formula>V15</formula>
    </cfRule>
    <cfRule type="cellIs" dxfId="19394" priority="466" operator="equal">
      <formula>0</formula>
    </cfRule>
  </conditionalFormatting>
  <conditionalFormatting sqref="V19">
    <cfRule type="cellIs" dxfId="19393" priority="463" operator="greaterThan">
      <formula>V18</formula>
    </cfRule>
    <cfRule type="cellIs" dxfId="19392" priority="464" operator="equal">
      <formula>0</formula>
    </cfRule>
  </conditionalFormatting>
  <conditionalFormatting sqref="V19">
    <cfRule type="cellIs" dxfId="19391" priority="461" operator="greaterThan">
      <formula>V18</formula>
    </cfRule>
    <cfRule type="cellIs" dxfId="19390" priority="462" operator="equal">
      <formula>0</formula>
    </cfRule>
  </conditionalFormatting>
  <conditionalFormatting sqref="V19">
    <cfRule type="cellIs" dxfId="19389" priority="459" operator="greaterThan">
      <formula>V18</formula>
    </cfRule>
    <cfRule type="cellIs" dxfId="19388" priority="460" operator="equal">
      <formula>0</formula>
    </cfRule>
  </conditionalFormatting>
  <conditionalFormatting sqref="V19">
    <cfRule type="cellIs" dxfId="19387" priority="457" operator="greaterThan">
      <formula>V18</formula>
    </cfRule>
    <cfRule type="cellIs" dxfId="19386" priority="458" operator="equal">
      <formula>0</formula>
    </cfRule>
  </conditionalFormatting>
  <conditionalFormatting sqref="V19">
    <cfRule type="cellIs" dxfId="19385" priority="455" operator="greaterThan">
      <formula>V18</formula>
    </cfRule>
    <cfRule type="cellIs" dxfId="19384" priority="456" operator="equal">
      <formula>0</formula>
    </cfRule>
  </conditionalFormatting>
  <conditionalFormatting sqref="V19">
    <cfRule type="cellIs" dxfId="19383" priority="453" operator="greaterThan">
      <formula>V18</formula>
    </cfRule>
    <cfRule type="cellIs" dxfId="19382" priority="454" operator="equal">
      <formula>0</formula>
    </cfRule>
  </conditionalFormatting>
  <conditionalFormatting sqref="V19">
    <cfRule type="cellIs" dxfId="19381" priority="451" operator="greaterThan">
      <formula>V18</formula>
    </cfRule>
    <cfRule type="cellIs" dxfId="19380" priority="452" operator="equal">
      <formula>0</formula>
    </cfRule>
  </conditionalFormatting>
  <conditionalFormatting sqref="V19">
    <cfRule type="cellIs" dxfId="19379" priority="449" operator="greaterThan">
      <formula>V18</formula>
    </cfRule>
    <cfRule type="cellIs" dxfId="19378" priority="450" operator="equal">
      <formula>0</formula>
    </cfRule>
  </conditionalFormatting>
  <conditionalFormatting sqref="V19">
    <cfRule type="cellIs" dxfId="19377" priority="447" operator="greaterThan">
      <formula>V18</formula>
    </cfRule>
    <cfRule type="cellIs" dxfId="19376" priority="448" operator="equal">
      <formula>0</formula>
    </cfRule>
  </conditionalFormatting>
  <conditionalFormatting sqref="V19">
    <cfRule type="cellIs" dxfId="19375" priority="445" operator="greaterThan">
      <formula>V18</formula>
    </cfRule>
    <cfRule type="cellIs" dxfId="19374" priority="446" operator="equal">
      <formula>0</formula>
    </cfRule>
  </conditionalFormatting>
  <conditionalFormatting sqref="V22">
    <cfRule type="cellIs" dxfId="19373" priority="443" operator="greaterThan">
      <formula>V21</formula>
    </cfRule>
    <cfRule type="cellIs" dxfId="19372" priority="444" operator="equal">
      <formula>0</formula>
    </cfRule>
  </conditionalFormatting>
  <conditionalFormatting sqref="V21">
    <cfRule type="cellIs" dxfId="19371" priority="441" operator="greaterThan">
      <formula>V20</formula>
    </cfRule>
    <cfRule type="cellIs" dxfId="19370" priority="442" operator="equal">
      <formula>0</formula>
    </cfRule>
  </conditionalFormatting>
  <conditionalFormatting sqref="V22">
    <cfRule type="cellIs" dxfId="19369" priority="439" operator="greaterThan">
      <formula>V21</formula>
    </cfRule>
    <cfRule type="cellIs" dxfId="19368" priority="440" operator="equal">
      <formula>0</formula>
    </cfRule>
  </conditionalFormatting>
  <conditionalFormatting sqref="V21">
    <cfRule type="cellIs" dxfId="19367" priority="437" operator="greaterThan">
      <formula>V20</formula>
    </cfRule>
    <cfRule type="cellIs" dxfId="19366" priority="438" operator="equal">
      <formula>0</formula>
    </cfRule>
  </conditionalFormatting>
  <conditionalFormatting sqref="V22">
    <cfRule type="cellIs" dxfId="19365" priority="435" operator="greaterThan">
      <formula>V21</formula>
    </cfRule>
    <cfRule type="cellIs" dxfId="19364" priority="436" operator="equal">
      <formula>0</formula>
    </cfRule>
  </conditionalFormatting>
  <conditionalFormatting sqref="V21">
    <cfRule type="cellIs" dxfId="19363" priority="433" operator="greaterThan">
      <formula>V20</formula>
    </cfRule>
    <cfRule type="cellIs" dxfId="19362" priority="434" operator="equal">
      <formula>0</formula>
    </cfRule>
  </conditionalFormatting>
  <conditionalFormatting sqref="V22">
    <cfRule type="cellIs" dxfId="19361" priority="431" operator="greaterThan">
      <formula>V21</formula>
    </cfRule>
    <cfRule type="cellIs" dxfId="19360" priority="432" operator="equal">
      <formula>0</formula>
    </cfRule>
  </conditionalFormatting>
  <conditionalFormatting sqref="V21">
    <cfRule type="cellIs" dxfId="19359" priority="429" operator="greaterThan">
      <formula>V20</formula>
    </cfRule>
    <cfRule type="cellIs" dxfId="19358" priority="430" operator="equal">
      <formula>0</formula>
    </cfRule>
  </conditionalFormatting>
  <conditionalFormatting sqref="V22">
    <cfRule type="cellIs" dxfId="19357" priority="427" operator="greaterThan">
      <formula>V21</formula>
    </cfRule>
    <cfRule type="cellIs" dxfId="19356" priority="428" operator="equal">
      <formula>0</formula>
    </cfRule>
  </conditionalFormatting>
  <conditionalFormatting sqref="V21">
    <cfRule type="cellIs" dxfId="19355" priority="425" operator="greaterThan">
      <formula>V20</formula>
    </cfRule>
    <cfRule type="cellIs" dxfId="19354" priority="426" operator="equal">
      <formula>0</formula>
    </cfRule>
  </conditionalFormatting>
  <conditionalFormatting sqref="V22">
    <cfRule type="cellIs" dxfId="19353" priority="423" operator="greaterThan">
      <formula>V21</formula>
    </cfRule>
    <cfRule type="cellIs" dxfId="19352" priority="424" operator="equal">
      <formula>0</formula>
    </cfRule>
  </conditionalFormatting>
  <conditionalFormatting sqref="V21">
    <cfRule type="cellIs" dxfId="19351" priority="421" operator="greaterThan">
      <formula>V20</formula>
    </cfRule>
    <cfRule type="cellIs" dxfId="19350" priority="422" operator="equal">
      <formula>0</formula>
    </cfRule>
  </conditionalFormatting>
  <conditionalFormatting sqref="V22">
    <cfRule type="cellIs" dxfId="19349" priority="419" operator="greaterThan">
      <formula>V21</formula>
    </cfRule>
    <cfRule type="cellIs" dxfId="19348" priority="420" operator="equal">
      <formula>0</formula>
    </cfRule>
  </conditionalFormatting>
  <conditionalFormatting sqref="V21">
    <cfRule type="cellIs" dxfId="19347" priority="417" operator="greaterThan">
      <formula>V20</formula>
    </cfRule>
    <cfRule type="cellIs" dxfId="19346" priority="418" operator="equal">
      <formula>0</formula>
    </cfRule>
  </conditionalFormatting>
  <conditionalFormatting sqref="V22">
    <cfRule type="cellIs" dxfId="19345" priority="415" operator="greaterThan">
      <formula>V21</formula>
    </cfRule>
    <cfRule type="cellIs" dxfId="19344" priority="416" operator="equal">
      <formula>0</formula>
    </cfRule>
  </conditionalFormatting>
  <conditionalFormatting sqref="V21">
    <cfRule type="cellIs" dxfId="19343" priority="413" operator="greaterThan">
      <formula>V20</formula>
    </cfRule>
    <cfRule type="cellIs" dxfId="19342" priority="414" operator="equal">
      <formula>0</formula>
    </cfRule>
  </conditionalFormatting>
  <conditionalFormatting sqref="V22">
    <cfRule type="cellIs" dxfId="19341" priority="411" operator="greaterThan">
      <formula>V21</formula>
    </cfRule>
    <cfRule type="cellIs" dxfId="19340" priority="412" operator="equal">
      <formula>0</formula>
    </cfRule>
  </conditionalFormatting>
  <conditionalFormatting sqref="V21">
    <cfRule type="cellIs" dxfId="19339" priority="409" operator="greaterThan">
      <formula>V20</formula>
    </cfRule>
    <cfRule type="cellIs" dxfId="19338" priority="410" operator="equal">
      <formula>0</formula>
    </cfRule>
  </conditionalFormatting>
  <conditionalFormatting sqref="V22">
    <cfRule type="cellIs" dxfId="19337" priority="407" operator="greaterThan">
      <formula>V21</formula>
    </cfRule>
    <cfRule type="cellIs" dxfId="19336" priority="408" operator="equal">
      <formula>0</formula>
    </cfRule>
  </conditionalFormatting>
  <conditionalFormatting sqref="V21">
    <cfRule type="cellIs" dxfId="19335" priority="405" operator="greaterThan">
      <formula>V20</formula>
    </cfRule>
    <cfRule type="cellIs" dxfId="19334" priority="406" operator="equal">
      <formula>0</formula>
    </cfRule>
  </conditionalFormatting>
  <conditionalFormatting sqref="V22">
    <cfRule type="cellIs" dxfId="19333" priority="403" operator="greaterThan">
      <formula>V21</formula>
    </cfRule>
    <cfRule type="cellIs" dxfId="19332" priority="404" operator="equal">
      <formula>0</formula>
    </cfRule>
  </conditionalFormatting>
  <conditionalFormatting sqref="V22">
    <cfRule type="cellIs" dxfId="19331" priority="401" operator="greaterThan">
      <formula>V21</formula>
    </cfRule>
    <cfRule type="cellIs" dxfId="19330" priority="402" operator="equal">
      <formula>0</formula>
    </cfRule>
  </conditionalFormatting>
  <conditionalFormatting sqref="V22">
    <cfRule type="cellIs" dxfId="19329" priority="399" operator="greaterThan">
      <formula>V21</formula>
    </cfRule>
    <cfRule type="cellIs" dxfId="19328" priority="400" operator="equal">
      <formula>0</formula>
    </cfRule>
  </conditionalFormatting>
  <conditionalFormatting sqref="V22">
    <cfRule type="cellIs" dxfId="19327" priority="397" operator="greaterThan">
      <formula>V21</formula>
    </cfRule>
    <cfRule type="cellIs" dxfId="19326" priority="398" operator="equal">
      <formula>0</formula>
    </cfRule>
  </conditionalFormatting>
  <conditionalFormatting sqref="V22">
    <cfRule type="cellIs" dxfId="19325" priority="395" operator="greaterThan">
      <formula>V21</formula>
    </cfRule>
    <cfRule type="cellIs" dxfId="19324" priority="396" operator="equal">
      <formula>0</formula>
    </cfRule>
  </conditionalFormatting>
  <conditionalFormatting sqref="V22">
    <cfRule type="cellIs" dxfId="19323" priority="393" operator="greaterThan">
      <formula>V21</formula>
    </cfRule>
    <cfRule type="cellIs" dxfId="19322" priority="394" operator="equal">
      <formula>0</formula>
    </cfRule>
  </conditionalFormatting>
  <conditionalFormatting sqref="V22">
    <cfRule type="cellIs" dxfId="19321" priority="391" operator="greaterThan">
      <formula>V21</formula>
    </cfRule>
    <cfRule type="cellIs" dxfId="19320" priority="392" operator="equal">
      <formula>0</formula>
    </cfRule>
  </conditionalFormatting>
  <conditionalFormatting sqref="V22">
    <cfRule type="cellIs" dxfId="19319" priority="389" operator="greaterThan">
      <formula>V21</formula>
    </cfRule>
    <cfRule type="cellIs" dxfId="19318" priority="390" operator="equal">
      <formula>0</formula>
    </cfRule>
  </conditionalFormatting>
  <conditionalFormatting sqref="V22">
    <cfRule type="cellIs" dxfId="19317" priority="387" operator="greaterThan">
      <formula>V21</formula>
    </cfRule>
    <cfRule type="cellIs" dxfId="19316" priority="388" operator="equal">
      <formula>0</formula>
    </cfRule>
  </conditionalFormatting>
  <conditionalFormatting sqref="V22">
    <cfRule type="cellIs" dxfId="19315" priority="385" operator="greaterThan">
      <formula>V21</formula>
    </cfRule>
    <cfRule type="cellIs" dxfId="19314" priority="386" operator="equal">
      <formula>0</formula>
    </cfRule>
  </conditionalFormatting>
  <conditionalFormatting sqref="V22">
    <cfRule type="cellIs" dxfId="19313" priority="383" operator="greaterThan">
      <formula>V21</formula>
    </cfRule>
    <cfRule type="cellIs" dxfId="19312" priority="384" operator="equal">
      <formula>0</formula>
    </cfRule>
  </conditionalFormatting>
  <conditionalFormatting sqref="V22">
    <cfRule type="cellIs" dxfId="19311" priority="381" operator="greaterThan">
      <formula>V21</formula>
    </cfRule>
    <cfRule type="cellIs" dxfId="19310" priority="382" operator="equal">
      <formula>0</formula>
    </cfRule>
  </conditionalFormatting>
  <conditionalFormatting sqref="V22">
    <cfRule type="cellIs" dxfId="19309" priority="379" operator="greaterThan">
      <formula>V21</formula>
    </cfRule>
    <cfRule type="cellIs" dxfId="19308" priority="380" operator="equal">
      <formula>0</formula>
    </cfRule>
  </conditionalFormatting>
  <conditionalFormatting sqref="V22">
    <cfRule type="cellIs" dxfId="19307" priority="377" operator="greaterThan">
      <formula>V21</formula>
    </cfRule>
    <cfRule type="cellIs" dxfId="19306" priority="378" operator="equal">
      <formula>0</formula>
    </cfRule>
  </conditionalFormatting>
  <conditionalFormatting sqref="V22">
    <cfRule type="cellIs" dxfId="19305" priority="375" operator="greaterThan">
      <formula>V21</formula>
    </cfRule>
    <cfRule type="cellIs" dxfId="19304" priority="376" operator="equal">
      <formula>0</formula>
    </cfRule>
  </conditionalFormatting>
  <conditionalFormatting sqref="V22">
    <cfRule type="cellIs" dxfId="19303" priority="373" operator="greaterThan">
      <formula>V21</formula>
    </cfRule>
    <cfRule type="cellIs" dxfId="19302" priority="374" operator="equal">
      <formula>0</formula>
    </cfRule>
  </conditionalFormatting>
  <conditionalFormatting sqref="V22">
    <cfRule type="cellIs" dxfId="19301" priority="371" operator="greaterThan">
      <formula>V21</formula>
    </cfRule>
    <cfRule type="cellIs" dxfId="19300" priority="372" operator="equal">
      <formula>0</formula>
    </cfRule>
  </conditionalFormatting>
  <conditionalFormatting sqref="V22">
    <cfRule type="cellIs" dxfId="19299" priority="369" operator="greaterThan">
      <formula>V21</formula>
    </cfRule>
    <cfRule type="cellIs" dxfId="19298" priority="370" operator="equal">
      <formula>0</formula>
    </cfRule>
  </conditionalFormatting>
  <conditionalFormatting sqref="V22">
    <cfRule type="cellIs" dxfId="19297" priority="367" operator="greaterThan">
      <formula>V21</formula>
    </cfRule>
    <cfRule type="cellIs" dxfId="19296" priority="368" operator="equal">
      <formula>0</formula>
    </cfRule>
  </conditionalFormatting>
  <conditionalFormatting sqref="V22">
    <cfRule type="cellIs" dxfId="19295" priority="365" operator="greaterThan">
      <formula>V21</formula>
    </cfRule>
    <cfRule type="cellIs" dxfId="19294" priority="366" operator="equal">
      <formula>0</formula>
    </cfRule>
  </conditionalFormatting>
  <conditionalFormatting sqref="V22">
    <cfRule type="cellIs" dxfId="19293" priority="363" operator="greaterThan">
      <formula>V21</formula>
    </cfRule>
    <cfRule type="cellIs" dxfId="19292" priority="364" operator="equal">
      <formula>0</formula>
    </cfRule>
  </conditionalFormatting>
  <conditionalFormatting sqref="V22">
    <cfRule type="cellIs" dxfId="19291" priority="361" operator="greaterThan">
      <formula>V21</formula>
    </cfRule>
    <cfRule type="cellIs" dxfId="19290" priority="362" operator="equal">
      <formula>0</formula>
    </cfRule>
  </conditionalFormatting>
  <conditionalFormatting sqref="V22">
    <cfRule type="cellIs" dxfId="19289" priority="359" operator="greaterThan">
      <formula>V21</formula>
    </cfRule>
    <cfRule type="cellIs" dxfId="19288" priority="360" operator="equal">
      <formula>0</formula>
    </cfRule>
  </conditionalFormatting>
  <conditionalFormatting sqref="V22">
    <cfRule type="cellIs" dxfId="19287" priority="357" operator="greaterThan">
      <formula>V21</formula>
    </cfRule>
    <cfRule type="cellIs" dxfId="19286" priority="358" operator="equal">
      <formula>0</formula>
    </cfRule>
  </conditionalFormatting>
  <conditionalFormatting sqref="V22">
    <cfRule type="cellIs" dxfId="19285" priority="355" operator="greaterThan">
      <formula>V21</formula>
    </cfRule>
    <cfRule type="cellIs" dxfId="19284" priority="356" operator="equal">
      <formula>0</formula>
    </cfRule>
  </conditionalFormatting>
  <conditionalFormatting sqref="V22">
    <cfRule type="cellIs" dxfId="19283" priority="353" operator="greaterThan">
      <formula>V21</formula>
    </cfRule>
    <cfRule type="cellIs" dxfId="19282" priority="354" operator="equal">
      <formula>0</formula>
    </cfRule>
  </conditionalFormatting>
  <conditionalFormatting sqref="V22">
    <cfRule type="cellIs" dxfId="19281" priority="351" operator="greaterThan">
      <formula>V21</formula>
    </cfRule>
    <cfRule type="cellIs" dxfId="19280" priority="352" operator="equal">
      <formula>0</formula>
    </cfRule>
  </conditionalFormatting>
  <conditionalFormatting sqref="V22">
    <cfRule type="cellIs" dxfId="19279" priority="349" operator="greaterThan">
      <formula>V21</formula>
    </cfRule>
    <cfRule type="cellIs" dxfId="19278" priority="350" operator="equal">
      <formula>0</formula>
    </cfRule>
  </conditionalFormatting>
  <conditionalFormatting sqref="V24">
    <cfRule type="cellIs" dxfId="19277" priority="347" operator="greaterThan">
      <formula>V23</formula>
    </cfRule>
    <cfRule type="cellIs" dxfId="19276" priority="348" operator="equal">
      <formula>0</formula>
    </cfRule>
  </conditionalFormatting>
  <conditionalFormatting sqref="V24">
    <cfRule type="cellIs" dxfId="19275" priority="345" operator="greaterThan">
      <formula>V23</formula>
    </cfRule>
    <cfRule type="cellIs" dxfId="19274" priority="346" operator="equal">
      <formula>0</formula>
    </cfRule>
  </conditionalFormatting>
  <conditionalFormatting sqref="V24">
    <cfRule type="cellIs" dxfId="19273" priority="343" operator="greaterThan">
      <formula>V23</formula>
    </cfRule>
    <cfRule type="cellIs" dxfId="19272" priority="344" operator="equal">
      <formula>0</formula>
    </cfRule>
  </conditionalFormatting>
  <conditionalFormatting sqref="V24">
    <cfRule type="cellIs" dxfId="19271" priority="341" operator="greaterThan">
      <formula>V23</formula>
    </cfRule>
    <cfRule type="cellIs" dxfId="19270" priority="342" operator="equal">
      <formula>0</formula>
    </cfRule>
  </conditionalFormatting>
  <conditionalFormatting sqref="V24">
    <cfRule type="cellIs" dxfId="19269" priority="339" operator="greaterThan">
      <formula>V23</formula>
    </cfRule>
    <cfRule type="cellIs" dxfId="19268" priority="340" operator="equal">
      <formula>0</formula>
    </cfRule>
  </conditionalFormatting>
  <conditionalFormatting sqref="V24">
    <cfRule type="cellIs" dxfId="19267" priority="337" operator="greaterThan">
      <formula>V23</formula>
    </cfRule>
    <cfRule type="cellIs" dxfId="19266" priority="338" operator="equal">
      <formula>0</formula>
    </cfRule>
  </conditionalFormatting>
  <conditionalFormatting sqref="V24">
    <cfRule type="cellIs" dxfId="19265" priority="335" operator="greaterThan">
      <formula>V23</formula>
    </cfRule>
    <cfRule type="cellIs" dxfId="19264" priority="336" operator="equal">
      <formula>0</formula>
    </cfRule>
  </conditionalFormatting>
  <conditionalFormatting sqref="V24">
    <cfRule type="cellIs" dxfId="19263" priority="333" operator="greaterThan">
      <formula>V23</formula>
    </cfRule>
    <cfRule type="cellIs" dxfId="19262" priority="334" operator="equal">
      <formula>0</formula>
    </cfRule>
  </conditionalFormatting>
  <conditionalFormatting sqref="V24">
    <cfRule type="cellIs" dxfId="19261" priority="331" operator="greaterThan">
      <formula>V23</formula>
    </cfRule>
    <cfRule type="cellIs" dxfId="19260" priority="332" operator="equal">
      <formula>0</formula>
    </cfRule>
  </conditionalFormatting>
  <conditionalFormatting sqref="V24">
    <cfRule type="cellIs" dxfId="19259" priority="329" operator="greaterThan">
      <formula>V23</formula>
    </cfRule>
    <cfRule type="cellIs" dxfId="19258" priority="330" operator="equal">
      <formula>0</formula>
    </cfRule>
  </conditionalFormatting>
  <conditionalFormatting sqref="V24">
    <cfRule type="cellIs" dxfId="19257" priority="327" operator="greaterThan">
      <formula>V23</formula>
    </cfRule>
    <cfRule type="cellIs" dxfId="19256" priority="328" operator="equal">
      <formula>0</formula>
    </cfRule>
  </conditionalFormatting>
  <conditionalFormatting sqref="V24">
    <cfRule type="cellIs" dxfId="19255" priority="325" operator="greaterThan">
      <formula>V23</formula>
    </cfRule>
    <cfRule type="cellIs" dxfId="19254" priority="326" operator="equal">
      <formula>0</formula>
    </cfRule>
  </conditionalFormatting>
  <conditionalFormatting sqref="V24">
    <cfRule type="cellIs" dxfId="19253" priority="323" operator="greaterThan">
      <formula>V23</formula>
    </cfRule>
    <cfRule type="cellIs" dxfId="19252" priority="324" operator="equal">
      <formula>0</formula>
    </cfRule>
  </conditionalFormatting>
  <conditionalFormatting sqref="V24">
    <cfRule type="cellIs" dxfId="19251" priority="321" operator="greaterThan">
      <formula>V23</formula>
    </cfRule>
    <cfRule type="cellIs" dxfId="19250" priority="322" operator="equal">
      <formula>0</formula>
    </cfRule>
  </conditionalFormatting>
  <conditionalFormatting sqref="V24">
    <cfRule type="cellIs" dxfId="19249" priority="319" operator="greaterThan">
      <formula>V23</formula>
    </cfRule>
    <cfRule type="cellIs" dxfId="19248" priority="320" operator="equal">
      <formula>0</formula>
    </cfRule>
  </conditionalFormatting>
  <conditionalFormatting sqref="V24">
    <cfRule type="cellIs" dxfId="19247" priority="317" operator="greaterThan">
      <formula>V23</formula>
    </cfRule>
    <cfRule type="cellIs" dxfId="19246" priority="318" operator="equal">
      <formula>0</formula>
    </cfRule>
  </conditionalFormatting>
  <conditionalFormatting sqref="V24">
    <cfRule type="cellIs" dxfId="19245" priority="315" operator="greaterThan">
      <formula>V23</formula>
    </cfRule>
    <cfRule type="cellIs" dxfId="19244" priority="316" operator="equal">
      <formula>0</formula>
    </cfRule>
  </conditionalFormatting>
  <conditionalFormatting sqref="V24">
    <cfRule type="cellIs" dxfId="19243" priority="313" operator="greaterThan">
      <formula>V23</formula>
    </cfRule>
    <cfRule type="cellIs" dxfId="19242" priority="314" operator="equal">
      <formula>0</formula>
    </cfRule>
  </conditionalFormatting>
  <conditionalFormatting sqref="V25">
    <cfRule type="cellIs" dxfId="19241" priority="311" operator="greaterThan">
      <formula>V24</formula>
    </cfRule>
    <cfRule type="cellIs" dxfId="19240" priority="312" operator="equal">
      <formula>0</formula>
    </cfRule>
  </conditionalFormatting>
  <conditionalFormatting sqref="V25">
    <cfRule type="cellIs" dxfId="19239" priority="309" operator="greaterThan">
      <formula>V24</formula>
    </cfRule>
    <cfRule type="cellIs" dxfId="19238" priority="310" operator="equal">
      <formula>0</formula>
    </cfRule>
  </conditionalFormatting>
  <conditionalFormatting sqref="V25">
    <cfRule type="cellIs" dxfId="19237" priority="307" operator="greaterThan">
      <formula>V24</formula>
    </cfRule>
    <cfRule type="cellIs" dxfId="19236" priority="308" operator="equal">
      <formula>0</formula>
    </cfRule>
  </conditionalFormatting>
  <conditionalFormatting sqref="V25">
    <cfRule type="cellIs" dxfId="19235" priority="305" operator="greaterThan">
      <formula>V24</formula>
    </cfRule>
    <cfRule type="cellIs" dxfId="19234" priority="306" operator="equal">
      <formula>0</formula>
    </cfRule>
  </conditionalFormatting>
  <conditionalFormatting sqref="V25">
    <cfRule type="cellIs" dxfId="19233" priority="303" operator="greaterThan">
      <formula>V24</formula>
    </cfRule>
    <cfRule type="cellIs" dxfId="19232" priority="304" operator="equal">
      <formula>0</formula>
    </cfRule>
  </conditionalFormatting>
  <conditionalFormatting sqref="V25">
    <cfRule type="cellIs" dxfId="19231" priority="301" operator="greaterThan">
      <formula>V24</formula>
    </cfRule>
    <cfRule type="cellIs" dxfId="19230" priority="302" operator="equal">
      <formula>0</formula>
    </cfRule>
  </conditionalFormatting>
  <conditionalFormatting sqref="V25">
    <cfRule type="cellIs" dxfId="19229" priority="299" operator="greaterThan">
      <formula>V24</formula>
    </cfRule>
    <cfRule type="cellIs" dxfId="19228" priority="300" operator="equal">
      <formula>0</formula>
    </cfRule>
  </conditionalFormatting>
  <conditionalFormatting sqref="V25">
    <cfRule type="cellIs" dxfId="19227" priority="297" operator="greaterThan">
      <formula>V24</formula>
    </cfRule>
    <cfRule type="cellIs" dxfId="19226" priority="298" operator="equal">
      <formula>0</formula>
    </cfRule>
  </conditionalFormatting>
  <conditionalFormatting sqref="V25">
    <cfRule type="cellIs" dxfId="19225" priority="295" operator="greaterThan">
      <formula>V24</formula>
    </cfRule>
    <cfRule type="cellIs" dxfId="19224" priority="296" operator="equal">
      <formula>0</formula>
    </cfRule>
  </conditionalFormatting>
  <conditionalFormatting sqref="V25">
    <cfRule type="cellIs" dxfId="19223" priority="293" operator="greaterThan">
      <formula>V24</formula>
    </cfRule>
    <cfRule type="cellIs" dxfId="19222" priority="294" operator="equal">
      <formula>0</formula>
    </cfRule>
  </conditionalFormatting>
  <conditionalFormatting sqref="V25">
    <cfRule type="cellIs" dxfId="19221" priority="291" operator="greaterThan">
      <formula>V24</formula>
    </cfRule>
    <cfRule type="cellIs" dxfId="19220" priority="292" operator="equal">
      <formula>0</formula>
    </cfRule>
  </conditionalFormatting>
  <conditionalFormatting sqref="V25">
    <cfRule type="cellIs" dxfId="19219" priority="289" operator="greaterThan">
      <formula>V24</formula>
    </cfRule>
    <cfRule type="cellIs" dxfId="19218" priority="290" operator="equal">
      <formula>0</formula>
    </cfRule>
  </conditionalFormatting>
  <conditionalFormatting sqref="V25">
    <cfRule type="cellIs" dxfId="19217" priority="287" operator="greaterThan">
      <formula>V24</formula>
    </cfRule>
    <cfRule type="cellIs" dxfId="19216" priority="288" operator="equal">
      <formula>0</formula>
    </cfRule>
  </conditionalFormatting>
  <conditionalFormatting sqref="V25">
    <cfRule type="cellIs" dxfId="19215" priority="285" operator="greaterThan">
      <formula>V24</formula>
    </cfRule>
    <cfRule type="cellIs" dxfId="19214" priority="286" operator="equal">
      <formula>0</formula>
    </cfRule>
  </conditionalFormatting>
  <conditionalFormatting sqref="V25">
    <cfRule type="cellIs" dxfId="19213" priority="283" operator="greaterThan">
      <formula>V24</formula>
    </cfRule>
    <cfRule type="cellIs" dxfId="19212" priority="284" operator="equal">
      <formula>0</formula>
    </cfRule>
  </conditionalFormatting>
  <conditionalFormatting sqref="V25">
    <cfRule type="cellIs" dxfId="19211" priority="281" operator="greaterThan">
      <formula>V24</formula>
    </cfRule>
    <cfRule type="cellIs" dxfId="19210" priority="282" operator="equal">
      <formula>0</formula>
    </cfRule>
  </conditionalFormatting>
  <conditionalFormatting sqref="V25">
    <cfRule type="cellIs" dxfId="19209" priority="279" operator="greaterThan">
      <formula>V24</formula>
    </cfRule>
    <cfRule type="cellIs" dxfId="19208" priority="280" operator="equal">
      <formula>0</formula>
    </cfRule>
  </conditionalFormatting>
  <conditionalFormatting sqref="V25">
    <cfRule type="cellIs" dxfId="19207" priority="277" operator="greaterThan">
      <formula>V24</formula>
    </cfRule>
    <cfRule type="cellIs" dxfId="19206" priority="278" operator="equal">
      <formula>0</formula>
    </cfRule>
  </conditionalFormatting>
  <conditionalFormatting sqref="V25">
    <cfRule type="cellIs" dxfId="19205" priority="275" operator="greaterThan">
      <formula>V24</formula>
    </cfRule>
    <cfRule type="cellIs" dxfId="19204" priority="276" operator="equal">
      <formula>0</formula>
    </cfRule>
  </conditionalFormatting>
  <conditionalFormatting sqref="V25">
    <cfRule type="cellIs" dxfId="19203" priority="273" operator="greaterThan">
      <formula>V24</formula>
    </cfRule>
    <cfRule type="cellIs" dxfId="19202" priority="274" operator="equal">
      <formula>0</formula>
    </cfRule>
  </conditionalFormatting>
  <conditionalFormatting sqref="V25">
    <cfRule type="cellIs" dxfId="19201" priority="271" operator="greaterThan">
      <formula>V24</formula>
    </cfRule>
    <cfRule type="cellIs" dxfId="19200" priority="272" operator="equal">
      <formula>0</formula>
    </cfRule>
  </conditionalFormatting>
  <conditionalFormatting sqref="V25">
    <cfRule type="cellIs" dxfId="19199" priority="269" operator="greaterThan">
      <formula>V24</formula>
    </cfRule>
    <cfRule type="cellIs" dxfId="19198" priority="270" operator="equal">
      <formula>0</formula>
    </cfRule>
  </conditionalFormatting>
  <conditionalFormatting sqref="V25">
    <cfRule type="cellIs" dxfId="19197" priority="267" operator="greaterThan">
      <formula>V24</formula>
    </cfRule>
    <cfRule type="cellIs" dxfId="19196" priority="268" operator="equal">
      <formula>0</formula>
    </cfRule>
  </conditionalFormatting>
  <conditionalFormatting sqref="V25">
    <cfRule type="cellIs" dxfId="19195" priority="265" operator="greaterThan">
      <formula>V24</formula>
    </cfRule>
    <cfRule type="cellIs" dxfId="19194" priority="266" operator="equal">
      <formula>0</formula>
    </cfRule>
  </conditionalFormatting>
  <conditionalFormatting sqref="V25">
    <cfRule type="cellIs" dxfId="19193" priority="263" operator="greaterThan">
      <formula>V24</formula>
    </cfRule>
    <cfRule type="cellIs" dxfId="19192" priority="264" operator="equal">
      <formula>0</formula>
    </cfRule>
  </conditionalFormatting>
  <conditionalFormatting sqref="V25">
    <cfRule type="cellIs" dxfId="19191" priority="261" operator="greaterThan">
      <formula>V24</formula>
    </cfRule>
    <cfRule type="cellIs" dxfId="19190" priority="262" operator="equal">
      <formula>0</formula>
    </cfRule>
  </conditionalFormatting>
  <conditionalFormatting sqref="V25">
    <cfRule type="cellIs" dxfId="19189" priority="259" operator="greaterThan">
      <formula>V24</formula>
    </cfRule>
    <cfRule type="cellIs" dxfId="19188" priority="260" operator="equal">
      <formula>0</formula>
    </cfRule>
  </conditionalFormatting>
  <conditionalFormatting sqref="V25">
    <cfRule type="cellIs" dxfId="19187" priority="257" operator="greaterThan">
      <formula>V24</formula>
    </cfRule>
    <cfRule type="cellIs" dxfId="19186" priority="258" operator="equal">
      <formula>0</formula>
    </cfRule>
  </conditionalFormatting>
  <conditionalFormatting sqref="V27">
    <cfRule type="cellIs" dxfId="19185" priority="255" operator="greaterThan">
      <formula>V26</formula>
    </cfRule>
    <cfRule type="cellIs" dxfId="19184" priority="256" operator="equal">
      <formula>0</formula>
    </cfRule>
  </conditionalFormatting>
  <conditionalFormatting sqref="V27">
    <cfRule type="cellIs" dxfId="19183" priority="253" operator="greaterThan">
      <formula>V26</formula>
    </cfRule>
    <cfRule type="cellIs" dxfId="19182" priority="254" operator="equal">
      <formula>0</formula>
    </cfRule>
  </conditionalFormatting>
  <conditionalFormatting sqref="V27">
    <cfRule type="cellIs" dxfId="19181" priority="251" operator="greaterThan">
      <formula>V26</formula>
    </cfRule>
    <cfRule type="cellIs" dxfId="19180" priority="252" operator="equal">
      <formula>0</formula>
    </cfRule>
  </conditionalFormatting>
  <conditionalFormatting sqref="V27">
    <cfRule type="cellIs" dxfId="19179" priority="249" operator="greaterThan">
      <formula>V26</formula>
    </cfRule>
    <cfRule type="cellIs" dxfId="19178" priority="250" operator="equal">
      <formula>0</formula>
    </cfRule>
  </conditionalFormatting>
  <conditionalFormatting sqref="V27">
    <cfRule type="cellIs" dxfId="19177" priority="247" operator="greaterThan">
      <formula>V26</formula>
    </cfRule>
    <cfRule type="cellIs" dxfId="19176" priority="248" operator="equal">
      <formula>0</formula>
    </cfRule>
  </conditionalFormatting>
  <conditionalFormatting sqref="V27">
    <cfRule type="cellIs" dxfId="19175" priority="245" operator="greaterThan">
      <formula>V26</formula>
    </cfRule>
    <cfRule type="cellIs" dxfId="19174" priority="246" operator="equal">
      <formula>0</formula>
    </cfRule>
  </conditionalFormatting>
  <conditionalFormatting sqref="V27">
    <cfRule type="cellIs" dxfId="19173" priority="243" operator="greaterThan">
      <formula>V26</formula>
    </cfRule>
    <cfRule type="cellIs" dxfId="19172" priority="244" operator="equal">
      <formula>0</formula>
    </cfRule>
  </conditionalFormatting>
  <conditionalFormatting sqref="V27">
    <cfRule type="cellIs" dxfId="19171" priority="241" operator="greaterThan">
      <formula>V26</formula>
    </cfRule>
    <cfRule type="cellIs" dxfId="19170" priority="242" operator="equal">
      <formula>0</formula>
    </cfRule>
  </conditionalFormatting>
  <conditionalFormatting sqref="V27">
    <cfRule type="cellIs" dxfId="19169" priority="239" operator="greaterThan">
      <formula>V26</formula>
    </cfRule>
    <cfRule type="cellIs" dxfId="19168" priority="240" operator="equal">
      <formula>0</formula>
    </cfRule>
  </conditionalFormatting>
  <conditionalFormatting sqref="V27">
    <cfRule type="cellIs" dxfId="19167" priority="237" operator="greaterThan">
      <formula>V26</formula>
    </cfRule>
    <cfRule type="cellIs" dxfId="19166" priority="238" operator="equal">
      <formula>0</formula>
    </cfRule>
  </conditionalFormatting>
  <conditionalFormatting sqref="V27">
    <cfRule type="cellIs" dxfId="19165" priority="235" operator="greaterThan">
      <formula>V26</formula>
    </cfRule>
    <cfRule type="cellIs" dxfId="19164" priority="236" operator="equal">
      <formula>0</formula>
    </cfRule>
  </conditionalFormatting>
  <conditionalFormatting sqref="V27">
    <cfRule type="cellIs" dxfId="19163" priority="233" operator="greaterThan">
      <formula>V26</formula>
    </cfRule>
    <cfRule type="cellIs" dxfId="19162" priority="234" operator="equal">
      <formula>0</formula>
    </cfRule>
  </conditionalFormatting>
  <conditionalFormatting sqref="V27">
    <cfRule type="cellIs" dxfId="19161" priority="231" operator="greaterThan">
      <formula>V26</formula>
    </cfRule>
    <cfRule type="cellIs" dxfId="19160" priority="232" operator="equal">
      <formula>0</formula>
    </cfRule>
  </conditionalFormatting>
  <conditionalFormatting sqref="V27">
    <cfRule type="cellIs" dxfId="19159" priority="229" operator="greaterThan">
      <formula>V26</formula>
    </cfRule>
    <cfRule type="cellIs" dxfId="19158" priority="230" operator="equal">
      <formula>0</formula>
    </cfRule>
  </conditionalFormatting>
  <conditionalFormatting sqref="V27">
    <cfRule type="cellIs" dxfId="19157" priority="227" operator="greaterThan">
      <formula>V26</formula>
    </cfRule>
    <cfRule type="cellIs" dxfId="19156" priority="228" operator="equal">
      <formula>0</formula>
    </cfRule>
  </conditionalFormatting>
  <conditionalFormatting sqref="V27">
    <cfRule type="cellIs" dxfId="19155" priority="225" operator="greaterThan">
      <formula>V26</formula>
    </cfRule>
    <cfRule type="cellIs" dxfId="19154" priority="226" operator="equal">
      <formula>0</formula>
    </cfRule>
  </conditionalFormatting>
  <conditionalFormatting sqref="V27">
    <cfRule type="cellIs" dxfId="19153" priority="223" operator="greaterThan">
      <formula>V26</formula>
    </cfRule>
    <cfRule type="cellIs" dxfId="19152" priority="224" operator="equal">
      <formula>0</formula>
    </cfRule>
  </conditionalFormatting>
  <conditionalFormatting sqref="V27">
    <cfRule type="cellIs" dxfId="19151" priority="221" operator="greaterThan">
      <formula>V26</formula>
    </cfRule>
    <cfRule type="cellIs" dxfId="19150" priority="222" operator="equal">
      <formula>0</formula>
    </cfRule>
  </conditionalFormatting>
  <conditionalFormatting sqref="V27">
    <cfRule type="cellIs" dxfId="19149" priority="219" operator="greaterThan">
      <formula>V26</formula>
    </cfRule>
    <cfRule type="cellIs" dxfId="19148" priority="220" operator="equal">
      <formula>0</formula>
    </cfRule>
  </conditionalFormatting>
  <conditionalFormatting sqref="V27">
    <cfRule type="cellIs" dxfId="19147" priority="217" operator="greaterThan">
      <formula>V26</formula>
    </cfRule>
    <cfRule type="cellIs" dxfId="19146" priority="218" operator="equal">
      <formula>0</formula>
    </cfRule>
  </conditionalFormatting>
  <conditionalFormatting sqref="V27">
    <cfRule type="cellIs" dxfId="19145" priority="215" operator="greaterThan">
      <formula>V26</formula>
    </cfRule>
    <cfRule type="cellIs" dxfId="19144" priority="216" operator="equal">
      <formula>0</formula>
    </cfRule>
  </conditionalFormatting>
  <conditionalFormatting sqref="V27">
    <cfRule type="cellIs" dxfId="19143" priority="213" operator="greaterThan">
      <formula>V26</formula>
    </cfRule>
    <cfRule type="cellIs" dxfId="19142" priority="214" operator="equal">
      <formula>0</formula>
    </cfRule>
  </conditionalFormatting>
  <conditionalFormatting sqref="V27">
    <cfRule type="cellIs" dxfId="19141" priority="211" operator="greaterThan">
      <formula>V26</formula>
    </cfRule>
    <cfRule type="cellIs" dxfId="19140" priority="212" operator="equal">
      <formula>0</formula>
    </cfRule>
  </conditionalFormatting>
  <conditionalFormatting sqref="V27">
    <cfRule type="cellIs" dxfId="19139" priority="209" operator="greaterThan">
      <formula>V26</formula>
    </cfRule>
    <cfRule type="cellIs" dxfId="19138" priority="210" operator="equal">
      <formula>0</formula>
    </cfRule>
  </conditionalFormatting>
  <conditionalFormatting sqref="V27">
    <cfRule type="cellIs" dxfId="19137" priority="207" operator="greaterThan">
      <formula>V26</formula>
    </cfRule>
    <cfRule type="cellIs" dxfId="19136" priority="208" operator="equal">
      <formula>0</formula>
    </cfRule>
  </conditionalFormatting>
  <conditionalFormatting sqref="V27">
    <cfRule type="cellIs" dxfId="19135" priority="205" operator="greaterThan">
      <formula>V26</formula>
    </cfRule>
    <cfRule type="cellIs" dxfId="19134" priority="206" operator="equal">
      <formula>0</formula>
    </cfRule>
  </conditionalFormatting>
  <conditionalFormatting sqref="V27">
    <cfRule type="cellIs" dxfId="19133" priority="203" operator="greaterThan">
      <formula>V26</formula>
    </cfRule>
    <cfRule type="cellIs" dxfId="19132" priority="204" operator="equal">
      <formula>0</formula>
    </cfRule>
  </conditionalFormatting>
  <conditionalFormatting sqref="V27">
    <cfRule type="cellIs" dxfId="19131" priority="201" operator="greaterThan">
      <formula>V26</formula>
    </cfRule>
    <cfRule type="cellIs" dxfId="19130" priority="202" operator="equal">
      <formula>0</formula>
    </cfRule>
  </conditionalFormatting>
  <conditionalFormatting sqref="V27">
    <cfRule type="cellIs" dxfId="19129" priority="199" operator="greaterThan">
      <formula>V26</formula>
    </cfRule>
    <cfRule type="cellIs" dxfId="19128" priority="200" operator="equal">
      <formula>0</formula>
    </cfRule>
  </conditionalFormatting>
  <conditionalFormatting sqref="V28">
    <cfRule type="cellIs" dxfId="19127" priority="197" operator="greaterThan">
      <formula>V27</formula>
    </cfRule>
    <cfRule type="cellIs" dxfId="19126" priority="198" operator="equal">
      <formula>0</formula>
    </cfRule>
  </conditionalFormatting>
  <conditionalFormatting sqref="V28">
    <cfRule type="cellIs" dxfId="19125" priority="195" operator="greaterThan">
      <formula>V27</formula>
    </cfRule>
    <cfRule type="cellIs" dxfId="19124" priority="196" operator="equal">
      <formula>0</formula>
    </cfRule>
  </conditionalFormatting>
  <conditionalFormatting sqref="V28">
    <cfRule type="cellIs" dxfId="19123" priority="193" operator="greaterThan">
      <formula>V27</formula>
    </cfRule>
    <cfRule type="cellIs" dxfId="19122" priority="194" operator="equal">
      <formula>0</formula>
    </cfRule>
  </conditionalFormatting>
  <conditionalFormatting sqref="V28">
    <cfRule type="cellIs" dxfId="19121" priority="191" operator="greaterThan">
      <formula>V27</formula>
    </cfRule>
    <cfRule type="cellIs" dxfId="19120" priority="192" operator="equal">
      <formula>0</formula>
    </cfRule>
  </conditionalFormatting>
  <conditionalFormatting sqref="V28">
    <cfRule type="cellIs" dxfId="19119" priority="189" operator="greaterThan">
      <formula>V27</formula>
    </cfRule>
    <cfRule type="cellIs" dxfId="19118" priority="190" operator="equal">
      <formula>0</formula>
    </cfRule>
  </conditionalFormatting>
  <conditionalFormatting sqref="V28">
    <cfRule type="cellIs" dxfId="19117" priority="187" operator="greaterThan">
      <formula>V27</formula>
    </cfRule>
    <cfRule type="cellIs" dxfId="19116" priority="188" operator="equal">
      <formula>0</formula>
    </cfRule>
  </conditionalFormatting>
  <conditionalFormatting sqref="V28">
    <cfRule type="cellIs" dxfId="19115" priority="185" operator="greaterThan">
      <formula>V27</formula>
    </cfRule>
    <cfRule type="cellIs" dxfId="19114" priority="186" operator="equal">
      <formula>0</formula>
    </cfRule>
  </conditionalFormatting>
  <conditionalFormatting sqref="V28">
    <cfRule type="cellIs" dxfId="19113" priority="183" operator="greaterThan">
      <formula>V27</formula>
    </cfRule>
    <cfRule type="cellIs" dxfId="19112" priority="184" operator="equal">
      <formula>0</formula>
    </cfRule>
  </conditionalFormatting>
  <conditionalFormatting sqref="V28">
    <cfRule type="cellIs" dxfId="19111" priority="181" operator="greaterThan">
      <formula>V27</formula>
    </cfRule>
    <cfRule type="cellIs" dxfId="19110" priority="182" operator="equal">
      <formula>0</formula>
    </cfRule>
  </conditionalFormatting>
  <conditionalFormatting sqref="V28">
    <cfRule type="cellIs" dxfId="19109" priority="179" operator="greaterThan">
      <formula>V27</formula>
    </cfRule>
    <cfRule type="cellIs" dxfId="19108" priority="180" operator="equal">
      <formula>0</formula>
    </cfRule>
  </conditionalFormatting>
  <conditionalFormatting sqref="V28">
    <cfRule type="cellIs" dxfId="19107" priority="177" operator="greaterThan">
      <formula>V27</formula>
    </cfRule>
    <cfRule type="cellIs" dxfId="19106" priority="178" operator="equal">
      <formula>0</formula>
    </cfRule>
  </conditionalFormatting>
  <conditionalFormatting sqref="V28">
    <cfRule type="cellIs" dxfId="19105" priority="175" operator="greaterThan">
      <formula>V27</formula>
    </cfRule>
    <cfRule type="cellIs" dxfId="19104" priority="176" operator="equal">
      <formula>0</formula>
    </cfRule>
  </conditionalFormatting>
  <conditionalFormatting sqref="V28">
    <cfRule type="cellIs" dxfId="19103" priority="173" operator="greaterThan">
      <formula>V27</formula>
    </cfRule>
    <cfRule type="cellIs" dxfId="19102" priority="174" operator="equal">
      <formula>0</formula>
    </cfRule>
  </conditionalFormatting>
  <conditionalFormatting sqref="V28">
    <cfRule type="cellIs" dxfId="19101" priority="171" operator="greaterThan">
      <formula>V27</formula>
    </cfRule>
    <cfRule type="cellIs" dxfId="19100" priority="172" operator="equal">
      <formula>0</formula>
    </cfRule>
  </conditionalFormatting>
  <conditionalFormatting sqref="V28">
    <cfRule type="cellIs" dxfId="19099" priority="169" operator="greaterThan">
      <formula>V27</formula>
    </cfRule>
    <cfRule type="cellIs" dxfId="19098" priority="170" operator="equal">
      <formula>0</formula>
    </cfRule>
  </conditionalFormatting>
  <conditionalFormatting sqref="V28">
    <cfRule type="cellIs" dxfId="19097" priority="167" operator="greaterThan">
      <formula>V27</formula>
    </cfRule>
    <cfRule type="cellIs" dxfId="19096" priority="168" operator="equal">
      <formula>0</formula>
    </cfRule>
  </conditionalFormatting>
  <conditionalFormatting sqref="V28">
    <cfRule type="cellIs" dxfId="19095" priority="165" operator="greaterThan">
      <formula>V27</formula>
    </cfRule>
    <cfRule type="cellIs" dxfId="19094" priority="166" operator="equal">
      <formula>0</formula>
    </cfRule>
  </conditionalFormatting>
  <conditionalFormatting sqref="V28">
    <cfRule type="cellIs" dxfId="19093" priority="163" operator="greaterThan">
      <formula>V27</formula>
    </cfRule>
    <cfRule type="cellIs" dxfId="19092" priority="164" operator="equal">
      <formula>0</formula>
    </cfRule>
  </conditionalFormatting>
  <conditionalFormatting sqref="V28">
    <cfRule type="cellIs" dxfId="19091" priority="161" operator="greaterThan">
      <formula>V27</formula>
    </cfRule>
    <cfRule type="cellIs" dxfId="19090" priority="162" operator="equal">
      <formula>0</formula>
    </cfRule>
  </conditionalFormatting>
  <conditionalFormatting sqref="V28">
    <cfRule type="cellIs" dxfId="19089" priority="159" operator="greaterThan">
      <formula>V27</formula>
    </cfRule>
    <cfRule type="cellIs" dxfId="19088" priority="160" operator="equal">
      <formula>0</formula>
    </cfRule>
  </conditionalFormatting>
  <conditionalFormatting sqref="V28">
    <cfRule type="cellIs" dxfId="19087" priority="157" operator="greaterThan">
      <formula>V27</formula>
    </cfRule>
    <cfRule type="cellIs" dxfId="19086" priority="158" operator="equal">
      <formula>0</formula>
    </cfRule>
  </conditionalFormatting>
  <conditionalFormatting sqref="V28">
    <cfRule type="cellIs" dxfId="19085" priority="155" operator="greaterThan">
      <formula>V27</formula>
    </cfRule>
    <cfRule type="cellIs" dxfId="19084" priority="156" operator="equal">
      <formula>0</formula>
    </cfRule>
  </conditionalFormatting>
  <conditionalFormatting sqref="V28">
    <cfRule type="cellIs" dxfId="19083" priority="153" operator="greaterThan">
      <formula>V27</formula>
    </cfRule>
    <cfRule type="cellIs" dxfId="19082" priority="154" operator="equal">
      <formula>0</formula>
    </cfRule>
  </conditionalFormatting>
  <conditionalFormatting sqref="V28">
    <cfRule type="cellIs" dxfId="19081" priority="151" operator="greaterThan">
      <formula>V27</formula>
    </cfRule>
    <cfRule type="cellIs" dxfId="19080" priority="152" operator="equal">
      <formula>0</formula>
    </cfRule>
  </conditionalFormatting>
  <conditionalFormatting sqref="V28">
    <cfRule type="cellIs" dxfId="19079" priority="149" operator="greaterThan">
      <formula>V27</formula>
    </cfRule>
    <cfRule type="cellIs" dxfId="19078" priority="150" operator="equal">
      <formula>0</formula>
    </cfRule>
  </conditionalFormatting>
  <conditionalFormatting sqref="V28">
    <cfRule type="cellIs" dxfId="19077" priority="147" operator="greaterThan">
      <formula>V27</formula>
    </cfRule>
    <cfRule type="cellIs" dxfId="19076" priority="148" operator="equal">
      <formula>0</formula>
    </cfRule>
  </conditionalFormatting>
  <conditionalFormatting sqref="V28">
    <cfRule type="cellIs" dxfId="19075" priority="145" operator="greaterThan">
      <formula>V27</formula>
    </cfRule>
    <cfRule type="cellIs" dxfId="19074" priority="146" operator="equal">
      <formula>0</formula>
    </cfRule>
  </conditionalFormatting>
  <conditionalFormatting sqref="V28">
    <cfRule type="cellIs" dxfId="19073" priority="143" operator="greaterThan">
      <formula>V27</formula>
    </cfRule>
    <cfRule type="cellIs" dxfId="19072" priority="144" operator="equal">
      <formula>0</formula>
    </cfRule>
  </conditionalFormatting>
  <conditionalFormatting sqref="V28">
    <cfRule type="cellIs" dxfId="19071" priority="141" operator="greaterThan">
      <formula>V27</formula>
    </cfRule>
    <cfRule type="cellIs" dxfId="19070" priority="142" operator="equal">
      <formula>0</formula>
    </cfRule>
  </conditionalFormatting>
  <conditionalFormatting sqref="V28">
    <cfRule type="cellIs" dxfId="19069" priority="139" operator="greaterThan">
      <formula>V27</formula>
    </cfRule>
    <cfRule type="cellIs" dxfId="19068" priority="140" operator="equal">
      <formula>0</formula>
    </cfRule>
  </conditionalFormatting>
  <conditionalFormatting sqref="V28">
    <cfRule type="cellIs" dxfId="19067" priority="137" operator="greaterThan">
      <formula>V27</formula>
    </cfRule>
    <cfRule type="cellIs" dxfId="19066" priority="138" operator="equal">
      <formula>0</formula>
    </cfRule>
  </conditionalFormatting>
  <conditionalFormatting sqref="V28">
    <cfRule type="cellIs" dxfId="19065" priority="135" operator="greaterThan">
      <formula>V27</formula>
    </cfRule>
    <cfRule type="cellIs" dxfId="19064" priority="136" operator="equal">
      <formula>0</formula>
    </cfRule>
  </conditionalFormatting>
  <conditionalFormatting sqref="V28">
    <cfRule type="cellIs" dxfId="19063" priority="133" operator="greaterThan">
      <formula>V27</formula>
    </cfRule>
    <cfRule type="cellIs" dxfId="19062" priority="134" operator="equal">
      <formula>0</formula>
    </cfRule>
  </conditionalFormatting>
  <conditionalFormatting sqref="V28">
    <cfRule type="cellIs" dxfId="19061" priority="131" operator="greaterThan">
      <formula>V27</formula>
    </cfRule>
    <cfRule type="cellIs" dxfId="19060" priority="132" operator="equal">
      <formula>0</formula>
    </cfRule>
  </conditionalFormatting>
  <conditionalFormatting sqref="V28">
    <cfRule type="cellIs" dxfId="19059" priority="129" operator="greaterThan">
      <formula>V27</formula>
    </cfRule>
    <cfRule type="cellIs" dxfId="19058" priority="130" operator="equal">
      <formula>0</formula>
    </cfRule>
  </conditionalFormatting>
  <conditionalFormatting sqref="V28">
    <cfRule type="cellIs" dxfId="19057" priority="127" operator="greaterThan">
      <formula>V27</formula>
    </cfRule>
    <cfRule type="cellIs" dxfId="19056" priority="128" operator="equal">
      <formula>0</formula>
    </cfRule>
  </conditionalFormatting>
  <conditionalFormatting sqref="V28">
    <cfRule type="cellIs" dxfId="19055" priority="125" operator="greaterThan">
      <formula>V27</formula>
    </cfRule>
    <cfRule type="cellIs" dxfId="19054" priority="126" operator="equal">
      <formula>0</formula>
    </cfRule>
  </conditionalFormatting>
  <conditionalFormatting sqref="V28">
    <cfRule type="cellIs" dxfId="19053" priority="123" operator="greaterThan">
      <formula>V27</formula>
    </cfRule>
    <cfRule type="cellIs" dxfId="19052" priority="124" operator="equal">
      <formula>0</formula>
    </cfRule>
  </conditionalFormatting>
  <conditionalFormatting sqref="V28">
    <cfRule type="cellIs" dxfId="19051" priority="121" operator="greaterThan">
      <formula>V27</formula>
    </cfRule>
    <cfRule type="cellIs" dxfId="19050" priority="122" operator="equal">
      <formula>0</formula>
    </cfRule>
  </conditionalFormatting>
  <conditionalFormatting sqref="V28">
    <cfRule type="cellIs" dxfId="19049" priority="119" operator="greaterThan">
      <formula>V27</formula>
    </cfRule>
    <cfRule type="cellIs" dxfId="19048" priority="120" operator="equal">
      <formula>0</formula>
    </cfRule>
  </conditionalFormatting>
  <conditionalFormatting sqref="V28">
    <cfRule type="cellIs" dxfId="19047" priority="117" operator="greaterThan">
      <formula>V27</formula>
    </cfRule>
    <cfRule type="cellIs" dxfId="19046" priority="118" operator="equal">
      <formula>0</formula>
    </cfRule>
  </conditionalFormatting>
  <conditionalFormatting sqref="V28">
    <cfRule type="cellIs" dxfId="19045" priority="115" operator="greaterThan">
      <formula>V27</formula>
    </cfRule>
    <cfRule type="cellIs" dxfId="19044" priority="116" operator="equal">
      <formula>0</formula>
    </cfRule>
  </conditionalFormatting>
  <conditionalFormatting sqref="V28">
    <cfRule type="cellIs" dxfId="19043" priority="113" operator="greaterThan">
      <formula>V27</formula>
    </cfRule>
    <cfRule type="cellIs" dxfId="19042" priority="114" operator="equal">
      <formula>0</formula>
    </cfRule>
  </conditionalFormatting>
  <conditionalFormatting sqref="V28">
    <cfRule type="cellIs" dxfId="19041" priority="111" operator="greaterThan">
      <formula>V27</formula>
    </cfRule>
    <cfRule type="cellIs" dxfId="19040" priority="112" operator="equal">
      <formula>0</formula>
    </cfRule>
  </conditionalFormatting>
  <conditionalFormatting sqref="V28">
    <cfRule type="cellIs" dxfId="19039" priority="109" operator="greaterThan">
      <formula>V27</formula>
    </cfRule>
    <cfRule type="cellIs" dxfId="19038" priority="110" operator="equal">
      <formula>0</formula>
    </cfRule>
  </conditionalFormatting>
  <conditionalFormatting sqref="V28">
    <cfRule type="cellIs" dxfId="19037" priority="107" operator="greaterThan">
      <formula>V27</formula>
    </cfRule>
    <cfRule type="cellIs" dxfId="19036" priority="108" operator="equal">
      <formula>0</formula>
    </cfRule>
  </conditionalFormatting>
  <conditionalFormatting sqref="V28">
    <cfRule type="cellIs" dxfId="19035" priority="105" operator="greaterThan">
      <formula>V27</formula>
    </cfRule>
    <cfRule type="cellIs" dxfId="19034" priority="106" operator="equal">
      <formula>0</formula>
    </cfRule>
  </conditionalFormatting>
  <conditionalFormatting sqref="V28">
    <cfRule type="cellIs" dxfId="19033" priority="103" operator="greaterThan">
      <formula>V27</formula>
    </cfRule>
    <cfRule type="cellIs" dxfId="19032" priority="104" operator="equal">
      <formula>0</formula>
    </cfRule>
  </conditionalFormatting>
  <conditionalFormatting sqref="V28">
    <cfRule type="cellIs" dxfId="19031" priority="101" operator="greaterThan">
      <formula>V27</formula>
    </cfRule>
    <cfRule type="cellIs" dxfId="19030" priority="102" operator="equal">
      <formula>0</formula>
    </cfRule>
  </conditionalFormatting>
  <conditionalFormatting sqref="V28">
    <cfRule type="cellIs" dxfId="19029" priority="99" operator="greaterThan">
      <formula>V27</formula>
    </cfRule>
    <cfRule type="cellIs" dxfId="19028" priority="100" operator="equal">
      <formula>0</formula>
    </cfRule>
  </conditionalFormatting>
  <conditionalFormatting sqref="V28">
    <cfRule type="cellIs" dxfId="19027" priority="97" operator="greaterThan">
      <formula>V27</formula>
    </cfRule>
    <cfRule type="cellIs" dxfId="19026" priority="98" operator="equal">
      <formula>0</formula>
    </cfRule>
  </conditionalFormatting>
  <conditionalFormatting sqref="V28">
    <cfRule type="cellIs" dxfId="19025" priority="95" operator="greaterThan">
      <formula>V27</formula>
    </cfRule>
    <cfRule type="cellIs" dxfId="19024" priority="96" operator="equal">
      <formula>0</formula>
    </cfRule>
  </conditionalFormatting>
  <conditionalFormatting sqref="V28">
    <cfRule type="cellIs" dxfId="19023" priority="93" operator="greaterThan">
      <formula>V27</formula>
    </cfRule>
    <cfRule type="cellIs" dxfId="19022" priority="94" operator="equal">
      <formula>0</formula>
    </cfRule>
  </conditionalFormatting>
  <conditionalFormatting sqref="V28">
    <cfRule type="cellIs" dxfId="19021" priority="91" operator="greaterThan">
      <formula>V27</formula>
    </cfRule>
    <cfRule type="cellIs" dxfId="19020" priority="92" operator="equal">
      <formula>0</formula>
    </cfRule>
  </conditionalFormatting>
  <conditionalFormatting sqref="V28">
    <cfRule type="cellIs" dxfId="19019" priority="89" operator="greaterThan">
      <formula>V27</formula>
    </cfRule>
    <cfRule type="cellIs" dxfId="19018" priority="90" operator="equal">
      <formula>0</formula>
    </cfRule>
  </conditionalFormatting>
  <conditionalFormatting sqref="V28">
    <cfRule type="cellIs" dxfId="19017" priority="87" operator="greaterThan">
      <formula>V27</formula>
    </cfRule>
    <cfRule type="cellIs" dxfId="19016" priority="88" operator="equal">
      <formula>0</formula>
    </cfRule>
  </conditionalFormatting>
  <conditionalFormatting sqref="V28">
    <cfRule type="cellIs" dxfId="19015" priority="85" operator="greaterThan">
      <formula>V27</formula>
    </cfRule>
    <cfRule type="cellIs" dxfId="19014" priority="86" operator="equal">
      <formula>0</formula>
    </cfRule>
  </conditionalFormatting>
  <conditionalFormatting sqref="V28">
    <cfRule type="cellIs" dxfId="19013" priority="83" operator="greaterThan">
      <formula>V27</formula>
    </cfRule>
    <cfRule type="cellIs" dxfId="19012" priority="84" operator="equal">
      <formula>0</formula>
    </cfRule>
  </conditionalFormatting>
  <conditionalFormatting sqref="V28">
    <cfRule type="cellIs" dxfId="19011" priority="81" operator="greaterThan">
      <formula>V27</formula>
    </cfRule>
    <cfRule type="cellIs" dxfId="19010" priority="82" operator="equal">
      <formula>0</formula>
    </cfRule>
  </conditionalFormatting>
  <conditionalFormatting sqref="V28">
    <cfRule type="cellIs" dxfId="19009" priority="79" operator="greaterThan">
      <formula>V27</formula>
    </cfRule>
    <cfRule type="cellIs" dxfId="19008" priority="80" operator="equal">
      <formula>0</formula>
    </cfRule>
  </conditionalFormatting>
  <conditionalFormatting sqref="V28">
    <cfRule type="cellIs" dxfId="19007" priority="77" operator="greaterThan">
      <formula>V27</formula>
    </cfRule>
    <cfRule type="cellIs" dxfId="19006" priority="78" operator="equal">
      <formula>0</formula>
    </cfRule>
  </conditionalFormatting>
  <conditionalFormatting sqref="V28">
    <cfRule type="cellIs" dxfId="19005" priority="75" operator="greaterThan">
      <formula>V27</formula>
    </cfRule>
    <cfRule type="cellIs" dxfId="19004" priority="76" operator="equal">
      <formula>0</formula>
    </cfRule>
  </conditionalFormatting>
  <conditionalFormatting sqref="V28">
    <cfRule type="cellIs" dxfId="19003" priority="73" operator="greaterThan">
      <formula>V27</formula>
    </cfRule>
    <cfRule type="cellIs" dxfId="19002" priority="74" operator="equal">
      <formula>0</formula>
    </cfRule>
  </conditionalFormatting>
  <conditionalFormatting sqref="V28">
    <cfRule type="cellIs" dxfId="19001" priority="71" operator="greaterThan">
      <formula>V27</formula>
    </cfRule>
    <cfRule type="cellIs" dxfId="19000" priority="72" operator="equal">
      <formula>0</formula>
    </cfRule>
  </conditionalFormatting>
  <conditionalFormatting sqref="V28">
    <cfRule type="cellIs" dxfId="18999" priority="69" operator="greaterThan">
      <formula>V27</formula>
    </cfRule>
    <cfRule type="cellIs" dxfId="18998" priority="70" operator="equal">
      <formula>0</formula>
    </cfRule>
  </conditionalFormatting>
  <conditionalFormatting sqref="V28">
    <cfRule type="cellIs" dxfId="18997" priority="67" operator="greaterThan">
      <formula>V27</formula>
    </cfRule>
    <cfRule type="cellIs" dxfId="18996" priority="68" operator="equal">
      <formula>0</formula>
    </cfRule>
  </conditionalFormatting>
  <conditionalFormatting sqref="V28">
    <cfRule type="cellIs" dxfId="18995" priority="65" operator="greaterThan">
      <formula>V27</formula>
    </cfRule>
    <cfRule type="cellIs" dxfId="18994" priority="66" operator="equal">
      <formula>0</formula>
    </cfRule>
  </conditionalFormatting>
  <conditionalFormatting sqref="V28">
    <cfRule type="cellIs" dxfId="18993" priority="63" operator="greaterThan">
      <formula>V27</formula>
    </cfRule>
    <cfRule type="cellIs" dxfId="18992" priority="64" operator="equal">
      <formula>0</formula>
    </cfRule>
  </conditionalFormatting>
  <conditionalFormatting sqref="V28">
    <cfRule type="cellIs" dxfId="18991" priority="61" operator="greaterThan">
      <formula>V27</formula>
    </cfRule>
    <cfRule type="cellIs" dxfId="18990" priority="62" operator="equal">
      <formula>0</formula>
    </cfRule>
  </conditionalFormatting>
  <conditionalFormatting sqref="V28">
    <cfRule type="cellIs" dxfId="18989" priority="59" operator="greaterThan">
      <formula>V27</formula>
    </cfRule>
    <cfRule type="cellIs" dxfId="18988" priority="60" operator="equal">
      <formula>0</formula>
    </cfRule>
  </conditionalFormatting>
  <conditionalFormatting sqref="V28">
    <cfRule type="cellIs" dxfId="18987" priority="57" operator="greaterThan">
      <formula>V27</formula>
    </cfRule>
    <cfRule type="cellIs" dxfId="18986" priority="58" operator="equal">
      <formula>0</formula>
    </cfRule>
  </conditionalFormatting>
  <conditionalFormatting sqref="V28">
    <cfRule type="cellIs" dxfId="18985" priority="55" operator="greaterThan">
      <formula>V27</formula>
    </cfRule>
    <cfRule type="cellIs" dxfId="18984" priority="56" operator="equal">
      <formula>0</formula>
    </cfRule>
  </conditionalFormatting>
  <conditionalFormatting sqref="V28">
    <cfRule type="cellIs" dxfId="18983" priority="53" operator="greaterThan">
      <formula>V27</formula>
    </cfRule>
    <cfRule type="cellIs" dxfId="18982" priority="54" operator="equal">
      <formula>0</formula>
    </cfRule>
  </conditionalFormatting>
  <conditionalFormatting sqref="V28">
    <cfRule type="cellIs" dxfId="18981" priority="51" operator="greaterThan">
      <formula>V27</formula>
    </cfRule>
    <cfRule type="cellIs" dxfId="18980" priority="52" operator="equal">
      <formula>0</formula>
    </cfRule>
  </conditionalFormatting>
  <conditionalFormatting sqref="V28">
    <cfRule type="cellIs" dxfId="18979" priority="49" operator="greaterThan">
      <formula>V27</formula>
    </cfRule>
    <cfRule type="cellIs" dxfId="18978" priority="50" operator="equal">
      <formula>0</formula>
    </cfRule>
  </conditionalFormatting>
  <conditionalFormatting sqref="V28">
    <cfRule type="cellIs" dxfId="18977" priority="47" operator="greaterThan">
      <formula>V27</formula>
    </cfRule>
    <cfRule type="cellIs" dxfId="18976" priority="48" operator="equal">
      <formula>0</formula>
    </cfRule>
  </conditionalFormatting>
  <conditionalFormatting sqref="V28">
    <cfRule type="cellIs" dxfId="18975" priority="45" operator="greaterThan">
      <formula>V27</formula>
    </cfRule>
    <cfRule type="cellIs" dxfId="18974" priority="46" operator="equal">
      <formula>0</formula>
    </cfRule>
  </conditionalFormatting>
  <conditionalFormatting sqref="V28">
    <cfRule type="cellIs" dxfId="18973" priority="43" operator="greaterThan">
      <formula>V27</formula>
    </cfRule>
    <cfRule type="cellIs" dxfId="18972" priority="44" operator="equal">
      <formula>0</formula>
    </cfRule>
  </conditionalFormatting>
  <conditionalFormatting sqref="V28">
    <cfRule type="cellIs" dxfId="18971" priority="41" operator="greaterThan">
      <formula>V27</formula>
    </cfRule>
    <cfRule type="cellIs" dxfId="18970" priority="42" operator="equal">
      <formula>0</formula>
    </cfRule>
  </conditionalFormatting>
  <conditionalFormatting sqref="V28">
    <cfRule type="cellIs" dxfId="18969" priority="39" operator="greaterThan">
      <formula>V27</formula>
    </cfRule>
    <cfRule type="cellIs" dxfId="18968" priority="40" operator="equal">
      <formula>0</formula>
    </cfRule>
  </conditionalFormatting>
  <conditionalFormatting sqref="V28">
    <cfRule type="cellIs" dxfId="18967" priority="37" operator="greaterThan">
      <formula>V27</formula>
    </cfRule>
    <cfRule type="cellIs" dxfId="18966" priority="38" operator="equal">
      <formula>0</formula>
    </cfRule>
  </conditionalFormatting>
  <conditionalFormatting sqref="V28">
    <cfRule type="cellIs" dxfId="18965" priority="35" operator="greaterThan">
      <formula>V27</formula>
    </cfRule>
    <cfRule type="cellIs" dxfId="18964" priority="36" operator="equal">
      <formula>0</formula>
    </cfRule>
  </conditionalFormatting>
  <conditionalFormatting sqref="V28">
    <cfRule type="cellIs" dxfId="18963" priority="33" operator="greaterThan">
      <formula>V27</formula>
    </cfRule>
    <cfRule type="cellIs" dxfId="18962" priority="34" operator="equal">
      <formula>0</formula>
    </cfRule>
  </conditionalFormatting>
  <conditionalFormatting sqref="V28">
    <cfRule type="cellIs" dxfId="18961" priority="31" operator="greaterThan">
      <formula>V27</formula>
    </cfRule>
    <cfRule type="cellIs" dxfId="18960" priority="32" operator="equal">
      <formula>0</formula>
    </cfRule>
  </conditionalFormatting>
  <conditionalFormatting sqref="V13">
    <cfRule type="cellIs" dxfId="18959" priority="30" operator="equal">
      <formula>0</formula>
    </cfRule>
  </conditionalFormatting>
  <conditionalFormatting sqref="V13">
    <cfRule type="cellIs" dxfId="18958" priority="28" operator="greaterThan">
      <formula>V12</formula>
    </cfRule>
    <cfRule type="cellIs" dxfId="18957" priority="29" operator="equal">
      <formula>0</formula>
    </cfRule>
  </conditionalFormatting>
  <conditionalFormatting sqref="V13">
    <cfRule type="cellIs" dxfId="18956" priority="26" operator="greaterThan">
      <formula>V12</formula>
    </cfRule>
    <cfRule type="cellIs" dxfId="18955" priority="27" operator="equal">
      <formula>0</formula>
    </cfRule>
  </conditionalFormatting>
  <conditionalFormatting sqref="V16">
    <cfRule type="cellIs" dxfId="18954" priority="25" operator="equal">
      <formula>0</formula>
    </cfRule>
  </conditionalFormatting>
  <conditionalFormatting sqref="V16">
    <cfRule type="cellIs" dxfId="18953" priority="23" operator="greaterThan">
      <formula>V15</formula>
    </cfRule>
    <cfRule type="cellIs" dxfId="18952" priority="24" operator="equal">
      <formula>0</formula>
    </cfRule>
  </conditionalFormatting>
  <conditionalFormatting sqref="V16">
    <cfRule type="cellIs" dxfId="18951" priority="21" operator="greaterThan">
      <formula>V15</formula>
    </cfRule>
    <cfRule type="cellIs" dxfId="18950" priority="22" operator="equal">
      <formula>0</formula>
    </cfRule>
  </conditionalFormatting>
  <conditionalFormatting sqref="V19">
    <cfRule type="cellIs" dxfId="18949" priority="20" operator="equal">
      <formula>0</formula>
    </cfRule>
  </conditionalFormatting>
  <conditionalFormatting sqref="V19">
    <cfRule type="cellIs" dxfId="18948" priority="18" operator="greaterThan">
      <formula>V18</formula>
    </cfRule>
    <cfRule type="cellIs" dxfId="18947" priority="19" operator="equal">
      <formula>0</formula>
    </cfRule>
  </conditionalFormatting>
  <conditionalFormatting sqref="V19">
    <cfRule type="cellIs" dxfId="18946" priority="16" operator="greaterThan">
      <formula>V18</formula>
    </cfRule>
    <cfRule type="cellIs" dxfId="18945" priority="17" operator="equal">
      <formula>0</formula>
    </cfRule>
  </conditionalFormatting>
  <conditionalFormatting sqref="V22">
    <cfRule type="cellIs" dxfId="18944" priority="15" operator="equal">
      <formula>0</formula>
    </cfRule>
  </conditionalFormatting>
  <conditionalFormatting sqref="V22">
    <cfRule type="cellIs" dxfId="18943" priority="13" operator="greaterThan">
      <formula>V21</formula>
    </cfRule>
    <cfRule type="cellIs" dxfId="18942" priority="14" operator="equal">
      <formula>0</formula>
    </cfRule>
  </conditionalFormatting>
  <conditionalFormatting sqref="V22">
    <cfRule type="cellIs" dxfId="18941" priority="11" operator="greaterThan">
      <formula>V21</formula>
    </cfRule>
    <cfRule type="cellIs" dxfId="18940" priority="12" operator="equal">
      <formula>0</formula>
    </cfRule>
  </conditionalFormatting>
  <conditionalFormatting sqref="V25">
    <cfRule type="cellIs" dxfId="18939" priority="10" operator="equal">
      <formula>0</formula>
    </cfRule>
  </conditionalFormatting>
  <conditionalFormatting sqref="V25">
    <cfRule type="cellIs" dxfId="18938" priority="8" operator="greaterThan">
      <formula>V24</formula>
    </cfRule>
    <cfRule type="cellIs" dxfId="18937" priority="9" operator="equal">
      <formula>0</formula>
    </cfRule>
  </conditionalFormatting>
  <conditionalFormatting sqref="V25">
    <cfRule type="cellIs" dxfId="18936" priority="6" operator="greaterThan">
      <formula>V24</formula>
    </cfRule>
    <cfRule type="cellIs" dxfId="18935" priority="7" operator="equal">
      <formula>0</formula>
    </cfRule>
  </conditionalFormatting>
  <conditionalFormatting sqref="V28">
    <cfRule type="cellIs" dxfId="18934" priority="5" operator="equal">
      <formula>0</formula>
    </cfRule>
  </conditionalFormatting>
  <conditionalFormatting sqref="V28">
    <cfRule type="cellIs" dxfId="18933" priority="3" operator="greaterThan">
      <formula>V27</formula>
    </cfRule>
    <cfRule type="cellIs" dxfId="18932" priority="4" operator="equal">
      <formula>0</formula>
    </cfRule>
  </conditionalFormatting>
  <conditionalFormatting sqref="V28">
    <cfRule type="cellIs" dxfId="18931" priority="1" operator="greaterThan">
      <formula>V27</formula>
    </cfRule>
    <cfRule type="cellIs" dxfId="18930" priority="2" operator="equal">
      <formula>0</formula>
    </cfRule>
  </conditionalFormatting>
  <dataValidations count="25">
    <dataValidation type="whole" operator="greaterThanOrEqual" allowBlank="1" showInputMessage="1" showErrorMessage="1" errorTitle="المجموع" error="العدد المناسب" sqref="O49 M42 P33 P30 P12 P15 P18 P21 P27 P24 P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allowBlank="1" showInputMessage="1" showErrorMessage="1" sqref="X51 X44:X48 X38:X41 Y16:Y51 X17 X20 X23 X26 X29 X32 X35">
      <formula1>0</formula1>
      <formula2>5000</formula2>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&amp;R&amp;"-,Gras"&amp;8&amp;K00-032Echamil V.08      &amp;F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0">
    <tabColor rgb="FF00B050"/>
  </sheetPr>
  <dimension ref="A1:Z54"/>
  <sheetViews>
    <sheetView showGridLines="0" rightToLeft="1" zoomScale="115" zoomScaleNormal="115" workbookViewId="0">
      <selection activeCell="G42" sqref="G42"/>
    </sheetView>
  </sheetViews>
  <sheetFormatPr baseColWidth="10" defaultColWidth="0" defaultRowHeight="14.4" zeroHeight="1"/>
  <cols>
    <col min="1" max="1" width="1.6640625"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9" t="s">
        <v>603</v>
      </c>
      <c r="W2" s="4459"/>
      <c r="X2" s="4459"/>
      <c r="Y2" s="1945"/>
      <c r="Z2" s="1420"/>
    </row>
    <row r="3" spans="1:26"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9"/>
      <c r="W3" s="4459"/>
      <c r="X3" s="4459"/>
      <c r="Y3" s="1945"/>
      <c r="Z3" s="1420"/>
    </row>
    <row r="4" spans="1:26" ht="20.100000000000001" customHeight="1">
      <c r="A4" s="1418"/>
      <c r="B4" s="1431"/>
      <c r="C4" s="1432"/>
      <c r="D4" s="2464" t="s">
        <v>1463</v>
      </c>
      <c r="E4" s="2465"/>
      <c r="F4" s="2465"/>
      <c r="G4" s="1032"/>
      <c r="H4" s="1032"/>
      <c r="I4" s="1032"/>
      <c r="J4" s="1032"/>
      <c r="K4" s="1032"/>
      <c r="L4" s="1032"/>
      <c r="M4" s="2466"/>
      <c r="N4" s="2467"/>
      <c r="O4" s="2467"/>
      <c r="P4" s="2468" t="s">
        <v>1464</v>
      </c>
      <c r="Q4" s="1948"/>
      <c r="R4" s="1441"/>
      <c r="S4" s="1430"/>
      <c r="T4" s="1424"/>
      <c r="U4" s="1944"/>
      <c r="V4" s="4459"/>
      <c r="W4" s="4459"/>
      <c r="X4" s="4459"/>
      <c r="Y4" s="1945"/>
      <c r="Z4" s="1420"/>
    </row>
    <row r="5" spans="1:26" ht="2.1" customHeight="1">
      <c r="A5" s="1418"/>
      <c r="B5" s="1431"/>
      <c r="C5" s="1442"/>
      <c r="D5" s="2465"/>
      <c r="E5" s="2465"/>
      <c r="F5" s="2465"/>
      <c r="G5" s="2465"/>
      <c r="H5" s="2469"/>
      <c r="I5" s="2470"/>
      <c r="J5" s="2470"/>
      <c r="K5" s="2470"/>
      <c r="L5" s="1316"/>
      <c r="M5" s="2467"/>
      <c r="N5" s="2467"/>
      <c r="O5" s="2467"/>
      <c r="P5" s="2471"/>
      <c r="Q5" s="1440"/>
      <c r="R5" s="1441"/>
      <c r="S5" s="1430"/>
      <c r="T5" s="1424"/>
      <c r="U5" s="1944"/>
      <c r="V5" s="4459"/>
      <c r="W5" s="4459"/>
      <c r="X5" s="4459"/>
      <c r="Y5" s="1945"/>
      <c r="Z5" s="1420"/>
    </row>
    <row r="6" spans="1:26" ht="15.9" customHeight="1">
      <c r="A6" s="1418"/>
      <c r="B6" s="1431"/>
      <c r="C6" s="1442"/>
      <c r="D6" s="1032"/>
      <c r="E6" s="1032"/>
      <c r="F6" s="2472"/>
      <c r="G6" s="2473" t="s">
        <v>936</v>
      </c>
      <c r="H6" s="2474" t="s">
        <v>1087</v>
      </c>
      <c r="I6" s="2475"/>
      <c r="J6" s="2476"/>
      <c r="K6" s="2477"/>
      <c r="L6" s="2478" t="s">
        <v>1102</v>
      </c>
      <c r="M6" s="2477"/>
      <c r="N6" s="2479"/>
      <c r="O6" s="2479" t="s">
        <v>937</v>
      </c>
      <c r="P6" s="1032"/>
      <c r="Q6" s="1440"/>
      <c r="R6" s="1441"/>
      <c r="S6" s="1430"/>
      <c r="T6" s="1424"/>
      <c r="U6" s="1944"/>
      <c r="V6" s="4459"/>
      <c r="W6" s="4459"/>
      <c r="X6" s="4459"/>
      <c r="Y6" s="1950"/>
      <c r="Z6" s="1420"/>
    </row>
    <row r="7" spans="1:26" ht="2.1" customHeight="1">
      <c r="A7" s="1418"/>
      <c r="B7" s="1431"/>
      <c r="C7" s="1442"/>
      <c r="D7" s="1966"/>
      <c r="E7" s="2480"/>
      <c r="F7" s="2480"/>
      <c r="G7" s="2480"/>
      <c r="H7" s="2480"/>
      <c r="I7" s="2480"/>
      <c r="J7" s="2480"/>
      <c r="K7" s="2480"/>
      <c r="L7" s="2480"/>
      <c r="M7" s="2480"/>
      <c r="N7" s="2480"/>
      <c r="O7" s="2480"/>
      <c r="P7" s="2480"/>
      <c r="Q7" s="1440"/>
      <c r="R7" s="1441"/>
      <c r="S7" s="1430"/>
      <c r="T7" s="1424"/>
      <c r="U7" s="1944"/>
      <c r="V7" s="1032"/>
      <c r="W7" s="1950"/>
      <c r="X7" s="1950"/>
      <c r="Y7" s="1950"/>
      <c r="Z7" s="1420"/>
    </row>
    <row r="8" spans="1:26" ht="14.1" customHeight="1">
      <c r="A8" s="1418"/>
      <c r="B8" s="1431"/>
      <c r="C8" s="1442"/>
      <c r="D8" s="2418" t="s">
        <v>1188</v>
      </c>
      <c r="E8" s="2419"/>
      <c r="F8" s="2419"/>
      <c r="G8" s="2419"/>
      <c r="H8" s="2420"/>
      <c r="I8" s="2420"/>
      <c r="J8" s="2420"/>
      <c r="K8" s="2420"/>
      <c r="L8" s="2419"/>
      <c r="M8" s="2419"/>
      <c r="N8" s="2419"/>
      <c r="O8" s="2419"/>
      <c r="P8" s="2396" t="s">
        <v>1187</v>
      </c>
      <c r="Q8" s="1440"/>
      <c r="R8" s="144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1440"/>
      <c r="R9" s="144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1440"/>
      <c r="R10" s="144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1440"/>
      <c r="R11" s="1441"/>
      <c r="S11" s="1430"/>
      <c r="T11" s="1424"/>
      <c r="U11" s="1944"/>
      <c r="V11" s="3100" t="s">
        <v>965</v>
      </c>
      <c r="W11" s="1966"/>
      <c r="X11" s="2036"/>
      <c r="Y11" s="2036"/>
      <c r="Z11" s="1420"/>
    </row>
    <row r="12" spans="1:26" ht="12" customHeight="1">
      <c r="A12" s="1418"/>
      <c r="B12" s="1431"/>
      <c r="C12" s="1442"/>
      <c r="D12" s="2430" t="s">
        <v>20</v>
      </c>
      <c r="E12" s="2265"/>
      <c r="F12" s="1462"/>
      <c r="G12" s="1462">
        <v>0</v>
      </c>
      <c r="H12" s="1462">
        <v>1</v>
      </c>
      <c r="I12" s="1462">
        <v>1</v>
      </c>
      <c r="J12" s="1462"/>
      <c r="K12" s="1462"/>
      <c r="L12" s="1462"/>
      <c r="M12" s="1462"/>
      <c r="N12" s="1462"/>
      <c r="O12" s="1462"/>
      <c r="P12" s="1998">
        <f>E12+F12+G12+H12+I12+J12+K12+L12+M12+N12+O12</f>
        <v>2</v>
      </c>
      <c r="Q12" s="1440"/>
      <c r="R12" s="1441"/>
      <c r="S12" s="1430"/>
      <c r="T12" s="1424"/>
      <c r="U12" s="1944"/>
      <c r="V12" s="4452" t="str">
        <f>IF(('الصفحة 1'!$Q$14&gt;0),((IF((P12&gt;'الصفحة 14'!$G$13),"العدد غيرمطابق",IF((P12&lt;='الصفحة 14'!$G$13)," ")))),"")</f>
        <v xml:space="preserve"> </v>
      </c>
      <c r="W12" s="4453"/>
      <c r="X12" s="3097"/>
      <c r="Y12" s="3096"/>
      <c r="Z12" s="1420"/>
    </row>
    <row r="13" spans="1:26" ht="12" customHeight="1">
      <c r="A13" s="1418"/>
      <c r="B13" s="1431"/>
      <c r="C13" s="1442"/>
      <c r="D13" s="2430" t="s">
        <v>672</v>
      </c>
      <c r="E13" s="2265"/>
      <c r="F13" s="2265"/>
      <c r="G13" s="2265"/>
      <c r="H13" s="2265">
        <v>1</v>
      </c>
      <c r="I13" s="2265">
        <v>1</v>
      </c>
      <c r="J13" s="2265"/>
      <c r="K13" s="2265"/>
      <c r="L13" s="2265"/>
      <c r="M13" s="2265"/>
      <c r="N13" s="2265"/>
      <c r="O13" s="2265"/>
      <c r="P13" s="1998">
        <f>E13+F13+G13+H13+I13+J13+K13+L13+M13+N13+O13</f>
        <v>2</v>
      </c>
      <c r="Q13" s="1440"/>
      <c r="R13" s="144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1440"/>
      <c r="R14" s="1441"/>
      <c r="S14" s="1430"/>
      <c r="T14" s="1424"/>
      <c r="U14" s="1944"/>
      <c r="V14" s="3100" t="s">
        <v>964</v>
      </c>
      <c r="W14" s="2036"/>
      <c r="X14" s="2036"/>
      <c r="Y14" s="2036"/>
      <c r="Z14" s="1420"/>
    </row>
    <row r="15" spans="1:26" ht="12" customHeight="1">
      <c r="A15" s="1418"/>
      <c r="B15" s="1431"/>
      <c r="C15" s="1442"/>
      <c r="D15" s="2430" t="s">
        <v>20</v>
      </c>
      <c r="E15" s="2265"/>
      <c r="F15" s="1462"/>
      <c r="G15" s="1462"/>
      <c r="H15" s="1462">
        <v>1</v>
      </c>
      <c r="I15" s="1462"/>
      <c r="J15" s="1462"/>
      <c r="K15" s="1462"/>
      <c r="L15" s="1462"/>
      <c r="M15" s="1462"/>
      <c r="N15" s="1462"/>
      <c r="O15" s="1462"/>
      <c r="P15" s="1998">
        <f>E15+F15+G15+H15+I15+J15+K15+L15+M15+N15+O15</f>
        <v>1</v>
      </c>
      <c r="Q15" s="1440"/>
      <c r="R15" s="1441"/>
      <c r="S15" s="1430"/>
      <c r="T15" s="1424"/>
      <c r="U15" s="1944"/>
      <c r="V15" s="4452" t="str">
        <f>IF(('الصفحة 1'!$Q$14&gt;0),((IF((P15&gt;'الصفحة 14'!$G$15),"العدد غيرمطابق",IF((P15&lt;='الصفحة 14'!$G$15)," ")))),"")</f>
        <v xml:space="preserve"> </v>
      </c>
      <c r="W15" s="4453"/>
      <c r="X15" s="3097"/>
      <c r="Y15" s="2036"/>
      <c r="Z15" s="1420"/>
    </row>
    <row r="16" spans="1:26" ht="12" customHeight="1">
      <c r="A16" s="1418"/>
      <c r="B16" s="1431"/>
      <c r="C16" s="1442"/>
      <c r="D16" s="2430" t="s">
        <v>672</v>
      </c>
      <c r="E16" s="2265"/>
      <c r="F16" s="2265"/>
      <c r="G16" s="2265"/>
      <c r="H16" s="2265"/>
      <c r="I16" s="2265"/>
      <c r="J16" s="2265"/>
      <c r="K16" s="2265"/>
      <c r="L16" s="2265"/>
      <c r="M16" s="2265"/>
      <c r="N16" s="2265"/>
      <c r="O16" s="2265"/>
      <c r="P16" s="1998">
        <f>E16+F16+G16+H16+I16+J16+K16+L16+M16+N16+O16</f>
        <v>0</v>
      </c>
      <c r="Q16" s="1440"/>
      <c r="R16" s="144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1440"/>
      <c r="R17" s="144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52" t="str">
        <f>IF(('الصفحة 1'!$Q$14&gt;0),((IF((P18&gt;'الصفحة 14'!$G$17),"العدد غيرمطابق",IF((P18&lt;='الصفحة 14'!$G$17),"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1440"/>
      <c r="R20" s="1441"/>
      <c r="S20" s="1430"/>
      <c r="T20" s="1424"/>
      <c r="U20" s="1944"/>
      <c r="V20" s="3100" t="s">
        <v>962</v>
      </c>
      <c r="W20" s="2039"/>
      <c r="X20" s="3052"/>
      <c r="Y20" s="3052"/>
      <c r="Z20" s="1420"/>
    </row>
    <row r="21" spans="1:26" ht="12" customHeight="1">
      <c r="A21" s="1418"/>
      <c r="B21" s="1431"/>
      <c r="C21" s="1442"/>
      <c r="D21" s="2430" t="s">
        <v>20</v>
      </c>
      <c r="E21" s="2265"/>
      <c r="F21" s="1462"/>
      <c r="G21" s="1462"/>
      <c r="H21" s="1462"/>
      <c r="I21" s="1462"/>
      <c r="J21" s="1462"/>
      <c r="K21" s="1462"/>
      <c r="L21" s="1462"/>
      <c r="M21" s="1462"/>
      <c r="N21" s="1462"/>
      <c r="O21" s="1462"/>
      <c r="P21" s="1998">
        <f>E21+F21+G21+H21+I21+J21+K21+L21+M21+N21+O21</f>
        <v>0</v>
      </c>
      <c r="Q21" s="1440"/>
      <c r="R21" s="1441"/>
      <c r="S21" s="1430"/>
      <c r="T21" s="1424"/>
      <c r="U21" s="1944"/>
      <c r="V21" s="4452" t="str">
        <f>IF(('الصفحة 1'!$Q$14&gt;0),((IF((P21&gt;'الصفحة 14'!$G$19),"العدد غيرمطابق",IF((P21&lt;='الصفحة 14'!$G$19)," ")))),"")</f>
        <v xml:space="preserve"> </v>
      </c>
      <c r="W21" s="4453"/>
      <c r="X21" s="3097"/>
      <c r="Y21" s="3052"/>
      <c r="Z21" s="1420"/>
    </row>
    <row r="22" spans="1:26" ht="12" customHeight="1">
      <c r="A22" s="1418"/>
      <c r="B22" s="1431"/>
      <c r="C22" s="1442"/>
      <c r="D22" s="2430" t="s">
        <v>672</v>
      </c>
      <c r="E22" s="2265"/>
      <c r="F22" s="2265"/>
      <c r="G22" s="2265"/>
      <c r="H22" s="2265"/>
      <c r="I22" s="2265"/>
      <c r="J22" s="2265"/>
      <c r="K22" s="2265"/>
      <c r="L22" s="2265"/>
      <c r="M22" s="2265"/>
      <c r="N22" s="2265"/>
      <c r="O22" s="2265"/>
      <c r="P22" s="1998">
        <f>E22+F22+G22+H22+I22+J22+K22+L22+M22+N22+O22</f>
        <v>0</v>
      </c>
      <c r="Q22" s="1440"/>
      <c r="R22" s="144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1440"/>
      <c r="R23" s="144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52" t="str">
        <f>IF(('الصفحة 1'!$Q$14&gt;0),((IF((P24&gt;'الصفحة 14'!$G$21),"العدد غيرمطابق",IF((P24&lt;='الصفحة 14'!$G$21),"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1440"/>
      <c r="R26" s="1441"/>
      <c r="S26" s="1430"/>
      <c r="T26" s="1424"/>
      <c r="U26" s="1944"/>
      <c r="V26" s="3109" t="s">
        <v>1083</v>
      </c>
      <c r="W26" s="1966"/>
      <c r="X26" s="3052"/>
      <c r="Y26" s="3052"/>
      <c r="Z26" s="1420"/>
    </row>
    <row r="27" spans="1:26" ht="12" customHeight="1">
      <c r="A27" s="1418"/>
      <c r="B27" s="1431"/>
      <c r="C27" s="1442"/>
      <c r="D27" s="2430" t="s">
        <v>20</v>
      </c>
      <c r="E27" s="1996">
        <f t="shared" ref="E27:O27" si="0">(E12+E15+E18+E21+E24)</f>
        <v>0</v>
      </c>
      <c r="F27" s="1997">
        <f t="shared" si="0"/>
        <v>0</v>
      </c>
      <c r="G27" s="1997">
        <f t="shared" si="0"/>
        <v>0</v>
      </c>
      <c r="H27" s="1997">
        <f t="shared" si="0"/>
        <v>2</v>
      </c>
      <c r="I27" s="1997">
        <f t="shared" si="0"/>
        <v>1</v>
      </c>
      <c r="J27" s="1997">
        <f t="shared" si="0"/>
        <v>0</v>
      </c>
      <c r="K27" s="1997">
        <f t="shared" si="0"/>
        <v>0</v>
      </c>
      <c r="L27" s="1997">
        <f t="shared" si="0"/>
        <v>0</v>
      </c>
      <c r="M27" s="1997">
        <f t="shared" si="0"/>
        <v>0</v>
      </c>
      <c r="N27" s="1997">
        <f t="shared" si="0"/>
        <v>0</v>
      </c>
      <c r="O27" s="1997">
        <f t="shared" si="0"/>
        <v>0</v>
      </c>
      <c r="P27" s="1998">
        <f>E27+F27+G27+H27+I27+J27+K27+L27+M27+N27+O27</f>
        <v>3</v>
      </c>
      <c r="Q27" s="1440"/>
      <c r="R27" s="1441"/>
      <c r="S27" s="1430"/>
      <c r="T27" s="1424"/>
      <c r="U27" s="1944"/>
      <c r="V27" s="4452" t="str">
        <f>IF(('الصفحة 1'!$Q$14&gt;0),((IF((P27&gt;'الصفحة 14'!$G$23),"العدد غيرمطابق",IF((P27&lt;='الصفحة 14'!$G$23)," ")))),"")</f>
        <v xml:space="preserve"> </v>
      </c>
      <c r="W27" s="4453"/>
      <c r="X27" s="3097"/>
      <c r="Y27" s="3052"/>
      <c r="Z27" s="1420"/>
    </row>
    <row r="28" spans="1:26" ht="12" customHeight="1">
      <c r="A28" s="1418"/>
      <c r="B28" s="1431"/>
      <c r="C28" s="1442"/>
      <c r="D28" s="2430" t="s">
        <v>672</v>
      </c>
      <c r="E28" s="1996">
        <f t="shared" ref="E28:O28" si="1">(E13+E16+E19+E22+E25)</f>
        <v>0</v>
      </c>
      <c r="F28" s="1996">
        <f t="shared" si="1"/>
        <v>0</v>
      </c>
      <c r="G28" s="1996">
        <f t="shared" si="1"/>
        <v>0</v>
      </c>
      <c r="H28" s="1996">
        <f t="shared" si="1"/>
        <v>1</v>
      </c>
      <c r="I28" s="1996">
        <f t="shared" si="1"/>
        <v>1</v>
      </c>
      <c r="J28" s="1996">
        <f t="shared" si="1"/>
        <v>0</v>
      </c>
      <c r="K28" s="1996">
        <f t="shared" si="1"/>
        <v>0</v>
      </c>
      <c r="L28" s="1996">
        <f t="shared" si="1"/>
        <v>0</v>
      </c>
      <c r="M28" s="1996">
        <f t="shared" si="1"/>
        <v>0</v>
      </c>
      <c r="N28" s="1996">
        <f t="shared" si="1"/>
        <v>0</v>
      </c>
      <c r="O28" s="1996">
        <f t="shared" si="1"/>
        <v>0</v>
      </c>
      <c r="P28" s="1998">
        <f>E28+F28+G28+H28+I28+J28+K28+L28+M28+N28+O28</f>
        <v>2</v>
      </c>
      <c r="Q28" s="1440"/>
      <c r="R28" s="144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1440"/>
      <c r="R29" s="144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64"/>
      <c r="W31" s="4464"/>
      <c r="X31" s="3052"/>
      <c r="Y31" s="3052"/>
      <c r="Z31" s="1420"/>
    </row>
    <row r="32" spans="1:26" ht="11.1" customHeight="1">
      <c r="A32" s="1418"/>
      <c r="B32" s="1431"/>
      <c r="C32" s="1442"/>
      <c r="D32" s="2437" t="s">
        <v>1189</v>
      </c>
      <c r="E32" s="2000"/>
      <c r="F32" s="2000"/>
      <c r="G32" s="2000"/>
      <c r="H32" s="2000"/>
      <c r="I32" s="2000"/>
      <c r="J32" s="2000"/>
      <c r="K32" s="2000"/>
      <c r="L32" s="2000"/>
      <c r="M32" s="2000"/>
      <c r="N32" s="2000"/>
      <c r="O32" s="2000"/>
      <c r="P32" s="2403" t="s">
        <v>1190</v>
      </c>
      <c r="Q32" s="1440"/>
      <c r="R32" s="1441"/>
      <c r="S32" s="1430"/>
      <c r="T32" s="1424"/>
      <c r="U32" s="1944"/>
      <c r="V32" s="2177"/>
      <c r="W32" s="1966"/>
      <c r="X32" s="3052"/>
      <c r="Y32" s="3052"/>
      <c r="Z32" s="1420"/>
    </row>
    <row r="33" spans="1:26" ht="12.9" customHeight="1">
      <c r="A33" s="1418"/>
      <c r="B33" s="1431"/>
      <c r="C33" s="1442"/>
      <c r="D33" s="2430" t="s">
        <v>20</v>
      </c>
      <c r="E33" s="2265"/>
      <c r="F33" s="1462"/>
      <c r="G33" s="1462"/>
      <c r="H33" s="1462"/>
      <c r="I33" s="1462"/>
      <c r="J33" s="1462"/>
      <c r="K33" s="1462"/>
      <c r="L33" s="1462"/>
      <c r="M33" s="1462"/>
      <c r="N33" s="1462"/>
      <c r="O33" s="1462"/>
      <c r="P33" s="1998">
        <f>E33+F33+G33+H33+I33+J33+K33+L33+M33+N33+O33</f>
        <v>0</v>
      </c>
      <c r="Q33" s="1440"/>
      <c r="R33" s="1441"/>
      <c r="S33" s="1430"/>
      <c r="T33" s="1424"/>
      <c r="U33" s="1944"/>
      <c r="V33" s="4464"/>
      <c r="W33" s="4464"/>
      <c r="X33" s="3052"/>
      <c r="Y33" s="3052"/>
      <c r="Z33" s="1420"/>
    </row>
    <row r="34" spans="1:26" ht="12" customHeight="1">
      <c r="A34" s="1418"/>
      <c r="B34" s="1431"/>
      <c r="C34" s="1442"/>
      <c r="D34" s="2430" t="s">
        <v>672</v>
      </c>
      <c r="E34" s="2265"/>
      <c r="F34" s="2265"/>
      <c r="G34" s="2265"/>
      <c r="H34" s="2265"/>
      <c r="I34" s="2265"/>
      <c r="J34" s="2265"/>
      <c r="K34" s="2265"/>
      <c r="L34" s="2265"/>
      <c r="M34" s="2265"/>
      <c r="N34" s="2265"/>
      <c r="O34" s="2265"/>
      <c r="P34" s="1998">
        <f>E34+F34+G34+H34+I34+J34+K34+L34+M34+N34+O34</f>
        <v>0</v>
      </c>
      <c r="Q34" s="1440"/>
      <c r="R34" s="144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1440"/>
      <c r="R35" s="1441"/>
      <c r="S35" s="1430"/>
      <c r="T35" s="1424"/>
      <c r="U35" s="1944"/>
      <c r="V35" s="2176"/>
      <c r="W35" s="1966"/>
      <c r="X35" s="3052"/>
      <c r="Y35" s="3052"/>
      <c r="Z35" s="1420"/>
    </row>
    <row r="36" spans="1:26" ht="12.9" customHeight="1">
      <c r="A36" s="1418"/>
      <c r="B36" s="1431"/>
      <c r="C36" s="1442"/>
      <c r="D36" s="2430" t="s">
        <v>20</v>
      </c>
      <c r="E36" s="1996">
        <f t="shared" ref="E36:O36" si="2">(E27+E33)</f>
        <v>0</v>
      </c>
      <c r="F36" s="1997">
        <f t="shared" si="2"/>
        <v>0</v>
      </c>
      <c r="G36" s="1997">
        <f t="shared" si="2"/>
        <v>0</v>
      </c>
      <c r="H36" s="1997">
        <f t="shared" si="2"/>
        <v>2</v>
      </c>
      <c r="I36" s="1997">
        <f t="shared" si="2"/>
        <v>1</v>
      </c>
      <c r="J36" s="1997">
        <f t="shared" si="2"/>
        <v>0</v>
      </c>
      <c r="K36" s="1997">
        <f t="shared" si="2"/>
        <v>0</v>
      </c>
      <c r="L36" s="1997">
        <f t="shared" si="2"/>
        <v>0</v>
      </c>
      <c r="M36" s="1997">
        <f t="shared" si="2"/>
        <v>0</v>
      </c>
      <c r="N36" s="1997">
        <f t="shared" si="2"/>
        <v>0</v>
      </c>
      <c r="O36" s="1997">
        <f t="shared" si="2"/>
        <v>0</v>
      </c>
      <c r="P36" s="1998">
        <f>E36+F36+G36+H36+I36+J36+K36+L36+M36+N36+O36</f>
        <v>3</v>
      </c>
      <c r="Q36" s="1440"/>
      <c r="R36" s="1441"/>
      <c r="S36" s="1430"/>
      <c r="T36" s="1424"/>
      <c r="U36" s="1944"/>
      <c r="V36" s="4464"/>
      <c r="W36" s="4464"/>
      <c r="X36" s="3052"/>
      <c r="Y36" s="3052"/>
      <c r="Z36" s="1420"/>
    </row>
    <row r="37" spans="1:26" ht="12.9" customHeight="1">
      <c r="A37" s="1418"/>
      <c r="B37" s="1431"/>
      <c r="C37" s="1442"/>
      <c r="D37" s="2430" t="s">
        <v>672</v>
      </c>
      <c r="E37" s="1996">
        <f t="shared" ref="E37:O37" si="3">(E28+E34)</f>
        <v>0</v>
      </c>
      <c r="F37" s="1996">
        <f t="shared" si="3"/>
        <v>0</v>
      </c>
      <c r="G37" s="1996">
        <f t="shared" si="3"/>
        <v>0</v>
      </c>
      <c r="H37" s="1996">
        <f t="shared" si="3"/>
        <v>1</v>
      </c>
      <c r="I37" s="1996">
        <f t="shared" si="3"/>
        <v>1</v>
      </c>
      <c r="J37" s="1996">
        <f t="shared" si="3"/>
        <v>0</v>
      </c>
      <c r="K37" s="1996">
        <f t="shared" si="3"/>
        <v>0</v>
      </c>
      <c r="L37" s="1996">
        <f t="shared" si="3"/>
        <v>0</v>
      </c>
      <c r="M37" s="1996">
        <f t="shared" si="3"/>
        <v>0</v>
      </c>
      <c r="N37" s="1996">
        <f t="shared" si="3"/>
        <v>0</v>
      </c>
      <c r="O37" s="1996">
        <f t="shared" si="3"/>
        <v>0</v>
      </c>
      <c r="P37" s="1998">
        <f>E37+F37+G37+H37+I37+J37+K37+L37+M37+N37+O37</f>
        <v>2</v>
      </c>
      <c r="Q37" s="1440"/>
      <c r="R37" s="144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1440"/>
      <c r="R38" s="1441"/>
      <c r="S38" s="1430"/>
      <c r="T38" s="1424"/>
      <c r="U38" s="1944"/>
      <c r="V38" s="2038"/>
      <c r="W38" s="1966"/>
      <c r="X38" s="3052"/>
      <c r="Y38" s="3052"/>
      <c r="Z38" s="1420"/>
    </row>
    <row r="39" spans="1:26" ht="15" customHeight="1">
      <c r="A39" s="1418"/>
      <c r="B39" s="1431"/>
      <c r="C39" s="1442"/>
      <c r="D39" s="2441" t="s">
        <v>1127</v>
      </c>
      <c r="E39" s="2419"/>
      <c r="F39" s="2419"/>
      <c r="G39" s="2419"/>
      <c r="H39" s="2442" t="s">
        <v>1257</v>
      </c>
      <c r="I39" s="2420"/>
      <c r="J39" s="2420"/>
      <c r="K39" s="2420"/>
      <c r="L39" s="2419"/>
      <c r="M39" s="2419"/>
      <c r="N39" s="2419"/>
      <c r="O39" s="2419"/>
      <c r="P39" s="2443" t="s">
        <v>1199</v>
      </c>
      <c r="Q39" s="1440"/>
      <c r="R39" s="144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1440"/>
      <c r="R40" s="144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1440"/>
      <c r="R41" s="1441"/>
      <c r="S41" s="1430"/>
      <c r="T41" s="1424"/>
      <c r="U41" s="1944"/>
      <c r="V41" s="2179" t="s">
        <v>1085</v>
      </c>
      <c r="W41" s="1966"/>
      <c r="X41" s="2037"/>
      <c r="Y41" s="2037"/>
      <c r="Z41" s="1420"/>
    </row>
    <row r="42" spans="1:26" ht="14.1" customHeight="1">
      <c r="A42" s="1418"/>
      <c r="B42" s="1431"/>
      <c r="C42" s="1442"/>
      <c r="D42" s="2430" t="s">
        <v>20</v>
      </c>
      <c r="E42" s="2265"/>
      <c r="F42" s="1462">
        <v>3</v>
      </c>
      <c r="G42" s="1462"/>
      <c r="H42" s="1462"/>
      <c r="I42" s="1462"/>
      <c r="J42" s="1462"/>
      <c r="K42" s="1462"/>
      <c r="L42" s="1462"/>
      <c r="M42" s="2453">
        <f>E42+F42+G42+H42+I42+J42+K42+L42</f>
        <v>3</v>
      </c>
      <c r="N42" s="2452"/>
      <c r="O42" s="2452"/>
      <c r="P42" s="2452"/>
      <c r="Q42" s="1440"/>
      <c r="R42" s="1441"/>
      <c r="S42" s="1430"/>
      <c r="T42" s="1424"/>
      <c r="U42" s="1944"/>
      <c r="V42" s="4452" t="str">
        <f>IF(('الصفحة 1'!$Q$14&gt;0),((IF((M42&gt;'الصفحة 14'!$G$23),"العدد غيرمطابق",IF((M42&lt;='الصفحة 14'!$G$23)," ")))),"")</f>
        <v xml:space="preserve"> </v>
      </c>
      <c r="W42" s="4453"/>
      <c r="X42" s="1975" t="str">
        <f>IF(('الصفحة 1'!$Q$14&gt;0),((IF((M42&lt;&gt;P27),"العدد غيرمطابق",IF((M42=P27)," ")))),"")</f>
        <v xml:space="preserve"> </v>
      </c>
      <c r="Y42" s="2037"/>
      <c r="Z42" s="1420"/>
    </row>
    <row r="43" spans="1:26" ht="14.1" customHeight="1">
      <c r="A43" s="1418"/>
      <c r="B43" s="1431"/>
      <c r="C43" s="1442"/>
      <c r="D43" s="2430" t="s">
        <v>672</v>
      </c>
      <c r="E43" s="2265"/>
      <c r="F43" s="2265">
        <v>2</v>
      </c>
      <c r="G43" s="2265"/>
      <c r="H43" s="2265"/>
      <c r="I43" s="2265"/>
      <c r="J43" s="2265"/>
      <c r="K43" s="2265"/>
      <c r="L43" s="2265"/>
      <c r="M43" s="2453">
        <f>E43+F43+G43+H43+I43+J43+K43+L43</f>
        <v>2</v>
      </c>
      <c r="N43" s="2452"/>
      <c r="O43" s="2452"/>
      <c r="P43" s="2452"/>
      <c r="Q43" s="1440"/>
      <c r="R43" s="1441"/>
      <c r="S43" s="1430"/>
      <c r="T43" s="1424"/>
      <c r="U43" s="1944"/>
      <c r="V43" s="4452" t="str">
        <f>IF(('الصفحة 1'!$Q$14&gt;0),((IF((M43&gt;'الصفحة 14'!$G$23),"العدد غيرمطابق",IF((M43&lt;='الصفحة 14'!$G$23)," ")))),"")</f>
        <v xml:space="preserve"> </v>
      </c>
      <c r="W43" s="4453"/>
      <c r="X43" s="1975" t="str">
        <f>IF(('الصفحة 1'!$Q$14&gt;0),((IF((M43&lt;&gt;P28),"العدد غيرمطابق",IF((M43=P28)," ")))),"")</f>
        <v xml:space="preserve"> </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1440"/>
      <c r="R44" s="144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1440"/>
      <c r="R45" s="1441"/>
      <c r="S45" s="1430"/>
      <c r="T45" s="1424"/>
      <c r="U45" s="1944"/>
      <c r="V45" s="2038"/>
      <c r="W45" s="1966"/>
      <c r="X45" s="2037"/>
      <c r="Y45" s="2037"/>
      <c r="Z45" s="1420"/>
    </row>
    <row r="46" spans="1:26" ht="15" customHeight="1">
      <c r="A46" s="1418"/>
      <c r="B46" s="1431"/>
      <c r="C46" s="1442"/>
      <c r="D46" s="2441" t="s">
        <v>1128</v>
      </c>
      <c r="E46" s="2457"/>
      <c r="F46" s="2457"/>
      <c r="G46" s="2457"/>
      <c r="H46" s="2442" t="s">
        <v>1257</v>
      </c>
      <c r="I46" s="2458"/>
      <c r="J46" s="2458"/>
      <c r="K46" s="2458"/>
      <c r="L46" s="2457"/>
      <c r="M46" s="2457"/>
      <c r="N46" s="2457"/>
      <c r="O46" s="2457"/>
      <c r="P46" s="2459" t="s">
        <v>1129</v>
      </c>
      <c r="Q46" s="1440"/>
      <c r="R46" s="144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1440"/>
      <c r="R47" s="144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1440"/>
      <c r="R48" s="144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1440"/>
      <c r="R49" s="1441"/>
      <c r="S49" s="1430"/>
      <c r="T49" s="1424"/>
      <c r="U49" s="1944"/>
      <c r="V49" s="4452" t="str">
        <f>IF(('الصفحة 1'!$Q$14&gt;0),((IF((O49&gt;'الصفحة 14'!$G$23),"العدد غيرمطابق",IF((O49&lt;='الصفحة 14'!$G$23)," ")))),"")</f>
        <v xml:space="preserve"> </v>
      </c>
      <c r="W49" s="4453"/>
      <c r="X49" s="1975" t="str">
        <f>IF(('الصفحة 1'!$Q$14&gt;0),((IF((O49&lt;&gt;P27),"العدد غيرمطابق",IF((O49=P27)," ")))),"")</f>
        <v>العدد غيرمطابق</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1440"/>
      <c r="R50" s="1441"/>
      <c r="S50" s="1430"/>
      <c r="T50" s="1424"/>
      <c r="U50" s="1944"/>
      <c r="V50" s="4452" t="str">
        <f>IF(('الصفحة 1'!$Q$14&gt;0),((IF((O50&gt;'الصفحة 14'!$G$23),"العدد غيرمطابق",IF((O50&lt;='الصفحة 14'!$G$23)," ")))),"")</f>
        <v xml:space="preserve"> </v>
      </c>
      <c r="W50" s="4453"/>
      <c r="X50" s="1975" t="str">
        <f>IF(('الصفحة 1'!$Q$14&gt;0),((IF((O50&lt;&gt;P28),"العدد غيرمطابق",IF((O50=P28)," ")))),"")</f>
        <v>العدد غيرمطابق</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17</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5:W15"/>
    <mergeCell ref="V2:X6"/>
    <mergeCell ref="V10:W10"/>
    <mergeCell ref="V12:W12"/>
    <mergeCell ref="V13:W13"/>
    <mergeCell ref="V8:W8"/>
    <mergeCell ref="V33:W33"/>
    <mergeCell ref="V16:W16"/>
    <mergeCell ref="V18:W18"/>
    <mergeCell ref="V19:W19"/>
    <mergeCell ref="V21:W21"/>
    <mergeCell ref="V22:W22"/>
    <mergeCell ref="V24:W24"/>
    <mergeCell ref="V25:W25"/>
    <mergeCell ref="V27:W27"/>
    <mergeCell ref="V28:W28"/>
    <mergeCell ref="V30:W30"/>
    <mergeCell ref="V31:W31"/>
    <mergeCell ref="V34:W34"/>
    <mergeCell ref="V36:W36"/>
    <mergeCell ref="V37:W37"/>
    <mergeCell ref="V42:W42"/>
    <mergeCell ref="V43:W43"/>
    <mergeCell ref="O48:P48"/>
    <mergeCell ref="E49:F49"/>
    <mergeCell ref="G49:H49"/>
    <mergeCell ref="I49:J49"/>
    <mergeCell ref="K49:L49"/>
    <mergeCell ref="M49:N49"/>
    <mergeCell ref="O49:P49"/>
    <mergeCell ref="E48:F48"/>
    <mergeCell ref="G48:H48"/>
    <mergeCell ref="I48:J48"/>
    <mergeCell ref="K48:L48"/>
    <mergeCell ref="M48:N48"/>
    <mergeCell ref="C53:R53"/>
    <mergeCell ref="V49:W49"/>
    <mergeCell ref="E50:F50"/>
    <mergeCell ref="G50:H50"/>
    <mergeCell ref="I50:J50"/>
    <mergeCell ref="K50:L50"/>
    <mergeCell ref="M50:N50"/>
    <mergeCell ref="O50:P50"/>
    <mergeCell ref="V50:W50"/>
  </mergeCells>
  <conditionalFormatting sqref="G49 I49:I50 K49:K50 M49:M50 O49:O50 V49:V50 X49:X50 E49 X42:X43 E42:P42 V42:V43 E27:P27 E12:P12 E15:P15 E18:P18 E21:P21 V12:V13 V15:V16 V18:V19 E30:P30 X12:X13 X15:X16 X18:X19 E24:P24 X21:X25 V21:V22 V24:V25 X27:X28 V27:V28">
    <cfRule type="cellIs" dxfId="18929" priority="1176" operator="equal">
      <formula>0</formula>
    </cfRule>
  </conditionalFormatting>
  <conditionalFormatting sqref="E13 E43:P44 V50 X50">
    <cfRule type="cellIs" dxfId="18928" priority="1174" operator="greaterThan">
      <formula>E12</formula>
    </cfRule>
    <cfRule type="cellIs" dxfId="18927" priority="1175" operator="equal">
      <formula>0</formula>
    </cfRule>
  </conditionalFormatting>
  <conditionalFormatting sqref="F13">
    <cfRule type="cellIs" dxfId="18926" priority="1172" operator="greaterThan">
      <formula>F12</formula>
    </cfRule>
    <cfRule type="cellIs" dxfId="18925" priority="1173" operator="equal">
      <formula>0</formula>
    </cfRule>
  </conditionalFormatting>
  <conditionalFormatting sqref="G13">
    <cfRule type="cellIs" dxfId="18924" priority="1170" operator="greaterThan">
      <formula>G12</formula>
    </cfRule>
    <cfRule type="cellIs" dxfId="18923" priority="1171" operator="equal">
      <formula>0</formula>
    </cfRule>
  </conditionalFormatting>
  <conditionalFormatting sqref="H13">
    <cfRule type="cellIs" dxfId="18922" priority="1168" operator="greaterThan">
      <formula>H12</formula>
    </cfRule>
    <cfRule type="cellIs" dxfId="18921" priority="1169" operator="equal">
      <formula>0</formula>
    </cfRule>
  </conditionalFormatting>
  <conditionalFormatting sqref="I13">
    <cfRule type="cellIs" dxfId="18920" priority="1166" operator="greaterThan">
      <formula>I12</formula>
    </cfRule>
    <cfRule type="cellIs" dxfId="18919" priority="1167" operator="equal">
      <formula>0</formula>
    </cfRule>
  </conditionalFormatting>
  <conditionalFormatting sqref="J13">
    <cfRule type="cellIs" dxfId="18918" priority="1164" operator="greaterThan">
      <formula>J12</formula>
    </cfRule>
    <cfRule type="cellIs" dxfId="18917" priority="1165" operator="equal">
      <formula>0</formula>
    </cfRule>
  </conditionalFormatting>
  <conditionalFormatting sqref="K13">
    <cfRule type="cellIs" dxfId="18916" priority="1162" operator="greaterThan">
      <formula>K12</formula>
    </cfRule>
    <cfRule type="cellIs" dxfId="18915" priority="1163" operator="equal">
      <formula>0</formula>
    </cfRule>
  </conditionalFormatting>
  <conditionalFormatting sqref="L13">
    <cfRule type="cellIs" dxfId="18914" priority="1160" operator="greaterThan">
      <formula>L12</formula>
    </cfRule>
    <cfRule type="cellIs" dxfId="18913" priority="1161" operator="equal">
      <formula>0</formula>
    </cfRule>
  </conditionalFormatting>
  <conditionalFormatting sqref="M13">
    <cfRule type="cellIs" dxfId="18912" priority="1158" operator="greaterThan">
      <formula>M12</formula>
    </cfRule>
    <cfRule type="cellIs" dxfId="18911" priority="1159" operator="equal">
      <formula>0</formula>
    </cfRule>
  </conditionalFormatting>
  <conditionalFormatting sqref="N13">
    <cfRule type="cellIs" dxfId="18910" priority="1156" operator="greaterThan">
      <formula>N12</formula>
    </cfRule>
    <cfRule type="cellIs" dxfId="18909" priority="1157" operator="equal">
      <formula>0</formula>
    </cfRule>
  </conditionalFormatting>
  <conditionalFormatting sqref="O13">
    <cfRule type="cellIs" dxfId="18908" priority="1154" operator="greaterThan">
      <formula>O12</formula>
    </cfRule>
    <cfRule type="cellIs" dxfId="18907" priority="1155" operator="equal">
      <formula>0</formula>
    </cfRule>
  </conditionalFormatting>
  <conditionalFormatting sqref="P13">
    <cfRule type="cellIs" dxfId="18906" priority="1152" operator="greaterThan">
      <formula>P12</formula>
    </cfRule>
    <cfRule type="cellIs" dxfId="18905" priority="1153" operator="equal">
      <formula>0</formula>
    </cfRule>
  </conditionalFormatting>
  <conditionalFormatting sqref="E16">
    <cfRule type="cellIs" dxfId="18904" priority="1150" operator="greaterThan">
      <formula>E15</formula>
    </cfRule>
    <cfRule type="cellIs" dxfId="18903" priority="1151" operator="equal">
      <formula>0</formula>
    </cfRule>
  </conditionalFormatting>
  <conditionalFormatting sqref="F16">
    <cfRule type="cellIs" dxfId="18902" priority="1148" operator="greaterThan">
      <formula>F15</formula>
    </cfRule>
    <cfRule type="cellIs" dxfId="18901" priority="1149" operator="equal">
      <formula>0</formula>
    </cfRule>
  </conditionalFormatting>
  <conditionalFormatting sqref="G16">
    <cfRule type="cellIs" dxfId="18900" priority="1146" operator="greaterThan">
      <formula>G15</formula>
    </cfRule>
    <cfRule type="cellIs" dxfId="18899" priority="1147" operator="equal">
      <formula>0</formula>
    </cfRule>
  </conditionalFormatting>
  <conditionalFormatting sqref="H16">
    <cfRule type="cellIs" dxfId="18898" priority="1144" operator="greaterThan">
      <formula>H15</formula>
    </cfRule>
    <cfRule type="cellIs" dxfId="18897" priority="1145" operator="equal">
      <formula>0</formula>
    </cfRule>
  </conditionalFormatting>
  <conditionalFormatting sqref="I16">
    <cfRule type="cellIs" dxfId="18896" priority="1142" operator="greaterThan">
      <formula>I15</formula>
    </cfRule>
    <cfRule type="cellIs" dxfId="18895" priority="1143" operator="equal">
      <formula>0</formula>
    </cfRule>
  </conditionalFormatting>
  <conditionalFormatting sqref="J16">
    <cfRule type="cellIs" dxfId="18894" priority="1140" operator="greaterThan">
      <formula>J15</formula>
    </cfRule>
    <cfRule type="cellIs" dxfId="18893" priority="1141" operator="equal">
      <formula>0</formula>
    </cfRule>
  </conditionalFormatting>
  <conditionalFormatting sqref="K16">
    <cfRule type="cellIs" dxfId="18892" priority="1138" operator="greaterThan">
      <formula>K15</formula>
    </cfRule>
    <cfRule type="cellIs" dxfId="18891" priority="1139" operator="equal">
      <formula>0</formula>
    </cfRule>
  </conditionalFormatting>
  <conditionalFormatting sqref="L16">
    <cfRule type="cellIs" dxfId="18890" priority="1136" operator="greaterThan">
      <formula>L15</formula>
    </cfRule>
    <cfRule type="cellIs" dxfId="18889" priority="1137" operator="equal">
      <formula>0</formula>
    </cfRule>
  </conditionalFormatting>
  <conditionalFormatting sqref="M16">
    <cfRule type="cellIs" dxfId="18888" priority="1134" operator="greaterThan">
      <formula>M15</formula>
    </cfRule>
    <cfRule type="cellIs" dxfId="18887" priority="1135" operator="equal">
      <formula>0</formula>
    </cfRule>
  </conditionalFormatting>
  <conditionalFormatting sqref="N16">
    <cfRule type="cellIs" dxfId="18886" priority="1132" operator="greaterThan">
      <formula>N15</formula>
    </cfRule>
    <cfRule type="cellIs" dxfId="18885" priority="1133" operator="equal">
      <formula>0</formula>
    </cfRule>
  </conditionalFormatting>
  <conditionalFormatting sqref="O16">
    <cfRule type="cellIs" dxfId="18884" priority="1130" operator="greaterThan">
      <formula>O15</formula>
    </cfRule>
    <cfRule type="cellIs" dxfId="18883" priority="1131" operator="equal">
      <formula>0</formula>
    </cfRule>
  </conditionalFormatting>
  <conditionalFormatting sqref="P16">
    <cfRule type="cellIs" dxfId="18882" priority="1128" operator="greaterThan">
      <formula>P15</formula>
    </cfRule>
    <cfRule type="cellIs" dxfId="18881" priority="1129" operator="equal">
      <formula>0</formula>
    </cfRule>
  </conditionalFormatting>
  <conditionalFormatting sqref="E19">
    <cfRule type="cellIs" dxfId="18880" priority="1126" operator="greaterThan">
      <formula>E18</formula>
    </cfRule>
    <cfRule type="cellIs" dxfId="18879" priority="1127" operator="equal">
      <formula>0</formula>
    </cfRule>
  </conditionalFormatting>
  <conditionalFormatting sqref="F19">
    <cfRule type="cellIs" dxfId="18878" priority="1124" operator="greaterThan">
      <formula>F18</formula>
    </cfRule>
    <cfRule type="cellIs" dxfId="18877" priority="1125" operator="equal">
      <formula>0</formula>
    </cfRule>
  </conditionalFormatting>
  <conditionalFormatting sqref="G19">
    <cfRule type="cellIs" dxfId="18876" priority="1122" operator="greaterThan">
      <formula>G18</formula>
    </cfRule>
    <cfRule type="cellIs" dxfId="18875" priority="1123" operator="equal">
      <formula>0</formula>
    </cfRule>
  </conditionalFormatting>
  <conditionalFormatting sqref="H19">
    <cfRule type="cellIs" dxfId="18874" priority="1120" operator="greaterThan">
      <formula>H18</formula>
    </cfRule>
    <cfRule type="cellIs" dxfId="18873" priority="1121" operator="equal">
      <formula>0</formula>
    </cfRule>
  </conditionalFormatting>
  <conditionalFormatting sqref="I19">
    <cfRule type="cellIs" dxfId="18872" priority="1118" operator="greaterThan">
      <formula>I18</formula>
    </cfRule>
    <cfRule type="cellIs" dxfId="18871" priority="1119" operator="equal">
      <formula>0</formula>
    </cfRule>
  </conditionalFormatting>
  <conditionalFormatting sqref="J19">
    <cfRule type="cellIs" dxfId="18870" priority="1116" operator="greaterThan">
      <formula>J18</formula>
    </cfRule>
    <cfRule type="cellIs" dxfId="18869" priority="1117" operator="equal">
      <formula>0</formula>
    </cfRule>
  </conditionalFormatting>
  <conditionalFormatting sqref="K19">
    <cfRule type="cellIs" dxfId="18868" priority="1114" operator="greaterThan">
      <formula>K18</formula>
    </cfRule>
    <cfRule type="cellIs" dxfId="18867" priority="1115" operator="equal">
      <formula>0</formula>
    </cfRule>
  </conditionalFormatting>
  <conditionalFormatting sqref="L19">
    <cfRule type="cellIs" dxfId="18866" priority="1112" operator="greaterThan">
      <formula>L18</formula>
    </cfRule>
    <cfRule type="cellIs" dxfId="18865" priority="1113" operator="equal">
      <formula>0</formula>
    </cfRule>
  </conditionalFormatting>
  <conditionalFormatting sqref="M19">
    <cfRule type="cellIs" dxfId="18864" priority="1110" operator="greaterThan">
      <formula>M18</formula>
    </cfRule>
    <cfRule type="cellIs" dxfId="18863" priority="1111" operator="equal">
      <formula>0</formula>
    </cfRule>
  </conditionalFormatting>
  <conditionalFormatting sqref="N19">
    <cfRule type="cellIs" dxfId="18862" priority="1108" operator="greaterThan">
      <formula>N18</formula>
    </cfRule>
    <cfRule type="cellIs" dxfId="18861" priority="1109" operator="equal">
      <formula>0</formula>
    </cfRule>
  </conditionalFormatting>
  <conditionalFormatting sqref="O19">
    <cfRule type="cellIs" dxfId="18860" priority="1106" operator="greaterThan">
      <formula>O18</formula>
    </cfRule>
    <cfRule type="cellIs" dxfId="18859" priority="1107" operator="equal">
      <formula>0</formula>
    </cfRule>
  </conditionalFormatting>
  <conditionalFormatting sqref="P19">
    <cfRule type="cellIs" dxfId="18858" priority="1104" operator="greaterThan">
      <formula>P18</formula>
    </cfRule>
    <cfRule type="cellIs" dxfId="18857" priority="1105" operator="equal">
      <formula>0</formula>
    </cfRule>
  </conditionalFormatting>
  <conditionalFormatting sqref="E22">
    <cfRule type="cellIs" dxfId="18856" priority="1102" operator="greaterThan">
      <formula>E21</formula>
    </cfRule>
    <cfRule type="cellIs" dxfId="18855" priority="1103" operator="equal">
      <formula>0</formula>
    </cfRule>
  </conditionalFormatting>
  <conditionalFormatting sqref="F22">
    <cfRule type="cellIs" dxfId="18854" priority="1100" operator="greaterThan">
      <formula>F21</formula>
    </cfRule>
    <cfRule type="cellIs" dxfId="18853" priority="1101" operator="equal">
      <formula>0</formula>
    </cfRule>
  </conditionalFormatting>
  <conditionalFormatting sqref="G22">
    <cfRule type="cellIs" dxfId="18852" priority="1098" operator="greaterThan">
      <formula>G21</formula>
    </cfRule>
    <cfRule type="cellIs" dxfId="18851" priority="1099" operator="equal">
      <formula>0</formula>
    </cfRule>
  </conditionalFormatting>
  <conditionalFormatting sqref="H22">
    <cfRule type="cellIs" dxfId="18850" priority="1096" operator="greaterThan">
      <formula>H21</formula>
    </cfRule>
    <cfRule type="cellIs" dxfId="18849" priority="1097" operator="equal">
      <formula>0</formula>
    </cfRule>
  </conditionalFormatting>
  <conditionalFormatting sqref="I22">
    <cfRule type="cellIs" dxfId="18848" priority="1094" operator="greaterThan">
      <formula>I21</formula>
    </cfRule>
    <cfRule type="cellIs" dxfId="18847" priority="1095" operator="equal">
      <formula>0</formula>
    </cfRule>
  </conditionalFormatting>
  <conditionalFormatting sqref="J22">
    <cfRule type="cellIs" dxfId="18846" priority="1092" operator="greaterThan">
      <formula>J21</formula>
    </cfRule>
    <cfRule type="cellIs" dxfId="18845" priority="1093" operator="equal">
      <formula>0</formula>
    </cfRule>
  </conditionalFormatting>
  <conditionalFormatting sqref="K22">
    <cfRule type="cellIs" dxfId="18844" priority="1090" operator="greaterThan">
      <formula>K21</formula>
    </cfRule>
    <cfRule type="cellIs" dxfId="18843" priority="1091" operator="equal">
      <formula>0</formula>
    </cfRule>
  </conditionalFormatting>
  <conditionalFormatting sqref="L22">
    <cfRule type="cellIs" dxfId="18842" priority="1088" operator="greaterThan">
      <formula>L21</formula>
    </cfRule>
    <cfRule type="cellIs" dxfId="18841" priority="1089" operator="equal">
      <formula>0</formula>
    </cfRule>
  </conditionalFormatting>
  <conditionalFormatting sqref="M22">
    <cfRule type="cellIs" dxfId="18840" priority="1086" operator="greaterThan">
      <formula>M21</formula>
    </cfRule>
    <cfRule type="cellIs" dxfId="18839" priority="1087" operator="equal">
      <formula>0</formula>
    </cfRule>
  </conditionalFormatting>
  <conditionalFormatting sqref="N22">
    <cfRule type="cellIs" dxfId="18838" priority="1084" operator="greaterThan">
      <formula>N21</formula>
    </cfRule>
    <cfRule type="cellIs" dxfId="18837" priority="1085" operator="equal">
      <formula>0</formula>
    </cfRule>
  </conditionalFormatting>
  <conditionalFormatting sqref="O22">
    <cfRule type="cellIs" dxfId="18836" priority="1082" operator="greaterThan">
      <formula>O21</formula>
    </cfRule>
    <cfRule type="cellIs" dxfId="18835" priority="1083" operator="equal">
      <formula>0</formula>
    </cfRule>
  </conditionalFormatting>
  <conditionalFormatting sqref="P22">
    <cfRule type="cellIs" dxfId="18834" priority="1080" operator="greaterThan">
      <formula>P21</formula>
    </cfRule>
    <cfRule type="cellIs" dxfId="18833" priority="1081" operator="equal">
      <formula>0</formula>
    </cfRule>
  </conditionalFormatting>
  <conditionalFormatting sqref="E28">
    <cfRule type="cellIs" dxfId="18832" priority="1078" operator="greaterThan">
      <formula>E27</formula>
    </cfRule>
    <cfRule type="cellIs" dxfId="18831" priority="1079" operator="equal">
      <formula>0</formula>
    </cfRule>
  </conditionalFormatting>
  <conditionalFormatting sqref="F28">
    <cfRule type="cellIs" dxfId="18830" priority="1076" operator="greaterThan">
      <formula>F27</formula>
    </cfRule>
    <cfRule type="cellIs" dxfId="18829" priority="1077" operator="equal">
      <formula>0</formula>
    </cfRule>
  </conditionalFormatting>
  <conditionalFormatting sqref="G28">
    <cfRule type="cellIs" dxfId="18828" priority="1074" operator="greaterThan">
      <formula>G27</formula>
    </cfRule>
    <cfRule type="cellIs" dxfId="18827" priority="1075" operator="equal">
      <formula>0</formula>
    </cfRule>
  </conditionalFormatting>
  <conditionalFormatting sqref="H28">
    <cfRule type="cellIs" dxfId="18826" priority="1072" operator="greaterThan">
      <formula>H27</formula>
    </cfRule>
    <cfRule type="cellIs" dxfId="18825" priority="1073" operator="equal">
      <formula>0</formula>
    </cfRule>
  </conditionalFormatting>
  <conditionalFormatting sqref="I28">
    <cfRule type="cellIs" dxfId="18824" priority="1070" operator="greaterThan">
      <formula>I27</formula>
    </cfRule>
    <cfRule type="cellIs" dxfId="18823" priority="1071" operator="equal">
      <formula>0</formula>
    </cfRule>
  </conditionalFormatting>
  <conditionalFormatting sqref="J28">
    <cfRule type="cellIs" dxfId="18822" priority="1068" operator="greaterThan">
      <formula>J27</formula>
    </cfRule>
    <cfRule type="cellIs" dxfId="18821" priority="1069" operator="equal">
      <formula>0</formula>
    </cfRule>
  </conditionalFormatting>
  <conditionalFormatting sqref="K28">
    <cfRule type="cellIs" dxfId="18820" priority="1066" operator="greaterThan">
      <formula>K27</formula>
    </cfRule>
    <cfRule type="cellIs" dxfId="18819" priority="1067" operator="equal">
      <formula>0</formula>
    </cfRule>
  </conditionalFormatting>
  <conditionalFormatting sqref="L28">
    <cfRule type="cellIs" dxfId="18818" priority="1064" operator="greaterThan">
      <formula>L27</formula>
    </cfRule>
    <cfRule type="cellIs" dxfId="18817" priority="1065" operator="equal">
      <formula>0</formula>
    </cfRule>
  </conditionalFormatting>
  <conditionalFormatting sqref="M28">
    <cfRule type="cellIs" dxfId="18816" priority="1062" operator="greaterThan">
      <formula>M27</formula>
    </cfRule>
    <cfRule type="cellIs" dxfId="18815" priority="1063" operator="equal">
      <formula>0</formula>
    </cfRule>
  </conditionalFormatting>
  <conditionalFormatting sqref="N28">
    <cfRule type="cellIs" dxfId="18814" priority="1060" operator="greaterThan">
      <formula>N27</formula>
    </cfRule>
    <cfRule type="cellIs" dxfId="18813" priority="1061" operator="equal">
      <formula>0</formula>
    </cfRule>
  </conditionalFormatting>
  <conditionalFormatting sqref="O28">
    <cfRule type="cellIs" dxfId="18812" priority="1058" operator="greaterThan">
      <formula>O27</formula>
    </cfRule>
    <cfRule type="cellIs" dxfId="18811" priority="1059" operator="equal">
      <formula>0</formula>
    </cfRule>
  </conditionalFormatting>
  <conditionalFormatting sqref="P28">
    <cfRule type="cellIs" dxfId="18810" priority="1056" operator="greaterThan">
      <formula>P27</formula>
    </cfRule>
    <cfRule type="cellIs" dxfId="18809" priority="1057" operator="equal">
      <formula>0</formula>
    </cfRule>
  </conditionalFormatting>
  <conditionalFormatting sqref="E47:P47">
    <cfRule type="cellIs" dxfId="18808" priority="1054" operator="greaterThan">
      <formula>E45</formula>
    </cfRule>
    <cfRule type="cellIs" dxfId="18807" priority="1055" operator="equal">
      <formula>0</formula>
    </cfRule>
  </conditionalFormatting>
  <conditionalFormatting sqref="G50 I50 K50 M50 O50 E50">
    <cfRule type="cellIs" dxfId="18806" priority="1052" operator="greaterThan">
      <formula>E49</formula>
    </cfRule>
    <cfRule type="cellIs" dxfId="18805" priority="1053" operator="equal">
      <formula>0</formula>
    </cfRule>
  </conditionalFormatting>
  <conditionalFormatting sqref="E51:P51">
    <cfRule type="cellIs" dxfId="18804" priority="1050" operator="greaterThan">
      <formula>E45</formula>
    </cfRule>
    <cfRule type="cellIs" dxfId="18803" priority="1051" operator="equal">
      <formula>0</formula>
    </cfRule>
  </conditionalFormatting>
  <conditionalFormatting sqref="V28">
    <cfRule type="cellIs" dxfId="18802" priority="1048" operator="greaterThan">
      <formula>V27</formula>
    </cfRule>
    <cfRule type="cellIs" dxfId="18801" priority="1049" operator="equal">
      <formula>0</formula>
    </cfRule>
  </conditionalFormatting>
  <conditionalFormatting sqref="V43">
    <cfRule type="cellIs" dxfId="18800" priority="1046" operator="greaterThan">
      <formula>V42</formula>
    </cfRule>
    <cfRule type="cellIs" dxfId="18799" priority="1047" operator="equal">
      <formula>0</formula>
    </cfRule>
  </conditionalFormatting>
  <conditionalFormatting sqref="X43">
    <cfRule type="cellIs" dxfId="18798" priority="1044" operator="greaterThan">
      <formula>X42</formula>
    </cfRule>
    <cfRule type="cellIs" dxfId="18797" priority="1045" operator="equal">
      <formula>0</formula>
    </cfRule>
  </conditionalFormatting>
  <conditionalFormatting sqref="V27">
    <cfRule type="cellIs" dxfId="18796" priority="1042" operator="greaterThan">
      <formula>V26</formula>
    </cfRule>
    <cfRule type="cellIs" dxfId="18795" priority="1043" operator="equal">
      <formula>0</formula>
    </cfRule>
  </conditionalFormatting>
  <conditionalFormatting sqref="E51:N51">
    <cfRule type="cellIs" dxfId="18794" priority="1040" operator="greaterThan">
      <formula>G50</formula>
    </cfRule>
    <cfRule type="cellIs" dxfId="18793" priority="1041" operator="equal">
      <formula>0</formula>
    </cfRule>
  </conditionalFormatting>
  <conditionalFormatting sqref="O51:P51">
    <cfRule type="cellIs" dxfId="18792" priority="1038" operator="greaterThan">
      <formula>#REF!</formula>
    </cfRule>
    <cfRule type="cellIs" dxfId="18791" priority="1039" operator="equal">
      <formula>0</formula>
    </cfRule>
  </conditionalFormatting>
  <conditionalFormatting sqref="V13">
    <cfRule type="cellIs" dxfId="18790" priority="1036" operator="greaterThan">
      <formula>V12</formula>
    </cfRule>
    <cfRule type="cellIs" dxfId="18789" priority="1037" operator="equal">
      <formula>0</formula>
    </cfRule>
  </conditionalFormatting>
  <conditionalFormatting sqref="V12">
    <cfRule type="cellIs" dxfId="18788" priority="1034" operator="greaterThan">
      <formula>V11</formula>
    </cfRule>
    <cfRule type="cellIs" dxfId="18787" priority="1035" operator="equal">
      <formula>0</formula>
    </cfRule>
  </conditionalFormatting>
  <conditionalFormatting sqref="V16">
    <cfRule type="cellIs" dxfId="18786" priority="1032" operator="greaterThan">
      <formula>V15</formula>
    </cfRule>
    <cfRule type="cellIs" dxfId="18785" priority="1033" operator="equal">
      <formula>0</formula>
    </cfRule>
  </conditionalFormatting>
  <conditionalFormatting sqref="V15">
    <cfRule type="cellIs" dxfId="18784" priority="1030" operator="greaterThan">
      <formula>V14</formula>
    </cfRule>
    <cfRule type="cellIs" dxfId="18783" priority="1031" operator="equal">
      <formula>0</formula>
    </cfRule>
  </conditionalFormatting>
  <conditionalFormatting sqref="V19">
    <cfRule type="cellIs" dxfId="18782" priority="1028" operator="greaterThan">
      <formula>V18</formula>
    </cfRule>
    <cfRule type="cellIs" dxfId="18781" priority="1029" operator="equal">
      <formula>0</formula>
    </cfRule>
  </conditionalFormatting>
  <conditionalFormatting sqref="V18">
    <cfRule type="cellIs" dxfId="18780" priority="1026" operator="greaterThan">
      <formula>V17</formula>
    </cfRule>
    <cfRule type="cellIs" dxfId="18779" priority="1027" operator="equal">
      <formula>0</formula>
    </cfRule>
  </conditionalFormatting>
  <conditionalFormatting sqref="V22 V24:V25">
    <cfRule type="cellIs" dxfId="18778" priority="1024" operator="greaterThan">
      <formula>V21</formula>
    </cfRule>
    <cfRule type="cellIs" dxfId="18777" priority="1025" operator="equal">
      <formula>0</formula>
    </cfRule>
  </conditionalFormatting>
  <conditionalFormatting sqref="V21">
    <cfRule type="cellIs" dxfId="18776" priority="1022" operator="greaterThan">
      <formula>V20</formula>
    </cfRule>
    <cfRule type="cellIs" dxfId="18775" priority="1023" operator="equal">
      <formula>0</formula>
    </cfRule>
  </conditionalFormatting>
  <conditionalFormatting sqref="E31">
    <cfRule type="cellIs" dxfId="18774" priority="1020" operator="greaterThan">
      <formula>E30</formula>
    </cfRule>
    <cfRule type="cellIs" dxfId="18773" priority="1021" operator="equal">
      <formula>0</formula>
    </cfRule>
  </conditionalFormatting>
  <conditionalFormatting sqref="F31">
    <cfRule type="cellIs" dxfId="18772" priority="1018" operator="greaterThan">
      <formula>F30</formula>
    </cfRule>
    <cfRule type="cellIs" dxfId="18771" priority="1019" operator="equal">
      <formula>0</formula>
    </cfRule>
  </conditionalFormatting>
  <conditionalFormatting sqref="G31">
    <cfRule type="cellIs" dxfId="18770" priority="1016" operator="greaterThan">
      <formula>G30</formula>
    </cfRule>
    <cfRule type="cellIs" dxfId="18769" priority="1017" operator="equal">
      <formula>0</formula>
    </cfRule>
  </conditionalFormatting>
  <conditionalFormatting sqref="H31">
    <cfRule type="cellIs" dxfId="18768" priority="1014" operator="greaterThan">
      <formula>H30</formula>
    </cfRule>
    <cfRule type="cellIs" dxfId="18767" priority="1015" operator="equal">
      <formula>0</formula>
    </cfRule>
  </conditionalFormatting>
  <conditionalFormatting sqref="I31">
    <cfRule type="cellIs" dxfId="18766" priority="1012" operator="greaterThan">
      <formula>I30</formula>
    </cfRule>
    <cfRule type="cellIs" dxfId="18765" priority="1013" operator="equal">
      <formula>0</formula>
    </cfRule>
  </conditionalFormatting>
  <conditionalFormatting sqref="J31">
    <cfRule type="cellIs" dxfId="18764" priority="1010" operator="greaterThan">
      <formula>J30</formula>
    </cfRule>
    <cfRule type="cellIs" dxfId="18763" priority="1011" operator="equal">
      <formula>0</formula>
    </cfRule>
  </conditionalFormatting>
  <conditionalFormatting sqref="K31">
    <cfRule type="cellIs" dxfId="18762" priority="1008" operator="greaterThan">
      <formula>K30</formula>
    </cfRule>
    <cfRule type="cellIs" dxfId="18761" priority="1009" operator="equal">
      <formula>0</formula>
    </cfRule>
  </conditionalFormatting>
  <conditionalFormatting sqref="L31">
    <cfRule type="cellIs" dxfId="18760" priority="1006" operator="greaterThan">
      <formula>L30</formula>
    </cfRule>
    <cfRule type="cellIs" dxfId="18759" priority="1007" operator="equal">
      <formula>0</formula>
    </cfRule>
  </conditionalFormatting>
  <conditionalFormatting sqref="M31">
    <cfRule type="cellIs" dxfId="18758" priority="1004" operator="greaterThan">
      <formula>M30</formula>
    </cfRule>
    <cfRule type="cellIs" dxfId="18757" priority="1005" operator="equal">
      <formula>0</formula>
    </cfRule>
  </conditionalFormatting>
  <conditionalFormatting sqref="N31">
    <cfRule type="cellIs" dxfId="18756" priority="1002" operator="greaterThan">
      <formula>N30</formula>
    </cfRule>
    <cfRule type="cellIs" dxfId="18755" priority="1003" operator="equal">
      <formula>0</formula>
    </cfRule>
  </conditionalFormatting>
  <conditionalFormatting sqref="O31">
    <cfRule type="cellIs" dxfId="18754" priority="1000" operator="greaterThan">
      <formula>O30</formula>
    </cfRule>
    <cfRule type="cellIs" dxfId="18753" priority="1001" operator="equal">
      <formula>0</formula>
    </cfRule>
  </conditionalFormatting>
  <conditionalFormatting sqref="P31">
    <cfRule type="cellIs" dxfId="18752" priority="998" operator="greaterThan">
      <formula>P30</formula>
    </cfRule>
    <cfRule type="cellIs" dxfId="18751" priority="999" operator="equal">
      <formula>0</formula>
    </cfRule>
  </conditionalFormatting>
  <conditionalFormatting sqref="E25">
    <cfRule type="cellIs" dxfId="18750" priority="996" operator="greaterThan">
      <formula>E24</formula>
    </cfRule>
    <cfRule type="cellIs" dxfId="18749" priority="997" operator="equal">
      <formula>0</formula>
    </cfRule>
  </conditionalFormatting>
  <conditionalFormatting sqref="F25">
    <cfRule type="cellIs" dxfId="18748" priority="994" operator="greaterThan">
      <formula>F24</formula>
    </cfRule>
    <cfRule type="cellIs" dxfId="18747" priority="995" operator="equal">
      <formula>0</formula>
    </cfRule>
  </conditionalFormatting>
  <conditionalFormatting sqref="G25">
    <cfRule type="cellIs" dxfId="18746" priority="992" operator="greaterThan">
      <formula>G24</formula>
    </cfRule>
    <cfRule type="cellIs" dxfId="18745" priority="993" operator="equal">
      <formula>0</formula>
    </cfRule>
  </conditionalFormatting>
  <conditionalFormatting sqref="H25">
    <cfRule type="cellIs" dxfId="18744" priority="990" operator="greaterThan">
      <formula>H24</formula>
    </cfRule>
    <cfRule type="cellIs" dxfId="18743" priority="991" operator="equal">
      <formula>0</formula>
    </cfRule>
  </conditionalFormatting>
  <conditionalFormatting sqref="I25">
    <cfRule type="cellIs" dxfId="18742" priority="988" operator="greaterThan">
      <formula>I24</formula>
    </cfRule>
    <cfRule type="cellIs" dxfId="18741" priority="989" operator="equal">
      <formula>0</formula>
    </cfRule>
  </conditionalFormatting>
  <conditionalFormatting sqref="J25">
    <cfRule type="cellIs" dxfId="18740" priority="986" operator="greaterThan">
      <formula>J24</formula>
    </cfRule>
    <cfRule type="cellIs" dxfId="18739" priority="987" operator="equal">
      <formula>0</formula>
    </cfRule>
  </conditionalFormatting>
  <conditionalFormatting sqref="K25">
    <cfRule type="cellIs" dxfId="18738" priority="984" operator="greaterThan">
      <formula>K24</formula>
    </cfRule>
    <cfRule type="cellIs" dxfId="18737" priority="985" operator="equal">
      <formula>0</formula>
    </cfRule>
  </conditionalFormatting>
  <conditionalFormatting sqref="L25">
    <cfRule type="cellIs" dxfId="18736" priority="982" operator="greaterThan">
      <formula>L24</formula>
    </cfRule>
    <cfRule type="cellIs" dxfId="18735" priority="983" operator="equal">
      <formula>0</formula>
    </cfRule>
  </conditionalFormatting>
  <conditionalFormatting sqref="M25">
    <cfRule type="cellIs" dxfId="18734" priority="980" operator="greaterThan">
      <formula>M24</formula>
    </cfRule>
    <cfRule type="cellIs" dxfId="18733" priority="981" operator="equal">
      <formula>0</formula>
    </cfRule>
  </conditionalFormatting>
  <conditionalFormatting sqref="N25">
    <cfRule type="cellIs" dxfId="18732" priority="978" operator="greaterThan">
      <formula>N24</formula>
    </cfRule>
    <cfRule type="cellIs" dxfId="18731" priority="979" operator="equal">
      <formula>0</formula>
    </cfRule>
  </conditionalFormatting>
  <conditionalFormatting sqref="O25">
    <cfRule type="cellIs" dxfId="18730" priority="976" operator="greaterThan">
      <formula>O24</formula>
    </cfRule>
    <cfRule type="cellIs" dxfId="18729" priority="977" operator="equal">
      <formula>0</formula>
    </cfRule>
  </conditionalFormatting>
  <conditionalFormatting sqref="P25">
    <cfRule type="cellIs" dxfId="18728" priority="974" operator="greaterThan">
      <formula>P24</formula>
    </cfRule>
    <cfRule type="cellIs" dxfId="18727" priority="975" operator="equal">
      <formula>0</formula>
    </cfRule>
  </conditionalFormatting>
  <conditionalFormatting sqref="E45:P45 E46:O46">
    <cfRule type="cellIs" dxfId="18726" priority="972" operator="greaterThan">
      <formula>#REF!</formula>
    </cfRule>
    <cfRule type="cellIs" dxfId="18725" priority="973" operator="equal">
      <formula>0</formula>
    </cfRule>
  </conditionalFormatting>
  <conditionalFormatting sqref="E33:P33">
    <cfRule type="cellIs" dxfId="18724" priority="971" operator="equal">
      <formula>0</formula>
    </cfRule>
  </conditionalFormatting>
  <conditionalFormatting sqref="E34">
    <cfRule type="cellIs" dxfId="18723" priority="969" operator="greaterThan">
      <formula>E33</formula>
    </cfRule>
    <cfRule type="cellIs" dxfId="18722" priority="970" operator="equal">
      <formula>0</formula>
    </cfRule>
  </conditionalFormatting>
  <conditionalFormatting sqref="F34">
    <cfRule type="cellIs" dxfId="18721" priority="967" operator="greaterThan">
      <formula>F33</formula>
    </cfRule>
    <cfRule type="cellIs" dxfId="18720" priority="968" operator="equal">
      <formula>0</formula>
    </cfRule>
  </conditionalFormatting>
  <conditionalFormatting sqref="G34">
    <cfRule type="cellIs" dxfId="18719" priority="965" operator="greaterThan">
      <formula>G33</formula>
    </cfRule>
    <cfRule type="cellIs" dxfId="18718" priority="966" operator="equal">
      <formula>0</formula>
    </cfRule>
  </conditionalFormatting>
  <conditionalFormatting sqref="H34">
    <cfRule type="cellIs" dxfId="18717" priority="963" operator="greaterThan">
      <formula>H33</formula>
    </cfRule>
    <cfRule type="cellIs" dxfId="18716" priority="964" operator="equal">
      <formula>0</formula>
    </cfRule>
  </conditionalFormatting>
  <conditionalFormatting sqref="I34">
    <cfRule type="cellIs" dxfId="18715" priority="961" operator="greaterThan">
      <formula>I33</formula>
    </cfRule>
    <cfRule type="cellIs" dxfId="18714" priority="962" operator="equal">
      <formula>0</formula>
    </cfRule>
  </conditionalFormatting>
  <conditionalFormatting sqref="J34">
    <cfRule type="cellIs" dxfId="18713" priority="959" operator="greaterThan">
      <formula>J33</formula>
    </cfRule>
    <cfRule type="cellIs" dxfId="18712" priority="960" operator="equal">
      <formula>0</formula>
    </cfRule>
  </conditionalFormatting>
  <conditionalFormatting sqref="K34">
    <cfRule type="cellIs" dxfId="18711" priority="957" operator="greaterThan">
      <formula>K33</formula>
    </cfRule>
    <cfRule type="cellIs" dxfId="18710" priority="958" operator="equal">
      <formula>0</formula>
    </cfRule>
  </conditionalFormatting>
  <conditionalFormatting sqref="L34">
    <cfRule type="cellIs" dxfId="18709" priority="955" operator="greaterThan">
      <formula>L33</formula>
    </cfRule>
    <cfRule type="cellIs" dxfId="18708" priority="956" operator="equal">
      <formula>0</formula>
    </cfRule>
  </conditionalFormatting>
  <conditionalFormatting sqref="M34">
    <cfRule type="cellIs" dxfId="18707" priority="953" operator="greaterThan">
      <formula>M33</formula>
    </cfRule>
    <cfRule type="cellIs" dxfId="18706" priority="954" operator="equal">
      <formula>0</formula>
    </cfRule>
  </conditionalFormatting>
  <conditionalFormatting sqref="N34">
    <cfRule type="cellIs" dxfId="18705" priority="951" operator="greaterThan">
      <formula>N33</formula>
    </cfRule>
    <cfRule type="cellIs" dxfId="18704" priority="952" operator="equal">
      <formula>0</formula>
    </cfRule>
  </conditionalFormatting>
  <conditionalFormatting sqref="O34">
    <cfRule type="cellIs" dxfId="18703" priority="949" operator="greaterThan">
      <formula>O33</formula>
    </cfRule>
    <cfRule type="cellIs" dxfId="18702" priority="950" operator="equal">
      <formula>0</formula>
    </cfRule>
  </conditionalFormatting>
  <conditionalFormatting sqref="P34">
    <cfRule type="cellIs" dxfId="18701" priority="947" operator="greaterThan">
      <formula>P33</formula>
    </cfRule>
    <cfRule type="cellIs" dxfId="18700" priority="948" operator="equal">
      <formula>0</formula>
    </cfRule>
  </conditionalFormatting>
  <conditionalFormatting sqref="E36:P36">
    <cfRule type="cellIs" dxfId="18699" priority="946" operator="equal">
      <formula>0</formula>
    </cfRule>
  </conditionalFormatting>
  <conditionalFormatting sqref="E37">
    <cfRule type="cellIs" dxfId="18698" priority="944" operator="greaterThan">
      <formula>E36</formula>
    </cfRule>
    <cfRule type="cellIs" dxfId="18697" priority="945" operator="equal">
      <formula>0</formula>
    </cfRule>
  </conditionalFormatting>
  <conditionalFormatting sqref="F37">
    <cfRule type="cellIs" dxfId="18696" priority="942" operator="greaterThan">
      <formula>F36</formula>
    </cfRule>
    <cfRule type="cellIs" dxfId="18695" priority="943" operator="equal">
      <formula>0</formula>
    </cfRule>
  </conditionalFormatting>
  <conditionalFormatting sqref="G37">
    <cfRule type="cellIs" dxfId="18694" priority="940" operator="greaterThan">
      <formula>G36</formula>
    </cfRule>
    <cfRule type="cellIs" dxfId="18693" priority="941" operator="equal">
      <formula>0</formula>
    </cfRule>
  </conditionalFormatting>
  <conditionalFormatting sqref="H37">
    <cfRule type="cellIs" dxfId="18692" priority="938" operator="greaterThan">
      <formula>H36</formula>
    </cfRule>
    <cfRule type="cellIs" dxfId="18691" priority="939" operator="equal">
      <formula>0</formula>
    </cfRule>
  </conditionalFormatting>
  <conditionalFormatting sqref="I37">
    <cfRule type="cellIs" dxfId="18690" priority="936" operator="greaterThan">
      <formula>I36</formula>
    </cfRule>
    <cfRule type="cellIs" dxfId="18689" priority="937" operator="equal">
      <formula>0</formula>
    </cfRule>
  </conditionalFormatting>
  <conditionalFormatting sqref="J37">
    <cfRule type="cellIs" dxfId="18688" priority="934" operator="greaterThan">
      <formula>J36</formula>
    </cfRule>
    <cfRule type="cellIs" dxfId="18687" priority="935" operator="equal">
      <formula>0</formula>
    </cfRule>
  </conditionalFormatting>
  <conditionalFormatting sqref="K37">
    <cfRule type="cellIs" dxfId="18686" priority="932" operator="greaterThan">
      <formula>K36</formula>
    </cfRule>
    <cfRule type="cellIs" dxfId="18685" priority="933" operator="equal">
      <formula>0</formula>
    </cfRule>
  </conditionalFormatting>
  <conditionalFormatting sqref="L37">
    <cfRule type="cellIs" dxfId="18684" priority="930" operator="greaterThan">
      <formula>L36</formula>
    </cfRule>
    <cfRule type="cellIs" dxfId="18683" priority="931" operator="equal">
      <formula>0</formula>
    </cfRule>
  </conditionalFormatting>
  <conditionalFormatting sqref="M37">
    <cfRule type="cellIs" dxfId="18682" priority="928" operator="greaterThan">
      <formula>M36</formula>
    </cfRule>
    <cfRule type="cellIs" dxfId="18681" priority="929" operator="equal">
      <formula>0</formula>
    </cfRule>
  </conditionalFormatting>
  <conditionalFormatting sqref="N37">
    <cfRule type="cellIs" dxfId="18680" priority="926" operator="greaterThan">
      <formula>N36</formula>
    </cfRule>
    <cfRule type="cellIs" dxfId="18679" priority="927" operator="equal">
      <formula>0</formula>
    </cfRule>
  </conditionalFormatting>
  <conditionalFormatting sqref="O37">
    <cfRule type="cellIs" dxfId="18678" priority="924" operator="greaterThan">
      <formula>O36</formula>
    </cfRule>
    <cfRule type="cellIs" dxfId="18677" priority="925" operator="equal">
      <formula>0</formula>
    </cfRule>
  </conditionalFormatting>
  <conditionalFormatting sqref="P37">
    <cfRule type="cellIs" dxfId="18676" priority="922" operator="greaterThan">
      <formula>P36</formula>
    </cfRule>
    <cfRule type="cellIs" dxfId="18675" priority="923" operator="equal">
      <formula>0</formula>
    </cfRule>
  </conditionalFormatting>
  <conditionalFormatting sqref="V24">
    <cfRule type="cellIs" dxfId="18674" priority="920" operator="greaterThan">
      <formula>V23</formula>
    </cfRule>
    <cfRule type="cellIs" dxfId="18673" priority="921" operator="equal">
      <formula>0</formula>
    </cfRule>
  </conditionalFormatting>
  <conditionalFormatting sqref="V27:V28">
    <cfRule type="cellIs" dxfId="18672" priority="918" operator="greaterThan">
      <formula>V26</formula>
    </cfRule>
    <cfRule type="cellIs" dxfId="18671" priority="919" operator="equal">
      <formula>0</formula>
    </cfRule>
  </conditionalFormatting>
  <conditionalFormatting sqref="V27">
    <cfRule type="cellIs" dxfId="18670" priority="916" operator="greaterThan">
      <formula>V26</formula>
    </cfRule>
    <cfRule type="cellIs" dxfId="18669" priority="917" operator="equal">
      <formula>0</formula>
    </cfRule>
  </conditionalFormatting>
  <conditionalFormatting sqref="V49:V50 X49:X50 X42:X43 V42:V43 V12:V13 V15:V16 V18:V19 X12:X13 X15:X16 X18:X19 X21:X25 V21:V22 V24:V25 X27:X28 V27:V28">
    <cfRule type="cellIs" dxfId="18668" priority="915" operator="equal">
      <formula>0</formula>
    </cfRule>
  </conditionalFormatting>
  <conditionalFormatting sqref="V50 X50">
    <cfRule type="cellIs" dxfId="18667" priority="913" operator="greaterThan">
      <formula>V49</formula>
    </cfRule>
    <cfRule type="cellIs" dxfId="18666" priority="914" operator="equal">
      <formula>0</formula>
    </cfRule>
  </conditionalFormatting>
  <conditionalFormatting sqref="V28">
    <cfRule type="cellIs" dxfId="18665" priority="911" operator="greaterThan">
      <formula>V27</formula>
    </cfRule>
    <cfRule type="cellIs" dxfId="18664" priority="912" operator="equal">
      <formula>0</formula>
    </cfRule>
  </conditionalFormatting>
  <conditionalFormatting sqref="V43">
    <cfRule type="cellIs" dxfId="18663" priority="909" operator="greaterThan">
      <formula>V42</formula>
    </cfRule>
    <cfRule type="cellIs" dxfId="18662" priority="910" operator="equal">
      <formula>0</formula>
    </cfRule>
  </conditionalFormatting>
  <conditionalFormatting sqref="X43">
    <cfRule type="cellIs" dxfId="18661" priority="907" operator="greaterThan">
      <formula>X42</formula>
    </cfRule>
    <cfRule type="cellIs" dxfId="18660" priority="908" operator="equal">
      <formula>0</formula>
    </cfRule>
  </conditionalFormatting>
  <conditionalFormatting sqref="V27">
    <cfRule type="cellIs" dxfId="18659" priority="905" operator="greaterThan">
      <formula>V26</formula>
    </cfRule>
    <cfRule type="cellIs" dxfId="18658" priority="906" operator="equal">
      <formula>0</formula>
    </cfRule>
  </conditionalFormatting>
  <conditionalFormatting sqref="V13">
    <cfRule type="cellIs" dxfId="18657" priority="903" operator="greaterThan">
      <formula>V12</formula>
    </cfRule>
    <cfRule type="cellIs" dxfId="18656" priority="904" operator="equal">
      <formula>0</formula>
    </cfRule>
  </conditionalFormatting>
  <conditionalFormatting sqref="V12">
    <cfRule type="cellIs" dxfId="18655" priority="901" operator="greaterThan">
      <formula>V11</formula>
    </cfRule>
    <cfRule type="cellIs" dxfId="18654" priority="902" operator="equal">
      <formula>0</formula>
    </cfRule>
  </conditionalFormatting>
  <conditionalFormatting sqref="V16">
    <cfRule type="cellIs" dxfId="18653" priority="899" operator="greaterThan">
      <formula>V15</formula>
    </cfRule>
    <cfRule type="cellIs" dxfId="18652" priority="900" operator="equal">
      <formula>0</formula>
    </cfRule>
  </conditionalFormatting>
  <conditionalFormatting sqref="V15">
    <cfRule type="cellIs" dxfId="18651" priority="897" operator="greaterThan">
      <formula>V14</formula>
    </cfRule>
    <cfRule type="cellIs" dxfId="18650" priority="898" operator="equal">
      <formula>0</formula>
    </cfRule>
  </conditionalFormatting>
  <conditionalFormatting sqref="V19">
    <cfRule type="cellIs" dxfId="18649" priority="895" operator="greaterThan">
      <formula>V18</formula>
    </cfRule>
    <cfRule type="cellIs" dxfId="18648" priority="896" operator="equal">
      <formula>0</formula>
    </cfRule>
  </conditionalFormatting>
  <conditionalFormatting sqref="V18">
    <cfRule type="cellIs" dxfId="18647" priority="893" operator="greaterThan">
      <formula>V17</formula>
    </cfRule>
    <cfRule type="cellIs" dxfId="18646" priority="894" operator="equal">
      <formula>0</formula>
    </cfRule>
  </conditionalFormatting>
  <conditionalFormatting sqref="V22 V24:V25">
    <cfRule type="cellIs" dxfId="18645" priority="891" operator="greaterThan">
      <formula>V21</formula>
    </cfRule>
    <cfRule type="cellIs" dxfId="18644" priority="892" operator="equal">
      <formula>0</formula>
    </cfRule>
  </conditionalFormatting>
  <conditionalFormatting sqref="V21">
    <cfRule type="cellIs" dxfId="18643" priority="889" operator="greaterThan">
      <formula>V20</formula>
    </cfRule>
    <cfRule type="cellIs" dxfId="18642" priority="890" operator="equal">
      <formula>0</formula>
    </cfRule>
  </conditionalFormatting>
  <conditionalFormatting sqref="V24">
    <cfRule type="cellIs" dxfId="18641" priority="887" operator="greaterThan">
      <formula>V23</formula>
    </cfRule>
    <cfRule type="cellIs" dxfId="18640" priority="888" operator="equal">
      <formula>0</formula>
    </cfRule>
  </conditionalFormatting>
  <conditionalFormatting sqref="V27:V28">
    <cfRule type="cellIs" dxfId="18639" priority="885" operator="greaterThan">
      <formula>V26</formula>
    </cfRule>
    <cfRule type="cellIs" dxfId="18638" priority="886" operator="equal">
      <formula>0</formula>
    </cfRule>
  </conditionalFormatting>
  <conditionalFormatting sqref="V27">
    <cfRule type="cellIs" dxfId="18637" priority="883" operator="greaterThan">
      <formula>V26</formula>
    </cfRule>
    <cfRule type="cellIs" dxfId="18636" priority="884" operator="equal">
      <formula>0</formula>
    </cfRule>
  </conditionalFormatting>
  <conditionalFormatting sqref="P42 P27 P12 P15 P18 P21 P30 P24">
    <cfRule type="cellIs" dxfId="18635" priority="882" operator="equal">
      <formula>0</formula>
    </cfRule>
  </conditionalFormatting>
  <conditionalFormatting sqref="P43:P44">
    <cfRule type="cellIs" dxfId="18634" priority="880" operator="greaterThan">
      <formula>P42</formula>
    </cfRule>
    <cfRule type="cellIs" dxfId="18633" priority="881" operator="equal">
      <formula>0</formula>
    </cfRule>
  </conditionalFormatting>
  <conditionalFormatting sqref="P13">
    <cfRule type="cellIs" dxfId="18632" priority="878" operator="greaterThan">
      <formula>P12</formula>
    </cfRule>
    <cfRule type="cellIs" dxfId="18631" priority="879" operator="equal">
      <formula>0</formula>
    </cfRule>
  </conditionalFormatting>
  <conditionalFormatting sqref="P16">
    <cfRule type="cellIs" dxfId="18630" priority="876" operator="greaterThan">
      <formula>P15</formula>
    </cfRule>
    <cfRule type="cellIs" dxfId="18629" priority="877" operator="equal">
      <formula>0</formula>
    </cfRule>
  </conditionalFormatting>
  <conditionalFormatting sqref="P19">
    <cfRule type="cellIs" dxfId="18628" priority="874" operator="greaterThan">
      <formula>P18</formula>
    </cfRule>
    <cfRule type="cellIs" dxfId="18627" priority="875" operator="equal">
      <formula>0</formula>
    </cfRule>
  </conditionalFormatting>
  <conditionalFormatting sqref="P22">
    <cfRule type="cellIs" dxfId="18626" priority="872" operator="greaterThan">
      <formula>P21</formula>
    </cfRule>
    <cfRule type="cellIs" dxfId="18625" priority="873" operator="equal">
      <formula>0</formula>
    </cfRule>
  </conditionalFormatting>
  <conditionalFormatting sqref="P28">
    <cfRule type="cellIs" dxfId="18624" priority="870" operator="greaterThan">
      <formula>P27</formula>
    </cfRule>
    <cfRule type="cellIs" dxfId="18623" priority="871" operator="equal">
      <formula>0</formula>
    </cfRule>
  </conditionalFormatting>
  <conditionalFormatting sqref="P31">
    <cfRule type="cellIs" dxfId="18622" priority="868" operator="greaterThan">
      <formula>P30</formula>
    </cfRule>
    <cfRule type="cellIs" dxfId="18621" priority="869" operator="equal">
      <formula>0</formula>
    </cfRule>
  </conditionalFormatting>
  <conditionalFormatting sqref="P25">
    <cfRule type="cellIs" dxfId="18620" priority="866" operator="greaterThan">
      <formula>P24</formula>
    </cfRule>
    <cfRule type="cellIs" dxfId="18619" priority="867" operator="equal">
      <formula>0</formula>
    </cfRule>
  </conditionalFormatting>
  <conditionalFormatting sqref="P45">
    <cfRule type="cellIs" dxfId="18618" priority="864" operator="greaterThan">
      <formula>#REF!</formula>
    </cfRule>
    <cfRule type="cellIs" dxfId="18617" priority="865" operator="equal">
      <formula>0</formula>
    </cfRule>
  </conditionalFormatting>
  <conditionalFormatting sqref="P33">
    <cfRule type="cellIs" dxfId="18616" priority="863" operator="equal">
      <formula>0</formula>
    </cfRule>
  </conditionalFormatting>
  <conditionalFormatting sqref="P34">
    <cfRule type="cellIs" dxfId="18615" priority="861" operator="greaterThan">
      <formula>P33</formula>
    </cfRule>
    <cfRule type="cellIs" dxfId="18614" priority="862" operator="equal">
      <formula>0</formula>
    </cfRule>
  </conditionalFormatting>
  <conditionalFormatting sqref="P36">
    <cfRule type="cellIs" dxfId="18613" priority="860" operator="equal">
      <formula>0</formula>
    </cfRule>
  </conditionalFormatting>
  <conditionalFormatting sqref="P37">
    <cfRule type="cellIs" dxfId="18612" priority="858" operator="greaterThan">
      <formula>P36</formula>
    </cfRule>
    <cfRule type="cellIs" dxfId="18611" priority="859" operator="equal">
      <formula>0</formula>
    </cfRule>
  </conditionalFormatting>
  <conditionalFormatting sqref="H42">
    <cfRule type="cellIs" dxfId="18610" priority="857" operator="equal">
      <formula>0</formula>
    </cfRule>
  </conditionalFormatting>
  <conditionalFormatting sqref="H43:H44">
    <cfRule type="cellIs" dxfId="18609" priority="855" operator="greaterThan">
      <formula>H42</formula>
    </cfRule>
    <cfRule type="cellIs" dxfId="18608" priority="856" operator="equal">
      <formula>0</formula>
    </cfRule>
  </conditionalFormatting>
  <conditionalFormatting sqref="H45">
    <cfRule type="cellIs" dxfId="18607" priority="853" operator="greaterThan">
      <formula>#REF!</formula>
    </cfRule>
    <cfRule type="cellIs" dxfId="18606" priority="854" operator="equal">
      <formula>0</formula>
    </cfRule>
  </conditionalFormatting>
  <conditionalFormatting sqref="X49:X50 X42:X43 V42:V43 V12:V13 X12:X13 V15:V16 X15:X16 V18:V19 X18:X19 V21:V22 V24:V25 X21:X25 V27:V28 X27:X28 V49:V50">
    <cfRule type="cellIs" dxfId="18605" priority="852" operator="equal">
      <formula>0</formula>
    </cfRule>
  </conditionalFormatting>
  <conditionalFormatting sqref="V50 X50">
    <cfRule type="cellIs" dxfId="18604" priority="850" operator="greaterThan">
      <formula>V49</formula>
    </cfRule>
    <cfRule type="cellIs" dxfId="18603" priority="851" operator="equal">
      <formula>0</formula>
    </cfRule>
  </conditionalFormatting>
  <conditionalFormatting sqref="V28">
    <cfRule type="cellIs" dxfId="18602" priority="848" operator="greaterThan">
      <formula>V27</formula>
    </cfRule>
    <cfRule type="cellIs" dxfId="18601" priority="849" operator="equal">
      <formula>0</formula>
    </cfRule>
  </conditionalFormatting>
  <conditionalFormatting sqref="V43">
    <cfRule type="cellIs" dxfId="18600" priority="846" operator="greaterThan">
      <formula>V42</formula>
    </cfRule>
    <cfRule type="cellIs" dxfId="18599" priority="847" operator="equal">
      <formula>0</formula>
    </cfRule>
  </conditionalFormatting>
  <conditionalFormatting sqref="X43">
    <cfRule type="cellIs" dxfId="18598" priority="844" operator="greaterThan">
      <formula>X42</formula>
    </cfRule>
    <cfRule type="cellIs" dxfId="18597" priority="845" operator="equal">
      <formula>0</formula>
    </cfRule>
  </conditionalFormatting>
  <conditionalFormatting sqref="V27">
    <cfRule type="cellIs" dxfId="18596" priority="842" operator="greaterThan">
      <formula>V26</formula>
    </cfRule>
    <cfRule type="cellIs" dxfId="18595" priority="843" operator="equal">
      <formula>0</formula>
    </cfRule>
  </conditionalFormatting>
  <conditionalFormatting sqref="V13">
    <cfRule type="cellIs" dxfId="18594" priority="840" operator="greaterThan">
      <formula>V12</formula>
    </cfRule>
    <cfRule type="cellIs" dxfId="18593" priority="841" operator="equal">
      <formula>0</formula>
    </cfRule>
  </conditionalFormatting>
  <conditionalFormatting sqref="V12">
    <cfRule type="cellIs" dxfId="18592" priority="838" operator="greaterThan">
      <formula>V11</formula>
    </cfRule>
    <cfRule type="cellIs" dxfId="18591" priority="839" operator="equal">
      <formula>0</formula>
    </cfRule>
  </conditionalFormatting>
  <conditionalFormatting sqref="V16">
    <cfRule type="cellIs" dxfId="18590" priority="836" operator="greaterThan">
      <formula>V15</formula>
    </cfRule>
    <cfRule type="cellIs" dxfId="18589" priority="837" operator="equal">
      <formula>0</formula>
    </cfRule>
  </conditionalFormatting>
  <conditionalFormatting sqref="V15">
    <cfRule type="cellIs" dxfId="18588" priority="834" operator="greaterThan">
      <formula>V14</formula>
    </cfRule>
    <cfRule type="cellIs" dxfId="18587" priority="835" operator="equal">
      <formula>0</formula>
    </cfRule>
  </conditionalFormatting>
  <conditionalFormatting sqref="V19">
    <cfRule type="cellIs" dxfId="18586" priority="832" operator="greaterThan">
      <formula>V18</formula>
    </cfRule>
    <cfRule type="cellIs" dxfId="18585" priority="833" operator="equal">
      <formula>0</formula>
    </cfRule>
  </conditionalFormatting>
  <conditionalFormatting sqref="V18">
    <cfRule type="cellIs" dxfId="18584" priority="830" operator="greaterThan">
      <formula>V17</formula>
    </cfRule>
    <cfRule type="cellIs" dxfId="18583" priority="831" operator="equal">
      <formula>0</formula>
    </cfRule>
  </conditionalFormatting>
  <conditionalFormatting sqref="V22 V24:V25">
    <cfRule type="cellIs" dxfId="18582" priority="828" operator="greaterThan">
      <formula>V21</formula>
    </cfRule>
    <cfRule type="cellIs" dxfId="18581" priority="829" operator="equal">
      <formula>0</formula>
    </cfRule>
  </conditionalFormatting>
  <conditionalFormatting sqref="V21">
    <cfRule type="cellIs" dxfId="18580" priority="826" operator="greaterThan">
      <formula>V20</formula>
    </cfRule>
    <cfRule type="cellIs" dxfId="18579" priority="827" operator="equal">
      <formula>0</formula>
    </cfRule>
  </conditionalFormatting>
  <conditionalFormatting sqref="V24">
    <cfRule type="cellIs" dxfId="18578" priority="824" operator="greaterThan">
      <formula>V23</formula>
    </cfRule>
    <cfRule type="cellIs" dxfId="18577" priority="825" operator="equal">
      <formula>0</formula>
    </cfRule>
  </conditionalFormatting>
  <conditionalFormatting sqref="V27:V28">
    <cfRule type="cellIs" dxfId="18576" priority="822" operator="greaterThan">
      <formula>V26</formula>
    </cfRule>
    <cfRule type="cellIs" dxfId="18575" priority="823" operator="equal">
      <formula>0</formula>
    </cfRule>
  </conditionalFormatting>
  <conditionalFormatting sqref="V27">
    <cfRule type="cellIs" dxfId="18574" priority="820" operator="greaterThan">
      <formula>V26</formula>
    </cfRule>
    <cfRule type="cellIs" dxfId="18573" priority="821" operator="equal">
      <formula>0</formula>
    </cfRule>
  </conditionalFormatting>
  <conditionalFormatting sqref="V16">
    <cfRule type="cellIs" dxfId="18572" priority="818" operator="greaterThan">
      <formula>V15</formula>
    </cfRule>
    <cfRule type="cellIs" dxfId="18571" priority="819" operator="equal">
      <formula>0</formula>
    </cfRule>
  </conditionalFormatting>
  <conditionalFormatting sqref="V15">
    <cfRule type="cellIs" dxfId="18570" priority="816" operator="greaterThan">
      <formula>V14</formula>
    </cfRule>
    <cfRule type="cellIs" dxfId="18569" priority="817" operator="equal">
      <formula>0</formula>
    </cfRule>
  </conditionalFormatting>
  <conditionalFormatting sqref="V19">
    <cfRule type="cellIs" dxfId="18568" priority="814" operator="greaterThan">
      <formula>V18</formula>
    </cfRule>
    <cfRule type="cellIs" dxfId="18567" priority="815" operator="equal">
      <formula>0</formula>
    </cfRule>
  </conditionalFormatting>
  <conditionalFormatting sqref="V18">
    <cfRule type="cellIs" dxfId="18566" priority="812" operator="greaterThan">
      <formula>V17</formula>
    </cfRule>
    <cfRule type="cellIs" dxfId="18565" priority="813" operator="equal">
      <formula>0</formula>
    </cfRule>
  </conditionalFormatting>
  <conditionalFormatting sqref="V22">
    <cfRule type="cellIs" dxfId="18564" priority="810" operator="greaterThan">
      <formula>V21</formula>
    </cfRule>
    <cfRule type="cellIs" dxfId="18563" priority="811" operator="equal">
      <formula>0</formula>
    </cfRule>
  </conditionalFormatting>
  <conditionalFormatting sqref="V21">
    <cfRule type="cellIs" dxfId="18562" priority="808" operator="greaterThan">
      <formula>V20</formula>
    </cfRule>
    <cfRule type="cellIs" dxfId="18561" priority="809" operator="equal">
      <formula>0</formula>
    </cfRule>
  </conditionalFormatting>
  <conditionalFormatting sqref="V25">
    <cfRule type="cellIs" dxfId="18560" priority="806" operator="greaterThan">
      <formula>V24</formula>
    </cfRule>
    <cfRule type="cellIs" dxfId="18559" priority="807" operator="equal">
      <formula>0</formula>
    </cfRule>
  </conditionalFormatting>
  <conditionalFormatting sqref="V24">
    <cfRule type="cellIs" dxfId="18558" priority="804" operator="greaterThan">
      <formula>V23</formula>
    </cfRule>
    <cfRule type="cellIs" dxfId="18557" priority="805" operator="equal">
      <formula>0</formula>
    </cfRule>
  </conditionalFormatting>
  <conditionalFormatting sqref="V28">
    <cfRule type="cellIs" dxfId="18556" priority="802" operator="greaterThan">
      <formula>V27</formula>
    </cfRule>
    <cfRule type="cellIs" dxfId="18555" priority="803" operator="equal">
      <formula>0</formula>
    </cfRule>
  </conditionalFormatting>
  <conditionalFormatting sqref="V27">
    <cfRule type="cellIs" dxfId="18554" priority="800" operator="greaterThan">
      <formula>V26</formula>
    </cfRule>
    <cfRule type="cellIs" dxfId="18553" priority="801" operator="equal">
      <formula>0</formula>
    </cfRule>
  </conditionalFormatting>
  <conditionalFormatting sqref="V30:V31 X30:X31">
    <cfRule type="cellIs" dxfId="18552" priority="799" operator="equal">
      <formula>0</formula>
    </cfRule>
  </conditionalFormatting>
  <conditionalFormatting sqref="V31">
    <cfRule type="cellIs" dxfId="18551" priority="797" operator="greaterThan">
      <formula>V30</formula>
    </cfRule>
    <cfRule type="cellIs" dxfId="18550" priority="798" operator="equal">
      <formula>0</formula>
    </cfRule>
  </conditionalFormatting>
  <conditionalFormatting sqref="V30">
    <cfRule type="cellIs" dxfId="18549" priority="795" operator="greaterThan">
      <formula>V29</formula>
    </cfRule>
    <cfRule type="cellIs" dxfId="18548" priority="796" operator="equal">
      <formula>0</formula>
    </cfRule>
  </conditionalFormatting>
  <conditionalFormatting sqref="V33:V34 X33:X34">
    <cfRule type="cellIs" dxfId="18547" priority="794" operator="equal">
      <formula>0</formula>
    </cfRule>
  </conditionalFormatting>
  <conditionalFormatting sqref="V34">
    <cfRule type="cellIs" dxfId="18546" priority="792" operator="greaterThan">
      <formula>V33</formula>
    </cfRule>
    <cfRule type="cellIs" dxfId="18545" priority="793" operator="equal">
      <formula>0</formula>
    </cfRule>
  </conditionalFormatting>
  <conditionalFormatting sqref="V33">
    <cfRule type="cellIs" dxfId="18544" priority="790" operator="greaterThan">
      <formula>V32</formula>
    </cfRule>
    <cfRule type="cellIs" dxfId="18543" priority="791" operator="equal">
      <formula>0</formula>
    </cfRule>
  </conditionalFormatting>
  <conditionalFormatting sqref="V36:V37 X36:X37">
    <cfRule type="cellIs" dxfId="18542" priority="789" operator="equal">
      <formula>0</formula>
    </cfRule>
  </conditionalFormatting>
  <conditionalFormatting sqref="V37">
    <cfRule type="cellIs" dxfId="18541" priority="787" operator="greaterThan">
      <formula>V36</formula>
    </cfRule>
    <cfRule type="cellIs" dxfId="18540" priority="788" operator="equal">
      <formula>0</formula>
    </cfRule>
  </conditionalFormatting>
  <conditionalFormatting sqref="V36">
    <cfRule type="cellIs" dxfId="18539" priority="785" operator="greaterThan">
      <formula>V35</formula>
    </cfRule>
    <cfRule type="cellIs" dxfId="18538" priority="786" operator="equal">
      <formula>0</formula>
    </cfRule>
  </conditionalFormatting>
  <conditionalFormatting sqref="V16">
    <cfRule type="cellIs" dxfId="18537" priority="783" operator="greaterThan">
      <formula>V15</formula>
    </cfRule>
    <cfRule type="cellIs" dxfId="18536" priority="784" operator="equal">
      <formula>0</formula>
    </cfRule>
  </conditionalFormatting>
  <conditionalFormatting sqref="V15">
    <cfRule type="cellIs" dxfId="18535" priority="781" operator="greaterThan">
      <formula>V14</formula>
    </cfRule>
    <cfRule type="cellIs" dxfId="18534" priority="782" operator="equal">
      <formula>0</formula>
    </cfRule>
  </conditionalFormatting>
  <conditionalFormatting sqref="V16">
    <cfRule type="cellIs" dxfId="18533" priority="779" operator="greaterThan">
      <formula>V15</formula>
    </cfRule>
    <cfRule type="cellIs" dxfId="18532" priority="780" operator="equal">
      <formula>0</formula>
    </cfRule>
  </conditionalFormatting>
  <conditionalFormatting sqref="V15">
    <cfRule type="cellIs" dxfId="18531" priority="777" operator="greaterThan">
      <formula>V14</formula>
    </cfRule>
    <cfRule type="cellIs" dxfId="18530" priority="778" operator="equal">
      <formula>0</formula>
    </cfRule>
  </conditionalFormatting>
  <conditionalFormatting sqref="V19">
    <cfRule type="cellIs" dxfId="18529" priority="775" operator="greaterThan">
      <formula>V18</formula>
    </cfRule>
    <cfRule type="cellIs" dxfId="18528" priority="776" operator="equal">
      <formula>0</formula>
    </cfRule>
  </conditionalFormatting>
  <conditionalFormatting sqref="V18">
    <cfRule type="cellIs" dxfId="18527" priority="773" operator="greaterThan">
      <formula>V17</formula>
    </cfRule>
    <cfRule type="cellIs" dxfId="18526" priority="774" operator="equal">
      <formula>0</formula>
    </cfRule>
  </conditionalFormatting>
  <conditionalFormatting sqref="V19">
    <cfRule type="cellIs" dxfId="18525" priority="771" operator="greaterThan">
      <formula>V18</formula>
    </cfRule>
    <cfRule type="cellIs" dxfId="18524" priority="772" operator="equal">
      <formula>0</formula>
    </cfRule>
  </conditionalFormatting>
  <conditionalFormatting sqref="V18">
    <cfRule type="cellIs" dxfId="18523" priority="769" operator="greaterThan">
      <formula>V17</formula>
    </cfRule>
    <cfRule type="cellIs" dxfId="18522" priority="770" operator="equal">
      <formula>0</formula>
    </cfRule>
  </conditionalFormatting>
  <conditionalFormatting sqref="V19">
    <cfRule type="cellIs" dxfId="18521" priority="767" operator="greaterThan">
      <formula>V18</formula>
    </cfRule>
    <cfRule type="cellIs" dxfId="18520" priority="768" operator="equal">
      <formula>0</formula>
    </cfRule>
  </conditionalFormatting>
  <conditionalFormatting sqref="V18">
    <cfRule type="cellIs" dxfId="18519" priority="765" operator="greaterThan">
      <formula>V17</formula>
    </cfRule>
    <cfRule type="cellIs" dxfId="18518" priority="766" operator="equal">
      <formula>0</formula>
    </cfRule>
  </conditionalFormatting>
  <conditionalFormatting sqref="V19">
    <cfRule type="cellIs" dxfId="18517" priority="763" operator="greaterThan">
      <formula>V18</formula>
    </cfRule>
    <cfRule type="cellIs" dxfId="18516" priority="764" operator="equal">
      <formula>0</formula>
    </cfRule>
  </conditionalFormatting>
  <conditionalFormatting sqref="V18">
    <cfRule type="cellIs" dxfId="18515" priority="761" operator="greaterThan">
      <formula>V17</formula>
    </cfRule>
    <cfRule type="cellIs" dxfId="18514" priority="762" operator="equal">
      <formula>0</formula>
    </cfRule>
  </conditionalFormatting>
  <conditionalFormatting sqref="V22">
    <cfRule type="cellIs" dxfId="18513" priority="759" operator="greaterThan">
      <formula>V21</formula>
    </cfRule>
    <cfRule type="cellIs" dxfId="18512" priority="760" operator="equal">
      <formula>0</formula>
    </cfRule>
  </conditionalFormatting>
  <conditionalFormatting sqref="V21">
    <cfRule type="cellIs" dxfId="18511" priority="757" operator="greaterThan">
      <formula>V20</formula>
    </cfRule>
    <cfRule type="cellIs" dxfId="18510" priority="758" operator="equal">
      <formula>0</formula>
    </cfRule>
  </conditionalFormatting>
  <conditionalFormatting sqref="V22">
    <cfRule type="cellIs" dxfId="18509" priority="755" operator="greaterThan">
      <formula>V21</formula>
    </cfRule>
    <cfRule type="cellIs" dxfId="18508" priority="756" operator="equal">
      <formula>0</formula>
    </cfRule>
  </conditionalFormatting>
  <conditionalFormatting sqref="V21">
    <cfRule type="cellIs" dxfId="18507" priority="753" operator="greaterThan">
      <formula>V20</formula>
    </cfRule>
    <cfRule type="cellIs" dxfId="18506" priority="754" operator="equal">
      <formula>0</formula>
    </cfRule>
  </conditionalFormatting>
  <conditionalFormatting sqref="V22">
    <cfRule type="cellIs" dxfId="18505" priority="751" operator="greaterThan">
      <formula>V21</formula>
    </cfRule>
    <cfRule type="cellIs" dxfId="18504" priority="752" operator="equal">
      <formula>0</formula>
    </cfRule>
  </conditionalFormatting>
  <conditionalFormatting sqref="V21">
    <cfRule type="cellIs" dxfId="18503" priority="749" operator="greaterThan">
      <formula>V20</formula>
    </cfRule>
    <cfRule type="cellIs" dxfId="18502" priority="750" operator="equal">
      <formula>0</formula>
    </cfRule>
  </conditionalFormatting>
  <conditionalFormatting sqref="V22">
    <cfRule type="cellIs" dxfId="18501" priority="747" operator="greaterThan">
      <formula>V21</formula>
    </cfRule>
    <cfRule type="cellIs" dxfId="18500" priority="748" operator="equal">
      <formula>0</formula>
    </cfRule>
  </conditionalFormatting>
  <conditionalFormatting sqref="V21">
    <cfRule type="cellIs" dxfId="18499" priority="745" operator="greaterThan">
      <formula>V20</formula>
    </cfRule>
    <cfRule type="cellIs" dxfId="18498" priority="746" operator="equal">
      <formula>0</formula>
    </cfRule>
  </conditionalFormatting>
  <conditionalFormatting sqref="V22">
    <cfRule type="cellIs" dxfId="18497" priority="743" operator="greaterThan">
      <formula>V21</formula>
    </cfRule>
    <cfRule type="cellIs" dxfId="18496" priority="744" operator="equal">
      <formula>0</formula>
    </cfRule>
  </conditionalFormatting>
  <conditionalFormatting sqref="V21">
    <cfRule type="cellIs" dxfId="18495" priority="741" operator="greaterThan">
      <formula>V20</formula>
    </cfRule>
    <cfRule type="cellIs" dxfId="18494" priority="742" operator="equal">
      <formula>0</formula>
    </cfRule>
  </conditionalFormatting>
  <conditionalFormatting sqref="V22">
    <cfRule type="cellIs" dxfId="18493" priority="739" operator="greaterThan">
      <formula>V21</formula>
    </cfRule>
    <cfRule type="cellIs" dxfId="18492" priority="740" operator="equal">
      <formula>0</formula>
    </cfRule>
  </conditionalFormatting>
  <conditionalFormatting sqref="V21">
    <cfRule type="cellIs" dxfId="18491" priority="737" operator="greaterThan">
      <formula>V20</formula>
    </cfRule>
    <cfRule type="cellIs" dxfId="18490" priority="738" operator="equal">
      <formula>0</formula>
    </cfRule>
  </conditionalFormatting>
  <conditionalFormatting sqref="V24">
    <cfRule type="cellIs" dxfId="18489" priority="735" operator="greaterThan">
      <formula>V23</formula>
    </cfRule>
    <cfRule type="cellIs" dxfId="18488" priority="736" operator="equal">
      <formula>0</formula>
    </cfRule>
  </conditionalFormatting>
  <conditionalFormatting sqref="V25">
    <cfRule type="cellIs" dxfId="18487" priority="733" operator="greaterThan">
      <formula>V24</formula>
    </cfRule>
    <cfRule type="cellIs" dxfId="18486" priority="734" operator="equal">
      <formula>0</formula>
    </cfRule>
  </conditionalFormatting>
  <conditionalFormatting sqref="V24">
    <cfRule type="cellIs" dxfId="18485" priority="731" operator="greaterThan">
      <formula>V23</formula>
    </cfRule>
    <cfRule type="cellIs" dxfId="18484" priority="732" operator="equal">
      <formula>0</formula>
    </cfRule>
  </conditionalFormatting>
  <conditionalFormatting sqref="V25">
    <cfRule type="cellIs" dxfId="18483" priority="729" operator="greaterThan">
      <formula>V24</formula>
    </cfRule>
    <cfRule type="cellIs" dxfId="18482" priority="730" operator="equal">
      <formula>0</formula>
    </cfRule>
  </conditionalFormatting>
  <conditionalFormatting sqref="V24">
    <cfRule type="cellIs" dxfId="18481" priority="727" operator="greaterThan">
      <formula>V23</formula>
    </cfRule>
    <cfRule type="cellIs" dxfId="18480" priority="728" operator="equal">
      <formula>0</formula>
    </cfRule>
  </conditionalFormatting>
  <conditionalFormatting sqref="V25">
    <cfRule type="cellIs" dxfId="18479" priority="725" operator="greaterThan">
      <formula>V24</formula>
    </cfRule>
    <cfRule type="cellIs" dxfId="18478" priority="726" operator="equal">
      <formula>0</formula>
    </cfRule>
  </conditionalFormatting>
  <conditionalFormatting sqref="V24">
    <cfRule type="cellIs" dxfId="18477" priority="723" operator="greaterThan">
      <formula>V23</formula>
    </cfRule>
    <cfRule type="cellIs" dxfId="18476" priority="724" operator="equal">
      <formula>0</formula>
    </cfRule>
  </conditionalFormatting>
  <conditionalFormatting sqref="V25">
    <cfRule type="cellIs" dxfId="18475" priority="721" operator="greaterThan">
      <formula>V24</formula>
    </cfRule>
    <cfRule type="cellIs" dxfId="18474" priority="722" operator="equal">
      <formula>0</formula>
    </cfRule>
  </conditionalFormatting>
  <conditionalFormatting sqref="V24">
    <cfRule type="cellIs" dxfId="18473" priority="719" operator="greaterThan">
      <formula>V23</formula>
    </cfRule>
    <cfRule type="cellIs" dxfId="18472" priority="720" operator="equal">
      <formula>0</formula>
    </cfRule>
  </conditionalFormatting>
  <conditionalFormatting sqref="V25">
    <cfRule type="cellIs" dxfId="18471" priority="717" operator="greaterThan">
      <formula>V24</formula>
    </cfRule>
    <cfRule type="cellIs" dxfId="18470" priority="718" operator="equal">
      <formula>0</formula>
    </cfRule>
  </conditionalFormatting>
  <conditionalFormatting sqref="V24">
    <cfRule type="cellIs" dxfId="18469" priority="715" operator="greaterThan">
      <formula>V23</formula>
    </cfRule>
    <cfRule type="cellIs" dxfId="18468" priority="716" operator="equal">
      <formula>0</formula>
    </cfRule>
  </conditionalFormatting>
  <conditionalFormatting sqref="V25">
    <cfRule type="cellIs" dxfId="18467" priority="713" operator="greaterThan">
      <formula>V24</formula>
    </cfRule>
    <cfRule type="cellIs" dxfId="18466" priority="714" operator="equal">
      <formula>0</formula>
    </cfRule>
  </conditionalFormatting>
  <conditionalFormatting sqref="V24">
    <cfRule type="cellIs" dxfId="18465" priority="711" operator="greaterThan">
      <formula>V23</formula>
    </cfRule>
    <cfRule type="cellIs" dxfId="18464" priority="712" operator="equal">
      <formula>0</formula>
    </cfRule>
  </conditionalFormatting>
  <conditionalFormatting sqref="V25">
    <cfRule type="cellIs" dxfId="18463" priority="709" operator="greaterThan">
      <formula>V24</formula>
    </cfRule>
    <cfRule type="cellIs" dxfId="18462" priority="710" operator="equal">
      <formula>0</formula>
    </cfRule>
  </conditionalFormatting>
  <conditionalFormatting sqref="V24">
    <cfRule type="cellIs" dxfId="18461" priority="707" operator="greaterThan">
      <formula>V23</formula>
    </cfRule>
    <cfRule type="cellIs" dxfId="18460" priority="708" operator="equal">
      <formula>0</formula>
    </cfRule>
  </conditionalFormatting>
  <conditionalFormatting sqref="V27:V28">
    <cfRule type="cellIs" dxfId="18459" priority="705" operator="greaterThan">
      <formula>V26</formula>
    </cfRule>
    <cfRule type="cellIs" dxfId="18458" priority="706" operator="equal">
      <formula>0</formula>
    </cfRule>
  </conditionalFormatting>
  <conditionalFormatting sqref="V27">
    <cfRule type="cellIs" dxfId="18457" priority="703" operator="greaterThan">
      <formula>V26</formula>
    </cfRule>
    <cfRule type="cellIs" dxfId="18456" priority="704" operator="equal">
      <formula>0</formula>
    </cfRule>
  </conditionalFormatting>
  <conditionalFormatting sqref="V28">
    <cfRule type="cellIs" dxfId="18455" priority="701" operator="greaterThan">
      <formula>V27</formula>
    </cfRule>
    <cfRule type="cellIs" dxfId="18454" priority="702" operator="equal">
      <formula>0</formula>
    </cfRule>
  </conditionalFormatting>
  <conditionalFormatting sqref="V27">
    <cfRule type="cellIs" dxfId="18453" priority="699" operator="greaterThan">
      <formula>V26</formula>
    </cfRule>
    <cfRule type="cellIs" dxfId="18452" priority="700" operator="equal">
      <formula>0</formula>
    </cfRule>
  </conditionalFormatting>
  <conditionalFormatting sqref="V27">
    <cfRule type="cellIs" dxfId="18451" priority="697" operator="greaterThan">
      <formula>V26</formula>
    </cfRule>
    <cfRule type="cellIs" dxfId="18450" priority="698" operator="equal">
      <formula>0</formula>
    </cfRule>
  </conditionalFormatting>
  <conditionalFormatting sqref="V28">
    <cfRule type="cellIs" dxfId="18449" priority="695" operator="greaterThan">
      <formula>V27</formula>
    </cfRule>
    <cfRule type="cellIs" dxfId="18448" priority="696" operator="equal">
      <formula>0</formula>
    </cfRule>
  </conditionalFormatting>
  <conditionalFormatting sqref="V27">
    <cfRule type="cellIs" dxfId="18447" priority="693" operator="greaterThan">
      <formula>V26</formula>
    </cfRule>
    <cfRule type="cellIs" dxfId="18446" priority="694" operator="equal">
      <formula>0</formula>
    </cfRule>
  </conditionalFormatting>
  <conditionalFormatting sqref="V28">
    <cfRule type="cellIs" dxfId="18445" priority="691" operator="greaterThan">
      <formula>V27</formula>
    </cfRule>
    <cfRule type="cellIs" dxfId="18444" priority="692" operator="equal">
      <formula>0</formula>
    </cfRule>
  </conditionalFormatting>
  <conditionalFormatting sqref="V27">
    <cfRule type="cellIs" dxfId="18443" priority="689" operator="greaterThan">
      <formula>V26</formula>
    </cfRule>
    <cfRule type="cellIs" dxfId="18442" priority="690" operator="equal">
      <formula>0</formula>
    </cfRule>
  </conditionalFormatting>
  <conditionalFormatting sqref="V28">
    <cfRule type="cellIs" dxfId="18441" priority="687" operator="greaterThan">
      <formula>V27</formula>
    </cfRule>
    <cfRule type="cellIs" dxfId="18440" priority="688" operator="equal">
      <formula>0</formula>
    </cfRule>
  </conditionalFormatting>
  <conditionalFormatting sqref="V27">
    <cfRule type="cellIs" dxfId="18439" priority="685" operator="greaterThan">
      <formula>V26</formula>
    </cfRule>
    <cfRule type="cellIs" dxfId="18438" priority="686" operator="equal">
      <formula>0</formula>
    </cfRule>
  </conditionalFormatting>
  <conditionalFormatting sqref="V28">
    <cfRule type="cellIs" dxfId="18437" priority="683" operator="greaterThan">
      <formula>V27</formula>
    </cfRule>
    <cfRule type="cellIs" dxfId="18436" priority="684" operator="equal">
      <formula>0</formula>
    </cfRule>
  </conditionalFormatting>
  <conditionalFormatting sqref="V27">
    <cfRule type="cellIs" dxfId="18435" priority="681" operator="greaterThan">
      <formula>V26</formula>
    </cfRule>
    <cfRule type="cellIs" dxfId="18434" priority="682" operator="equal">
      <formula>0</formula>
    </cfRule>
  </conditionalFormatting>
  <conditionalFormatting sqref="V28">
    <cfRule type="cellIs" dxfId="18433" priority="679" operator="greaterThan">
      <formula>V27</formula>
    </cfRule>
    <cfRule type="cellIs" dxfId="18432" priority="680" operator="equal">
      <formula>0</formula>
    </cfRule>
  </conditionalFormatting>
  <conditionalFormatting sqref="V27">
    <cfRule type="cellIs" dxfId="18431" priority="677" operator="greaterThan">
      <formula>V26</formula>
    </cfRule>
    <cfRule type="cellIs" dxfId="18430" priority="678" operator="equal">
      <formula>0</formula>
    </cfRule>
  </conditionalFormatting>
  <conditionalFormatting sqref="V28">
    <cfRule type="cellIs" dxfId="18429" priority="675" operator="greaterThan">
      <formula>V27</formula>
    </cfRule>
    <cfRule type="cellIs" dxfId="18428" priority="676" operator="equal">
      <formula>0</formula>
    </cfRule>
  </conditionalFormatting>
  <conditionalFormatting sqref="V27">
    <cfRule type="cellIs" dxfId="18427" priority="673" operator="greaterThan">
      <formula>V26</formula>
    </cfRule>
    <cfRule type="cellIs" dxfId="18426" priority="674" operator="equal">
      <formula>0</formula>
    </cfRule>
  </conditionalFormatting>
  <conditionalFormatting sqref="V28">
    <cfRule type="cellIs" dxfId="18425" priority="671" operator="greaterThan">
      <formula>V27</formula>
    </cfRule>
    <cfRule type="cellIs" dxfId="18424" priority="672" operator="equal">
      <formula>0</formula>
    </cfRule>
  </conditionalFormatting>
  <conditionalFormatting sqref="V27">
    <cfRule type="cellIs" dxfId="18423" priority="669" operator="greaterThan">
      <formula>V26</formula>
    </cfRule>
    <cfRule type="cellIs" dxfId="18422" priority="670" operator="equal">
      <formula>0</formula>
    </cfRule>
  </conditionalFormatting>
  <conditionalFormatting sqref="V50">
    <cfRule type="cellIs" dxfId="18421" priority="667" operator="greaterThan">
      <formula>V49</formula>
    </cfRule>
    <cfRule type="cellIs" dxfId="18420" priority="668" operator="equal">
      <formula>0</formula>
    </cfRule>
  </conditionalFormatting>
  <conditionalFormatting sqref="V12:V13 X12:X13 X15:X16 X18:X19 X21:X25 X27:X28 V15:V16 V18:V19 V21:V22 V24:V25 V27:V28">
    <cfRule type="cellIs" dxfId="18419" priority="666" operator="equal">
      <formula>0</formula>
    </cfRule>
  </conditionalFormatting>
  <conditionalFormatting sqref="V28">
    <cfRule type="cellIs" dxfId="18418" priority="664" operator="greaterThan">
      <formula>V27</formula>
    </cfRule>
    <cfRule type="cellIs" dxfId="18417" priority="665" operator="equal">
      <formula>0</formula>
    </cfRule>
  </conditionalFormatting>
  <conditionalFormatting sqref="V27">
    <cfRule type="cellIs" dxfId="18416" priority="662" operator="greaterThan">
      <formula>V26</formula>
    </cfRule>
    <cfRule type="cellIs" dxfId="18415" priority="663" operator="equal">
      <formula>0</formula>
    </cfRule>
  </conditionalFormatting>
  <conditionalFormatting sqref="V13">
    <cfRule type="cellIs" dxfId="18414" priority="660" operator="greaterThan">
      <formula>V12</formula>
    </cfRule>
    <cfRule type="cellIs" dxfId="18413" priority="661" operator="equal">
      <formula>0</formula>
    </cfRule>
  </conditionalFormatting>
  <conditionalFormatting sqref="V12">
    <cfRule type="cellIs" dxfId="18412" priority="658" operator="greaterThan">
      <formula>V11</formula>
    </cfRule>
    <cfRule type="cellIs" dxfId="18411" priority="659" operator="equal">
      <formula>0</formula>
    </cfRule>
  </conditionalFormatting>
  <conditionalFormatting sqref="V16">
    <cfRule type="cellIs" dxfId="18410" priority="656" operator="greaterThan">
      <formula>V15</formula>
    </cfRule>
    <cfRule type="cellIs" dxfId="18409" priority="657" operator="equal">
      <formula>0</formula>
    </cfRule>
  </conditionalFormatting>
  <conditionalFormatting sqref="V15">
    <cfRule type="cellIs" dxfId="18408" priority="654" operator="greaterThan">
      <formula>V14</formula>
    </cfRule>
    <cfRule type="cellIs" dxfId="18407" priority="655" operator="equal">
      <formula>0</formula>
    </cfRule>
  </conditionalFormatting>
  <conditionalFormatting sqref="V19">
    <cfRule type="cellIs" dxfId="18406" priority="652" operator="greaterThan">
      <formula>V18</formula>
    </cfRule>
    <cfRule type="cellIs" dxfId="18405" priority="653" operator="equal">
      <formula>0</formula>
    </cfRule>
  </conditionalFormatting>
  <conditionalFormatting sqref="V18">
    <cfRule type="cellIs" dxfId="18404" priority="650" operator="greaterThan">
      <formula>V17</formula>
    </cfRule>
    <cfRule type="cellIs" dxfId="18403" priority="651" operator="equal">
      <formula>0</formula>
    </cfRule>
  </conditionalFormatting>
  <conditionalFormatting sqref="V22 V24:V25">
    <cfRule type="cellIs" dxfId="18402" priority="648" operator="greaterThan">
      <formula>V21</formula>
    </cfRule>
    <cfRule type="cellIs" dxfId="18401" priority="649" operator="equal">
      <formula>0</formula>
    </cfRule>
  </conditionalFormatting>
  <conditionalFormatting sqref="V21">
    <cfRule type="cellIs" dxfId="18400" priority="646" operator="greaterThan">
      <formula>V20</formula>
    </cfRule>
    <cfRule type="cellIs" dxfId="18399" priority="647" operator="equal">
      <formula>0</formula>
    </cfRule>
  </conditionalFormatting>
  <conditionalFormatting sqref="V24">
    <cfRule type="cellIs" dxfId="18398" priority="644" operator="greaterThan">
      <formula>V23</formula>
    </cfRule>
    <cfRule type="cellIs" dxfId="18397" priority="645" operator="equal">
      <formula>0</formula>
    </cfRule>
  </conditionalFormatting>
  <conditionalFormatting sqref="V27:V28">
    <cfRule type="cellIs" dxfId="18396" priority="642" operator="greaterThan">
      <formula>V26</formula>
    </cfRule>
    <cfRule type="cellIs" dxfId="18395" priority="643" operator="equal">
      <formula>0</formula>
    </cfRule>
  </conditionalFormatting>
  <conditionalFormatting sqref="V27">
    <cfRule type="cellIs" dxfId="18394" priority="640" operator="greaterThan">
      <formula>V26</formula>
    </cfRule>
    <cfRule type="cellIs" dxfId="18393" priority="641" operator="equal">
      <formula>0</formula>
    </cfRule>
  </conditionalFormatting>
  <conditionalFormatting sqref="V16">
    <cfRule type="cellIs" dxfId="18392" priority="638" operator="greaterThan">
      <formula>V15</formula>
    </cfRule>
    <cfRule type="cellIs" dxfId="18391" priority="639" operator="equal">
      <formula>0</formula>
    </cfRule>
  </conditionalFormatting>
  <conditionalFormatting sqref="V15">
    <cfRule type="cellIs" dxfId="18390" priority="636" operator="greaterThan">
      <formula>V14</formula>
    </cfRule>
    <cfRule type="cellIs" dxfId="18389" priority="637" operator="equal">
      <formula>0</formula>
    </cfRule>
  </conditionalFormatting>
  <conditionalFormatting sqref="V19">
    <cfRule type="cellIs" dxfId="18388" priority="634" operator="greaterThan">
      <formula>V18</formula>
    </cfRule>
    <cfRule type="cellIs" dxfId="18387" priority="635" operator="equal">
      <formula>0</formula>
    </cfRule>
  </conditionalFormatting>
  <conditionalFormatting sqref="V18">
    <cfRule type="cellIs" dxfId="18386" priority="632" operator="greaterThan">
      <formula>V17</formula>
    </cfRule>
    <cfRule type="cellIs" dxfId="18385" priority="633" operator="equal">
      <formula>0</formula>
    </cfRule>
  </conditionalFormatting>
  <conditionalFormatting sqref="V22">
    <cfRule type="cellIs" dxfId="18384" priority="630" operator="greaterThan">
      <formula>V21</formula>
    </cfRule>
    <cfRule type="cellIs" dxfId="18383" priority="631" operator="equal">
      <formula>0</formula>
    </cfRule>
  </conditionalFormatting>
  <conditionalFormatting sqref="V21">
    <cfRule type="cellIs" dxfId="18382" priority="628" operator="greaterThan">
      <formula>V20</formula>
    </cfRule>
    <cfRule type="cellIs" dxfId="18381" priority="629" operator="equal">
      <formula>0</formula>
    </cfRule>
  </conditionalFormatting>
  <conditionalFormatting sqref="V25">
    <cfRule type="cellIs" dxfId="18380" priority="626" operator="greaterThan">
      <formula>V24</formula>
    </cfRule>
    <cfRule type="cellIs" dxfId="18379" priority="627" operator="equal">
      <formula>0</formula>
    </cfRule>
  </conditionalFormatting>
  <conditionalFormatting sqref="V24">
    <cfRule type="cellIs" dxfId="18378" priority="624" operator="greaterThan">
      <formula>V23</formula>
    </cfRule>
    <cfRule type="cellIs" dxfId="18377" priority="625" operator="equal">
      <formula>0</formula>
    </cfRule>
  </conditionalFormatting>
  <conditionalFormatting sqref="V28">
    <cfRule type="cellIs" dxfId="18376" priority="622" operator="greaterThan">
      <formula>V27</formula>
    </cfRule>
    <cfRule type="cellIs" dxfId="18375" priority="623" operator="equal">
      <formula>0</formula>
    </cfRule>
  </conditionalFormatting>
  <conditionalFormatting sqref="V27">
    <cfRule type="cellIs" dxfId="18374" priority="620" operator="greaterThan">
      <formula>V26</formula>
    </cfRule>
    <cfRule type="cellIs" dxfId="18373" priority="621" operator="equal">
      <formula>0</formula>
    </cfRule>
  </conditionalFormatting>
  <conditionalFormatting sqref="V30:V31 X30:X31">
    <cfRule type="cellIs" dxfId="18372" priority="619" operator="equal">
      <formula>0</formula>
    </cfRule>
  </conditionalFormatting>
  <conditionalFormatting sqref="V31">
    <cfRule type="cellIs" dxfId="18371" priority="617" operator="greaterThan">
      <formula>V30</formula>
    </cfRule>
    <cfRule type="cellIs" dxfId="18370" priority="618" operator="equal">
      <formula>0</formula>
    </cfRule>
  </conditionalFormatting>
  <conditionalFormatting sqref="V30">
    <cfRule type="cellIs" dxfId="18369" priority="615" operator="greaterThan">
      <formula>V29</formula>
    </cfRule>
    <cfRule type="cellIs" dxfId="18368" priority="616" operator="equal">
      <formula>0</formula>
    </cfRule>
  </conditionalFormatting>
  <conditionalFormatting sqref="V33:V34 X33:X34">
    <cfRule type="cellIs" dxfId="18367" priority="614" operator="equal">
      <formula>0</formula>
    </cfRule>
  </conditionalFormatting>
  <conditionalFormatting sqref="V34">
    <cfRule type="cellIs" dxfId="18366" priority="612" operator="greaterThan">
      <formula>V33</formula>
    </cfRule>
    <cfRule type="cellIs" dxfId="18365" priority="613" operator="equal">
      <formula>0</formula>
    </cfRule>
  </conditionalFormatting>
  <conditionalFormatting sqref="V33">
    <cfRule type="cellIs" dxfId="18364" priority="610" operator="greaterThan">
      <formula>V32</formula>
    </cfRule>
    <cfRule type="cellIs" dxfId="18363" priority="611" operator="equal">
      <formula>0</formula>
    </cfRule>
  </conditionalFormatting>
  <conditionalFormatting sqref="V36:V37 X36:X37">
    <cfRule type="cellIs" dxfId="18362" priority="609" operator="equal">
      <formula>0</formula>
    </cfRule>
  </conditionalFormatting>
  <conditionalFormatting sqref="V37">
    <cfRule type="cellIs" dxfId="18361" priority="607" operator="greaterThan">
      <formula>V36</formula>
    </cfRule>
    <cfRule type="cellIs" dxfId="18360" priority="608" operator="equal">
      <formula>0</formula>
    </cfRule>
  </conditionalFormatting>
  <conditionalFormatting sqref="V36">
    <cfRule type="cellIs" dxfId="18359" priority="605" operator="greaterThan">
      <formula>V35</formula>
    </cfRule>
    <cfRule type="cellIs" dxfId="18358" priority="606" operator="equal">
      <formula>0</formula>
    </cfRule>
  </conditionalFormatting>
  <conditionalFormatting sqref="V16">
    <cfRule type="cellIs" dxfId="18357" priority="603" operator="greaterThan">
      <formula>V15</formula>
    </cfRule>
    <cfRule type="cellIs" dxfId="18356" priority="604" operator="equal">
      <formula>0</formula>
    </cfRule>
  </conditionalFormatting>
  <conditionalFormatting sqref="V15">
    <cfRule type="cellIs" dxfId="18355" priority="601" operator="greaterThan">
      <formula>V14</formula>
    </cfRule>
    <cfRule type="cellIs" dxfId="18354" priority="602" operator="equal">
      <formula>0</formula>
    </cfRule>
  </conditionalFormatting>
  <conditionalFormatting sqref="V16">
    <cfRule type="cellIs" dxfId="18353" priority="599" operator="greaterThan">
      <formula>V15</formula>
    </cfRule>
    <cfRule type="cellIs" dxfId="18352" priority="600" operator="equal">
      <formula>0</formula>
    </cfRule>
  </conditionalFormatting>
  <conditionalFormatting sqref="V15">
    <cfRule type="cellIs" dxfId="18351" priority="597" operator="greaterThan">
      <formula>V14</formula>
    </cfRule>
    <cfRule type="cellIs" dxfId="18350" priority="598" operator="equal">
      <formula>0</formula>
    </cfRule>
  </conditionalFormatting>
  <conditionalFormatting sqref="V19">
    <cfRule type="cellIs" dxfId="18349" priority="595" operator="greaterThan">
      <formula>V18</formula>
    </cfRule>
    <cfRule type="cellIs" dxfId="18348" priority="596" operator="equal">
      <formula>0</formula>
    </cfRule>
  </conditionalFormatting>
  <conditionalFormatting sqref="V18">
    <cfRule type="cellIs" dxfId="18347" priority="593" operator="greaterThan">
      <formula>V17</formula>
    </cfRule>
    <cfRule type="cellIs" dxfId="18346" priority="594" operator="equal">
      <formula>0</formula>
    </cfRule>
  </conditionalFormatting>
  <conditionalFormatting sqref="V19">
    <cfRule type="cellIs" dxfId="18345" priority="591" operator="greaterThan">
      <formula>V18</formula>
    </cfRule>
    <cfRule type="cellIs" dxfId="18344" priority="592" operator="equal">
      <formula>0</formula>
    </cfRule>
  </conditionalFormatting>
  <conditionalFormatting sqref="V18">
    <cfRule type="cellIs" dxfId="18343" priority="589" operator="greaterThan">
      <formula>V17</formula>
    </cfRule>
    <cfRule type="cellIs" dxfId="18342" priority="590" operator="equal">
      <formula>0</formula>
    </cfRule>
  </conditionalFormatting>
  <conditionalFormatting sqref="V19">
    <cfRule type="cellIs" dxfId="18341" priority="587" operator="greaterThan">
      <formula>V18</formula>
    </cfRule>
    <cfRule type="cellIs" dxfId="18340" priority="588" operator="equal">
      <formula>0</formula>
    </cfRule>
  </conditionalFormatting>
  <conditionalFormatting sqref="V18">
    <cfRule type="cellIs" dxfId="18339" priority="585" operator="greaterThan">
      <formula>V17</formula>
    </cfRule>
    <cfRule type="cellIs" dxfId="18338" priority="586" operator="equal">
      <formula>0</formula>
    </cfRule>
  </conditionalFormatting>
  <conditionalFormatting sqref="V19">
    <cfRule type="cellIs" dxfId="18337" priority="583" operator="greaterThan">
      <formula>V18</formula>
    </cfRule>
    <cfRule type="cellIs" dxfId="18336" priority="584" operator="equal">
      <formula>0</formula>
    </cfRule>
  </conditionalFormatting>
  <conditionalFormatting sqref="V18">
    <cfRule type="cellIs" dxfId="18335" priority="581" operator="greaterThan">
      <formula>V17</formula>
    </cfRule>
    <cfRule type="cellIs" dxfId="18334" priority="582" operator="equal">
      <formula>0</formula>
    </cfRule>
  </conditionalFormatting>
  <conditionalFormatting sqref="V22">
    <cfRule type="cellIs" dxfId="18333" priority="579" operator="greaterThan">
      <formula>V21</formula>
    </cfRule>
    <cfRule type="cellIs" dxfId="18332" priority="580" operator="equal">
      <formula>0</formula>
    </cfRule>
  </conditionalFormatting>
  <conditionalFormatting sqref="V21">
    <cfRule type="cellIs" dxfId="18331" priority="577" operator="greaterThan">
      <formula>V20</formula>
    </cfRule>
    <cfRule type="cellIs" dxfId="18330" priority="578" operator="equal">
      <formula>0</formula>
    </cfRule>
  </conditionalFormatting>
  <conditionalFormatting sqref="V22">
    <cfRule type="cellIs" dxfId="18329" priority="575" operator="greaterThan">
      <formula>V21</formula>
    </cfRule>
    <cfRule type="cellIs" dxfId="18328" priority="576" operator="equal">
      <formula>0</formula>
    </cfRule>
  </conditionalFormatting>
  <conditionalFormatting sqref="V21">
    <cfRule type="cellIs" dxfId="18327" priority="573" operator="greaterThan">
      <formula>V20</formula>
    </cfRule>
    <cfRule type="cellIs" dxfId="18326" priority="574" operator="equal">
      <formula>0</formula>
    </cfRule>
  </conditionalFormatting>
  <conditionalFormatting sqref="V22">
    <cfRule type="cellIs" dxfId="18325" priority="571" operator="greaterThan">
      <formula>V21</formula>
    </cfRule>
    <cfRule type="cellIs" dxfId="18324" priority="572" operator="equal">
      <formula>0</formula>
    </cfRule>
  </conditionalFormatting>
  <conditionalFormatting sqref="V21">
    <cfRule type="cellIs" dxfId="18323" priority="569" operator="greaterThan">
      <formula>V20</formula>
    </cfRule>
    <cfRule type="cellIs" dxfId="18322" priority="570" operator="equal">
      <formula>0</formula>
    </cfRule>
  </conditionalFormatting>
  <conditionalFormatting sqref="V22">
    <cfRule type="cellIs" dxfId="18321" priority="567" operator="greaterThan">
      <formula>V21</formula>
    </cfRule>
    <cfRule type="cellIs" dxfId="18320" priority="568" operator="equal">
      <formula>0</formula>
    </cfRule>
  </conditionalFormatting>
  <conditionalFormatting sqref="V21">
    <cfRule type="cellIs" dxfId="18319" priority="565" operator="greaterThan">
      <formula>V20</formula>
    </cfRule>
    <cfRule type="cellIs" dxfId="18318" priority="566" operator="equal">
      <formula>0</formula>
    </cfRule>
  </conditionalFormatting>
  <conditionalFormatting sqref="V22">
    <cfRule type="cellIs" dxfId="18317" priority="563" operator="greaterThan">
      <formula>V21</formula>
    </cfRule>
    <cfRule type="cellIs" dxfId="18316" priority="564" operator="equal">
      <formula>0</formula>
    </cfRule>
  </conditionalFormatting>
  <conditionalFormatting sqref="V21">
    <cfRule type="cellIs" dxfId="18315" priority="561" operator="greaterThan">
      <formula>V20</formula>
    </cfRule>
    <cfRule type="cellIs" dxfId="18314" priority="562" operator="equal">
      <formula>0</formula>
    </cfRule>
  </conditionalFormatting>
  <conditionalFormatting sqref="V22">
    <cfRule type="cellIs" dxfId="18313" priority="559" operator="greaterThan">
      <formula>V21</formula>
    </cfRule>
    <cfRule type="cellIs" dxfId="18312" priority="560" operator="equal">
      <formula>0</formula>
    </cfRule>
  </conditionalFormatting>
  <conditionalFormatting sqref="V21">
    <cfRule type="cellIs" dxfId="18311" priority="557" operator="greaterThan">
      <formula>V20</formula>
    </cfRule>
    <cfRule type="cellIs" dxfId="18310" priority="558" operator="equal">
      <formula>0</formula>
    </cfRule>
  </conditionalFormatting>
  <conditionalFormatting sqref="V24">
    <cfRule type="cellIs" dxfId="18309" priority="555" operator="greaterThan">
      <formula>V23</formula>
    </cfRule>
    <cfRule type="cellIs" dxfId="18308" priority="556" operator="equal">
      <formula>0</formula>
    </cfRule>
  </conditionalFormatting>
  <conditionalFormatting sqref="V25">
    <cfRule type="cellIs" dxfId="18307" priority="553" operator="greaterThan">
      <formula>V24</formula>
    </cfRule>
    <cfRule type="cellIs" dxfId="18306" priority="554" operator="equal">
      <formula>0</formula>
    </cfRule>
  </conditionalFormatting>
  <conditionalFormatting sqref="V24">
    <cfRule type="cellIs" dxfId="18305" priority="551" operator="greaterThan">
      <formula>V23</formula>
    </cfRule>
    <cfRule type="cellIs" dxfId="18304" priority="552" operator="equal">
      <formula>0</formula>
    </cfRule>
  </conditionalFormatting>
  <conditionalFormatting sqref="V25">
    <cfRule type="cellIs" dxfId="18303" priority="549" operator="greaterThan">
      <formula>V24</formula>
    </cfRule>
    <cfRule type="cellIs" dxfId="18302" priority="550" operator="equal">
      <formula>0</formula>
    </cfRule>
  </conditionalFormatting>
  <conditionalFormatting sqref="V24">
    <cfRule type="cellIs" dxfId="18301" priority="547" operator="greaterThan">
      <formula>V23</formula>
    </cfRule>
    <cfRule type="cellIs" dxfId="18300" priority="548" operator="equal">
      <formula>0</formula>
    </cfRule>
  </conditionalFormatting>
  <conditionalFormatting sqref="V25">
    <cfRule type="cellIs" dxfId="18299" priority="545" operator="greaterThan">
      <formula>V24</formula>
    </cfRule>
    <cfRule type="cellIs" dxfId="18298" priority="546" operator="equal">
      <formula>0</formula>
    </cfRule>
  </conditionalFormatting>
  <conditionalFormatting sqref="V24">
    <cfRule type="cellIs" dxfId="18297" priority="543" operator="greaterThan">
      <formula>V23</formula>
    </cfRule>
    <cfRule type="cellIs" dxfId="18296" priority="544" operator="equal">
      <formula>0</formula>
    </cfRule>
  </conditionalFormatting>
  <conditionalFormatting sqref="V25">
    <cfRule type="cellIs" dxfId="18295" priority="541" operator="greaterThan">
      <formula>V24</formula>
    </cfRule>
    <cfRule type="cellIs" dxfId="18294" priority="542" operator="equal">
      <formula>0</formula>
    </cfRule>
  </conditionalFormatting>
  <conditionalFormatting sqref="V24">
    <cfRule type="cellIs" dxfId="18293" priority="539" operator="greaterThan">
      <formula>V23</formula>
    </cfRule>
    <cfRule type="cellIs" dxfId="18292" priority="540" operator="equal">
      <formula>0</formula>
    </cfRule>
  </conditionalFormatting>
  <conditionalFormatting sqref="V25">
    <cfRule type="cellIs" dxfId="18291" priority="537" operator="greaterThan">
      <formula>V24</formula>
    </cfRule>
    <cfRule type="cellIs" dxfId="18290" priority="538" operator="equal">
      <formula>0</formula>
    </cfRule>
  </conditionalFormatting>
  <conditionalFormatting sqref="V24">
    <cfRule type="cellIs" dxfId="18289" priority="535" operator="greaterThan">
      <formula>V23</formula>
    </cfRule>
    <cfRule type="cellIs" dxfId="18288" priority="536" operator="equal">
      <formula>0</formula>
    </cfRule>
  </conditionalFormatting>
  <conditionalFormatting sqref="V25">
    <cfRule type="cellIs" dxfId="18287" priority="533" operator="greaterThan">
      <formula>V24</formula>
    </cfRule>
    <cfRule type="cellIs" dxfId="18286" priority="534" operator="equal">
      <formula>0</formula>
    </cfRule>
  </conditionalFormatting>
  <conditionalFormatting sqref="V24">
    <cfRule type="cellIs" dxfId="18285" priority="531" operator="greaterThan">
      <formula>V23</formula>
    </cfRule>
    <cfRule type="cellIs" dxfId="18284" priority="532" operator="equal">
      <formula>0</formula>
    </cfRule>
  </conditionalFormatting>
  <conditionalFormatting sqref="V25">
    <cfRule type="cellIs" dxfId="18283" priority="529" operator="greaterThan">
      <formula>V24</formula>
    </cfRule>
    <cfRule type="cellIs" dxfId="18282" priority="530" operator="equal">
      <formula>0</formula>
    </cfRule>
  </conditionalFormatting>
  <conditionalFormatting sqref="V24">
    <cfRule type="cellIs" dxfId="18281" priority="527" operator="greaterThan">
      <formula>V23</formula>
    </cfRule>
    <cfRule type="cellIs" dxfId="18280" priority="528" operator="equal">
      <formula>0</formula>
    </cfRule>
  </conditionalFormatting>
  <conditionalFormatting sqref="V27:V28">
    <cfRule type="cellIs" dxfId="18279" priority="525" operator="greaterThan">
      <formula>V26</formula>
    </cfRule>
    <cfRule type="cellIs" dxfId="18278" priority="526" operator="equal">
      <formula>0</formula>
    </cfRule>
  </conditionalFormatting>
  <conditionalFormatting sqref="V27">
    <cfRule type="cellIs" dxfId="18277" priority="523" operator="greaterThan">
      <formula>V26</formula>
    </cfRule>
    <cfRule type="cellIs" dxfId="18276" priority="524" operator="equal">
      <formula>0</formula>
    </cfRule>
  </conditionalFormatting>
  <conditionalFormatting sqref="V28">
    <cfRule type="cellIs" dxfId="18275" priority="521" operator="greaterThan">
      <formula>V27</formula>
    </cfRule>
    <cfRule type="cellIs" dxfId="18274" priority="522" operator="equal">
      <formula>0</formula>
    </cfRule>
  </conditionalFormatting>
  <conditionalFormatting sqref="V27">
    <cfRule type="cellIs" dxfId="18273" priority="519" operator="greaterThan">
      <formula>V26</formula>
    </cfRule>
    <cfRule type="cellIs" dxfId="18272" priority="520" operator="equal">
      <formula>0</formula>
    </cfRule>
  </conditionalFormatting>
  <conditionalFormatting sqref="V27">
    <cfRule type="cellIs" dxfId="18271" priority="517" operator="greaterThan">
      <formula>V26</formula>
    </cfRule>
    <cfRule type="cellIs" dxfId="18270" priority="518" operator="equal">
      <formula>0</formula>
    </cfRule>
  </conditionalFormatting>
  <conditionalFormatting sqref="V28">
    <cfRule type="cellIs" dxfId="18269" priority="515" operator="greaterThan">
      <formula>V27</formula>
    </cfRule>
    <cfRule type="cellIs" dxfId="18268" priority="516" operator="equal">
      <formula>0</formula>
    </cfRule>
  </conditionalFormatting>
  <conditionalFormatting sqref="V27">
    <cfRule type="cellIs" dxfId="18267" priority="513" operator="greaterThan">
      <formula>V26</formula>
    </cfRule>
    <cfRule type="cellIs" dxfId="18266" priority="514" operator="equal">
      <formula>0</formula>
    </cfRule>
  </conditionalFormatting>
  <conditionalFormatting sqref="V28">
    <cfRule type="cellIs" dxfId="18265" priority="511" operator="greaterThan">
      <formula>V27</formula>
    </cfRule>
    <cfRule type="cellIs" dxfId="18264" priority="512" operator="equal">
      <formula>0</formula>
    </cfRule>
  </conditionalFormatting>
  <conditionalFormatting sqref="V27">
    <cfRule type="cellIs" dxfId="18263" priority="509" operator="greaterThan">
      <formula>V26</formula>
    </cfRule>
    <cfRule type="cellIs" dxfId="18262" priority="510" operator="equal">
      <formula>0</formula>
    </cfRule>
  </conditionalFormatting>
  <conditionalFormatting sqref="V28">
    <cfRule type="cellIs" dxfId="18261" priority="507" operator="greaterThan">
      <formula>V27</formula>
    </cfRule>
    <cfRule type="cellIs" dxfId="18260" priority="508" operator="equal">
      <formula>0</formula>
    </cfRule>
  </conditionalFormatting>
  <conditionalFormatting sqref="V27">
    <cfRule type="cellIs" dxfId="18259" priority="505" operator="greaterThan">
      <formula>V26</formula>
    </cfRule>
    <cfRule type="cellIs" dxfId="18258" priority="506" operator="equal">
      <formula>0</formula>
    </cfRule>
  </conditionalFormatting>
  <conditionalFormatting sqref="V28">
    <cfRule type="cellIs" dxfId="18257" priority="503" operator="greaterThan">
      <formula>V27</formula>
    </cfRule>
    <cfRule type="cellIs" dxfId="18256" priority="504" operator="equal">
      <formula>0</formula>
    </cfRule>
  </conditionalFormatting>
  <conditionalFormatting sqref="V27">
    <cfRule type="cellIs" dxfId="18255" priority="501" operator="greaterThan">
      <formula>V26</formula>
    </cfRule>
    <cfRule type="cellIs" dxfId="18254" priority="502" operator="equal">
      <formula>0</formula>
    </cfRule>
  </conditionalFormatting>
  <conditionalFormatting sqref="V28">
    <cfRule type="cellIs" dxfId="18253" priority="499" operator="greaterThan">
      <formula>V27</formula>
    </cfRule>
    <cfRule type="cellIs" dxfId="18252" priority="500" operator="equal">
      <formula>0</formula>
    </cfRule>
  </conditionalFormatting>
  <conditionalFormatting sqref="V27">
    <cfRule type="cellIs" dxfId="18251" priority="497" operator="greaterThan">
      <formula>V26</formula>
    </cfRule>
    <cfRule type="cellIs" dxfId="18250" priority="498" operator="equal">
      <formula>0</formula>
    </cfRule>
  </conditionalFormatting>
  <conditionalFormatting sqref="V28">
    <cfRule type="cellIs" dxfId="18249" priority="495" operator="greaterThan">
      <formula>V27</formula>
    </cfRule>
    <cfRule type="cellIs" dxfId="18248" priority="496" operator="equal">
      <formula>0</formula>
    </cfRule>
  </conditionalFormatting>
  <conditionalFormatting sqref="V27">
    <cfRule type="cellIs" dxfId="18247" priority="493" operator="greaterThan">
      <formula>V26</formula>
    </cfRule>
    <cfRule type="cellIs" dxfId="18246" priority="494" operator="equal">
      <formula>0</formula>
    </cfRule>
  </conditionalFormatting>
  <conditionalFormatting sqref="V28">
    <cfRule type="cellIs" dxfId="18245" priority="491" operator="greaterThan">
      <formula>V27</formula>
    </cfRule>
    <cfRule type="cellIs" dxfId="18244" priority="492" operator="equal">
      <formula>0</formula>
    </cfRule>
  </conditionalFormatting>
  <conditionalFormatting sqref="V27">
    <cfRule type="cellIs" dxfId="18243" priority="489" operator="greaterThan">
      <formula>V26</formula>
    </cfRule>
    <cfRule type="cellIs" dxfId="18242" priority="490" operator="equal">
      <formula>0</formula>
    </cfRule>
  </conditionalFormatting>
  <conditionalFormatting sqref="V19">
    <cfRule type="cellIs" dxfId="18241" priority="487" operator="greaterThan">
      <formula>V18</formula>
    </cfRule>
    <cfRule type="cellIs" dxfId="18240" priority="488" operator="equal">
      <formula>0</formula>
    </cfRule>
  </conditionalFormatting>
  <conditionalFormatting sqref="V18">
    <cfRule type="cellIs" dxfId="18239" priority="485" operator="greaterThan">
      <formula>V17</formula>
    </cfRule>
    <cfRule type="cellIs" dxfId="18238" priority="486" operator="equal">
      <formula>0</formula>
    </cfRule>
  </conditionalFormatting>
  <conditionalFormatting sqref="V19">
    <cfRule type="cellIs" dxfId="18237" priority="483" operator="greaterThan">
      <formula>V18</formula>
    </cfRule>
    <cfRule type="cellIs" dxfId="18236" priority="484" operator="equal">
      <formula>0</formula>
    </cfRule>
  </conditionalFormatting>
  <conditionalFormatting sqref="V18">
    <cfRule type="cellIs" dxfId="18235" priority="481" operator="greaterThan">
      <formula>V17</formula>
    </cfRule>
    <cfRule type="cellIs" dxfId="18234" priority="482" operator="equal">
      <formula>0</formula>
    </cfRule>
  </conditionalFormatting>
  <conditionalFormatting sqref="V19">
    <cfRule type="cellIs" dxfId="18233" priority="479" operator="greaterThan">
      <formula>V18</formula>
    </cfRule>
    <cfRule type="cellIs" dxfId="18232" priority="480" operator="equal">
      <formula>0</formula>
    </cfRule>
  </conditionalFormatting>
  <conditionalFormatting sqref="V18">
    <cfRule type="cellIs" dxfId="18231" priority="477" operator="greaterThan">
      <formula>V17</formula>
    </cfRule>
    <cfRule type="cellIs" dxfId="18230" priority="478" operator="equal">
      <formula>0</formula>
    </cfRule>
  </conditionalFormatting>
  <conditionalFormatting sqref="V19">
    <cfRule type="cellIs" dxfId="18229" priority="475" operator="greaterThan">
      <formula>V18</formula>
    </cfRule>
    <cfRule type="cellIs" dxfId="18228" priority="476" operator="equal">
      <formula>0</formula>
    </cfRule>
  </conditionalFormatting>
  <conditionalFormatting sqref="V18">
    <cfRule type="cellIs" dxfId="18227" priority="473" operator="greaterThan">
      <formula>V17</formula>
    </cfRule>
    <cfRule type="cellIs" dxfId="18226" priority="474" operator="equal">
      <formula>0</formula>
    </cfRule>
  </conditionalFormatting>
  <conditionalFormatting sqref="V16">
    <cfRule type="cellIs" dxfId="18225" priority="471" operator="greaterThan">
      <formula>V15</formula>
    </cfRule>
    <cfRule type="cellIs" dxfId="18224" priority="472" operator="equal">
      <formula>0</formula>
    </cfRule>
  </conditionalFormatting>
  <conditionalFormatting sqref="V16">
    <cfRule type="cellIs" dxfId="18223" priority="469" operator="greaterThan">
      <formula>V15</formula>
    </cfRule>
    <cfRule type="cellIs" dxfId="18222" priority="470" operator="equal">
      <formula>0</formula>
    </cfRule>
  </conditionalFormatting>
  <conditionalFormatting sqref="V16">
    <cfRule type="cellIs" dxfId="18221" priority="467" operator="greaterThan">
      <formula>V15</formula>
    </cfRule>
    <cfRule type="cellIs" dxfId="18220" priority="468" operator="equal">
      <formula>0</formula>
    </cfRule>
  </conditionalFormatting>
  <conditionalFormatting sqref="V16">
    <cfRule type="cellIs" dxfId="18219" priority="465" operator="greaterThan">
      <formula>V15</formula>
    </cfRule>
    <cfRule type="cellIs" dxfId="18218" priority="466" operator="equal">
      <formula>0</formula>
    </cfRule>
  </conditionalFormatting>
  <conditionalFormatting sqref="V19">
    <cfRule type="cellIs" dxfId="18217" priority="463" operator="greaterThan">
      <formula>V18</formula>
    </cfRule>
    <cfRule type="cellIs" dxfId="18216" priority="464" operator="equal">
      <formula>0</formula>
    </cfRule>
  </conditionalFormatting>
  <conditionalFormatting sqref="V19">
    <cfRule type="cellIs" dxfId="18215" priority="461" operator="greaterThan">
      <formula>V18</formula>
    </cfRule>
    <cfRule type="cellIs" dxfId="18214" priority="462" operator="equal">
      <formula>0</formula>
    </cfRule>
  </conditionalFormatting>
  <conditionalFormatting sqref="V19">
    <cfRule type="cellIs" dxfId="18213" priority="459" operator="greaterThan">
      <formula>V18</formula>
    </cfRule>
    <cfRule type="cellIs" dxfId="18212" priority="460" operator="equal">
      <formula>0</formula>
    </cfRule>
  </conditionalFormatting>
  <conditionalFormatting sqref="V19">
    <cfRule type="cellIs" dxfId="18211" priority="457" operator="greaterThan">
      <formula>V18</formula>
    </cfRule>
    <cfRule type="cellIs" dxfId="18210" priority="458" operator="equal">
      <formula>0</formula>
    </cfRule>
  </conditionalFormatting>
  <conditionalFormatting sqref="V19">
    <cfRule type="cellIs" dxfId="18209" priority="455" operator="greaterThan">
      <formula>V18</formula>
    </cfRule>
    <cfRule type="cellIs" dxfId="18208" priority="456" operator="equal">
      <formula>0</formula>
    </cfRule>
  </conditionalFormatting>
  <conditionalFormatting sqref="V19">
    <cfRule type="cellIs" dxfId="18207" priority="453" operator="greaterThan">
      <formula>V18</formula>
    </cfRule>
    <cfRule type="cellIs" dxfId="18206" priority="454" operator="equal">
      <formula>0</formula>
    </cfRule>
  </conditionalFormatting>
  <conditionalFormatting sqref="V19">
    <cfRule type="cellIs" dxfId="18205" priority="451" operator="greaterThan">
      <formula>V18</formula>
    </cfRule>
    <cfRule type="cellIs" dxfId="18204" priority="452" operator="equal">
      <formula>0</formula>
    </cfRule>
  </conditionalFormatting>
  <conditionalFormatting sqref="V19">
    <cfRule type="cellIs" dxfId="18203" priority="449" operator="greaterThan">
      <formula>V18</formula>
    </cfRule>
    <cfRule type="cellIs" dxfId="18202" priority="450" operator="equal">
      <formula>0</formula>
    </cfRule>
  </conditionalFormatting>
  <conditionalFormatting sqref="V19">
    <cfRule type="cellIs" dxfId="18201" priority="447" operator="greaterThan">
      <formula>V18</formula>
    </cfRule>
    <cfRule type="cellIs" dxfId="18200" priority="448" operator="equal">
      <formula>0</formula>
    </cfRule>
  </conditionalFormatting>
  <conditionalFormatting sqref="V19">
    <cfRule type="cellIs" dxfId="18199" priority="445" operator="greaterThan">
      <formula>V18</formula>
    </cfRule>
    <cfRule type="cellIs" dxfId="18198" priority="446" operator="equal">
      <formula>0</formula>
    </cfRule>
  </conditionalFormatting>
  <conditionalFormatting sqref="V22">
    <cfRule type="cellIs" dxfId="18197" priority="443" operator="greaterThan">
      <formula>V21</formula>
    </cfRule>
    <cfRule type="cellIs" dxfId="18196" priority="444" operator="equal">
      <formula>0</formula>
    </cfRule>
  </conditionalFormatting>
  <conditionalFormatting sqref="V21">
    <cfRule type="cellIs" dxfId="18195" priority="441" operator="greaterThan">
      <formula>V20</formula>
    </cfRule>
    <cfRule type="cellIs" dxfId="18194" priority="442" operator="equal">
      <formula>0</formula>
    </cfRule>
  </conditionalFormatting>
  <conditionalFormatting sqref="V22">
    <cfRule type="cellIs" dxfId="18193" priority="439" operator="greaterThan">
      <formula>V21</formula>
    </cfRule>
    <cfRule type="cellIs" dxfId="18192" priority="440" operator="equal">
      <formula>0</formula>
    </cfRule>
  </conditionalFormatting>
  <conditionalFormatting sqref="V21">
    <cfRule type="cellIs" dxfId="18191" priority="437" operator="greaterThan">
      <formula>V20</formula>
    </cfRule>
    <cfRule type="cellIs" dxfId="18190" priority="438" operator="equal">
      <formula>0</formula>
    </cfRule>
  </conditionalFormatting>
  <conditionalFormatting sqref="V22">
    <cfRule type="cellIs" dxfId="18189" priority="435" operator="greaterThan">
      <formula>V21</formula>
    </cfRule>
    <cfRule type="cellIs" dxfId="18188" priority="436" operator="equal">
      <formula>0</formula>
    </cfRule>
  </conditionalFormatting>
  <conditionalFormatting sqref="V21">
    <cfRule type="cellIs" dxfId="18187" priority="433" operator="greaterThan">
      <formula>V20</formula>
    </cfRule>
    <cfRule type="cellIs" dxfId="18186" priority="434" operator="equal">
      <formula>0</formula>
    </cfRule>
  </conditionalFormatting>
  <conditionalFormatting sqref="V22">
    <cfRule type="cellIs" dxfId="18185" priority="431" operator="greaterThan">
      <formula>V21</formula>
    </cfRule>
    <cfRule type="cellIs" dxfId="18184" priority="432" operator="equal">
      <formula>0</formula>
    </cfRule>
  </conditionalFormatting>
  <conditionalFormatting sqref="V21">
    <cfRule type="cellIs" dxfId="18183" priority="429" operator="greaterThan">
      <formula>V20</formula>
    </cfRule>
    <cfRule type="cellIs" dxfId="18182" priority="430" operator="equal">
      <formula>0</formula>
    </cfRule>
  </conditionalFormatting>
  <conditionalFormatting sqref="V22">
    <cfRule type="cellIs" dxfId="18181" priority="427" operator="greaterThan">
      <formula>V21</formula>
    </cfRule>
    <cfRule type="cellIs" dxfId="18180" priority="428" operator="equal">
      <formula>0</formula>
    </cfRule>
  </conditionalFormatting>
  <conditionalFormatting sqref="V21">
    <cfRule type="cellIs" dxfId="18179" priority="425" operator="greaterThan">
      <formula>V20</formula>
    </cfRule>
    <cfRule type="cellIs" dxfId="18178" priority="426" operator="equal">
      <formula>0</formula>
    </cfRule>
  </conditionalFormatting>
  <conditionalFormatting sqref="V22">
    <cfRule type="cellIs" dxfId="18177" priority="423" operator="greaterThan">
      <formula>V21</formula>
    </cfRule>
    <cfRule type="cellIs" dxfId="18176" priority="424" operator="equal">
      <formula>0</formula>
    </cfRule>
  </conditionalFormatting>
  <conditionalFormatting sqref="V21">
    <cfRule type="cellIs" dxfId="18175" priority="421" operator="greaterThan">
      <formula>V20</formula>
    </cfRule>
    <cfRule type="cellIs" dxfId="18174" priority="422" operator="equal">
      <formula>0</formula>
    </cfRule>
  </conditionalFormatting>
  <conditionalFormatting sqref="V22">
    <cfRule type="cellIs" dxfId="18173" priority="419" operator="greaterThan">
      <formula>V21</formula>
    </cfRule>
    <cfRule type="cellIs" dxfId="18172" priority="420" operator="equal">
      <formula>0</formula>
    </cfRule>
  </conditionalFormatting>
  <conditionalFormatting sqref="V21">
    <cfRule type="cellIs" dxfId="18171" priority="417" operator="greaterThan">
      <formula>V20</formula>
    </cfRule>
    <cfRule type="cellIs" dxfId="18170" priority="418" operator="equal">
      <formula>0</formula>
    </cfRule>
  </conditionalFormatting>
  <conditionalFormatting sqref="V22">
    <cfRule type="cellIs" dxfId="18169" priority="415" operator="greaterThan">
      <formula>V21</formula>
    </cfRule>
    <cfRule type="cellIs" dxfId="18168" priority="416" operator="equal">
      <formula>0</formula>
    </cfRule>
  </conditionalFormatting>
  <conditionalFormatting sqref="V21">
    <cfRule type="cellIs" dxfId="18167" priority="413" operator="greaterThan">
      <formula>V20</formula>
    </cfRule>
    <cfRule type="cellIs" dxfId="18166" priority="414" operator="equal">
      <formula>0</formula>
    </cfRule>
  </conditionalFormatting>
  <conditionalFormatting sqref="V22">
    <cfRule type="cellIs" dxfId="18165" priority="411" operator="greaterThan">
      <formula>V21</formula>
    </cfRule>
    <cfRule type="cellIs" dxfId="18164" priority="412" operator="equal">
      <formula>0</formula>
    </cfRule>
  </conditionalFormatting>
  <conditionalFormatting sqref="V21">
    <cfRule type="cellIs" dxfId="18163" priority="409" operator="greaterThan">
      <formula>V20</formula>
    </cfRule>
    <cfRule type="cellIs" dxfId="18162" priority="410" operator="equal">
      <formula>0</formula>
    </cfRule>
  </conditionalFormatting>
  <conditionalFormatting sqref="V22">
    <cfRule type="cellIs" dxfId="18161" priority="407" operator="greaterThan">
      <formula>V21</formula>
    </cfRule>
    <cfRule type="cellIs" dxfId="18160" priority="408" operator="equal">
      <formula>0</formula>
    </cfRule>
  </conditionalFormatting>
  <conditionalFormatting sqref="V21">
    <cfRule type="cellIs" dxfId="18159" priority="405" operator="greaterThan">
      <formula>V20</formula>
    </cfRule>
    <cfRule type="cellIs" dxfId="18158" priority="406" operator="equal">
      <formula>0</formula>
    </cfRule>
  </conditionalFormatting>
  <conditionalFormatting sqref="V22">
    <cfRule type="cellIs" dxfId="18157" priority="403" operator="greaterThan">
      <formula>V21</formula>
    </cfRule>
    <cfRule type="cellIs" dxfId="18156" priority="404" operator="equal">
      <formula>0</formula>
    </cfRule>
  </conditionalFormatting>
  <conditionalFormatting sqref="V22">
    <cfRule type="cellIs" dxfId="18155" priority="401" operator="greaterThan">
      <formula>V21</formula>
    </cfRule>
    <cfRule type="cellIs" dxfId="18154" priority="402" operator="equal">
      <formula>0</formula>
    </cfRule>
  </conditionalFormatting>
  <conditionalFormatting sqref="V22">
    <cfRule type="cellIs" dxfId="18153" priority="399" operator="greaterThan">
      <formula>V21</formula>
    </cfRule>
    <cfRule type="cellIs" dxfId="18152" priority="400" operator="equal">
      <formula>0</formula>
    </cfRule>
  </conditionalFormatting>
  <conditionalFormatting sqref="V22">
    <cfRule type="cellIs" dxfId="18151" priority="397" operator="greaterThan">
      <formula>V21</formula>
    </cfRule>
    <cfRule type="cellIs" dxfId="18150" priority="398" operator="equal">
      <formula>0</formula>
    </cfRule>
  </conditionalFormatting>
  <conditionalFormatting sqref="V22">
    <cfRule type="cellIs" dxfId="18149" priority="395" operator="greaterThan">
      <formula>V21</formula>
    </cfRule>
    <cfRule type="cellIs" dxfId="18148" priority="396" operator="equal">
      <formula>0</formula>
    </cfRule>
  </conditionalFormatting>
  <conditionalFormatting sqref="V22">
    <cfRule type="cellIs" dxfId="18147" priority="393" operator="greaterThan">
      <formula>V21</formula>
    </cfRule>
    <cfRule type="cellIs" dxfId="18146" priority="394" operator="equal">
      <formula>0</formula>
    </cfRule>
  </conditionalFormatting>
  <conditionalFormatting sqref="V22">
    <cfRule type="cellIs" dxfId="18145" priority="391" operator="greaterThan">
      <formula>V21</formula>
    </cfRule>
    <cfRule type="cellIs" dxfId="18144" priority="392" operator="equal">
      <formula>0</formula>
    </cfRule>
  </conditionalFormatting>
  <conditionalFormatting sqref="V22">
    <cfRule type="cellIs" dxfId="18143" priority="389" operator="greaterThan">
      <formula>V21</formula>
    </cfRule>
    <cfRule type="cellIs" dxfId="18142" priority="390" operator="equal">
      <formula>0</formula>
    </cfRule>
  </conditionalFormatting>
  <conditionalFormatting sqref="V22">
    <cfRule type="cellIs" dxfId="18141" priority="387" operator="greaterThan">
      <formula>V21</formula>
    </cfRule>
    <cfRule type="cellIs" dxfId="18140" priority="388" operator="equal">
      <formula>0</formula>
    </cfRule>
  </conditionalFormatting>
  <conditionalFormatting sqref="V22">
    <cfRule type="cellIs" dxfId="18139" priority="385" operator="greaterThan">
      <formula>V21</formula>
    </cfRule>
    <cfRule type="cellIs" dxfId="18138" priority="386" operator="equal">
      <formula>0</formula>
    </cfRule>
  </conditionalFormatting>
  <conditionalFormatting sqref="V22">
    <cfRule type="cellIs" dxfId="18137" priority="383" operator="greaterThan">
      <formula>V21</formula>
    </cfRule>
    <cfRule type="cellIs" dxfId="18136" priority="384" operator="equal">
      <formula>0</formula>
    </cfRule>
  </conditionalFormatting>
  <conditionalFormatting sqref="V22">
    <cfRule type="cellIs" dxfId="18135" priority="381" operator="greaterThan">
      <formula>V21</formula>
    </cfRule>
    <cfRule type="cellIs" dxfId="18134" priority="382" operator="equal">
      <formula>0</formula>
    </cfRule>
  </conditionalFormatting>
  <conditionalFormatting sqref="V22">
    <cfRule type="cellIs" dxfId="18133" priority="379" operator="greaterThan">
      <formula>V21</formula>
    </cfRule>
    <cfRule type="cellIs" dxfId="18132" priority="380" operator="equal">
      <formula>0</formula>
    </cfRule>
  </conditionalFormatting>
  <conditionalFormatting sqref="V22">
    <cfRule type="cellIs" dxfId="18131" priority="377" operator="greaterThan">
      <formula>V21</formula>
    </cfRule>
    <cfRule type="cellIs" dxfId="18130" priority="378" operator="equal">
      <formula>0</formula>
    </cfRule>
  </conditionalFormatting>
  <conditionalFormatting sqref="V22">
    <cfRule type="cellIs" dxfId="18129" priority="375" operator="greaterThan">
      <formula>V21</formula>
    </cfRule>
    <cfRule type="cellIs" dxfId="18128" priority="376" operator="equal">
      <formula>0</formula>
    </cfRule>
  </conditionalFormatting>
  <conditionalFormatting sqref="V22">
    <cfRule type="cellIs" dxfId="18127" priority="373" operator="greaterThan">
      <formula>V21</formula>
    </cfRule>
    <cfRule type="cellIs" dxfId="18126" priority="374" operator="equal">
      <formula>0</formula>
    </cfRule>
  </conditionalFormatting>
  <conditionalFormatting sqref="V22">
    <cfRule type="cellIs" dxfId="18125" priority="371" operator="greaterThan">
      <formula>V21</formula>
    </cfRule>
    <cfRule type="cellIs" dxfId="18124" priority="372" operator="equal">
      <formula>0</formula>
    </cfRule>
  </conditionalFormatting>
  <conditionalFormatting sqref="V22">
    <cfRule type="cellIs" dxfId="18123" priority="369" operator="greaterThan">
      <formula>V21</formula>
    </cfRule>
    <cfRule type="cellIs" dxfId="18122" priority="370" operator="equal">
      <formula>0</formula>
    </cfRule>
  </conditionalFormatting>
  <conditionalFormatting sqref="V22">
    <cfRule type="cellIs" dxfId="18121" priority="367" operator="greaterThan">
      <formula>V21</formula>
    </cfRule>
    <cfRule type="cellIs" dxfId="18120" priority="368" operator="equal">
      <formula>0</formula>
    </cfRule>
  </conditionalFormatting>
  <conditionalFormatting sqref="V22">
    <cfRule type="cellIs" dxfId="18119" priority="365" operator="greaterThan">
      <formula>V21</formula>
    </cfRule>
    <cfRule type="cellIs" dxfId="18118" priority="366" operator="equal">
      <formula>0</formula>
    </cfRule>
  </conditionalFormatting>
  <conditionalFormatting sqref="V22">
    <cfRule type="cellIs" dxfId="18117" priority="363" operator="greaterThan">
      <formula>V21</formula>
    </cfRule>
    <cfRule type="cellIs" dxfId="18116" priority="364" operator="equal">
      <formula>0</formula>
    </cfRule>
  </conditionalFormatting>
  <conditionalFormatting sqref="V22">
    <cfRule type="cellIs" dxfId="18115" priority="361" operator="greaterThan">
      <formula>V21</formula>
    </cfRule>
    <cfRule type="cellIs" dxfId="18114" priority="362" operator="equal">
      <formula>0</formula>
    </cfRule>
  </conditionalFormatting>
  <conditionalFormatting sqref="V22">
    <cfRule type="cellIs" dxfId="18113" priority="359" operator="greaterThan">
      <formula>V21</formula>
    </cfRule>
    <cfRule type="cellIs" dxfId="18112" priority="360" operator="equal">
      <formula>0</formula>
    </cfRule>
  </conditionalFormatting>
  <conditionalFormatting sqref="V22">
    <cfRule type="cellIs" dxfId="18111" priority="357" operator="greaterThan">
      <formula>V21</formula>
    </cfRule>
    <cfRule type="cellIs" dxfId="18110" priority="358" operator="equal">
      <formula>0</formula>
    </cfRule>
  </conditionalFormatting>
  <conditionalFormatting sqref="V22">
    <cfRule type="cellIs" dxfId="18109" priority="355" operator="greaterThan">
      <formula>V21</formula>
    </cfRule>
    <cfRule type="cellIs" dxfId="18108" priority="356" operator="equal">
      <formula>0</formula>
    </cfRule>
  </conditionalFormatting>
  <conditionalFormatting sqref="V22">
    <cfRule type="cellIs" dxfId="18107" priority="353" operator="greaterThan">
      <formula>V21</formula>
    </cfRule>
    <cfRule type="cellIs" dxfId="18106" priority="354" operator="equal">
      <formula>0</formula>
    </cfRule>
  </conditionalFormatting>
  <conditionalFormatting sqref="V22">
    <cfRule type="cellIs" dxfId="18105" priority="351" operator="greaterThan">
      <formula>V21</formula>
    </cfRule>
    <cfRule type="cellIs" dxfId="18104" priority="352" operator="equal">
      <formula>0</formula>
    </cfRule>
  </conditionalFormatting>
  <conditionalFormatting sqref="V22">
    <cfRule type="cellIs" dxfId="18103" priority="349" operator="greaterThan">
      <formula>V21</formula>
    </cfRule>
    <cfRule type="cellIs" dxfId="18102" priority="350" operator="equal">
      <formula>0</formula>
    </cfRule>
  </conditionalFormatting>
  <conditionalFormatting sqref="V24">
    <cfRule type="cellIs" dxfId="18101" priority="347" operator="greaterThan">
      <formula>V23</formula>
    </cfRule>
    <cfRule type="cellIs" dxfId="18100" priority="348" operator="equal">
      <formula>0</formula>
    </cfRule>
  </conditionalFormatting>
  <conditionalFormatting sqref="V24">
    <cfRule type="cellIs" dxfId="18099" priority="345" operator="greaterThan">
      <formula>V23</formula>
    </cfRule>
    <cfRule type="cellIs" dxfId="18098" priority="346" operator="equal">
      <formula>0</formula>
    </cfRule>
  </conditionalFormatting>
  <conditionalFormatting sqref="V24">
    <cfRule type="cellIs" dxfId="18097" priority="343" operator="greaterThan">
      <formula>V23</formula>
    </cfRule>
    <cfRule type="cellIs" dxfId="18096" priority="344" operator="equal">
      <formula>0</formula>
    </cfRule>
  </conditionalFormatting>
  <conditionalFormatting sqref="V24">
    <cfRule type="cellIs" dxfId="18095" priority="341" operator="greaterThan">
      <formula>V23</formula>
    </cfRule>
    <cfRule type="cellIs" dxfId="18094" priority="342" operator="equal">
      <formula>0</formula>
    </cfRule>
  </conditionalFormatting>
  <conditionalFormatting sqref="V24">
    <cfRule type="cellIs" dxfId="18093" priority="339" operator="greaterThan">
      <formula>V23</formula>
    </cfRule>
    <cfRule type="cellIs" dxfId="18092" priority="340" operator="equal">
      <formula>0</formula>
    </cfRule>
  </conditionalFormatting>
  <conditionalFormatting sqref="V24">
    <cfRule type="cellIs" dxfId="18091" priority="337" operator="greaterThan">
      <formula>V23</formula>
    </cfRule>
    <cfRule type="cellIs" dxfId="18090" priority="338" operator="equal">
      <formula>0</formula>
    </cfRule>
  </conditionalFormatting>
  <conditionalFormatting sqref="V24">
    <cfRule type="cellIs" dxfId="18089" priority="335" operator="greaterThan">
      <formula>V23</formula>
    </cfRule>
    <cfRule type="cellIs" dxfId="18088" priority="336" operator="equal">
      <formula>0</formula>
    </cfRule>
  </conditionalFormatting>
  <conditionalFormatting sqref="V24">
    <cfRule type="cellIs" dxfId="18087" priority="333" operator="greaterThan">
      <formula>V23</formula>
    </cfRule>
    <cfRule type="cellIs" dxfId="18086" priority="334" operator="equal">
      <formula>0</formula>
    </cfRule>
  </conditionalFormatting>
  <conditionalFormatting sqref="V24">
    <cfRule type="cellIs" dxfId="18085" priority="331" operator="greaterThan">
      <formula>V23</formula>
    </cfRule>
    <cfRule type="cellIs" dxfId="18084" priority="332" operator="equal">
      <formula>0</formula>
    </cfRule>
  </conditionalFormatting>
  <conditionalFormatting sqref="V24">
    <cfRule type="cellIs" dxfId="18083" priority="329" operator="greaterThan">
      <formula>V23</formula>
    </cfRule>
    <cfRule type="cellIs" dxfId="18082" priority="330" operator="equal">
      <formula>0</formula>
    </cfRule>
  </conditionalFormatting>
  <conditionalFormatting sqref="V24">
    <cfRule type="cellIs" dxfId="18081" priority="327" operator="greaterThan">
      <formula>V23</formula>
    </cfRule>
    <cfRule type="cellIs" dxfId="18080" priority="328" operator="equal">
      <formula>0</formula>
    </cfRule>
  </conditionalFormatting>
  <conditionalFormatting sqref="V24">
    <cfRule type="cellIs" dxfId="18079" priority="325" operator="greaterThan">
      <formula>V23</formula>
    </cfRule>
    <cfRule type="cellIs" dxfId="18078" priority="326" operator="equal">
      <formula>0</formula>
    </cfRule>
  </conditionalFormatting>
  <conditionalFormatting sqref="V24">
    <cfRule type="cellIs" dxfId="18077" priority="323" operator="greaterThan">
      <formula>V23</formula>
    </cfRule>
    <cfRule type="cellIs" dxfId="18076" priority="324" operator="equal">
      <formula>0</formula>
    </cfRule>
  </conditionalFormatting>
  <conditionalFormatting sqref="V24">
    <cfRule type="cellIs" dxfId="18075" priority="321" operator="greaterThan">
      <formula>V23</formula>
    </cfRule>
    <cfRule type="cellIs" dxfId="18074" priority="322" operator="equal">
      <formula>0</formula>
    </cfRule>
  </conditionalFormatting>
  <conditionalFormatting sqref="V24">
    <cfRule type="cellIs" dxfId="18073" priority="319" operator="greaterThan">
      <formula>V23</formula>
    </cfRule>
    <cfRule type="cellIs" dxfId="18072" priority="320" operator="equal">
      <formula>0</formula>
    </cfRule>
  </conditionalFormatting>
  <conditionalFormatting sqref="V24">
    <cfRule type="cellIs" dxfId="18071" priority="317" operator="greaterThan">
      <formula>V23</formula>
    </cfRule>
    <cfRule type="cellIs" dxfId="18070" priority="318" operator="equal">
      <formula>0</formula>
    </cfRule>
  </conditionalFormatting>
  <conditionalFormatting sqref="V24">
    <cfRule type="cellIs" dxfId="18069" priority="315" operator="greaterThan">
      <formula>V23</formula>
    </cfRule>
    <cfRule type="cellIs" dxfId="18068" priority="316" operator="equal">
      <formula>0</formula>
    </cfRule>
  </conditionalFormatting>
  <conditionalFormatting sqref="V24">
    <cfRule type="cellIs" dxfId="18067" priority="313" operator="greaterThan">
      <formula>V23</formula>
    </cfRule>
    <cfRule type="cellIs" dxfId="18066" priority="314" operator="equal">
      <formula>0</formula>
    </cfRule>
  </conditionalFormatting>
  <conditionalFormatting sqref="V25">
    <cfRule type="cellIs" dxfId="18065" priority="311" operator="greaterThan">
      <formula>V24</formula>
    </cfRule>
    <cfRule type="cellIs" dxfId="18064" priority="312" operator="equal">
      <formula>0</formula>
    </cfRule>
  </conditionalFormatting>
  <conditionalFormatting sqref="V25">
    <cfRule type="cellIs" dxfId="18063" priority="309" operator="greaterThan">
      <formula>V24</formula>
    </cfRule>
    <cfRule type="cellIs" dxfId="18062" priority="310" operator="equal">
      <formula>0</formula>
    </cfRule>
  </conditionalFormatting>
  <conditionalFormatting sqref="V25">
    <cfRule type="cellIs" dxfId="18061" priority="307" operator="greaterThan">
      <formula>V24</formula>
    </cfRule>
    <cfRule type="cellIs" dxfId="18060" priority="308" operator="equal">
      <formula>0</formula>
    </cfRule>
  </conditionalFormatting>
  <conditionalFormatting sqref="V25">
    <cfRule type="cellIs" dxfId="18059" priority="305" operator="greaterThan">
      <formula>V24</formula>
    </cfRule>
    <cfRule type="cellIs" dxfId="18058" priority="306" operator="equal">
      <formula>0</formula>
    </cfRule>
  </conditionalFormatting>
  <conditionalFormatting sqref="V25">
    <cfRule type="cellIs" dxfId="18057" priority="303" operator="greaterThan">
      <formula>V24</formula>
    </cfRule>
    <cfRule type="cellIs" dxfId="18056" priority="304" operator="equal">
      <formula>0</formula>
    </cfRule>
  </conditionalFormatting>
  <conditionalFormatting sqref="V25">
    <cfRule type="cellIs" dxfId="18055" priority="301" operator="greaterThan">
      <formula>V24</formula>
    </cfRule>
    <cfRule type="cellIs" dxfId="18054" priority="302" operator="equal">
      <formula>0</formula>
    </cfRule>
  </conditionalFormatting>
  <conditionalFormatting sqref="V25">
    <cfRule type="cellIs" dxfId="18053" priority="299" operator="greaterThan">
      <formula>V24</formula>
    </cfRule>
    <cfRule type="cellIs" dxfId="18052" priority="300" operator="equal">
      <formula>0</formula>
    </cfRule>
  </conditionalFormatting>
  <conditionalFormatting sqref="V25">
    <cfRule type="cellIs" dxfId="18051" priority="297" operator="greaterThan">
      <formula>V24</formula>
    </cfRule>
    <cfRule type="cellIs" dxfId="18050" priority="298" operator="equal">
      <formula>0</formula>
    </cfRule>
  </conditionalFormatting>
  <conditionalFormatting sqref="V25">
    <cfRule type="cellIs" dxfId="18049" priority="295" operator="greaterThan">
      <formula>V24</formula>
    </cfRule>
    <cfRule type="cellIs" dxfId="18048" priority="296" operator="equal">
      <formula>0</formula>
    </cfRule>
  </conditionalFormatting>
  <conditionalFormatting sqref="V25">
    <cfRule type="cellIs" dxfId="18047" priority="293" operator="greaterThan">
      <formula>V24</formula>
    </cfRule>
    <cfRule type="cellIs" dxfId="18046" priority="294" operator="equal">
      <formula>0</formula>
    </cfRule>
  </conditionalFormatting>
  <conditionalFormatting sqref="V25">
    <cfRule type="cellIs" dxfId="18045" priority="291" operator="greaterThan">
      <formula>V24</formula>
    </cfRule>
    <cfRule type="cellIs" dxfId="18044" priority="292" operator="equal">
      <formula>0</formula>
    </cfRule>
  </conditionalFormatting>
  <conditionalFormatting sqref="V25">
    <cfRule type="cellIs" dxfId="18043" priority="289" operator="greaterThan">
      <formula>V24</formula>
    </cfRule>
    <cfRule type="cellIs" dxfId="18042" priority="290" operator="equal">
      <formula>0</formula>
    </cfRule>
  </conditionalFormatting>
  <conditionalFormatting sqref="V25">
    <cfRule type="cellIs" dxfId="18041" priority="287" operator="greaterThan">
      <formula>V24</formula>
    </cfRule>
    <cfRule type="cellIs" dxfId="18040" priority="288" operator="equal">
      <formula>0</formula>
    </cfRule>
  </conditionalFormatting>
  <conditionalFormatting sqref="V25">
    <cfRule type="cellIs" dxfId="18039" priority="285" operator="greaterThan">
      <formula>V24</formula>
    </cfRule>
    <cfRule type="cellIs" dxfId="18038" priority="286" operator="equal">
      <formula>0</formula>
    </cfRule>
  </conditionalFormatting>
  <conditionalFormatting sqref="V25">
    <cfRule type="cellIs" dxfId="18037" priority="283" operator="greaterThan">
      <formula>V24</formula>
    </cfRule>
    <cfRule type="cellIs" dxfId="18036" priority="284" operator="equal">
      <formula>0</formula>
    </cfRule>
  </conditionalFormatting>
  <conditionalFormatting sqref="V25">
    <cfRule type="cellIs" dxfId="18035" priority="281" operator="greaterThan">
      <formula>V24</formula>
    </cfRule>
    <cfRule type="cellIs" dxfId="18034" priority="282" operator="equal">
      <formula>0</formula>
    </cfRule>
  </conditionalFormatting>
  <conditionalFormatting sqref="V25">
    <cfRule type="cellIs" dxfId="18033" priority="279" operator="greaterThan">
      <formula>V24</formula>
    </cfRule>
    <cfRule type="cellIs" dxfId="18032" priority="280" operator="equal">
      <formula>0</formula>
    </cfRule>
  </conditionalFormatting>
  <conditionalFormatting sqref="V25">
    <cfRule type="cellIs" dxfId="18031" priority="277" operator="greaterThan">
      <formula>V24</formula>
    </cfRule>
    <cfRule type="cellIs" dxfId="18030" priority="278" operator="equal">
      <formula>0</formula>
    </cfRule>
  </conditionalFormatting>
  <conditionalFormatting sqref="V25">
    <cfRule type="cellIs" dxfId="18029" priority="275" operator="greaterThan">
      <formula>V24</formula>
    </cfRule>
    <cfRule type="cellIs" dxfId="18028" priority="276" operator="equal">
      <formula>0</formula>
    </cfRule>
  </conditionalFormatting>
  <conditionalFormatting sqref="V25">
    <cfRule type="cellIs" dxfId="18027" priority="273" operator="greaterThan">
      <formula>V24</formula>
    </cfRule>
    <cfRule type="cellIs" dxfId="18026" priority="274" operator="equal">
      <formula>0</formula>
    </cfRule>
  </conditionalFormatting>
  <conditionalFormatting sqref="V25">
    <cfRule type="cellIs" dxfId="18025" priority="271" operator="greaterThan">
      <formula>V24</formula>
    </cfRule>
    <cfRule type="cellIs" dxfId="18024" priority="272" operator="equal">
      <formula>0</formula>
    </cfRule>
  </conditionalFormatting>
  <conditionalFormatting sqref="V25">
    <cfRule type="cellIs" dxfId="18023" priority="269" operator="greaterThan">
      <formula>V24</formula>
    </cfRule>
    <cfRule type="cellIs" dxfId="18022" priority="270" operator="equal">
      <formula>0</formula>
    </cfRule>
  </conditionalFormatting>
  <conditionalFormatting sqref="V25">
    <cfRule type="cellIs" dxfId="18021" priority="267" operator="greaterThan">
      <formula>V24</formula>
    </cfRule>
    <cfRule type="cellIs" dxfId="18020" priority="268" operator="equal">
      <formula>0</formula>
    </cfRule>
  </conditionalFormatting>
  <conditionalFormatting sqref="V25">
    <cfRule type="cellIs" dxfId="18019" priority="265" operator="greaterThan">
      <formula>V24</formula>
    </cfRule>
    <cfRule type="cellIs" dxfId="18018" priority="266" operator="equal">
      <formula>0</formula>
    </cfRule>
  </conditionalFormatting>
  <conditionalFormatting sqref="V25">
    <cfRule type="cellIs" dxfId="18017" priority="263" operator="greaterThan">
      <formula>V24</formula>
    </cfRule>
    <cfRule type="cellIs" dxfId="18016" priority="264" operator="equal">
      <formula>0</formula>
    </cfRule>
  </conditionalFormatting>
  <conditionalFormatting sqref="V25">
    <cfRule type="cellIs" dxfId="18015" priority="261" operator="greaterThan">
      <formula>V24</formula>
    </cfRule>
    <cfRule type="cellIs" dxfId="18014" priority="262" operator="equal">
      <formula>0</formula>
    </cfRule>
  </conditionalFormatting>
  <conditionalFormatting sqref="V25">
    <cfRule type="cellIs" dxfId="18013" priority="259" operator="greaterThan">
      <formula>V24</formula>
    </cfRule>
    <cfRule type="cellIs" dxfId="18012" priority="260" operator="equal">
      <formula>0</formula>
    </cfRule>
  </conditionalFormatting>
  <conditionalFormatting sqref="V25">
    <cfRule type="cellIs" dxfId="18011" priority="257" operator="greaterThan">
      <formula>V24</formula>
    </cfRule>
    <cfRule type="cellIs" dxfId="18010" priority="258" operator="equal">
      <formula>0</formula>
    </cfRule>
  </conditionalFormatting>
  <conditionalFormatting sqref="V27">
    <cfRule type="cellIs" dxfId="18009" priority="255" operator="greaterThan">
      <formula>V26</formula>
    </cfRule>
    <cfRule type="cellIs" dxfId="18008" priority="256" operator="equal">
      <formula>0</formula>
    </cfRule>
  </conditionalFormatting>
  <conditionalFormatting sqref="V27">
    <cfRule type="cellIs" dxfId="18007" priority="253" operator="greaterThan">
      <formula>V26</formula>
    </cfRule>
    <cfRule type="cellIs" dxfId="18006" priority="254" operator="equal">
      <formula>0</formula>
    </cfRule>
  </conditionalFormatting>
  <conditionalFormatting sqref="V27">
    <cfRule type="cellIs" dxfId="18005" priority="251" operator="greaterThan">
      <formula>V26</formula>
    </cfRule>
    <cfRule type="cellIs" dxfId="18004" priority="252" operator="equal">
      <formula>0</formula>
    </cfRule>
  </conditionalFormatting>
  <conditionalFormatting sqref="V27">
    <cfRule type="cellIs" dxfId="18003" priority="249" operator="greaterThan">
      <formula>V26</formula>
    </cfRule>
    <cfRule type="cellIs" dxfId="18002" priority="250" operator="equal">
      <formula>0</formula>
    </cfRule>
  </conditionalFormatting>
  <conditionalFormatting sqref="V27">
    <cfRule type="cellIs" dxfId="18001" priority="247" operator="greaterThan">
      <formula>V26</formula>
    </cfRule>
    <cfRule type="cellIs" dxfId="18000" priority="248" operator="equal">
      <formula>0</formula>
    </cfRule>
  </conditionalFormatting>
  <conditionalFormatting sqref="V27">
    <cfRule type="cellIs" dxfId="17999" priority="245" operator="greaterThan">
      <formula>V26</formula>
    </cfRule>
    <cfRule type="cellIs" dxfId="17998" priority="246" operator="equal">
      <formula>0</formula>
    </cfRule>
  </conditionalFormatting>
  <conditionalFormatting sqref="V27">
    <cfRule type="cellIs" dxfId="17997" priority="243" operator="greaterThan">
      <formula>V26</formula>
    </cfRule>
    <cfRule type="cellIs" dxfId="17996" priority="244" operator="equal">
      <formula>0</formula>
    </cfRule>
  </conditionalFormatting>
  <conditionalFormatting sqref="V27">
    <cfRule type="cellIs" dxfId="17995" priority="241" operator="greaterThan">
      <formula>V26</formula>
    </cfRule>
    <cfRule type="cellIs" dxfId="17994" priority="242" operator="equal">
      <formula>0</formula>
    </cfRule>
  </conditionalFormatting>
  <conditionalFormatting sqref="V27">
    <cfRule type="cellIs" dxfId="17993" priority="239" operator="greaterThan">
      <formula>V26</formula>
    </cfRule>
    <cfRule type="cellIs" dxfId="17992" priority="240" operator="equal">
      <formula>0</formula>
    </cfRule>
  </conditionalFormatting>
  <conditionalFormatting sqref="V27">
    <cfRule type="cellIs" dxfId="17991" priority="237" operator="greaterThan">
      <formula>V26</formula>
    </cfRule>
    <cfRule type="cellIs" dxfId="17990" priority="238" operator="equal">
      <formula>0</formula>
    </cfRule>
  </conditionalFormatting>
  <conditionalFormatting sqref="V27">
    <cfRule type="cellIs" dxfId="17989" priority="235" operator="greaterThan">
      <formula>V26</formula>
    </cfRule>
    <cfRule type="cellIs" dxfId="17988" priority="236" operator="equal">
      <formula>0</formula>
    </cfRule>
  </conditionalFormatting>
  <conditionalFormatting sqref="V27">
    <cfRule type="cellIs" dxfId="17987" priority="233" operator="greaterThan">
      <formula>V26</formula>
    </cfRule>
    <cfRule type="cellIs" dxfId="17986" priority="234" operator="equal">
      <formula>0</formula>
    </cfRule>
  </conditionalFormatting>
  <conditionalFormatting sqref="V27">
    <cfRule type="cellIs" dxfId="17985" priority="231" operator="greaterThan">
      <formula>V26</formula>
    </cfRule>
    <cfRule type="cellIs" dxfId="17984" priority="232" operator="equal">
      <formula>0</formula>
    </cfRule>
  </conditionalFormatting>
  <conditionalFormatting sqref="V27">
    <cfRule type="cellIs" dxfId="17983" priority="229" operator="greaterThan">
      <formula>V26</formula>
    </cfRule>
    <cfRule type="cellIs" dxfId="17982" priority="230" operator="equal">
      <formula>0</formula>
    </cfRule>
  </conditionalFormatting>
  <conditionalFormatting sqref="V27">
    <cfRule type="cellIs" dxfId="17981" priority="227" operator="greaterThan">
      <formula>V26</formula>
    </cfRule>
    <cfRule type="cellIs" dxfId="17980" priority="228" operator="equal">
      <formula>0</formula>
    </cfRule>
  </conditionalFormatting>
  <conditionalFormatting sqref="V27">
    <cfRule type="cellIs" dxfId="17979" priority="225" operator="greaterThan">
      <formula>V26</formula>
    </cfRule>
    <cfRule type="cellIs" dxfId="17978" priority="226" operator="equal">
      <formula>0</formula>
    </cfRule>
  </conditionalFormatting>
  <conditionalFormatting sqref="V27">
    <cfRule type="cellIs" dxfId="17977" priority="223" operator="greaterThan">
      <formula>V26</formula>
    </cfRule>
    <cfRule type="cellIs" dxfId="17976" priority="224" operator="equal">
      <formula>0</formula>
    </cfRule>
  </conditionalFormatting>
  <conditionalFormatting sqref="V27">
    <cfRule type="cellIs" dxfId="17975" priority="221" operator="greaterThan">
      <formula>V26</formula>
    </cfRule>
    <cfRule type="cellIs" dxfId="17974" priority="222" operator="equal">
      <formula>0</formula>
    </cfRule>
  </conditionalFormatting>
  <conditionalFormatting sqref="V27">
    <cfRule type="cellIs" dxfId="17973" priority="219" operator="greaterThan">
      <formula>V26</formula>
    </cfRule>
    <cfRule type="cellIs" dxfId="17972" priority="220" operator="equal">
      <formula>0</formula>
    </cfRule>
  </conditionalFormatting>
  <conditionalFormatting sqref="V27">
    <cfRule type="cellIs" dxfId="17971" priority="217" operator="greaterThan">
      <formula>V26</formula>
    </cfRule>
    <cfRule type="cellIs" dxfId="17970" priority="218" operator="equal">
      <formula>0</formula>
    </cfRule>
  </conditionalFormatting>
  <conditionalFormatting sqref="V27">
    <cfRule type="cellIs" dxfId="17969" priority="215" operator="greaterThan">
      <formula>V26</formula>
    </cfRule>
    <cfRule type="cellIs" dxfId="17968" priority="216" operator="equal">
      <formula>0</formula>
    </cfRule>
  </conditionalFormatting>
  <conditionalFormatting sqref="V27">
    <cfRule type="cellIs" dxfId="17967" priority="213" operator="greaterThan">
      <formula>V26</formula>
    </cfRule>
    <cfRule type="cellIs" dxfId="17966" priority="214" operator="equal">
      <formula>0</formula>
    </cfRule>
  </conditionalFormatting>
  <conditionalFormatting sqref="V27">
    <cfRule type="cellIs" dxfId="17965" priority="211" operator="greaterThan">
      <formula>V26</formula>
    </cfRule>
    <cfRule type="cellIs" dxfId="17964" priority="212" operator="equal">
      <formula>0</formula>
    </cfRule>
  </conditionalFormatting>
  <conditionalFormatting sqref="V27">
    <cfRule type="cellIs" dxfId="17963" priority="209" operator="greaterThan">
      <formula>V26</formula>
    </cfRule>
    <cfRule type="cellIs" dxfId="17962" priority="210" operator="equal">
      <formula>0</formula>
    </cfRule>
  </conditionalFormatting>
  <conditionalFormatting sqref="V27">
    <cfRule type="cellIs" dxfId="17961" priority="207" operator="greaterThan">
      <formula>V26</formula>
    </cfRule>
    <cfRule type="cellIs" dxfId="17960" priority="208" operator="equal">
      <formula>0</formula>
    </cfRule>
  </conditionalFormatting>
  <conditionalFormatting sqref="V27">
    <cfRule type="cellIs" dxfId="17959" priority="205" operator="greaterThan">
      <formula>V26</formula>
    </cfRule>
    <cfRule type="cellIs" dxfId="17958" priority="206" operator="equal">
      <formula>0</formula>
    </cfRule>
  </conditionalFormatting>
  <conditionalFormatting sqref="V27">
    <cfRule type="cellIs" dxfId="17957" priority="203" operator="greaterThan">
      <formula>V26</formula>
    </cfRule>
    <cfRule type="cellIs" dxfId="17956" priority="204" operator="equal">
      <formula>0</formula>
    </cfRule>
  </conditionalFormatting>
  <conditionalFormatting sqref="V27">
    <cfRule type="cellIs" dxfId="17955" priority="201" operator="greaterThan">
      <formula>V26</formula>
    </cfRule>
    <cfRule type="cellIs" dxfId="17954" priority="202" operator="equal">
      <formula>0</formula>
    </cfRule>
  </conditionalFormatting>
  <conditionalFormatting sqref="V27">
    <cfRule type="cellIs" dxfId="17953" priority="199" operator="greaterThan">
      <formula>V26</formula>
    </cfRule>
    <cfRule type="cellIs" dxfId="17952" priority="200" operator="equal">
      <formula>0</formula>
    </cfRule>
  </conditionalFormatting>
  <conditionalFormatting sqref="V28">
    <cfRule type="cellIs" dxfId="17951" priority="197" operator="greaterThan">
      <formula>V27</formula>
    </cfRule>
    <cfRule type="cellIs" dxfId="17950" priority="198" operator="equal">
      <formula>0</formula>
    </cfRule>
  </conditionalFormatting>
  <conditionalFormatting sqref="V28">
    <cfRule type="cellIs" dxfId="17949" priority="195" operator="greaterThan">
      <formula>V27</formula>
    </cfRule>
    <cfRule type="cellIs" dxfId="17948" priority="196" operator="equal">
      <formula>0</formula>
    </cfRule>
  </conditionalFormatting>
  <conditionalFormatting sqref="V28">
    <cfRule type="cellIs" dxfId="17947" priority="193" operator="greaterThan">
      <formula>V27</formula>
    </cfRule>
    <cfRule type="cellIs" dxfId="17946" priority="194" operator="equal">
      <formula>0</formula>
    </cfRule>
  </conditionalFormatting>
  <conditionalFormatting sqref="V28">
    <cfRule type="cellIs" dxfId="17945" priority="191" operator="greaterThan">
      <formula>V27</formula>
    </cfRule>
    <cfRule type="cellIs" dxfId="17944" priority="192" operator="equal">
      <formula>0</formula>
    </cfRule>
  </conditionalFormatting>
  <conditionalFormatting sqref="V28">
    <cfRule type="cellIs" dxfId="17943" priority="189" operator="greaterThan">
      <formula>V27</formula>
    </cfRule>
    <cfRule type="cellIs" dxfId="17942" priority="190" operator="equal">
      <formula>0</formula>
    </cfRule>
  </conditionalFormatting>
  <conditionalFormatting sqref="V28">
    <cfRule type="cellIs" dxfId="17941" priority="187" operator="greaterThan">
      <formula>V27</formula>
    </cfRule>
    <cfRule type="cellIs" dxfId="17940" priority="188" operator="equal">
      <formula>0</formula>
    </cfRule>
  </conditionalFormatting>
  <conditionalFormatting sqref="V28">
    <cfRule type="cellIs" dxfId="17939" priority="185" operator="greaterThan">
      <formula>V27</formula>
    </cfRule>
    <cfRule type="cellIs" dxfId="17938" priority="186" operator="equal">
      <formula>0</formula>
    </cfRule>
  </conditionalFormatting>
  <conditionalFormatting sqref="V28">
    <cfRule type="cellIs" dxfId="17937" priority="183" operator="greaterThan">
      <formula>V27</formula>
    </cfRule>
    <cfRule type="cellIs" dxfId="17936" priority="184" operator="equal">
      <formula>0</formula>
    </cfRule>
  </conditionalFormatting>
  <conditionalFormatting sqref="V28">
    <cfRule type="cellIs" dxfId="17935" priority="181" operator="greaterThan">
      <formula>V27</formula>
    </cfRule>
    <cfRule type="cellIs" dxfId="17934" priority="182" operator="equal">
      <formula>0</formula>
    </cfRule>
  </conditionalFormatting>
  <conditionalFormatting sqref="V28">
    <cfRule type="cellIs" dxfId="17933" priority="179" operator="greaterThan">
      <formula>V27</formula>
    </cfRule>
    <cfRule type="cellIs" dxfId="17932" priority="180" operator="equal">
      <formula>0</formula>
    </cfRule>
  </conditionalFormatting>
  <conditionalFormatting sqref="V28">
    <cfRule type="cellIs" dxfId="17931" priority="177" operator="greaterThan">
      <formula>V27</formula>
    </cfRule>
    <cfRule type="cellIs" dxfId="17930" priority="178" operator="equal">
      <formula>0</formula>
    </cfRule>
  </conditionalFormatting>
  <conditionalFormatting sqref="V28">
    <cfRule type="cellIs" dxfId="17929" priority="175" operator="greaterThan">
      <formula>V27</formula>
    </cfRule>
    <cfRule type="cellIs" dxfId="17928" priority="176" operator="equal">
      <formula>0</formula>
    </cfRule>
  </conditionalFormatting>
  <conditionalFormatting sqref="V28">
    <cfRule type="cellIs" dxfId="17927" priority="173" operator="greaterThan">
      <formula>V27</formula>
    </cfRule>
    <cfRule type="cellIs" dxfId="17926" priority="174" operator="equal">
      <formula>0</formula>
    </cfRule>
  </conditionalFormatting>
  <conditionalFormatting sqref="V28">
    <cfRule type="cellIs" dxfId="17925" priority="171" operator="greaterThan">
      <formula>V27</formula>
    </cfRule>
    <cfRule type="cellIs" dxfId="17924" priority="172" operator="equal">
      <formula>0</formula>
    </cfRule>
  </conditionalFormatting>
  <conditionalFormatting sqref="V28">
    <cfRule type="cellIs" dxfId="17923" priority="169" operator="greaterThan">
      <formula>V27</formula>
    </cfRule>
    <cfRule type="cellIs" dxfId="17922" priority="170" operator="equal">
      <formula>0</formula>
    </cfRule>
  </conditionalFormatting>
  <conditionalFormatting sqref="V28">
    <cfRule type="cellIs" dxfId="17921" priority="167" operator="greaterThan">
      <formula>V27</formula>
    </cfRule>
    <cfRule type="cellIs" dxfId="17920" priority="168" operator="equal">
      <formula>0</formula>
    </cfRule>
  </conditionalFormatting>
  <conditionalFormatting sqref="V28">
    <cfRule type="cellIs" dxfId="17919" priority="165" operator="greaterThan">
      <formula>V27</formula>
    </cfRule>
    <cfRule type="cellIs" dxfId="17918" priority="166" operator="equal">
      <formula>0</formula>
    </cfRule>
  </conditionalFormatting>
  <conditionalFormatting sqref="V28">
    <cfRule type="cellIs" dxfId="17917" priority="163" operator="greaterThan">
      <formula>V27</formula>
    </cfRule>
    <cfRule type="cellIs" dxfId="17916" priority="164" operator="equal">
      <formula>0</formula>
    </cfRule>
  </conditionalFormatting>
  <conditionalFormatting sqref="V28">
    <cfRule type="cellIs" dxfId="17915" priority="161" operator="greaterThan">
      <formula>V27</formula>
    </cfRule>
    <cfRule type="cellIs" dxfId="17914" priority="162" operator="equal">
      <formula>0</formula>
    </cfRule>
  </conditionalFormatting>
  <conditionalFormatting sqref="V28">
    <cfRule type="cellIs" dxfId="17913" priority="159" operator="greaterThan">
      <formula>V27</formula>
    </cfRule>
    <cfRule type="cellIs" dxfId="17912" priority="160" operator="equal">
      <formula>0</formula>
    </cfRule>
  </conditionalFormatting>
  <conditionalFormatting sqref="V28">
    <cfRule type="cellIs" dxfId="17911" priority="157" operator="greaterThan">
      <formula>V27</formula>
    </cfRule>
    <cfRule type="cellIs" dxfId="17910" priority="158" operator="equal">
      <formula>0</formula>
    </cfRule>
  </conditionalFormatting>
  <conditionalFormatting sqref="V28">
    <cfRule type="cellIs" dxfId="17909" priority="155" operator="greaterThan">
      <formula>V27</formula>
    </cfRule>
    <cfRule type="cellIs" dxfId="17908" priority="156" operator="equal">
      <formula>0</formula>
    </cfRule>
  </conditionalFormatting>
  <conditionalFormatting sqref="V28">
    <cfRule type="cellIs" dxfId="17907" priority="153" operator="greaterThan">
      <formula>V27</formula>
    </cfRule>
    <cfRule type="cellIs" dxfId="17906" priority="154" operator="equal">
      <formula>0</formula>
    </cfRule>
  </conditionalFormatting>
  <conditionalFormatting sqref="V28">
    <cfRule type="cellIs" dxfId="17905" priority="151" operator="greaterThan">
      <formula>V27</formula>
    </cfRule>
    <cfRule type="cellIs" dxfId="17904" priority="152" operator="equal">
      <formula>0</formula>
    </cfRule>
  </conditionalFormatting>
  <conditionalFormatting sqref="V28">
    <cfRule type="cellIs" dxfId="17903" priority="149" operator="greaterThan">
      <formula>V27</formula>
    </cfRule>
    <cfRule type="cellIs" dxfId="17902" priority="150" operator="equal">
      <formula>0</formula>
    </cfRule>
  </conditionalFormatting>
  <conditionalFormatting sqref="V28">
    <cfRule type="cellIs" dxfId="17901" priority="147" operator="greaterThan">
      <formula>V27</formula>
    </cfRule>
    <cfRule type="cellIs" dxfId="17900" priority="148" operator="equal">
      <formula>0</formula>
    </cfRule>
  </conditionalFormatting>
  <conditionalFormatting sqref="V28">
    <cfRule type="cellIs" dxfId="17899" priority="145" operator="greaterThan">
      <formula>V27</formula>
    </cfRule>
    <cfRule type="cellIs" dxfId="17898" priority="146" operator="equal">
      <formula>0</formula>
    </cfRule>
  </conditionalFormatting>
  <conditionalFormatting sqref="V28">
    <cfRule type="cellIs" dxfId="17897" priority="143" operator="greaterThan">
      <formula>V27</formula>
    </cfRule>
    <cfRule type="cellIs" dxfId="17896" priority="144" operator="equal">
      <formula>0</formula>
    </cfRule>
  </conditionalFormatting>
  <conditionalFormatting sqref="V28">
    <cfRule type="cellIs" dxfId="17895" priority="141" operator="greaterThan">
      <formula>V27</formula>
    </cfRule>
    <cfRule type="cellIs" dxfId="17894" priority="142" operator="equal">
      <formula>0</formula>
    </cfRule>
  </conditionalFormatting>
  <conditionalFormatting sqref="V28">
    <cfRule type="cellIs" dxfId="17893" priority="139" operator="greaterThan">
      <formula>V27</formula>
    </cfRule>
    <cfRule type="cellIs" dxfId="17892" priority="140" operator="equal">
      <formula>0</formula>
    </cfRule>
  </conditionalFormatting>
  <conditionalFormatting sqref="V28">
    <cfRule type="cellIs" dxfId="17891" priority="137" operator="greaterThan">
      <formula>V27</formula>
    </cfRule>
    <cfRule type="cellIs" dxfId="17890" priority="138" operator="equal">
      <formula>0</formula>
    </cfRule>
  </conditionalFormatting>
  <conditionalFormatting sqref="V28">
    <cfRule type="cellIs" dxfId="17889" priority="135" operator="greaterThan">
      <formula>V27</formula>
    </cfRule>
    <cfRule type="cellIs" dxfId="17888" priority="136" operator="equal">
      <formula>0</formula>
    </cfRule>
  </conditionalFormatting>
  <conditionalFormatting sqref="V28">
    <cfRule type="cellIs" dxfId="17887" priority="133" operator="greaterThan">
      <formula>V27</formula>
    </cfRule>
    <cfRule type="cellIs" dxfId="17886" priority="134" operator="equal">
      <formula>0</formula>
    </cfRule>
  </conditionalFormatting>
  <conditionalFormatting sqref="V28">
    <cfRule type="cellIs" dxfId="17885" priority="131" operator="greaterThan">
      <formula>V27</formula>
    </cfRule>
    <cfRule type="cellIs" dxfId="17884" priority="132" operator="equal">
      <formula>0</formula>
    </cfRule>
  </conditionalFormatting>
  <conditionalFormatting sqref="V28">
    <cfRule type="cellIs" dxfId="17883" priority="129" operator="greaterThan">
      <formula>V27</formula>
    </cfRule>
    <cfRule type="cellIs" dxfId="17882" priority="130" operator="equal">
      <formula>0</formula>
    </cfRule>
  </conditionalFormatting>
  <conditionalFormatting sqref="V28">
    <cfRule type="cellIs" dxfId="17881" priority="127" operator="greaterThan">
      <formula>V27</formula>
    </cfRule>
    <cfRule type="cellIs" dxfId="17880" priority="128" operator="equal">
      <formula>0</formula>
    </cfRule>
  </conditionalFormatting>
  <conditionalFormatting sqref="V28">
    <cfRule type="cellIs" dxfId="17879" priority="125" operator="greaterThan">
      <formula>V27</formula>
    </cfRule>
    <cfRule type="cellIs" dxfId="17878" priority="126" operator="equal">
      <formula>0</formula>
    </cfRule>
  </conditionalFormatting>
  <conditionalFormatting sqref="V28">
    <cfRule type="cellIs" dxfId="17877" priority="123" operator="greaterThan">
      <formula>V27</formula>
    </cfRule>
    <cfRule type="cellIs" dxfId="17876" priority="124" operator="equal">
      <formula>0</formula>
    </cfRule>
  </conditionalFormatting>
  <conditionalFormatting sqref="V28">
    <cfRule type="cellIs" dxfId="17875" priority="121" operator="greaterThan">
      <formula>V27</formula>
    </cfRule>
    <cfRule type="cellIs" dxfId="17874" priority="122" operator="equal">
      <formula>0</formula>
    </cfRule>
  </conditionalFormatting>
  <conditionalFormatting sqref="V28">
    <cfRule type="cellIs" dxfId="17873" priority="119" operator="greaterThan">
      <formula>V27</formula>
    </cfRule>
    <cfRule type="cellIs" dxfId="17872" priority="120" operator="equal">
      <formula>0</formula>
    </cfRule>
  </conditionalFormatting>
  <conditionalFormatting sqref="V28">
    <cfRule type="cellIs" dxfId="17871" priority="117" operator="greaterThan">
      <formula>V27</formula>
    </cfRule>
    <cfRule type="cellIs" dxfId="17870" priority="118" operator="equal">
      <formula>0</formula>
    </cfRule>
  </conditionalFormatting>
  <conditionalFormatting sqref="V28">
    <cfRule type="cellIs" dxfId="17869" priority="115" operator="greaterThan">
      <formula>V27</formula>
    </cfRule>
    <cfRule type="cellIs" dxfId="17868" priority="116" operator="equal">
      <formula>0</formula>
    </cfRule>
  </conditionalFormatting>
  <conditionalFormatting sqref="V28">
    <cfRule type="cellIs" dxfId="17867" priority="113" operator="greaterThan">
      <formula>V27</formula>
    </cfRule>
    <cfRule type="cellIs" dxfId="17866" priority="114" operator="equal">
      <formula>0</formula>
    </cfRule>
  </conditionalFormatting>
  <conditionalFormatting sqref="V28">
    <cfRule type="cellIs" dxfId="17865" priority="111" operator="greaterThan">
      <formula>V27</formula>
    </cfRule>
    <cfRule type="cellIs" dxfId="17864" priority="112" operator="equal">
      <formula>0</formula>
    </cfRule>
  </conditionalFormatting>
  <conditionalFormatting sqref="V28">
    <cfRule type="cellIs" dxfId="17863" priority="109" operator="greaterThan">
      <formula>V27</formula>
    </cfRule>
    <cfRule type="cellIs" dxfId="17862" priority="110" operator="equal">
      <formula>0</formula>
    </cfRule>
  </conditionalFormatting>
  <conditionalFormatting sqref="V28">
    <cfRule type="cellIs" dxfId="17861" priority="107" operator="greaterThan">
      <formula>V27</formula>
    </cfRule>
    <cfRule type="cellIs" dxfId="17860" priority="108" operator="equal">
      <formula>0</formula>
    </cfRule>
  </conditionalFormatting>
  <conditionalFormatting sqref="V28">
    <cfRule type="cellIs" dxfId="17859" priority="105" operator="greaterThan">
      <formula>V27</formula>
    </cfRule>
    <cfRule type="cellIs" dxfId="17858" priority="106" operator="equal">
      <formula>0</formula>
    </cfRule>
  </conditionalFormatting>
  <conditionalFormatting sqref="V28">
    <cfRule type="cellIs" dxfId="17857" priority="103" operator="greaterThan">
      <formula>V27</formula>
    </cfRule>
    <cfRule type="cellIs" dxfId="17856" priority="104" operator="equal">
      <formula>0</formula>
    </cfRule>
  </conditionalFormatting>
  <conditionalFormatting sqref="V28">
    <cfRule type="cellIs" dxfId="17855" priority="101" operator="greaterThan">
      <formula>V27</formula>
    </cfRule>
    <cfRule type="cellIs" dxfId="17854" priority="102" operator="equal">
      <formula>0</formula>
    </cfRule>
  </conditionalFormatting>
  <conditionalFormatting sqref="V28">
    <cfRule type="cellIs" dxfId="17853" priority="99" operator="greaterThan">
      <formula>V27</formula>
    </cfRule>
    <cfRule type="cellIs" dxfId="17852" priority="100" operator="equal">
      <formula>0</formula>
    </cfRule>
  </conditionalFormatting>
  <conditionalFormatting sqref="V28">
    <cfRule type="cellIs" dxfId="17851" priority="97" operator="greaterThan">
      <formula>V27</formula>
    </cfRule>
    <cfRule type="cellIs" dxfId="17850" priority="98" operator="equal">
      <formula>0</formula>
    </cfRule>
  </conditionalFormatting>
  <conditionalFormatting sqref="V28">
    <cfRule type="cellIs" dxfId="17849" priority="95" operator="greaterThan">
      <formula>V27</formula>
    </cfRule>
    <cfRule type="cellIs" dxfId="17848" priority="96" operator="equal">
      <formula>0</formula>
    </cfRule>
  </conditionalFormatting>
  <conditionalFormatting sqref="V28">
    <cfRule type="cellIs" dxfId="17847" priority="93" operator="greaterThan">
      <formula>V27</formula>
    </cfRule>
    <cfRule type="cellIs" dxfId="17846" priority="94" operator="equal">
      <formula>0</formula>
    </cfRule>
  </conditionalFormatting>
  <conditionalFormatting sqref="V28">
    <cfRule type="cellIs" dxfId="17845" priority="91" operator="greaterThan">
      <formula>V27</formula>
    </cfRule>
    <cfRule type="cellIs" dxfId="17844" priority="92" operator="equal">
      <formula>0</formula>
    </cfRule>
  </conditionalFormatting>
  <conditionalFormatting sqref="V28">
    <cfRule type="cellIs" dxfId="17843" priority="89" operator="greaterThan">
      <formula>V27</formula>
    </cfRule>
    <cfRule type="cellIs" dxfId="17842" priority="90" operator="equal">
      <formula>0</formula>
    </cfRule>
  </conditionalFormatting>
  <conditionalFormatting sqref="V28">
    <cfRule type="cellIs" dxfId="17841" priority="87" operator="greaterThan">
      <formula>V27</formula>
    </cfRule>
    <cfRule type="cellIs" dxfId="17840" priority="88" operator="equal">
      <formula>0</formula>
    </cfRule>
  </conditionalFormatting>
  <conditionalFormatting sqref="V28">
    <cfRule type="cellIs" dxfId="17839" priority="85" operator="greaterThan">
      <formula>V27</formula>
    </cfRule>
    <cfRule type="cellIs" dxfId="17838" priority="86" operator="equal">
      <formula>0</formula>
    </cfRule>
  </conditionalFormatting>
  <conditionalFormatting sqref="V28">
    <cfRule type="cellIs" dxfId="17837" priority="83" operator="greaterThan">
      <formula>V27</formula>
    </cfRule>
    <cfRule type="cellIs" dxfId="17836" priority="84" operator="equal">
      <formula>0</formula>
    </cfRule>
  </conditionalFormatting>
  <conditionalFormatting sqref="V28">
    <cfRule type="cellIs" dxfId="17835" priority="81" operator="greaterThan">
      <formula>V27</formula>
    </cfRule>
    <cfRule type="cellIs" dxfId="17834" priority="82" operator="equal">
      <formula>0</formula>
    </cfRule>
  </conditionalFormatting>
  <conditionalFormatting sqref="V28">
    <cfRule type="cellIs" dxfId="17833" priority="79" operator="greaterThan">
      <formula>V27</formula>
    </cfRule>
    <cfRule type="cellIs" dxfId="17832" priority="80" operator="equal">
      <formula>0</formula>
    </cfRule>
  </conditionalFormatting>
  <conditionalFormatting sqref="V28">
    <cfRule type="cellIs" dxfId="17831" priority="77" operator="greaterThan">
      <formula>V27</formula>
    </cfRule>
    <cfRule type="cellIs" dxfId="17830" priority="78" operator="equal">
      <formula>0</formula>
    </cfRule>
  </conditionalFormatting>
  <conditionalFormatting sqref="V28">
    <cfRule type="cellIs" dxfId="17829" priority="75" operator="greaterThan">
      <formula>V27</formula>
    </cfRule>
    <cfRule type="cellIs" dxfId="17828" priority="76" operator="equal">
      <formula>0</formula>
    </cfRule>
  </conditionalFormatting>
  <conditionalFormatting sqref="V28">
    <cfRule type="cellIs" dxfId="17827" priority="73" operator="greaterThan">
      <formula>V27</formula>
    </cfRule>
    <cfRule type="cellIs" dxfId="17826" priority="74" operator="equal">
      <formula>0</formula>
    </cfRule>
  </conditionalFormatting>
  <conditionalFormatting sqref="V28">
    <cfRule type="cellIs" dxfId="17825" priority="71" operator="greaterThan">
      <formula>V27</formula>
    </cfRule>
    <cfRule type="cellIs" dxfId="17824" priority="72" operator="equal">
      <formula>0</formula>
    </cfRule>
  </conditionalFormatting>
  <conditionalFormatting sqref="V28">
    <cfRule type="cellIs" dxfId="17823" priority="69" operator="greaterThan">
      <formula>V27</formula>
    </cfRule>
    <cfRule type="cellIs" dxfId="17822" priority="70" operator="equal">
      <formula>0</formula>
    </cfRule>
  </conditionalFormatting>
  <conditionalFormatting sqref="V28">
    <cfRule type="cellIs" dxfId="17821" priority="67" operator="greaterThan">
      <formula>V27</formula>
    </cfRule>
    <cfRule type="cellIs" dxfId="17820" priority="68" operator="equal">
      <formula>0</formula>
    </cfRule>
  </conditionalFormatting>
  <conditionalFormatting sqref="V28">
    <cfRule type="cellIs" dxfId="17819" priority="65" operator="greaterThan">
      <formula>V27</formula>
    </cfRule>
    <cfRule type="cellIs" dxfId="17818" priority="66" operator="equal">
      <formula>0</formula>
    </cfRule>
  </conditionalFormatting>
  <conditionalFormatting sqref="V28">
    <cfRule type="cellIs" dxfId="17817" priority="63" operator="greaterThan">
      <formula>V27</formula>
    </cfRule>
    <cfRule type="cellIs" dxfId="17816" priority="64" operator="equal">
      <formula>0</formula>
    </cfRule>
  </conditionalFormatting>
  <conditionalFormatting sqref="V28">
    <cfRule type="cellIs" dxfId="17815" priority="61" operator="greaterThan">
      <formula>V27</formula>
    </cfRule>
    <cfRule type="cellIs" dxfId="17814" priority="62" operator="equal">
      <formula>0</formula>
    </cfRule>
  </conditionalFormatting>
  <conditionalFormatting sqref="V28">
    <cfRule type="cellIs" dxfId="17813" priority="59" operator="greaterThan">
      <formula>V27</formula>
    </cfRule>
    <cfRule type="cellIs" dxfId="17812" priority="60" operator="equal">
      <formula>0</formula>
    </cfRule>
  </conditionalFormatting>
  <conditionalFormatting sqref="V28">
    <cfRule type="cellIs" dxfId="17811" priority="57" operator="greaterThan">
      <formula>V27</formula>
    </cfRule>
    <cfRule type="cellIs" dxfId="17810" priority="58" operator="equal">
      <formula>0</formula>
    </cfRule>
  </conditionalFormatting>
  <conditionalFormatting sqref="V28">
    <cfRule type="cellIs" dxfId="17809" priority="55" operator="greaterThan">
      <formula>V27</formula>
    </cfRule>
    <cfRule type="cellIs" dxfId="17808" priority="56" operator="equal">
      <formula>0</formula>
    </cfRule>
  </conditionalFormatting>
  <conditionalFormatting sqref="V28">
    <cfRule type="cellIs" dxfId="17807" priority="53" operator="greaterThan">
      <formula>V27</formula>
    </cfRule>
    <cfRule type="cellIs" dxfId="17806" priority="54" operator="equal">
      <formula>0</formula>
    </cfRule>
  </conditionalFormatting>
  <conditionalFormatting sqref="V28">
    <cfRule type="cellIs" dxfId="17805" priority="51" operator="greaterThan">
      <formula>V27</formula>
    </cfRule>
    <cfRule type="cellIs" dxfId="17804" priority="52" operator="equal">
      <formula>0</formula>
    </cfRule>
  </conditionalFormatting>
  <conditionalFormatting sqref="V28">
    <cfRule type="cellIs" dxfId="17803" priority="49" operator="greaterThan">
      <formula>V27</formula>
    </cfRule>
    <cfRule type="cellIs" dxfId="17802" priority="50" operator="equal">
      <formula>0</formula>
    </cfRule>
  </conditionalFormatting>
  <conditionalFormatting sqref="V28">
    <cfRule type="cellIs" dxfId="17801" priority="47" operator="greaterThan">
      <formula>V27</formula>
    </cfRule>
    <cfRule type="cellIs" dxfId="17800" priority="48" operator="equal">
      <formula>0</formula>
    </cfRule>
  </conditionalFormatting>
  <conditionalFormatting sqref="V28">
    <cfRule type="cellIs" dxfId="17799" priority="45" operator="greaterThan">
      <formula>V27</formula>
    </cfRule>
    <cfRule type="cellIs" dxfId="17798" priority="46" operator="equal">
      <formula>0</formula>
    </cfRule>
  </conditionalFormatting>
  <conditionalFormatting sqref="V28">
    <cfRule type="cellIs" dxfId="17797" priority="43" operator="greaterThan">
      <formula>V27</formula>
    </cfRule>
    <cfRule type="cellIs" dxfId="17796" priority="44" operator="equal">
      <formula>0</formula>
    </cfRule>
  </conditionalFormatting>
  <conditionalFormatting sqref="V28">
    <cfRule type="cellIs" dxfId="17795" priority="41" operator="greaterThan">
      <formula>V27</formula>
    </cfRule>
    <cfRule type="cellIs" dxfId="17794" priority="42" operator="equal">
      <formula>0</formula>
    </cfRule>
  </conditionalFormatting>
  <conditionalFormatting sqref="V28">
    <cfRule type="cellIs" dxfId="17793" priority="39" operator="greaterThan">
      <formula>V27</formula>
    </cfRule>
    <cfRule type="cellIs" dxfId="17792" priority="40" operator="equal">
      <formula>0</formula>
    </cfRule>
  </conditionalFormatting>
  <conditionalFormatting sqref="V28">
    <cfRule type="cellIs" dxfId="17791" priority="37" operator="greaterThan">
      <formula>V27</formula>
    </cfRule>
    <cfRule type="cellIs" dxfId="17790" priority="38" operator="equal">
      <formula>0</formula>
    </cfRule>
  </conditionalFormatting>
  <conditionalFormatting sqref="V28">
    <cfRule type="cellIs" dxfId="17789" priority="35" operator="greaterThan">
      <formula>V27</formula>
    </cfRule>
    <cfRule type="cellIs" dxfId="17788" priority="36" operator="equal">
      <formula>0</formula>
    </cfRule>
  </conditionalFormatting>
  <conditionalFormatting sqref="V28">
    <cfRule type="cellIs" dxfId="17787" priority="33" operator="greaterThan">
      <formula>V27</formula>
    </cfRule>
    <cfRule type="cellIs" dxfId="17786" priority="34" operator="equal">
      <formula>0</formula>
    </cfRule>
  </conditionalFormatting>
  <conditionalFormatting sqref="V28">
    <cfRule type="cellIs" dxfId="17785" priority="31" operator="greaterThan">
      <formula>V27</formula>
    </cfRule>
    <cfRule type="cellIs" dxfId="17784" priority="32" operator="equal">
      <formula>0</formula>
    </cfRule>
  </conditionalFormatting>
  <conditionalFormatting sqref="V13">
    <cfRule type="cellIs" dxfId="17783" priority="30" operator="equal">
      <formula>0</formula>
    </cfRule>
  </conditionalFormatting>
  <conditionalFormatting sqref="V13">
    <cfRule type="cellIs" dxfId="17782" priority="28" operator="greaterThan">
      <formula>V12</formula>
    </cfRule>
    <cfRule type="cellIs" dxfId="17781" priority="29" operator="equal">
      <formula>0</formula>
    </cfRule>
  </conditionalFormatting>
  <conditionalFormatting sqref="V13">
    <cfRule type="cellIs" dxfId="17780" priority="26" operator="greaterThan">
      <formula>V12</formula>
    </cfRule>
    <cfRule type="cellIs" dxfId="17779" priority="27" operator="equal">
      <formula>0</formula>
    </cfRule>
  </conditionalFormatting>
  <conditionalFormatting sqref="V16">
    <cfRule type="cellIs" dxfId="17778" priority="25" operator="equal">
      <formula>0</formula>
    </cfRule>
  </conditionalFormatting>
  <conditionalFormatting sqref="V16">
    <cfRule type="cellIs" dxfId="17777" priority="23" operator="greaterThan">
      <formula>V15</formula>
    </cfRule>
    <cfRule type="cellIs" dxfId="17776" priority="24" operator="equal">
      <formula>0</formula>
    </cfRule>
  </conditionalFormatting>
  <conditionalFormatting sqref="V16">
    <cfRule type="cellIs" dxfId="17775" priority="21" operator="greaterThan">
      <formula>V15</formula>
    </cfRule>
    <cfRule type="cellIs" dxfId="17774" priority="22" operator="equal">
      <formula>0</formula>
    </cfRule>
  </conditionalFormatting>
  <conditionalFormatting sqref="V19">
    <cfRule type="cellIs" dxfId="17773" priority="20" operator="equal">
      <formula>0</formula>
    </cfRule>
  </conditionalFormatting>
  <conditionalFormatting sqref="V19">
    <cfRule type="cellIs" dxfId="17772" priority="18" operator="greaterThan">
      <formula>V18</formula>
    </cfRule>
    <cfRule type="cellIs" dxfId="17771" priority="19" operator="equal">
      <formula>0</formula>
    </cfRule>
  </conditionalFormatting>
  <conditionalFormatting sqref="V19">
    <cfRule type="cellIs" dxfId="17770" priority="16" operator="greaterThan">
      <formula>V18</formula>
    </cfRule>
    <cfRule type="cellIs" dxfId="17769" priority="17" operator="equal">
      <formula>0</formula>
    </cfRule>
  </conditionalFormatting>
  <conditionalFormatting sqref="V22">
    <cfRule type="cellIs" dxfId="17768" priority="15" operator="equal">
      <formula>0</formula>
    </cfRule>
  </conditionalFormatting>
  <conditionalFormatting sqref="V22">
    <cfRule type="cellIs" dxfId="17767" priority="13" operator="greaterThan">
      <formula>V21</formula>
    </cfRule>
    <cfRule type="cellIs" dxfId="17766" priority="14" operator="equal">
      <formula>0</formula>
    </cfRule>
  </conditionalFormatting>
  <conditionalFormatting sqref="V22">
    <cfRule type="cellIs" dxfId="17765" priority="11" operator="greaterThan">
      <formula>V21</formula>
    </cfRule>
    <cfRule type="cellIs" dxfId="17764" priority="12" operator="equal">
      <formula>0</formula>
    </cfRule>
  </conditionalFormatting>
  <conditionalFormatting sqref="V25">
    <cfRule type="cellIs" dxfId="17763" priority="10" operator="equal">
      <formula>0</formula>
    </cfRule>
  </conditionalFormatting>
  <conditionalFormatting sqref="V25">
    <cfRule type="cellIs" dxfId="17762" priority="8" operator="greaterThan">
      <formula>V24</formula>
    </cfRule>
    <cfRule type="cellIs" dxfId="17761" priority="9" operator="equal">
      <formula>0</formula>
    </cfRule>
  </conditionalFormatting>
  <conditionalFormatting sqref="V25">
    <cfRule type="cellIs" dxfId="17760" priority="6" operator="greaterThan">
      <formula>V24</formula>
    </cfRule>
    <cfRule type="cellIs" dxfId="17759" priority="7" operator="equal">
      <formula>0</formula>
    </cfRule>
  </conditionalFormatting>
  <conditionalFormatting sqref="V28">
    <cfRule type="cellIs" dxfId="17758" priority="5" operator="equal">
      <formula>0</formula>
    </cfRule>
  </conditionalFormatting>
  <conditionalFormatting sqref="V28">
    <cfRule type="cellIs" dxfId="17757" priority="3" operator="greaterThan">
      <formula>V27</formula>
    </cfRule>
    <cfRule type="cellIs" dxfId="17756" priority="4" operator="equal">
      <formula>0</formula>
    </cfRule>
  </conditionalFormatting>
  <conditionalFormatting sqref="V28">
    <cfRule type="cellIs" dxfId="17755" priority="1" operator="greaterThan">
      <formula>V27</formula>
    </cfRule>
    <cfRule type="cellIs" dxfId="17754" priority="2" operator="equal">
      <formula>0</formula>
    </cfRule>
  </conditionalFormatting>
  <dataValidations count="25">
    <dataValidation type="whole" allowBlank="1" showInputMessage="1" showErrorMessage="1" sqref="X51 X44:X48 X38:X41 Y16:Y51 X17 X20 X23 X26 X29 X32 X35">
      <formula1>0</formula1>
      <formula2>5000</formula2>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operator="greaterThanOrEqual" allowBlank="1" showInputMessage="1" showErrorMessage="1" errorTitle="المجموع" error="العدد المناسب" sqref="O49 M42 P33 P30 P12 P15 P18 P21 P27 P24 P36">
      <formula1>0</formula1>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&amp;R&amp;"-,Gras"&amp;8&amp;K00-032Echamil V.08      &amp;F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1">
    <tabColor rgb="FF00B050"/>
  </sheetPr>
  <dimension ref="A1:Z54"/>
  <sheetViews>
    <sheetView showGridLines="0" rightToLeft="1" topLeftCell="A4" zoomScale="115" zoomScaleNormal="115" workbookViewId="0">
      <selection activeCell="G30" sqref="G30"/>
    </sheetView>
  </sheetViews>
  <sheetFormatPr baseColWidth="10" defaultColWidth="0" defaultRowHeight="14.4" zeroHeight="1"/>
  <cols>
    <col min="1" max="1" width="1.6640625"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9" t="s">
        <v>603</v>
      </c>
      <c r="W2" s="4459"/>
      <c r="X2" s="4459"/>
      <c r="Y2" s="1945"/>
      <c r="Z2" s="1420"/>
    </row>
    <row r="3" spans="1:26"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9"/>
      <c r="W3" s="4459"/>
      <c r="X3" s="4459"/>
      <c r="Y3" s="1945"/>
      <c r="Z3" s="1420"/>
    </row>
    <row r="4" spans="1:26" ht="20.100000000000001" customHeight="1">
      <c r="A4" s="1418"/>
      <c r="B4" s="1431"/>
      <c r="C4" s="1432"/>
      <c r="D4" s="1946" t="s">
        <v>1463</v>
      </c>
      <c r="E4" s="1434"/>
      <c r="F4" s="1434"/>
      <c r="M4" s="1947"/>
      <c r="N4" s="1438"/>
      <c r="O4" s="1438"/>
      <c r="P4" s="1948" t="s">
        <v>1464</v>
      </c>
      <c r="Q4" s="1948"/>
      <c r="R4" s="1441"/>
      <c r="S4" s="1430"/>
      <c r="T4" s="1424"/>
      <c r="U4" s="1944"/>
      <c r="V4" s="4459"/>
      <c r="W4" s="4459"/>
      <c r="X4" s="4459"/>
      <c r="Y4" s="1945"/>
      <c r="Z4" s="1420"/>
    </row>
    <row r="5" spans="1:26" ht="2.1" customHeight="1">
      <c r="A5" s="1418"/>
      <c r="B5" s="1431"/>
      <c r="C5" s="1442"/>
      <c r="D5" s="1434"/>
      <c r="E5" s="1434"/>
      <c r="F5" s="1434"/>
      <c r="G5" s="1434"/>
      <c r="H5" s="1444"/>
      <c r="I5" s="1445"/>
      <c r="J5" s="1445"/>
      <c r="K5" s="1445"/>
      <c r="L5" s="1446"/>
      <c r="M5" s="1438"/>
      <c r="N5" s="1438"/>
      <c r="O5" s="1438"/>
      <c r="P5" s="1443"/>
      <c r="Q5" s="1440"/>
      <c r="R5" s="1441"/>
      <c r="S5" s="1430"/>
      <c r="T5" s="1424"/>
      <c r="U5" s="1944"/>
      <c r="V5" s="4459"/>
      <c r="W5" s="4459"/>
      <c r="X5" s="4459"/>
      <c r="Y5" s="1945"/>
      <c r="Z5" s="1420"/>
    </row>
    <row r="6" spans="1:26" ht="15.9" customHeight="1">
      <c r="A6" s="1418"/>
      <c r="B6" s="1431"/>
      <c r="C6" s="1442"/>
      <c r="F6" s="1951"/>
      <c r="G6" s="1952" t="s">
        <v>936</v>
      </c>
      <c r="H6" s="1953" t="s">
        <v>1088</v>
      </c>
      <c r="I6" s="1954"/>
      <c r="J6" s="2041"/>
      <c r="K6" s="1955"/>
      <c r="L6" s="1956" t="s">
        <v>1103</v>
      </c>
      <c r="M6" s="1955"/>
      <c r="N6" s="1957"/>
      <c r="O6" s="1957" t="s">
        <v>937</v>
      </c>
      <c r="Q6" s="1440"/>
      <c r="R6" s="1441"/>
      <c r="S6" s="1430"/>
      <c r="T6" s="1424"/>
      <c r="U6" s="1944"/>
      <c r="V6" s="4459"/>
      <c r="W6" s="4459"/>
      <c r="X6" s="4459"/>
      <c r="Y6" s="1950"/>
      <c r="Z6" s="1420"/>
    </row>
    <row r="7" spans="1:26" ht="2.1" customHeight="1">
      <c r="A7" s="1418"/>
      <c r="B7" s="1431"/>
      <c r="C7" s="1442"/>
      <c r="D7" s="1493"/>
      <c r="E7" s="1949"/>
      <c r="F7" s="1949"/>
      <c r="G7" s="1949"/>
      <c r="H7" s="1949"/>
      <c r="I7" s="1949"/>
      <c r="J7" s="1949"/>
      <c r="K7" s="1949"/>
      <c r="L7" s="1949"/>
      <c r="M7" s="1949"/>
      <c r="N7" s="1949"/>
      <c r="O7" s="1949"/>
      <c r="P7" s="1949"/>
      <c r="Q7" s="1440"/>
      <c r="R7" s="1441"/>
      <c r="S7" s="1430"/>
      <c r="T7" s="1424"/>
      <c r="U7" s="1944"/>
      <c r="V7" s="1032"/>
      <c r="W7" s="1950"/>
      <c r="X7" s="1950"/>
      <c r="Y7" s="1950"/>
      <c r="Z7" s="1420"/>
    </row>
    <row r="8" spans="1:26" ht="14.1" customHeight="1">
      <c r="A8" s="1418"/>
      <c r="B8" s="1431"/>
      <c r="C8" s="1442"/>
      <c r="D8" s="2418" t="s">
        <v>1183</v>
      </c>
      <c r="E8" s="2419"/>
      <c r="F8" s="2419"/>
      <c r="G8" s="2419"/>
      <c r="H8" s="2420"/>
      <c r="I8" s="2420"/>
      <c r="J8" s="2420"/>
      <c r="K8" s="2420"/>
      <c r="L8" s="2419"/>
      <c r="M8" s="2419"/>
      <c r="N8" s="2419"/>
      <c r="O8" s="2419"/>
      <c r="P8" s="2396" t="s">
        <v>1184</v>
      </c>
      <c r="Q8" s="1440"/>
      <c r="R8" s="144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1440"/>
      <c r="R9" s="144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1440"/>
      <c r="R10" s="144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1440"/>
      <c r="R11" s="1441"/>
      <c r="S11" s="1430"/>
      <c r="T11" s="1424"/>
      <c r="U11" s="1944"/>
      <c r="V11" s="3100" t="s">
        <v>965</v>
      </c>
      <c r="W11" s="1966"/>
      <c r="X11" s="2036"/>
      <c r="Y11" s="2036"/>
      <c r="Z11" s="1420"/>
    </row>
    <row r="12" spans="1:26" ht="12" customHeight="1">
      <c r="A12" s="1418"/>
      <c r="B12" s="1431"/>
      <c r="C12" s="1442"/>
      <c r="D12" s="2430" t="s">
        <v>20</v>
      </c>
      <c r="E12" s="2265"/>
      <c r="F12" s="1462"/>
      <c r="G12" s="1462">
        <v>0</v>
      </c>
      <c r="H12" s="1462">
        <v>1</v>
      </c>
      <c r="I12" s="1462">
        <v>1</v>
      </c>
      <c r="J12" s="1462"/>
      <c r="K12" s="1462"/>
      <c r="L12" s="1462"/>
      <c r="M12" s="1462"/>
      <c r="N12" s="1462"/>
      <c r="O12" s="1462"/>
      <c r="P12" s="1998">
        <f>E12+F12+G12+H12+I12+J12+K12+L12+M12+N12+O12</f>
        <v>2</v>
      </c>
      <c r="Q12" s="1440"/>
      <c r="R12" s="1441"/>
      <c r="S12" s="1430"/>
      <c r="T12" s="1424"/>
      <c r="U12" s="1944"/>
      <c r="V12" s="4452" t="str">
        <f>IF(('الصفحة 1'!$Q$14&gt;0),((IF((P12&gt;'الصفحة 14'!$H$13),"العدد غيرمطابق",IF((P12&lt;='الصفحة 14'!$H$13)," ")))),"")</f>
        <v xml:space="preserve"> </v>
      </c>
      <c r="W12" s="4453"/>
      <c r="X12" s="3097"/>
      <c r="Y12" s="3096"/>
      <c r="Z12" s="1420"/>
    </row>
    <row r="13" spans="1:26" ht="12" customHeight="1">
      <c r="A13" s="1418"/>
      <c r="B13" s="1431"/>
      <c r="C13" s="1442"/>
      <c r="D13" s="2430" t="s">
        <v>672</v>
      </c>
      <c r="E13" s="2265"/>
      <c r="F13" s="2265"/>
      <c r="G13" s="2265"/>
      <c r="H13" s="2265">
        <v>1</v>
      </c>
      <c r="I13" s="2265">
        <v>1</v>
      </c>
      <c r="J13" s="2265"/>
      <c r="K13" s="2265"/>
      <c r="L13" s="2265"/>
      <c r="M13" s="2265"/>
      <c r="N13" s="2265"/>
      <c r="O13" s="2265"/>
      <c r="P13" s="1998">
        <f>E13+F13+G13+H13+I13+J13+K13+L13+M13+N13+O13</f>
        <v>2</v>
      </c>
      <c r="Q13" s="1440"/>
      <c r="R13" s="144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1440"/>
      <c r="R14" s="1441"/>
      <c r="S14" s="1430"/>
      <c r="T14" s="1424"/>
      <c r="U14" s="1944"/>
      <c r="V14" s="3100" t="s">
        <v>964</v>
      </c>
      <c r="W14" s="2036"/>
      <c r="X14" s="2036"/>
      <c r="Y14" s="2036"/>
      <c r="Z14" s="1420"/>
    </row>
    <row r="15" spans="1:26" ht="12" customHeight="1">
      <c r="A15" s="1418"/>
      <c r="B15" s="1431"/>
      <c r="C15" s="1442"/>
      <c r="D15" s="2430" t="s">
        <v>20</v>
      </c>
      <c r="E15" s="2265"/>
      <c r="F15" s="1462"/>
      <c r="G15" s="1462"/>
      <c r="H15" s="1462">
        <v>1</v>
      </c>
      <c r="I15" s="1462"/>
      <c r="J15" s="1462"/>
      <c r="K15" s="1462"/>
      <c r="L15" s="1462"/>
      <c r="M15" s="1462"/>
      <c r="N15" s="1462"/>
      <c r="O15" s="1462"/>
      <c r="P15" s="1998">
        <f>E15+F15+G15+H15+I15+J15+K15+L15+M15+N15+O15</f>
        <v>1</v>
      </c>
      <c r="Q15" s="1440"/>
      <c r="R15" s="1441"/>
      <c r="S15" s="1430"/>
      <c r="T15" s="1424"/>
      <c r="U15" s="1944"/>
      <c r="V15" s="4452" t="str">
        <f>IF(('الصفحة 1'!$Q$14&gt;0),((IF((P15&gt;'الصفحة 14'!$H$15),"العدد غيرمطابق",IF((P15&lt;='الصفحة 14'!$H$15)," ")))),"")</f>
        <v xml:space="preserve"> </v>
      </c>
      <c r="W15" s="4453"/>
      <c r="X15" s="3097"/>
      <c r="Y15" s="2036"/>
      <c r="Z15" s="1420"/>
    </row>
    <row r="16" spans="1:26" ht="12" customHeight="1">
      <c r="A16" s="1418"/>
      <c r="B16" s="1431"/>
      <c r="C16" s="1442"/>
      <c r="D16" s="2430" t="s">
        <v>672</v>
      </c>
      <c r="E16" s="2265"/>
      <c r="F16" s="2265"/>
      <c r="G16" s="2265"/>
      <c r="H16" s="2265">
        <v>1</v>
      </c>
      <c r="I16" s="2265"/>
      <c r="J16" s="2265"/>
      <c r="K16" s="2265"/>
      <c r="L16" s="2265"/>
      <c r="M16" s="2265"/>
      <c r="N16" s="2265"/>
      <c r="O16" s="2265"/>
      <c r="P16" s="1998">
        <f>E16+F16+G16+H16+I16+J16+K16+L16+M16+N16+O16</f>
        <v>1</v>
      </c>
      <c r="Q16" s="1440"/>
      <c r="R16" s="144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1440"/>
      <c r="R17" s="144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52" t="str">
        <f>IF(('الصفحة 1'!$Q$14&gt;0),((IF((P18&gt;'الصفحة 14'!$H$17),"العدد غيرمطابق",IF((P18&lt;='الصفحة 14'!$H$17),"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1440"/>
      <c r="R20" s="1441"/>
      <c r="S20" s="1430"/>
      <c r="T20" s="1424"/>
      <c r="U20" s="1944"/>
      <c r="V20" s="3100" t="s">
        <v>962</v>
      </c>
      <c r="W20" s="2039"/>
      <c r="X20" s="3052"/>
      <c r="Y20" s="3052"/>
      <c r="Z20" s="1420"/>
    </row>
    <row r="21" spans="1:26" ht="12" customHeight="1">
      <c r="A21" s="1418"/>
      <c r="B21" s="1431"/>
      <c r="C21" s="1442"/>
      <c r="D21" s="2430" t="s">
        <v>20</v>
      </c>
      <c r="E21" s="2265">
        <v>1</v>
      </c>
      <c r="F21" s="1462"/>
      <c r="G21" s="1462"/>
      <c r="H21" s="1462"/>
      <c r="I21" s="1462"/>
      <c r="J21" s="1462"/>
      <c r="K21" s="1462"/>
      <c r="L21" s="1462"/>
      <c r="M21" s="1462"/>
      <c r="N21" s="1462"/>
      <c r="O21" s="1462"/>
      <c r="P21" s="1998">
        <f>E21+F21+G21+H21+I21+J21+K21+L21+M21+N21+O21</f>
        <v>1</v>
      </c>
      <c r="Q21" s="1440"/>
      <c r="R21" s="1441"/>
      <c r="S21" s="1430"/>
      <c r="T21" s="1424"/>
      <c r="U21" s="1944"/>
      <c r="V21" s="4452" t="str">
        <f>IF(('الصفحة 1'!$Q$14&gt;0),((IF((P21&gt;'الصفحة 14'!$H$19),"العدد غيرمطابق",IF((P21&lt;='الصفحة 14'!$H$19)," ")))),"")</f>
        <v xml:space="preserve"> </v>
      </c>
      <c r="W21" s="4453"/>
      <c r="X21" s="3097"/>
      <c r="Y21" s="3052"/>
      <c r="Z21" s="1420"/>
    </row>
    <row r="22" spans="1:26" ht="12" customHeight="1">
      <c r="A22" s="1418"/>
      <c r="B22" s="1431"/>
      <c r="C22" s="1442"/>
      <c r="D22" s="2430" t="s">
        <v>672</v>
      </c>
      <c r="E22" s="2265">
        <v>1</v>
      </c>
      <c r="F22" s="2265"/>
      <c r="G22" s="2265"/>
      <c r="H22" s="2265"/>
      <c r="I22" s="2265"/>
      <c r="J22" s="2265"/>
      <c r="K22" s="2265"/>
      <c r="L22" s="2265"/>
      <c r="M22" s="2265"/>
      <c r="N22" s="2265"/>
      <c r="O22" s="2265"/>
      <c r="P22" s="1998">
        <f>E22+F22+G22+H22+I22+J22+K22+L22+M22+N22+O22</f>
        <v>1</v>
      </c>
      <c r="Q22" s="1440"/>
      <c r="R22" s="144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1440"/>
      <c r="R23" s="144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52" t="str">
        <f>IF(('الصفحة 1'!$Q$14&gt;0),((IF((P24&gt;'الصفحة 14'!$H$21),"العدد غيرمطابق",IF((P24&lt;='الصفحة 14'!$H$21),"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1440"/>
      <c r="R26" s="1441"/>
      <c r="S26" s="1430"/>
      <c r="T26" s="1424"/>
      <c r="U26" s="1944"/>
      <c r="V26" s="3109" t="s">
        <v>1083</v>
      </c>
      <c r="W26" s="1966"/>
      <c r="X26" s="3052"/>
      <c r="Y26" s="3052"/>
      <c r="Z26" s="1420"/>
    </row>
    <row r="27" spans="1:26" ht="12" customHeight="1">
      <c r="A27" s="1418"/>
      <c r="B27" s="1431"/>
      <c r="C27" s="1442"/>
      <c r="D27" s="2430" t="s">
        <v>20</v>
      </c>
      <c r="E27" s="1996">
        <f t="shared" ref="E27:O27" si="0">(E12+E15+E18+E21+E24)</f>
        <v>1</v>
      </c>
      <c r="F27" s="1997">
        <f t="shared" si="0"/>
        <v>0</v>
      </c>
      <c r="G27" s="1997">
        <f t="shared" si="0"/>
        <v>0</v>
      </c>
      <c r="H27" s="1997">
        <f t="shared" si="0"/>
        <v>2</v>
      </c>
      <c r="I27" s="1997">
        <f t="shared" si="0"/>
        <v>1</v>
      </c>
      <c r="J27" s="1997">
        <f t="shared" si="0"/>
        <v>0</v>
      </c>
      <c r="K27" s="1997">
        <f t="shared" si="0"/>
        <v>0</v>
      </c>
      <c r="L27" s="1997">
        <f t="shared" si="0"/>
        <v>0</v>
      </c>
      <c r="M27" s="1997">
        <f t="shared" si="0"/>
        <v>0</v>
      </c>
      <c r="N27" s="1997">
        <f t="shared" si="0"/>
        <v>0</v>
      </c>
      <c r="O27" s="1997">
        <f t="shared" si="0"/>
        <v>0</v>
      </c>
      <c r="P27" s="1998">
        <f>E27+F27+G27+H27+I27+J27+K27+L27+M27+N27+O27</f>
        <v>4</v>
      </c>
      <c r="Q27" s="1440"/>
      <c r="R27" s="1441"/>
      <c r="S27" s="1430"/>
      <c r="T27" s="1424"/>
      <c r="U27" s="1944"/>
      <c r="V27" s="4452" t="str">
        <f>IF(('الصفحة 1'!$Q$14&gt;0),((IF((P27&gt;'الصفحة 14'!$H$23),"العدد غيرمطابق",IF((P27&lt;='الصفحة 14'!$H$23)," ")))),"")</f>
        <v xml:space="preserve"> </v>
      </c>
      <c r="W27" s="4453"/>
      <c r="X27" s="3097"/>
      <c r="Y27" s="3052"/>
      <c r="Z27" s="1420"/>
    </row>
    <row r="28" spans="1:26" ht="12" customHeight="1">
      <c r="A28" s="1418"/>
      <c r="B28" s="1431"/>
      <c r="C28" s="1442"/>
      <c r="D28" s="2430" t="s">
        <v>672</v>
      </c>
      <c r="E28" s="1996">
        <f t="shared" ref="E28:O28" si="1">(E13+E16+E19+E22+E25)</f>
        <v>1</v>
      </c>
      <c r="F28" s="1996">
        <f t="shared" si="1"/>
        <v>0</v>
      </c>
      <c r="G28" s="1996">
        <f t="shared" si="1"/>
        <v>0</v>
      </c>
      <c r="H28" s="1996">
        <f t="shared" si="1"/>
        <v>2</v>
      </c>
      <c r="I28" s="1996">
        <f t="shared" si="1"/>
        <v>1</v>
      </c>
      <c r="J28" s="1996">
        <f t="shared" si="1"/>
        <v>0</v>
      </c>
      <c r="K28" s="1996">
        <f t="shared" si="1"/>
        <v>0</v>
      </c>
      <c r="L28" s="1996">
        <f t="shared" si="1"/>
        <v>0</v>
      </c>
      <c r="M28" s="1996">
        <f t="shared" si="1"/>
        <v>0</v>
      </c>
      <c r="N28" s="1996">
        <f t="shared" si="1"/>
        <v>0</v>
      </c>
      <c r="O28" s="1996">
        <f t="shared" si="1"/>
        <v>0</v>
      </c>
      <c r="P28" s="1998">
        <f>E28+F28+G28+H28+I28+J28+K28+L28+M28+N28+O28</f>
        <v>4</v>
      </c>
      <c r="Q28" s="1440"/>
      <c r="R28" s="144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1440"/>
      <c r="R29" s="144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64"/>
      <c r="W31" s="4464"/>
      <c r="X31" s="3052"/>
      <c r="Y31" s="3052"/>
      <c r="Z31" s="1420"/>
    </row>
    <row r="32" spans="1:26" ht="11.1" customHeight="1">
      <c r="A32" s="1418"/>
      <c r="B32" s="1431"/>
      <c r="C32" s="1442"/>
      <c r="D32" s="2437" t="s">
        <v>1186</v>
      </c>
      <c r="E32" s="2000"/>
      <c r="F32" s="2000"/>
      <c r="G32" s="2000"/>
      <c r="H32" s="2000"/>
      <c r="I32" s="2000"/>
      <c r="J32" s="2000"/>
      <c r="K32" s="2000"/>
      <c r="L32" s="2000"/>
      <c r="M32" s="2000"/>
      <c r="N32" s="2000"/>
      <c r="O32" s="2000"/>
      <c r="P32" s="2403" t="s">
        <v>1185</v>
      </c>
      <c r="Q32" s="1440"/>
      <c r="R32" s="1441"/>
      <c r="S32" s="1430"/>
      <c r="T32" s="1424"/>
      <c r="U32" s="1944"/>
      <c r="V32" s="2177"/>
      <c r="W32" s="1966"/>
      <c r="X32" s="3052"/>
      <c r="Y32" s="3052"/>
      <c r="Z32" s="1420"/>
    </row>
    <row r="33" spans="1:26" ht="12.9" customHeight="1">
      <c r="A33" s="1418"/>
      <c r="B33" s="1431"/>
      <c r="C33" s="1442"/>
      <c r="D33" s="2430" t="s">
        <v>20</v>
      </c>
      <c r="E33" s="2265">
        <v>2</v>
      </c>
      <c r="F33" s="1462"/>
      <c r="G33" s="1462"/>
      <c r="H33" s="1462"/>
      <c r="I33" s="1462"/>
      <c r="J33" s="1462"/>
      <c r="K33" s="1462"/>
      <c r="L33" s="1462"/>
      <c r="M33" s="1462"/>
      <c r="N33" s="1462"/>
      <c r="O33" s="1462"/>
      <c r="P33" s="1998">
        <f>E33+F33+G33+H33+I33+J33+K33+L33+M33+N33+O33</f>
        <v>2</v>
      </c>
      <c r="Q33" s="1440"/>
      <c r="R33" s="1441"/>
      <c r="S33" s="1430"/>
      <c r="T33" s="1424"/>
      <c r="U33" s="1944"/>
      <c r="V33" s="4464"/>
      <c r="W33" s="4464"/>
      <c r="X33" s="3052"/>
      <c r="Y33" s="3052"/>
      <c r="Z33" s="1420"/>
    </row>
    <row r="34" spans="1:26" ht="12" customHeight="1">
      <c r="A34" s="1418"/>
      <c r="B34" s="1431"/>
      <c r="C34" s="1442"/>
      <c r="D34" s="2430" t="s">
        <v>672</v>
      </c>
      <c r="E34" s="2265">
        <v>2</v>
      </c>
      <c r="F34" s="2265"/>
      <c r="G34" s="2265"/>
      <c r="H34" s="2265"/>
      <c r="I34" s="2265"/>
      <c r="J34" s="2265"/>
      <c r="K34" s="2265"/>
      <c r="L34" s="2265"/>
      <c r="M34" s="2265"/>
      <c r="N34" s="2265"/>
      <c r="O34" s="2265"/>
      <c r="P34" s="1998">
        <f>E34+F34+G34+H34+I34+J34+K34+L34+M34+N34+O34</f>
        <v>2</v>
      </c>
      <c r="Q34" s="1440"/>
      <c r="R34" s="144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1440"/>
      <c r="R35" s="1441"/>
      <c r="S35" s="1430"/>
      <c r="T35" s="1424"/>
      <c r="U35" s="1944"/>
      <c r="V35" s="2176"/>
      <c r="W35" s="1966"/>
      <c r="X35" s="3052"/>
      <c r="Y35" s="3052"/>
      <c r="Z35" s="1420"/>
    </row>
    <row r="36" spans="1:26" ht="12.9" customHeight="1">
      <c r="A36" s="1418"/>
      <c r="B36" s="1431"/>
      <c r="C36" s="1442"/>
      <c r="D36" s="2430" t="s">
        <v>20</v>
      </c>
      <c r="E36" s="1996">
        <f t="shared" ref="E36:O36" si="2">(E27+E33)</f>
        <v>3</v>
      </c>
      <c r="F36" s="1997">
        <f t="shared" si="2"/>
        <v>0</v>
      </c>
      <c r="G36" s="1997">
        <f t="shared" si="2"/>
        <v>0</v>
      </c>
      <c r="H36" s="1997">
        <f t="shared" si="2"/>
        <v>2</v>
      </c>
      <c r="I36" s="1997">
        <f t="shared" si="2"/>
        <v>1</v>
      </c>
      <c r="J36" s="1997">
        <f t="shared" si="2"/>
        <v>0</v>
      </c>
      <c r="K36" s="1997">
        <f t="shared" si="2"/>
        <v>0</v>
      </c>
      <c r="L36" s="1997">
        <f t="shared" si="2"/>
        <v>0</v>
      </c>
      <c r="M36" s="1997">
        <f t="shared" si="2"/>
        <v>0</v>
      </c>
      <c r="N36" s="1997">
        <f t="shared" si="2"/>
        <v>0</v>
      </c>
      <c r="O36" s="1997">
        <f t="shared" si="2"/>
        <v>0</v>
      </c>
      <c r="P36" s="1998">
        <f>E36+F36+G36+H36+I36+J36+K36+L36+M36+N36+O36</f>
        <v>6</v>
      </c>
      <c r="Q36" s="1440"/>
      <c r="R36" s="1441"/>
      <c r="S36" s="1430"/>
      <c r="T36" s="1424"/>
      <c r="U36" s="1944"/>
      <c r="V36" s="4464"/>
      <c r="W36" s="4464"/>
      <c r="X36" s="3052"/>
      <c r="Y36" s="3052"/>
      <c r="Z36" s="1420"/>
    </row>
    <row r="37" spans="1:26" ht="12.9" customHeight="1">
      <c r="A37" s="1418"/>
      <c r="B37" s="1431"/>
      <c r="C37" s="1442"/>
      <c r="D37" s="2430" t="s">
        <v>672</v>
      </c>
      <c r="E37" s="1996">
        <f t="shared" ref="E37:O37" si="3">(E28+E34)</f>
        <v>3</v>
      </c>
      <c r="F37" s="1996">
        <f t="shared" si="3"/>
        <v>0</v>
      </c>
      <c r="G37" s="1996">
        <f t="shared" si="3"/>
        <v>0</v>
      </c>
      <c r="H37" s="1996">
        <f t="shared" si="3"/>
        <v>2</v>
      </c>
      <c r="I37" s="1996">
        <f t="shared" si="3"/>
        <v>1</v>
      </c>
      <c r="J37" s="1996">
        <f t="shared" si="3"/>
        <v>0</v>
      </c>
      <c r="K37" s="1996">
        <f t="shared" si="3"/>
        <v>0</v>
      </c>
      <c r="L37" s="1996">
        <f t="shared" si="3"/>
        <v>0</v>
      </c>
      <c r="M37" s="1996">
        <f t="shared" si="3"/>
        <v>0</v>
      </c>
      <c r="N37" s="1996">
        <f t="shared" si="3"/>
        <v>0</v>
      </c>
      <c r="O37" s="1996">
        <f t="shared" si="3"/>
        <v>0</v>
      </c>
      <c r="P37" s="1998">
        <f>E37+F37+G37+H37+I37+J37+K37+L37+M37+N37+O37</f>
        <v>6</v>
      </c>
      <c r="Q37" s="1440"/>
      <c r="R37" s="144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1440"/>
      <c r="R38" s="1441"/>
      <c r="S38" s="1430"/>
      <c r="T38" s="1424"/>
      <c r="U38" s="1944"/>
      <c r="V38" s="2038"/>
      <c r="W38" s="1966"/>
      <c r="X38" s="3052"/>
      <c r="Y38" s="3052"/>
      <c r="Z38" s="1420"/>
    </row>
    <row r="39" spans="1:26" ht="15" customHeight="1">
      <c r="A39" s="1418"/>
      <c r="B39" s="1431"/>
      <c r="C39" s="1442"/>
      <c r="D39" s="2441" t="s">
        <v>1130</v>
      </c>
      <c r="E39" s="2419"/>
      <c r="F39" s="2419"/>
      <c r="G39" s="2419"/>
      <c r="H39" s="2442" t="s">
        <v>1257</v>
      </c>
      <c r="I39" s="2420"/>
      <c r="J39" s="2420"/>
      <c r="K39" s="2420"/>
      <c r="L39" s="2419"/>
      <c r="M39" s="2419"/>
      <c r="N39" s="2419"/>
      <c r="O39" s="2419"/>
      <c r="P39" s="2443" t="s">
        <v>1200</v>
      </c>
      <c r="Q39" s="1440"/>
      <c r="R39" s="144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1440"/>
      <c r="R40" s="144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1440"/>
      <c r="R41" s="1441"/>
      <c r="S41" s="1430"/>
      <c r="T41" s="1424"/>
      <c r="U41" s="1944"/>
      <c r="V41" s="2179" t="s">
        <v>1085</v>
      </c>
      <c r="W41" s="1966"/>
      <c r="X41" s="2037"/>
      <c r="Y41" s="2037"/>
      <c r="Z41" s="1420"/>
    </row>
    <row r="42" spans="1:26" ht="14.1" customHeight="1">
      <c r="A42" s="1418"/>
      <c r="B42" s="1431"/>
      <c r="C42" s="1442"/>
      <c r="D42" s="2430" t="s">
        <v>20</v>
      </c>
      <c r="E42" s="2265">
        <v>1</v>
      </c>
      <c r="F42" s="1462">
        <v>5</v>
      </c>
      <c r="G42" s="1462"/>
      <c r="H42" s="1462"/>
      <c r="I42" s="1462"/>
      <c r="J42" s="1462"/>
      <c r="K42" s="1462"/>
      <c r="L42" s="1462"/>
      <c r="M42" s="2453">
        <f>E42+F42+G42+H42+I42+J42+K42+L42</f>
        <v>6</v>
      </c>
      <c r="N42" s="2452"/>
      <c r="O42" s="2452"/>
      <c r="P42" s="2452"/>
      <c r="Q42" s="1440"/>
      <c r="R42" s="1441"/>
      <c r="S42" s="1430"/>
      <c r="T42" s="1424"/>
      <c r="U42" s="1944"/>
      <c r="V42" s="4452" t="str">
        <f>IF(('الصفحة 1'!$Q$14&gt;0),((IF((M42&gt;'الصفحة 14'!$H$23),"العدد غيرمطابق",IF((M42&lt;='الصفحة 14'!$H$23)," ")))),"")</f>
        <v xml:space="preserve"> </v>
      </c>
      <c r="W42" s="4453"/>
      <c r="X42" s="1975" t="str">
        <f>IF(('الصفحة 1'!$Q$14&gt;0),((IF((M42&lt;&gt;P27),"العدد غيرمطابق",IF((M42=P27)," ")))),"")</f>
        <v>العدد غيرمطابق</v>
      </c>
      <c r="Y42" s="2037"/>
      <c r="Z42" s="1420"/>
    </row>
    <row r="43" spans="1:26" ht="14.1" customHeight="1">
      <c r="A43" s="1418"/>
      <c r="B43" s="1431"/>
      <c r="C43" s="1442"/>
      <c r="D43" s="2430" t="s">
        <v>672</v>
      </c>
      <c r="E43" s="2265">
        <v>1</v>
      </c>
      <c r="F43" s="2265">
        <v>5</v>
      </c>
      <c r="G43" s="2265"/>
      <c r="H43" s="2265"/>
      <c r="I43" s="2265"/>
      <c r="J43" s="2265"/>
      <c r="K43" s="2265"/>
      <c r="L43" s="2265"/>
      <c r="M43" s="2453">
        <f>E43+F43+G43+H43+I43+J43+K43+L43</f>
        <v>6</v>
      </c>
      <c r="N43" s="2452"/>
      <c r="O43" s="2452"/>
      <c r="P43" s="2452"/>
      <c r="Q43" s="1440"/>
      <c r="R43" s="1441"/>
      <c r="S43" s="1430"/>
      <c r="T43" s="1424"/>
      <c r="U43" s="1944"/>
      <c r="V43" s="4452" t="str">
        <f>IF(('الصفحة 1'!$Q$14&gt;0),((IF((M43&gt;'الصفحة 14'!$H$23),"العدد غيرمطابق",IF((M43&lt;='الصفحة 14'!$H$23)," ")))),"")</f>
        <v xml:space="preserve"> </v>
      </c>
      <c r="W43" s="4453"/>
      <c r="X43" s="1975" t="str">
        <f>IF(('الصفحة 1'!$Q$14&gt;0),((IF((M43&lt;&gt;P28),"العدد غيرمطابق",IF((M43=P28)," ")))),"")</f>
        <v>العدد غيرمطابق</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1440"/>
      <c r="R44" s="144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1440"/>
      <c r="R45" s="1441"/>
      <c r="S45" s="1430"/>
      <c r="T45" s="1424"/>
      <c r="U45" s="1944"/>
      <c r="V45" s="2038"/>
      <c r="W45" s="1966"/>
      <c r="X45" s="2037"/>
      <c r="Y45" s="2037"/>
      <c r="Z45" s="1420"/>
    </row>
    <row r="46" spans="1:26" ht="15" customHeight="1">
      <c r="A46" s="1418"/>
      <c r="B46" s="1431"/>
      <c r="C46" s="1442"/>
      <c r="D46" s="2441" t="s">
        <v>1131</v>
      </c>
      <c r="E46" s="2457"/>
      <c r="F46" s="2457"/>
      <c r="G46" s="2457"/>
      <c r="H46" s="2442" t="s">
        <v>1257</v>
      </c>
      <c r="I46" s="2458"/>
      <c r="J46" s="2458"/>
      <c r="K46" s="2458"/>
      <c r="L46" s="2457"/>
      <c r="M46" s="2457"/>
      <c r="N46" s="2457"/>
      <c r="O46" s="2457"/>
      <c r="P46" s="2459" t="s">
        <v>1132</v>
      </c>
      <c r="Q46" s="1440"/>
      <c r="R46" s="144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1440"/>
      <c r="R47" s="144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1440"/>
      <c r="R48" s="144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1440"/>
      <c r="R49" s="1441"/>
      <c r="S49" s="1430"/>
      <c r="T49" s="1424"/>
      <c r="U49" s="1944"/>
      <c r="V49" s="4452" t="str">
        <f>IF(('الصفحة 1'!$Q$14&gt;0),((IF((O49&gt;'الصفحة 14'!$H$23),"العدد غيرمطابق",IF((O49&lt;='الصفحة 14'!$H$23)," ")))),"")</f>
        <v xml:space="preserve"> </v>
      </c>
      <c r="W49" s="4453"/>
      <c r="X49" s="1975" t="str">
        <f>IF(('الصفحة 1'!$Q$14&gt;0),((IF((O49&lt;&gt;P27),"العدد غيرمطابق",IF((O49=P27)," ")))),"")</f>
        <v>العدد غيرمطابق</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1440"/>
      <c r="R50" s="1441"/>
      <c r="S50" s="1430"/>
      <c r="T50" s="1424"/>
      <c r="U50" s="1944"/>
      <c r="V50" s="4452" t="str">
        <f>IF(('الصفحة 1'!$Q$14&gt;0),((IF((O50&gt;'الصفحة 14'!$H$23),"العدد غيرمطابق",IF((O50&lt;='الصفحة 14'!$H$23)," ")))),"")</f>
        <v xml:space="preserve"> </v>
      </c>
      <c r="W50" s="4453"/>
      <c r="X50" s="1975" t="str">
        <f>IF(('الصفحة 1'!$Q$14&gt;0),((IF((O50&lt;&gt;P28),"العدد غيرمطابق",IF((O50=P28)," ")))),"")</f>
        <v>العدد غيرمطابق</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18</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5:W15"/>
    <mergeCell ref="V2:X6"/>
    <mergeCell ref="V10:W10"/>
    <mergeCell ref="V12:W12"/>
    <mergeCell ref="V13:W13"/>
    <mergeCell ref="V8:W8"/>
    <mergeCell ref="V33:W33"/>
    <mergeCell ref="V16:W16"/>
    <mergeCell ref="V18:W18"/>
    <mergeCell ref="V19:W19"/>
    <mergeCell ref="V21:W21"/>
    <mergeCell ref="V22:W22"/>
    <mergeCell ref="V24:W24"/>
    <mergeCell ref="V25:W25"/>
    <mergeCell ref="V27:W27"/>
    <mergeCell ref="V28:W28"/>
    <mergeCell ref="V30:W30"/>
    <mergeCell ref="V31:W31"/>
    <mergeCell ref="V34:W34"/>
    <mergeCell ref="V36:W36"/>
    <mergeCell ref="V37:W37"/>
    <mergeCell ref="V42:W42"/>
    <mergeCell ref="V43:W43"/>
    <mergeCell ref="O48:P48"/>
    <mergeCell ref="E49:F49"/>
    <mergeCell ref="G49:H49"/>
    <mergeCell ref="I49:J49"/>
    <mergeCell ref="K49:L49"/>
    <mergeCell ref="M49:N49"/>
    <mergeCell ref="O49:P49"/>
    <mergeCell ref="E48:F48"/>
    <mergeCell ref="G48:H48"/>
    <mergeCell ref="I48:J48"/>
    <mergeCell ref="K48:L48"/>
    <mergeCell ref="M48:N48"/>
    <mergeCell ref="C53:R53"/>
    <mergeCell ref="V49:W49"/>
    <mergeCell ref="E50:F50"/>
    <mergeCell ref="G50:H50"/>
    <mergeCell ref="I50:J50"/>
    <mergeCell ref="K50:L50"/>
    <mergeCell ref="M50:N50"/>
    <mergeCell ref="O50:P50"/>
    <mergeCell ref="V50:W50"/>
  </mergeCells>
  <conditionalFormatting sqref="G49 I49:I50 K49:K50 M49:M50 O49:O50 V49:V50 X49:X50 E49 X42:X43 E42:P42 V42:V43 E27:P27 E12:P12 E15:P15 E18:P18 E21:P21 V12:V13 V15:V16 V18:V19 E30:P30 X12:X13 X15:X16 X18:X19 E24:P24 X21:X25 V21:V22 V24:V25 X27:X28 V27:V28">
    <cfRule type="cellIs" dxfId="17753" priority="1812" operator="equal">
      <formula>0</formula>
    </cfRule>
  </conditionalFormatting>
  <conditionalFormatting sqref="E13 E43:P44 V50 X50">
    <cfRule type="cellIs" dxfId="17752" priority="1810" operator="greaterThan">
      <formula>E12</formula>
    </cfRule>
    <cfRule type="cellIs" dxfId="17751" priority="1811" operator="equal">
      <formula>0</formula>
    </cfRule>
  </conditionalFormatting>
  <conditionalFormatting sqref="F13">
    <cfRule type="cellIs" dxfId="17750" priority="1808" operator="greaterThan">
      <formula>F12</formula>
    </cfRule>
    <cfRule type="cellIs" dxfId="17749" priority="1809" operator="equal">
      <formula>0</formula>
    </cfRule>
  </conditionalFormatting>
  <conditionalFormatting sqref="G13">
    <cfRule type="cellIs" dxfId="17748" priority="1806" operator="greaterThan">
      <formula>G12</formula>
    </cfRule>
    <cfRule type="cellIs" dxfId="17747" priority="1807" operator="equal">
      <formula>0</formula>
    </cfRule>
  </conditionalFormatting>
  <conditionalFormatting sqref="H13">
    <cfRule type="cellIs" dxfId="17746" priority="1804" operator="greaterThan">
      <formula>H12</formula>
    </cfRule>
    <cfRule type="cellIs" dxfId="17745" priority="1805" operator="equal">
      <formula>0</formula>
    </cfRule>
  </conditionalFormatting>
  <conditionalFormatting sqref="I13">
    <cfRule type="cellIs" dxfId="17744" priority="1802" operator="greaterThan">
      <formula>I12</formula>
    </cfRule>
    <cfRule type="cellIs" dxfId="17743" priority="1803" operator="equal">
      <formula>0</formula>
    </cfRule>
  </conditionalFormatting>
  <conditionalFormatting sqref="J13">
    <cfRule type="cellIs" dxfId="17742" priority="1800" operator="greaterThan">
      <formula>J12</formula>
    </cfRule>
    <cfRule type="cellIs" dxfId="17741" priority="1801" operator="equal">
      <formula>0</formula>
    </cfRule>
  </conditionalFormatting>
  <conditionalFormatting sqref="K13">
    <cfRule type="cellIs" dxfId="17740" priority="1798" operator="greaterThan">
      <formula>K12</formula>
    </cfRule>
    <cfRule type="cellIs" dxfId="17739" priority="1799" operator="equal">
      <formula>0</formula>
    </cfRule>
  </conditionalFormatting>
  <conditionalFormatting sqref="L13">
    <cfRule type="cellIs" dxfId="17738" priority="1796" operator="greaterThan">
      <formula>L12</formula>
    </cfRule>
    <cfRule type="cellIs" dxfId="17737" priority="1797" operator="equal">
      <formula>0</formula>
    </cfRule>
  </conditionalFormatting>
  <conditionalFormatting sqref="M13">
    <cfRule type="cellIs" dxfId="17736" priority="1794" operator="greaterThan">
      <formula>M12</formula>
    </cfRule>
    <cfRule type="cellIs" dxfId="17735" priority="1795" operator="equal">
      <formula>0</formula>
    </cfRule>
  </conditionalFormatting>
  <conditionalFormatting sqref="N13">
    <cfRule type="cellIs" dxfId="17734" priority="1792" operator="greaterThan">
      <formula>N12</formula>
    </cfRule>
    <cfRule type="cellIs" dxfId="17733" priority="1793" operator="equal">
      <formula>0</formula>
    </cfRule>
  </conditionalFormatting>
  <conditionalFormatting sqref="O13">
    <cfRule type="cellIs" dxfId="17732" priority="1790" operator="greaterThan">
      <formula>O12</formula>
    </cfRule>
    <cfRule type="cellIs" dxfId="17731" priority="1791" operator="equal">
      <formula>0</formula>
    </cfRule>
  </conditionalFormatting>
  <conditionalFormatting sqref="P13">
    <cfRule type="cellIs" dxfId="17730" priority="1788" operator="greaterThan">
      <formula>P12</formula>
    </cfRule>
    <cfRule type="cellIs" dxfId="17729" priority="1789" operator="equal">
      <formula>0</formula>
    </cfRule>
  </conditionalFormatting>
  <conditionalFormatting sqref="E16">
    <cfRule type="cellIs" dxfId="17728" priority="1786" operator="greaterThan">
      <formula>E15</formula>
    </cfRule>
    <cfRule type="cellIs" dxfId="17727" priority="1787" operator="equal">
      <formula>0</formula>
    </cfRule>
  </conditionalFormatting>
  <conditionalFormatting sqref="F16">
    <cfRule type="cellIs" dxfId="17726" priority="1784" operator="greaterThan">
      <formula>F15</formula>
    </cfRule>
    <cfRule type="cellIs" dxfId="17725" priority="1785" operator="equal">
      <formula>0</formula>
    </cfRule>
  </conditionalFormatting>
  <conditionalFormatting sqref="G16">
    <cfRule type="cellIs" dxfId="17724" priority="1782" operator="greaterThan">
      <formula>G15</formula>
    </cfRule>
    <cfRule type="cellIs" dxfId="17723" priority="1783" operator="equal">
      <formula>0</formula>
    </cfRule>
  </conditionalFormatting>
  <conditionalFormatting sqref="H16">
    <cfRule type="cellIs" dxfId="17722" priority="1780" operator="greaterThan">
      <formula>H15</formula>
    </cfRule>
    <cfRule type="cellIs" dxfId="17721" priority="1781" operator="equal">
      <formula>0</formula>
    </cfRule>
  </conditionalFormatting>
  <conditionalFormatting sqref="I16">
    <cfRule type="cellIs" dxfId="17720" priority="1778" operator="greaterThan">
      <formula>I15</formula>
    </cfRule>
    <cfRule type="cellIs" dxfId="17719" priority="1779" operator="equal">
      <formula>0</formula>
    </cfRule>
  </conditionalFormatting>
  <conditionalFormatting sqref="J16">
    <cfRule type="cellIs" dxfId="17718" priority="1776" operator="greaterThan">
      <formula>J15</formula>
    </cfRule>
    <cfRule type="cellIs" dxfId="17717" priority="1777" operator="equal">
      <formula>0</formula>
    </cfRule>
  </conditionalFormatting>
  <conditionalFormatting sqref="K16">
    <cfRule type="cellIs" dxfId="17716" priority="1774" operator="greaterThan">
      <formula>K15</formula>
    </cfRule>
    <cfRule type="cellIs" dxfId="17715" priority="1775" operator="equal">
      <formula>0</formula>
    </cfRule>
  </conditionalFormatting>
  <conditionalFormatting sqref="L16">
    <cfRule type="cellIs" dxfId="17714" priority="1772" operator="greaterThan">
      <formula>L15</formula>
    </cfRule>
    <cfRule type="cellIs" dxfId="17713" priority="1773" operator="equal">
      <formula>0</formula>
    </cfRule>
  </conditionalFormatting>
  <conditionalFormatting sqref="M16">
    <cfRule type="cellIs" dxfId="17712" priority="1770" operator="greaterThan">
      <formula>M15</formula>
    </cfRule>
    <cfRule type="cellIs" dxfId="17711" priority="1771" operator="equal">
      <formula>0</formula>
    </cfRule>
  </conditionalFormatting>
  <conditionalFormatting sqref="N16">
    <cfRule type="cellIs" dxfId="17710" priority="1768" operator="greaterThan">
      <formula>N15</formula>
    </cfRule>
    <cfRule type="cellIs" dxfId="17709" priority="1769" operator="equal">
      <formula>0</formula>
    </cfRule>
  </conditionalFormatting>
  <conditionalFormatting sqref="O16">
    <cfRule type="cellIs" dxfId="17708" priority="1766" operator="greaterThan">
      <formula>O15</formula>
    </cfRule>
    <cfRule type="cellIs" dxfId="17707" priority="1767" operator="equal">
      <formula>0</formula>
    </cfRule>
  </conditionalFormatting>
  <conditionalFormatting sqref="P16">
    <cfRule type="cellIs" dxfId="17706" priority="1764" operator="greaterThan">
      <formula>P15</formula>
    </cfRule>
    <cfRule type="cellIs" dxfId="17705" priority="1765" operator="equal">
      <formula>0</formula>
    </cfRule>
  </conditionalFormatting>
  <conditionalFormatting sqref="E19">
    <cfRule type="cellIs" dxfId="17704" priority="1762" operator="greaterThan">
      <formula>E18</formula>
    </cfRule>
    <cfRule type="cellIs" dxfId="17703" priority="1763" operator="equal">
      <formula>0</formula>
    </cfRule>
  </conditionalFormatting>
  <conditionalFormatting sqref="F19">
    <cfRule type="cellIs" dxfId="17702" priority="1760" operator="greaterThan">
      <formula>F18</formula>
    </cfRule>
    <cfRule type="cellIs" dxfId="17701" priority="1761" operator="equal">
      <formula>0</formula>
    </cfRule>
  </conditionalFormatting>
  <conditionalFormatting sqref="G19">
    <cfRule type="cellIs" dxfId="17700" priority="1758" operator="greaterThan">
      <formula>G18</formula>
    </cfRule>
    <cfRule type="cellIs" dxfId="17699" priority="1759" operator="equal">
      <formula>0</formula>
    </cfRule>
  </conditionalFormatting>
  <conditionalFormatting sqref="H19">
    <cfRule type="cellIs" dxfId="17698" priority="1756" operator="greaterThan">
      <formula>H18</formula>
    </cfRule>
    <cfRule type="cellIs" dxfId="17697" priority="1757" operator="equal">
      <formula>0</formula>
    </cfRule>
  </conditionalFormatting>
  <conditionalFormatting sqref="I19">
    <cfRule type="cellIs" dxfId="17696" priority="1754" operator="greaterThan">
      <formula>I18</formula>
    </cfRule>
    <cfRule type="cellIs" dxfId="17695" priority="1755" operator="equal">
      <formula>0</formula>
    </cfRule>
  </conditionalFormatting>
  <conditionalFormatting sqref="J19">
    <cfRule type="cellIs" dxfId="17694" priority="1752" operator="greaterThan">
      <formula>J18</formula>
    </cfRule>
    <cfRule type="cellIs" dxfId="17693" priority="1753" operator="equal">
      <formula>0</formula>
    </cfRule>
  </conditionalFormatting>
  <conditionalFormatting sqref="K19">
    <cfRule type="cellIs" dxfId="17692" priority="1750" operator="greaterThan">
      <formula>K18</formula>
    </cfRule>
    <cfRule type="cellIs" dxfId="17691" priority="1751" operator="equal">
      <formula>0</formula>
    </cfRule>
  </conditionalFormatting>
  <conditionalFormatting sqref="L19">
    <cfRule type="cellIs" dxfId="17690" priority="1748" operator="greaterThan">
      <formula>L18</formula>
    </cfRule>
    <cfRule type="cellIs" dxfId="17689" priority="1749" operator="equal">
      <formula>0</formula>
    </cfRule>
  </conditionalFormatting>
  <conditionalFormatting sqref="M19">
    <cfRule type="cellIs" dxfId="17688" priority="1746" operator="greaterThan">
      <formula>M18</formula>
    </cfRule>
    <cfRule type="cellIs" dxfId="17687" priority="1747" operator="equal">
      <formula>0</formula>
    </cfRule>
  </conditionalFormatting>
  <conditionalFormatting sqref="N19">
    <cfRule type="cellIs" dxfId="17686" priority="1744" operator="greaterThan">
      <formula>N18</formula>
    </cfRule>
    <cfRule type="cellIs" dxfId="17685" priority="1745" operator="equal">
      <formula>0</formula>
    </cfRule>
  </conditionalFormatting>
  <conditionalFormatting sqref="O19">
    <cfRule type="cellIs" dxfId="17684" priority="1742" operator="greaterThan">
      <formula>O18</formula>
    </cfRule>
    <cfRule type="cellIs" dxfId="17683" priority="1743" operator="equal">
      <formula>0</formula>
    </cfRule>
  </conditionalFormatting>
  <conditionalFormatting sqref="P19">
    <cfRule type="cellIs" dxfId="17682" priority="1740" operator="greaterThan">
      <formula>P18</formula>
    </cfRule>
    <cfRule type="cellIs" dxfId="17681" priority="1741" operator="equal">
      <formula>0</formula>
    </cfRule>
  </conditionalFormatting>
  <conditionalFormatting sqref="E22">
    <cfRule type="cellIs" dxfId="17680" priority="1738" operator="greaterThan">
      <formula>E21</formula>
    </cfRule>
    <cfRule type="cellIs" dxfId="17679" priority="1739" operator="equal">
      <formula>0</formula>
    </cfRule>
  </conditionalFormatting>
  <conditionalFormatting sqref="F22">
    <cfRule type="cellIs" dxfId="17678" priority="1736" operator="greaterThan">
      <formula>F21</formula>
    </cfRule>
    <cfRule type="cellIs" dxfId="17677" priority="1737" operator="equal">
      <formula>0</formula>
    </cfRule>
  </conditionalFormatting>
  <conditionalFormatting sqref="G22">
    <cfRule type="cellIs" dxfId="17676" priority="1734" operator="greaterThan">
      <formula>G21</formula>
    </cfRule>
    <cfRule type="cellIs" dxfId="17675" priority="1735" operator="equal">
      <formula>0</formula>
    </cfRule>
  </conditionalFormatting>
  <conditionalFormatting sqref="H22">
    <cfRule type="cellIs" dxfId="17674" priority="1732" operator="greaterThan">
      <formula>H21</formula>
    </cfRule>
    <cfRule type="cellIs" dxfId="17673" priority="1733" operator="equal">
      <formula>0</formula>
    </cfRule>
  </conditionalFormatting>
  <conditionalFormatting sqref="I22">
    <cfRule type="cellIs" dxfId="17672" priority="1730" operator="greaterThan">
      <formula>I21</formula>
    </cfRule>
    <cfRule type="cellIs" dxfId="17671" priority="1731" operator="equal">
      <formula>0</formula>
    </cfRule>
  </conditionalFormatting>
  <conditionalFormatting sqref="J22">
    <cfRule type="cellIs" dxfId="17670" priority="1728" operator="greaterThan">
      <formula>J21</formula>
    </cfRule>
    <cfRule type="cellIs" dxfId="17669" priority="1729" operator="equal">
      <formula>0</formula>
    </cfRule>
  </conditionalFormatting>
  <conditionalFormatting sqref="K22">
    <cfRule type="cellIs" dxfId="17668" priority="1726" operator="greaterThan">
      <formula>K21</formula>
    </cfRule>
    <cfRule type="cellIs" dxfId="17667" priority="1727" operator="equal">
      <formula>0</formula>
    </cfRule>
  </conditionalFormatting>
  <conditionalFormatting sqref="L22">
    <cfRule type="cellIs" dxfId="17666" priority="1724" operator="greaterThan">
      <formula>L21</formula>
    </cfRule>
    <cfRule type="cellIs" dxfId="17665" priority="1725" operator="equal">
      <formula>0</formula>
    </cfRule>
  </conditionalFormatting>
  <conditionalFormatting sqref="M22">
    <cfRule type="cellIs" dxfId="17664" priority="1722" operator="greaterThan">
      <formula>M21</formula>
    </cfRule>
    <cfRule type="cellIs" dxfId="17663" priority="1723" operator="equal">
      <formula>0</formula>
    </cfRule>
  </conditionalFormatting>
  <conditionalFormatting sqref="N22">
    <cfRule type="cellIs" dxfId="17662" priority="1720" operator="greaterThan">
      <formula>N21</formula>
    </cfRule>
    <cfRule type="cellIs" dxfId="17661" priority="1721" operator="equal">
      <formula>0</formula>
    </cfRule>
  </conditionalFormatting>
  <conditionalFormatting sqref="O22">
    <cfRule type="cellIs" dxfId="17660" priority="1718" operator="greaterThan">
      <formula>O21</formula>
    </cfRule>
    <cfRule type="cellIs" dxfId="17659" priority="1719" operator="equal">
      <formula>0</formula>
    </cfRule>
  </conditionalFormatting>
  <conditionalFormatting sqref="P22">
    <cfRule type="cellIs" dxfId="17658" priority="1716" operator="greaterThan">
      <formula>P21</formula>
    </cfRule>
    <cfRule type="cellIs" dxfId="17657" priority="1717" operator="equal">
      <formula>0</formula>
    </cfRule>
  </conditionalFormatting>
  <conditionalFormatting sqref="E28">
    <cfRule type="cellIs" dxfId="17656" priority="1714" operator="greaterThan">
      <formula>E27</formula>
    </cfRule>
    <cfRule type="cellIs" dxfId="17655" priority="1715" operator="equal">
      <formula>0</formula>
    </cfRule>
  </conditionalFormatting>
  <conditionalFormatting sqref="F28">
    <cfRule type="cellIs" dxfId="17654" priority="1712" operator="greaterThan">
      <formula>F27</formula>
    </cfRule>
    <cfRule type="cellIs" dxfId="17653" priority="1713" operator="equal">
      <formula>0</formula>
    </cfRule>
  </conditionalFormatting>
  <conditionalFormatting sqref="G28">
    <cfRule type="cellIs" dxfId="17652" priority="1710" operator="greaterThan">
      <formula>G27</formula>
    </cfRule>
    <cfRule type="cellIs" dxfId="17651" priority="1711" operator="equal">
      <formula>0</formula>
    </cfRule>
  </conditionalFormatting>
  <conditionalFormatting sqref="H28">
    <cfRule type="cellIs" dxfId="17650" priority="1708" operator="greaterThan">
      <formula>H27</formula>
    </cfRule>
    <cfRule type="cellIs" dxfId="17649" priority="1709" operator="equal">
      <formula>0</formula>
    </cfRule>
  </conditionalFormatting>
  <conditionalFormatting sqref="I28">
    <cfRule type="cellIs" dxfId="17648" priority="1706" operator="greaterThan">
      <formula>I27</formula>
    </cfRule>
    <cfRule type="cellIs" dxfId="17647" priority="1707" operator="equal">
      <formula>0</formula>
    </cfRule>
  </conditionalFormatting>
  <conditionalFormatting sqref="J28">
    <cfRule type="cellIs" dxfId="17646" priority="1704" operator="greaterThan">
      <formula>J27</formula>
    </cfRule>
    <cfRule type="cellIs" dxfId="17645" priority="1705" operator="equal">
      <formula>0</formula>
    </cfRule>
  </conditionalFormatting>
  <conditionalFormatting sqref="K28">
    <cfRule type="cellIs" dxfId="17644" priority="1702" operator="greaterThan">
      <formula>K27</formula>
    </cfRule>
    <cfRule type="cellIs" dxfId="17643" priority="1703" operator="equal">
      <formula>0</formula>
    </cfRule>
  </conditionalFormatting>
  <conditionalFormatting sqref="L28">
    <cfRule type="cellIs" dxfId="17642" priority="1700" operator="greaterThan">
      <formula>L27</formula>
    </cfRule>
    <cfRule type="cellIs" dxfId="17641" priority="1701" operator="equal">
      <formula>0</formula>
    </cfRule>
  </conditionalFormatting>
  <conditionalFormatting sqref="M28">
    <cfRule type="cellIs" dxfId="17640" priority="1698" operator="greaterThan">
      <formula>M27</formula>
    </cfRule>
    <cfRule type="cellIs" dxfId="17639" priority="1699" operator="equal">
      <formula>0</formula>
    </cfRule>
  </conditionalFormatting>
  <conditionalFormatting sqref="N28">
    <cfRule type="cellIs" dxfId="17638" priority="1696" operator="greaterThan">
      <formula>N27</formula>
    </cfRule>
    <cfRule type="cellIs" dxfId="17637" priority="1697" operator="equal">
      <formula>0</formula>
    </cfRule>
  </conditionalFormatting>
  <conditionalFormatting sqref="O28">
    <cfRule type="cellIs" dxfId="17636" priority="1694" operator="greaterThan">
      <formula>O27</formula>
    </cfRule>
    <cfRule type="cellIs" dxfId="17635" priority="1695" operator="equal">
      <formula>0</formula>
    </cfRule>
  </conditionalFormatting>
  <conditionalFormatting sqref="P28">
    <cfRule type="cellIs" dxfId="17634" priority="1692" operator="greaterThan">
      <formula>P27</formula>
    </cfRule>
    <cfRule type="cellIs" dxfId="17633" priority="1693" operator="equal">
      <formula>0</formula>
    </cfRule>
  </conditionalFormatting>
  <conditionalFormatting sqref="E47:P47">
    <cfRule type="cellIs" dxfId="17632" priority="1690" operator="greaterThan">
      <formula>E45</formula>
    </cfRule>
    <cfRule type="cellIs" dxfId="17631" priority="1691" operator="equal">
      <formula>0</formula>
    </cfRule>
  </conditionalFormatting>
  <conditionalFormatting sqref="G50 I50 K50 M50 O50 E50">
    <cfRule type="cellIs" dxfId="17630" priority="1688" operator="greaterThan">
      <formula>E49</formula>
    </cfRule>
    <cfRule type="cellIs" dxfId="17629" priority="1689" operator="equal">
      <formula>0</formula>
    </cfRule>
  </conditionalFormatting>
  <conditionalFormatting sqref="E51:P51">
    <cfRule type="cellIs" dxfId="17628" priority="1686" operator="greaterThan">
      <formula>E45</formula>
    </cfRule>
    <cfRule type="cellIs" dxfId="17627" priority="1687" operator="equal">
      <formula>0</formula>
    </cfRule>
  </conditionalFormatting>
  <conditionalFormatting sqref="V28">
    <cfRule type="cellIs" dxfId="17626" priority="1684" operator="greaterThan">
      <formula>V27</formula>
    </cfRule>
    <cfRule type="cellIs" dxfId="17625" priority="1685" operator="equal">
      <formula>0</formula>
    </cfRule>
  </conditionalFormatting>
  <conditionalFormatting sqref="V43">
    <cfRule type="cellIs" dxfId="17624" priority="1682" operator="greaterThan">
      <formula>V42</formula>
    </cfRule>
    <cfRule type="cellIs" dxfId="17623" priority="1683" operator="equal">
      <formula>0</formula>
    </cfRule>
  </conditionalFormatting>
  <conditionalFormatting sqref="X43">
    <cfRule type="cellIs" dxfId="17622" priority="1680" operator="greaterThan">
      <formula>X42</formula>
    </cfRule>
    <cfRule type="cellIs" dxfId="17621" priority="1681" operator="equal">
      <formula>0</formula>
    </cfRule>
  </conditionalFormatting>
  <conditionalFormatting sqref="V27">
    <cfRule type="cellIs" dxfId="17620" priority="1678" operator="greaterThan">
      <formula>V26</formula>
    </cfRule>
    <cfRule type="cellIs" dxfId="17619" priority="1679" operator="equal">
      <formula>0</formula>
    </cfRule>
  </conditionalFormatting>
  <conditionalFormatting sqref="E51:N51">
    <cfRule type="cellIs" dxfId="17618" priority="1676" operator="greaterThan">
      <formula>G50</formula>
    </cfRule>
    <cfRule type="cellIs" dxfId="17617" priority="1677" operator="equal">
      <formula>0</formula>
    </cfRule>
  </conditionalFormatting>
  <conditionalFormatting sqref="O51:P51">
    <cfRule type="cellIs" dxfId="17616" priority="1674" operator="greaterThan">
      <formula>#REF!</formula>
    </cfRule>
    <cfRule type="cellIs" dxfId="17615" priority="1675" operator="equal">
      <formula>0</formula>
    </cfRule>
  </conditionalFormatting>
  <conditionalFormatting sqref="V13">
    <cfRule type="cellIs" dxfId="17614" priority="1672" operator="greaterThan">
      <formula>V12</formula>
    </cfRule>
    <cfRule type="cellIs" dxfId="17613" priority="1673" operator="equal">
      <formula>0</formula>
    </cfRule>
  </conditionalFormatting>
  <conditionalFormatting sqref="V12">
    <cfRule type="cellIs" dxfId="17612" priority="1670" operator="greaterThan">
      <formula>V11</formula>
    </cfRule>
    <cfRule type="cellIs" dxfId="17611" priority="1671" operator="equal">
      <formula>0</formula>
    </cfRule>
  </conditionalFormatting>
  <conditionalFormatting sqref="V16">
    <cfRule type="cellIs" dxfId="17610" priority="1668" operator="greaterThan">
      <formula>V15</formula>
    </cfRule>
    <cfRule type="cellIs" dxfId="17609" priority="1669" operator="equal">
      <formula>0</formula>
    </cfRule>
  </conditionalFormatting>
  <conditionalFormatting sqref="V15">
    <cfRule type="cellIs" dxfId="17608" priority="1666" operator="greaterThan">
      <formula>V14</formula>
    </cfRule>
    <cfRule type="cellIs" dxfId="17607" priority="1667" operator="equal">
      <formula>0</formula>
    </cfRule>
  </conditionalFormatting>
  <conditionalFormatting sqref="V19">
    <cfRule type="cellIs" dxfId="17606" priority="1664" operator="greaterThan">
      <formula>V18</formula>
    </cfRule>
    <cfRule type="cellIs" dxfId="17605" priority="1665" operator="equal">
      <formula>0</formula>
    </cfRule>
  </conditionalFormatting>
  <conditionalFormatting sqref="V18">
    <cfRule type="cellIs" dxfId="17604" priority="1662" operator="greaterThan">
      <formula>V17</formula>
    </cfRule>
    <cfRule type="cellIs" dxfId="17603" priority="1663" operator="equal">
      <formula>0</formula>
    </cfRule>
  </conditionalFormatting>
  <conditionalFormatting sqref="V22 V24:V25">
    <cfRule type="cellIs" dxfId="17602" priority="1660" operator="greaterThan">
      <formula>V21</formula>
    </cfRule>
    <cfRule type="cellIs" dxfId="17601" priority="1661" operator="equal">
      <formula>0</formula>
    </cfRule>
  </conditionalFormatting>
  <conditionalFormatting sqref="V21">
    <cfRule type="cellIs" dxfId="17600" priority="1658" operator="greaterThan">
      <formula>V20</formula>
    </cfRule>
    <cfRule type="cellIs" dxfId="17599" priority="1659" operator="equal">
      <formula>0</formula>
    </cfRule>
  </conditionalFormatting>
  <conditionalFormatting sqref="E31">
    <cfRule type="cellIs" dxfId="17598" priority="1656" operator="greaterThan">
      <formula>E30</formula>
    </cfRule>
    <cfRule type="cellIs" dxfId="17597" priority="1657" operator="equal">
      <formula>0</formula>
    </cfRule>
  </conditionalFormatting>
  <conditionalFormatting sqref="F31">
    <cfRule type="cellIs" dxfId="17596" priority="1654" operator="greaterThan">
      <formula>F30</formula>
    </cfRule>
    <cfRule type="cellIs" dxfId="17595" priority="1655" operator="equal">
      <formula>0</formula>
    </cfRule>
  </conditionalFormatting>
  <conditionalFormatting sqref="G31">
    <cfRule type="cellIs" dxfId="17594" priority="1652" operator="greaterThan">
      <formula>G30</formula>
    </cfRule>
    <cfRule type="cellIs" dxfId="17593" priority="1653" operator="equal">
      <formula>0</formula>
    </cfRule>
  </conditionalFormatting>
  <conditionalFormatting sqref="H31">
    <cfRule type="cellIs" dxfId="17592" priority="1650" operator="greaterThan">
      <formula>H30</formula>
    </cfRule>
    <cfRule type="cellIs" dxfId="17591" priority="1651" operator="equal">
      <formula>0</formula>
    </cfRule>
  </conditionalFormatting>
  <conditionalFormatting sqref="I31">
    <cfRule type="cellIs" dxfId="17590" priority="1648" operator="greaterThan">
      <formula>I30</formula>
    </cfRule>
    <cfRule type="cellIs" dxfId="17589" priority="1649" operator="equal">
      <formula>0</formula>
    </cfRule>
  </conditionalFormatting>
  <conditionalFormatting sqref="J31">
    <cfRule type="cellIs" dxfId="17588" priority="1646" operator="greaterThan">
      <formula>J30</formula>
    </cfRule>
    <cfRule type="cellIs" dxfId="17587" priority="1647" operator="equal">
      <formula>0</formula>
    </cfRule>
  </conditionalFormatting>
  <conditionalFormatting sqref="K31">
    <cfRule type="cellIs" dxfId="17586" priority="1644" operator="greaterThan">
      <formula>K30</formula>
    </cfRule>
    <cfRule type="cellIs" dxfId="17585" priority="1645" operator="equal">
      <formula>0</formula>
    </cfRule>
  </conditionalFormatting>
  <conditionalFormatting sqref="L31">
    <cfRule type="cellIs" dxfId="17584" priority="1642" operator="greaterThan">
      <formula>L30</formula>
    </cfRule>
    <cfRule type="cellIs" dxfId="17583" priority="1643" operator="equal">
      <formula>0</formula>
    </cfRule>
  </conditionalFormatting>
  <conditionalFormatting sqref="M31">
    <cfRule type="cellIs" dxfId="17582" priority="1640" operator="greaterThan">
      <formula>M30</formula>
    </cfRule>
    <cfRule type="cellIs" dxfId="17581" priority="1641" operator="equal">
      <formula>0</formula>
    </cfRule>
  </conditionalFormatting>
  <conditionalFormatting sqref="N31">
    <cfRule type="cellIs" dxfId="17580" priority="1638" operator="greaterThan">
      <formula>N30</formula>
    </cfRule>
    <cfRule type="cellIs" dxfId="17579" priority="1639" operator="equal">
      <formula>0</formula>
    </cfRule>
  </conditionalFormatting>
  <conditionalFormatting sqref="O31">
    <cfRule type="cellIs" dxfId="17578" priority="1636" operator="greaterThan">
      <formula>O30</formula>
    </cfRule>
    <cfRule type="cellIs" dxfId="17577" priority="1637" operator="equal">
      <formula>0</formula>
    </cfRule>
  </conditionalFormatting>
  <conditionalFormatting sqref="P31">
    <cfRule type="cellIs" dxfId="17576" priority="1634" operator="greaterThan">
      <formula>P30</formula>
    </cfRule>
    <cfRule type="cellIs" dxfId="17575" priority="1635" operator="equal">
      <formula>0</formula>
    </cfRule>
  </conditionalFormatting>
  <conditionalFormatting sqref="E25">
    <cfRule type="cellIs" dxfId="17574" priority="1632" operator="greaterThan">
      <formula>E24</formula>
    </cfRule>
    <cfRule type="cellIs" dxfId="17573" priority="1633" operator="equal">
      <formula>0</formula>
    </cfRule>
  </conditionalFormatting>
  <conditionalFormatting sqref="F25">
    <cfRule type="cellIs" dxfId="17572" priority="1630" operator="greaterThan">
      <formula>F24</formula>
    </cfRule>
    <cfRule type="cellIs" dxfId="17571" priority="1631" operator="equal">
      <formula>0</formula>
    </cfRule>
  </conditionalFormatting>
  <conditionalFormatting sqref="G25">
    <cfRule type="cellIs" dxfId="17570" priority="1628" operator="greaterThan">
      <formula>G24</formula>
    </cfRule>
    <cfRule type="cellIs" dxfId="17569" priority="1629" operator="equal">
      <formula>0</formula>
    </cfRule>
  </conditionalFormatting>
  <conditionalFormatting sqref="H25">
    <cfRule type="cellIs" dxfId="17568" priority="1626" operator="greaterThan">
      <formula>H24</formula>
    </cfRule>
    <cfRule type="cellIs" dxfId="17567" priority="1627" operator="equal">
      <formula>0</formula>
    </cfRule>
  </conditionalFormatting>
  <conditionalFormatting sqref="I25">
    <cfRule type="cellIs" dxfId="17566" priority="1624" operator="greaterThan">
      <formula>I24</formula>
    </cfRule>
    <cfRule type="cellIs" dxfId="17565" priority="1625" operator="equal">
      <formula>0</formula>
    </cfRule>
  </conditionalFormatting>
  <conditionalFormatting sqref="J25">
    <cfRule type="cellIs" dxfId="17564" priority="1622" operator="greaterThan">
      <formula>J24</formula>
    </cfRule>
    <cfRule type="cellIs" dxfId="17563" priority="1623" operator="equal">
      <formula>0</formula>
    </cfRule>
  </conditionalFormatting>
  <conditionalFormatting sqref="K25">
    <cfRule type="cellIs" dxfId="17562" priority="1620" operator="greaterThan">
      <formula>K24</formula>
    </cfRule>
    <cfRule type="cellIs" dxfId="17561" priority="1621" operator="equal">
      <formula>0</formula>
    </cfRule>
  </conditionalFormatting>
  <conditionalFormatting sqref="L25">
    <cfRule type="cellIs" dxfId="17560" priority="1618" operator="greaterThan">
      <formula>L24</formula>
    </cfRule>
    <cfRule type="cellIs" dxfId="17559" priority="1619" operator="equal">
      <formula>0</formula>
    </cfRule>
  </conditionalFormatting>
  <conditionalFormatting sqref="M25">
    <cfRule type="cellIs" dxfId="17558" priority="1616" operator="greaterThan">
      <formula>M24</formula>
    </cfRule>
    <cfRule type="cellIs" dxfId="17557" priority="1617" operator="equal">
      <formula>0</formula>
    </cfRule>
  </conditionalFormatting>
  <conditionalFormatting sqref="N25">
    <cfRule type="cellIs" dxfId="17556" priority="1614" operator="greaterThan">
      <formula>N24</formula>
    </cfRule>
    <cfRule type="cellIs" dxfId="17555" priority="1615" operator="equal">
      <formula>0</formula>
    </cfRule>
  </conditionalFormatting>
  <conditionalFormatting sqref="O25">
    <cfRule type="cellIs" dxfId="17554" priority="1612" operator="greaterThan">
      <formula>O24</formula>
    </cfRule>
    <cfRule type="cellIs" dxfId="17553" priority="1613" operator="equal">
      <formula>0</formula>
    </cfRule>
  </conditionalFormatting>
  <conditionalFormatting sqref="P25">
    <cfRule type="cellIs" dxfId="17552" priority="1610" operator="greaterThan">
      <formula>P24</formula>
    </cfRule>
    <cfRule type="cellIs" dxfId="17551" priority="1611" operator="equal">
      <formula>0</formula>
    </cfRule>
  </conditionalFormatting>
  <conditionalFormatting sqref="E45:P45 E46:O46">
    <cfRule type="cellIs" dxfId="17550" priority="1608" operator="greaterThan">
      <formula>#REF!</formula>
    </cfRule>
    <cfRule type="cellIs" dxfId="17549" priority="1609" operator="equal">
      <formula>0</formula>
    </cfRule>
  </conditionalFormatting>
  <conditionalFormatting sqref="E33:P33">
    <cfRule type="cellIs" dxfId="17548" priority="1607" operator="equal">
      <formula>0</formula>
    </cfRule>
  </conditionalFormatting>
  <conditionalFormatting sqref="E34">
    <cfRule type="cellIs" dxfId="17547" priority="1605" operator="greaterThan">
      <formula>E33</formula>
    </cfRule>
    <cfRule type="cellIs" dxfId="17546" priority="1606" operator="equal">
      <formula>0</formula>
    </cfRule>
  </conditionalFormatting>
  <conditionalFormatting sqref="F34">
    <cfRule type="cellIs" dxfId="17545" priority="1603" operator="greaterThan">
      <formula>F33</formula>
    </cfRule>
    <cfRule type="cellIs" dxfId="17544" priority="1604" operator="equal">
      <formula>0</formula>
    </cfRule>
  </conditionalFormatting>
  <conditionalFormatting sqref="G34">
    <cfRule type="cellIs" dxfId="17543" priority="1601" operator="greaterThan">
      <formula>G33</formula>
    </cfRule>
    <cfRule type="cellIs" dxfId="17542" priority="1602" operator="equal">
      <formula>0</formula>
    </cfRule>
  </conditionalFormatting>
  <conditionalFormatting sqref="H34">
    <cfRule type="cellIs" dxfId="17541" priority="1599" operator="greaterThan">
      <formula>H33</formula>
    </cfRule>
    <cfRule type="cellIs" dxfId="17540" priority="1600" operator="equal">
      <formula>0</formula>
    </cfRule>
  </conditionalFormatting>
  <conditionalFormatting sqref="I34">
    <cfRule type="cellIs" dxfId="17539" priority="1597" operator="greaterThan">
      <formula>I33</formula>
    </cfRule>
    <cfRule type="cellIs" dxfId="17538" priority="1598" operator="equal">
      <formula>0</formula>
    </cfRule>
  </conditionalFormatting>
  <conditionalFormatting sqref="J34">
    <cfRule type="cellIs" dxfId="17537" priority="1595" operator="greaterThan">
      <formula>J33</formula>
    </cfRule>
    <cfRule type="cellIs" dxfId="17536" priority="1596" operator="equal">
      <formula>0</formula>
    </cfRule>
  </conditionalFormatting>
  <conditionalFormatting sqref="K34">
    <cfRule type="cellIs" dxfId="17535" priority="1593" operator="greaterThan">
      <formula>K33</formula>
    </cfRule>
    <cfRule type="cellIs" dxfId="17534" priority="1594" operator="equal">
      <formula>0</formula>
    </cfRule>
  </conditionalFormatting>
  <conditionalFormatting sqref="L34">
    <cfRule type="cellIs" dxfId="17533" priority="1591" operator="greaterThan">
      <formula>L33</formula>
    </cfRule>
    <cfRule type="cellIs" dxfId="17532" priority="1592" operator="equal">
      <formula>0</formula>
    </cfRule>
  </conditionalFormatting>
  <conditionalFormatting sqref="M34">
    <cfRule type="cellIs" dxfId="17531" priority="1589" operator="greaterThan">
      <formula>M33</formula>
    </cfRule>
    <cfRule type="cellIs" dxfId="17530" priority="1590" operator="equal">
      <formula>0</formula>
    </cfRule>
  </conditionalFormatting>
  <conditionalFormatting sqref="N34">
    <cfRule type="cellIs" dxfId="17529" priority="1587" operator="greaterThan">
      <formula>N33</formula>
    </cfRule>
    <cfRule type="cellIs" dxfId="17528" priority="1588" operator="equal">
      <formula>0</formula>
    </cfRule>
  </conditionalFormatting>
  <conditionalFormatting sqref="O34">
    <cfRule type="cellIs" dxfId="17527" priority="1585" operator="greaterThan">
      <formula>O33</formula>
    </cfRule>
    <cfRule type="cellIs" dxfId="17526" priority="1586" operator="equal">
      <formula>0</formula>
    </cfRule>
  </conditionalFormatting>
  <conditionalFormatting sqref="P34">
    <cfRule type="cellIs" dxfId="17525" priority="1583" operator="greaterThan">
      <formula>P33</formula>
    </cfRule>
    <cfRule type="cellIs" dxfId="17524" priority="1584" operator="equal">
      <formula>0</formula>
    </cfRule>
  </conditionalFormatting>
  <conditionalFormatting sqref="E36:P36">
    <cfRule type="cellIs" dxfId="17523" priority="1582" operator="equal">
      <formula>0</formula>
    </cfRule>
  </conditionalFormatting>
  <conditionalFormatting sqref="E37">
    <cfRule type="cellIs" dxfId="17522" priority="1580" operator="greaterThan">
      <formula>E36</formula>
    </cfRule>
    <cfRule type="cellIs" dxfId="17521" priority="1581" operator="equal">
      <formula>0</formula>
    </cfRule>
  </conditionalFormatting>
  <conditionalFormatting sqref="F37">
    <cfRule type="cellIs" dxfId="17520" priority="1578" operator="greaterThan">
      <formula>F36</formula>
    </cfRule>
    <cfRule type="cellIs" dxfId="17519" priority="1579" operator="equal">
      <formula>0</formula>
    </cfRule>
  </conditionalFormatting>
  <conditionalFormatting sqref="G37">
    <cfRule type="cellIs" dxfId="17518" priority="1576" operator="greaterThan">
      <formula>G36</formula>
    </cfRule>
    <cfRule type="cellIs" dxfId="17517" priority="1577" operator="equal">
      <formula>0</formula>
    </cfRule>
  </conditionalFormatting>
  <conditionalFormatting sqref="H37">
    <cfRule type="cellIs" dxfId="17516" priority="1574" operator="greaterThan">
      <formula>H36</formula>
    </cfRule>
    <cfRule type="cellIs" dxfId="17515" priority="1575" operator="equal">
      <formula>0</formula>
    </cfRule>
  </conditionalFormatting>
  <conditionalFormatting sqref="I37">
    <cfRule type="cellIs" dxfId="17514" priority="1572" operator="greaterThan">
      <formula>I36</formula>
    </cfRule>
    <cfRule type="cellIs" dxfId="17513" priority="1573" operator="equal">
      <formula>0</formula>
    </cfRule>
  </conditionalFormatting>
  <conditionalFormatting sqref="J37">
    <cfRule type="cellIs" dxfId="17512" priority="1570" operator="greaterThan">
      <formula>J36</formula>
    </cfRule>
    <cfRule type="cellIs" dxfId="17511" priority="1571" operator="equal">
      <formula>0</formula>
    </cfRule>
  </conditionalFormatting>
  <conditionalFormatting sqref="K37">
    <cfRule type="cellIs" dxfId="17510" priority="1568" operator="greaterThan">
      <formula>K36</formula>
    </cfRule>
    <cfRule type="cellIs" dxfId="17509" priority="1569" operator="equal">
      <formula>0</formula>
    </cfRule>
  </conditionalFormatting>
  <conditionalFormatting sqref="L37">
    <cfRule type="cellIs" dxfId="17508" priority="1566" operator="greaterThan">
      <formula>L36</formula>
    </cfRule>
    <cfRule type="cellIs" dxfId="17507" priority="1567" operator="equal">
      <formula>0</formula>
    </cfRule>
  </conditionalFormatting>
  <conditionalFormatting sqref="M37">
    <cfRule type="cellIs" dxfId="17506" priority="1564" operator="greaterThan">
      <formula>M36</formula>
    </cfRule>
    <cfRule type="cellIs" dxfId="17505" priority="1565" operator="equal">
      <formula>0</formula>
    </cfRule>
  </conditionalFormatting>
  <conditionalFormatting sqref="N37">
    <cfRule type="cellIs" dxfId="17504" priority="1562" operator="greaterThan">
      <formula>N36</formula>
    </cfRule>
    <cfRule type="cellIs" dxfId="17503" priority="1563" operator="equal">
      <formula>0</formula>
    </cfRule>
  </conditionalFormatting>
  <conditionalFormatting sqref="O37">
    <cfRule type="cellIs" dxfId="17502" priority="1560" operator="greaterThan">
      <formula>O36</formula>
    </cfRule>
    <cfRule type="cellIs" dxfId="17501" priority="1561" operator="equal">
      <formula>0</formula>
    </cfRule>
  </conditionalFormatting>
  <conditionalFormatting sqref="P37">
    <cfRule type="cellIs" dxfId="17500" priority="1558" operator="greaterThan">
      <formula>P36</formula>
    </cfRule>
    <cfRule type="cellIs" dxfId="17499" priority="1559" operator="equal">
      <formula>0</formula>
    </cfRule>
  </conditionalFormatting>
  <conditionalFormatting sqref="V24">
    <cfRule type="cellIs" dxfId="17498" priority="1556" operator="greaterThan">
      <formula>V23</formula>
    </cfRule>
    <cfRule type="cellIs" dxfId="17497" priority="1557" operator="equal">
      <formula>0</formula>
    </cfRule>
  </conditionalFormatting>
  <conditionalFormatting sqref="V27:V28">
    <cfRule type="cellIs" dxfId="17496" priority="1554" operator="greaterThan">
      <formula>V26</formula>
    </cfRule>
    <cfRule type="cellIs" dxfId="17495" priority="1555" operator="equal">
      <formula>0</formula>
    </cfRule>
  </conditionalFormatting>
  <conditionalFormatting sqref="V27">
    <cfRule type="cellIs" dxfId="17494" priority="1552" operator="greaterThan">
      <formula>V26</formula>
    </cfRule>
    <cfRule type="cellIs" dxfId="17493" priority="1553" operator="equal">
      <formula>0</formula>
    </cfRule>
  </conditionalFormatting>
  <conditionalFormatting sqref="V49:V50 X49:X50 X42:X43 V42:V43 V12:V13 V15:V16 V18:V19 X12:X13 X15:X16 X18:X19 X21:X25 V21:V22 V24:V25 X27:X28 V27:V28">
    <cfRule type="cellIs" dxfId="17492" priority="1551" operator="equal">
      <formula>0</formula>
    </cfRule>
  </conditionalFormatting>
  <conditionalFormatting sqref="V50 X50">
    <cfRule type="cellIs" dxfId="17491" priority="1549" operator="greaterThan">
      <formula>V49</formula>
    </cfRule>
    <cfRule type="cellIs" dxfId="17490" priority="1550" operator="equal">
      <formula>0</formula>
    </cfRule>
  </conditionalFormatting>
  <conditionalFormatting sqref="V28">
    <cfRule type="cellIs" dxfId="17489" priority="1547" operator="greaterThan">
      <formula>V27</formula>
    </cfRule>
    <cfRule type="cellIs" dxfId="17488" priority="1548" operator="equal">
      <formula>0</formula>
    </cfRule>
  </conditionalFormatting>
  <conditionalFormatting sqref="V43">
    <cfRule type="cellIs" dxfId="17487" priority="1545" operator="greaterThan">
      <formula>V42</formula>
    </cfRule>
    <cfRule type="cellIs" dxfId="17486" priority="1546" operator="equal">
      <formula>0</formula>
    </cfRule>
  </conditionalFormatting>
  <conditionalFormatting sqref="X43">
    <cfRule type="cellIs" dxfId="17485" priority="1543" operator="greaterThan">
      <formula>X42</formula>
    </cfRule>
    <cfRule type="cellIs" dxfId="17484" priority="1544" operator="equal">
      <formula>0</formula>
    </cfRule>
  </conditionalFormatting>
  <conditionalFormatting sqref="V27">
    <cfRule type="cellIs" dxfId="17483" priority="1541" operator="greaterThan">
      <formula>V26</formula>
    </cfRule>
    <cfRule type="cellIs" dxfId="17482" priority="1542" operator="equal">
      <formula>0</formula>
    </cfRule>
  </conditionalFormatting>
  <conditionalFormatting sqref="V13">
    <cfRule type="cellIs" dxfId="17481" priority="1539" operator="greaterThan">
      <formula>V12</formula>
    </cfRule>
    <cfRule type="cellIs" dxfId="17480" priority="1540" operator="equal">
      <formula>0</formula>
    </cfRule>
  </conditionalFormatting>
  <conditionalFormatting sqref="V12">
    <cfRule type="cellIs" dxfId="17479" priority="1537" operator="greaterThan">
      <formula>V11</formula>
    </cfRule>
    <cfRule type="cellIs" dxfId="17478" priority="1538" operator="equal">
      <formula>0</formula>
    </cfRule>
  </conditionalFormatting>
  <conditionalFormatting sqref="V16">
    <cfRule type="cellIs" dxfId="17477" priority="1535" operator="greaterThan">
      <formula>V15</formula>
    </cfRule>
    <cfRule type="cellIs" dxfId="17476" priority="1536" operator="equal">
      <formula>0</formula>
    </cfRule>
  </conditionalFormatting>
  <conditionalFormatting sqref="V15">
    <cfRule type="cellIs" dxfId="17475" priority="1533" operator="greaterThan">
      <formula>V14</formula>
    </cfRule>
    <cfRule type="cellIs" dxfId="17474" priority="1534" operator="equal">
      <formula>0</formula>
    </cfRule>
  </conditionalFormatting>
  <conditionalFormatting sqref="V19">
    <cfRule type="cellIs" dxfId="17473" priority="1531" operator="greaterThan">
      <formula>V18</formula>
    </cfRule>
    <cfRule type="cellIs" dxfId="17472" priority="1532" operator="equal">
      <formula>0</formula>
    </cfRule>
  </conditionalFormatting>
  <conditionalFormatting sqref="V18">
    <cfRule type="cellIs" dxfId="17471" priority="1529" operator="greaterThan">
      <formula>V17</formula>
    </cfRule>
    <cfRule type="cellIs" dxfId="17470" priority="1530" operator="equal">
      <formula>0</formula>
    </cfRule>
  </conditionalFormatting>
  <conditionalFormatting sqref="V22 V24:V25">
    <cfRule type="cellIs" dxfId="17469" priority="1527" operator="greaterThan">
      <formula>V21</formula>
    </cfRule>
    <cfRule type="cellIs" dxfId="17468" priority="1528" operator="equal">
      <formula>0</formula>
    </cfRule>
  </conditionalFormatting>
  <conditionalFormatting sqref="V21">
    <cfRule type="cellIs" dxfId="17467" priority="1525" operator="greaterThan">
      <formula>V20</formula>
    </cfRule>
    <cfRule type="cellIs" dxfId="17466" priority="1526" operator="equal">
      <formula>0</formula>
    </cfRule>
  </conditionalFormatting>
  <conditionalFormatting sqref="V24">
    <cfRule type="cellIs" dxfId="17465" priority="1523" operator="greaterThan">
      <formula>V23</formula>
    </cfRule>
    <cfRule type="cellIs" dxfId="17464" priority="1524" operator="equal">
      <formula>0</formula>
    </cfRule>
  </conditionalFormatting>
  <conditionalFormatting sqref="V27:V28">
    <cfRule type="cellIs" dxfId="17463" priority="1521" operator="greaterThan">
      <formula>V26</formula>
    </cfRule>
    <cfRule type="cellIs" dxfId="17462" priority="1522" operator="equal">
      <formula>0</formula>
    </cfRule>
  </conditionalFormatting>
  <conditionalFormatting sqref="V27">
    <cfRule type="cellIs" dxfId="17461" priority="1519" operator="greaterThan">
      <formula>V26</formula>
    </cfRule>
    <cfRule type="cellIs" dxfId="17460" priority="1520" operator="equal">
      <formula>0</formula>
    </cfRule>
  </conditionalFormatting>
  <conditionalFormatting sqref="P42 P27 P12 P15 P18 P21 P30 P24">
    <cfRule type="cellIs" dxfId="17459" priority="1518" operator="equal">
      <formula>0</formula>
    </cfRule>
  </conditionalFormatting>
  <conditionalFormatting sqref="P43:P44">
    <cfRule type="cellIs" dxfId="17458" priority="1516" operator="greaterThan">
      <formula>P42</formula>
    </cfRule>
    <cfRule type="cellIs" dxfId="17457" priority="1517" operator="equal">
      <formula>0</formula>
    </cfRule>
  </conditionalFormatting>
  <conditionalFormatting sqref="P13">
    <cfRule type="cellIs" dxfId="17456" priority="1514" operator="greaterThan">
      <formula>P12</formula>
    </cfRule>
    <cfRule type="cellIs" dxfId="17455" priority="1515" operator="equal">
      <formula>0</formula>
    </cfRule>
  </conditionalFormatting>
  <conditionalFormatting sqref="P16">
    <cfRule type="cellIs" dxfId="17454" priority="1512" operator="greaterThan">
      <formula>P15</formula>
    </cfRule>
    <cfRule type="cellIs" dxfId="17453" priority="1513" operator="equal">
      <formula>0</formula>
    </cfRule>
  </conditionalFormatting>
  <conditionalFormatting sqref="P19">
    <cfRule type="cellIs" dxfId="17452" priority="1510" operator="greaterThan">
      <formula>P18</formula>
    </cfRule>
    <cfRule type="cellIs" dxfId="17451" priority="1511" operator="equal">
      <formula>0</formula>
    </cfRule>
  </conditionalFormatting>
  <conditionalFormatting sqref="P22">
    <cfRule type="cellIs" dxfId="17450" priority="1508" operator="greaterThan">
      <formula>P21</formula>
    </cfRule>
    <cfRule type="cellIs" dxfId="17449" priority="1509" operator="equal">
      <formula>0</formula>
    </cfRule>
  </conditionalFormatting>
  <conditionalFormatting sqref="P28">
    <cfRule type="cellIs" dxfId="17448" priority="1506" operator="greaterThan">
      <formula>P27</formula>
    </cfRule>
    <cfRule type="cellIs" dxfId="17447" priority="1507" operator="equal">
      <formula>0</formula>
    </cfRule>
  </conditionalFormatting>
  <conditionalFormatting sqref="P31">
    <cfRule type="cellIs" dxfId="17446" priority="1504" operator="greaterThan">
      <formula>P30</formula>
    </cfRule>
    <cfRule type="cellIs" dxfId="17445" priority="1505" operator="equal">
      <formula>0</formula>
    </cfRule>
  </conditionalFormatting>
  <conditionalFormatting sqref="P25">
    <cfRule type="cellIs" dxfId="17444" priority="1502" operator="greaterThan">
      <formula>P24</formula>
    </cfRule>
    <cfRule type="cellIs" dxfId="17443" priority="1503" operator="equal">
      <formula>0</formula>
    </cfRule>
  </conditionalFormatting>
  <conditionalFormatting sqref="P45">
    <cfRule type="cellIs" dxfId="17442" priority="1500" operator="greaterThan">
      <formula>#REF!</formula>
    </cfRule>
    <cfRule type="cellIs" dxfId="17441" priority="1501" operator="equal">
      <formula>0</formula>
    </cfRule>
  </conditionalFormatting>
  <conditionalFormatting sqref="P33">
    <cfRule type="cellIs" dxfId="17440" priority="1499" operator="equal">
      <formula>0</formula>
    </cfRule>
  </conditionalFormatting>
  <conditionalFormatting sqref="P34">
    <cfRule type="cellIs" dxfId="17439" priority="1497" operator="greaterThan">
      <formula>P33</formula>
    </cfRule>
    <cfRule type="cellIs" dxfId="17438" priority="1498" operator="equal">
      <formula>0</formula>
    </cfRule>
  </conditionalFormatting>
  <conditionalFormatting sqref="P36">
    <cfRule type="cellIs" dxfId="17437" priority="1496" operator="equal">
      <formula>0</formula>
    </cfRule>
  </conditionalFormatting>
  <conditionalFormatting sqref="P37">
    <cfRule type="cellIs" dxfId="17436" priority="1494" operator="greaterThan">
      <formula>P36</formula>
    </cfRule>
    <cfRule type="cellIs" dxfId="17435" priority="1495" operator="equal">
      <formula>0</formula>
    </cfRule>
  </conditionalFormatting>
  <conditionalFormatting sqref="H42">
    <cfRule type="cellIs" dxfId="17434" priority="1493" operator="equal">
      <formula>0</formula>
    </cfRule>
  </conditionalFormatting>
  <conditionalFormatting sqref="H43:H44">
    <cfRule type="cellIs" dxfId="17433" priority="1491" operator="greaterThan">
      <formula>H42</formula>
    </cfRule>
    <cfRule type="cellIs" dxfId="17432" priority="1492" operator="equal">
      <formula>0</formula>
    </cfRule>
  </conditionalFormatting>
  <conditionalFormatting sqref="H45">
    <cfRule type="cellIs" dxfId="17431" priority="1489" operator="greaterThan">
      <formula>#REF!</formula>
    </cfRule>
    <cfRule type="cellIs" dxfId="17430" priority="1490" operator="equal">
      <formula>0</formula>
    </cfRule>
  </conditionalFormatting>
  <conditionalFormatting sqref="X49:X50 X42:X43 V42:V43 V12:V13 X12:X13 V15:V16 X15:X16 V18:V19 X18:X19 V21:V22 V24:V25 X21:X25 V27:V28 X27:X28 V49:V50">
    <cfRule type="cellIs" dxfId="17429" priority="1488" operator="equal">
      <formula>0</formula>
    </cfRule>
  </conditionalFormatting>
  <conditionalFormatting sqref="V50 X50">
    <cfRule type="cellIs" dxfId="17428" priority="1486" operator="greaterThan">
      <formula>V49</formula>
    </cfRule>
    <cfRule type="cellIs" dxfId="17427" priority="1487" operator="equal">
      <formula>0</formula>
    </cfRule>
  </conditionalFormatting>
  <conditionalFormatting sqref="V28">
    <cfRule type="cellIs" dxfId="17426" priority="1484" operator="greaterThan">
      <formula>V27</formula>
    </cfRule>
    <cfRule type="cellIs" dxfId="17425" priority="1485" operator="equal">
      <formula>0</formula>
    </cfRule>
  </conditionalFormatting>
  <conditionalFormatting sqref="V43">
    <cfRule type="cellIs" dxfId="17424" priority="1482" operator="greaterThan">
      <formula>V42</formula>
    </cfRule>
    <cfRule type="cellIs" dxfId="17423" priority="1483" operator="equal">
      <formula>0</formula>
    </cfRule>
  </conditionalFormatting>
  <conditionalFormatting sqref="X43">
    <cfRule type="cellIs" dxfId="17422" priority="1480" operator="greaterThan">
      <formula>X42</formula>
    </cfRule>
    <cfRule type="cellIs" dxfId="17421" priority="1481" operator="equal">
      <formula>0</formula>
    </cfRule>
  </conditionalFormatting>
  <conditionalFormatting sqref="V27">
    <cfRule type="cellIs" dxfId="17420" priority="1478" operator="greaterThan">
      <formula>V26</formula>
    </cfRule>
    <cfRule type="cellIs" dxfId="17419" priority="1479" operator="equal">
      <formula>0</formula>
    </cfRule>
  </conditionalFormatting>
  <conditionalFormatting sqref="V13">
    <cfRule type="cellIs" dxfId="17418" priority="1476" operator="greaterThan">
      <formula>V12</formula>
    </cfRule>
    <cfRule type="cellIs" dxfId="17417" priority="1477" operator="equal">
      <formula>0</formula>
    </cfRule>
  </conditionalFormatting>
  <conditionalFormatting sqref="V12">
    <cfRule type="cellIs" dxfId="17416" priority="1474" operator="greaterThan">
      <formula>V11</formula>
    </cfRule>
    <cfRule type="cellIs" dxfId="17415" priority="1475" operator="equal">
      <formula>0</formula>
    </cfRule>
  </conditionalFormatting>
  <conditionalFormatting sqref="V16">
    <cfRule type="cellIs" dxfId="17414" priority="1472" operator="greaterThan">
      <formula>V15</formula>
    </cfRule>
    <cfRule type="cellIs" dxfId="17413" priority="1473" operator="equal">
      <formula>0</formula>
    </cfRule>
  </conditionalFormatting>
  <conditionalFormatting sqref="V15">
    <cfRule type="cellIs" dxfId="17412" priority="1470" operator="greaterThan">
      <formula>V14</formula>
    </cfRule>
    <cfRule type="cellIs" dxfId="17411" priority="1471" operator="equal">
      <formula>0</formula>
    </cfRule>
  </conditionalFormatting>
  <conditionalFormatting sqref="V19">
    <cfRule type="cellIs" dxfId="17410" priority="1468" operator="greaterThan">
      <formula>V18</formula>
    </cfRule>
    <cfRule type="cellIs" dxfId="17409" priority="1469" operator="equal">
      <formula>0</formula>
    </cfRule>
  </conditionalFormatting>
  <conditionalFormatting sqref="V18">
    <cfRule type="cellIs" dxfId="17408" priority="1466" operator="greaterThan">
      <formula>V17</formula>
    </cfRule>
    <cfRule type="cellIs" dxfId="17407" priority="1467" operator="equal">
      <formula>0</formula>
    </cfRule>
  </conditionalFormatting>
  <conditionalFormatting sqref="V22 V24:V25">
    <cfRule type="cellIs" dxfId="17406" priority="1464" operator="greaterThan">
      <formula>V21</formula>
    </cfRule>
    <cfRule type="cellIs" dxfId="17405" priority="1465" operator="equal">
      <formula>0</formula>
    </cfRule>
  </conditionalFormatting>
  <conditionalFormatting sqref="V21">
    <cfRule type="cellIs" dxfId="17404" priority="1462" operator="greaterThan">
      <formula>V20</formula>
    </cfRule>
    <cfRule type="cellIs" dxfId="17403" priority="1463" operator="equal">
      <formula>0</formula>
    </cfRule>
  </conditionalFormatting>
  <conditionalFormatting sqref="V24">
    <cfRule type="cellIs" dxfId="17402" priority="1460" operator="greaterThan">
      <formula>V23</formula>
    </cfRule>
    <cfRule type="cellIs" dxfId="17401" priority="1461" operator="equal">
      <formula>0</formula>
    </cfRule>
  </conditionalFormatting>
  <conditionalFormatting sqref="V27:V28">
    <cfRule type="cellIs" dxfId="17400" priority="1458" operator="greaterThan">
      <formula>V26</formula>
    </cfRule>
    <cfRule type="cellIs" dxfId="17399" priority="1459" operator="equal">
      <formula>0</formula>
    </cfRule>
  </conditionalFormatting>
  <conditionalFormatting sqref="V27">
    <cfRule type="cellIs" dxfId="17398" priority="1456" operator="greaterThan">
      <formula>V26</formula>
    </cfRule>
    <cfRule type="cellIs" dxfId="17397" priority="1457" operator="equal">
      <formula>0</formula>
    </cfRule>
  </conditionalFormatting>
  <conditionalFormatting sqref="V16">
    <cfRule type="cellIs" dxfId="17396" priority="1454" operator="greaterThan">
      <formula>V15</formula>
    </cfRule>
    <cfRule type="cellIs" dxfId="17395" priority="1455" operator="equal">
      <formula>0</formula>
    </cfRule>
  </conditionalFormatting>
  <conditionalFormatting sqref="V15">
    <cfRule type="cellIs" dxfId="17394" priority="1452" operator="greaterThan">
      <formula>V14</formula>
    </cfRule>
    <cfRule type="cellIs" dxfId="17393" priority="1453" operator="equal">
      <formula>0</formula>
    </cfRule>
  </conditionalFormatting>
  <conditionalFormatting sqref="V19">
    <cfRule type="cellIs" dxfId="17392" priority="1450" operator="greaterThan">
      <formula>V18</formula>
    </cfRule>
    <cfRule type="cellIs" dxfId="17391" priority="1451" operator="equal">
      <formula>0</formula>
    </cfRule>
  </conditionalFormatting>
  <conditionalFormatting sqref="V18">
    <cfRule type="cellIs" dxfId="17390" priority="1448" operator="greaterThan">
      <formula>V17</formula>
    </cfRule>
    <cfRule type="cellIs" dxfId="17389" priority="1449" operator="equal">
      <formula>0</formula>
    </cfRule>
  </conditionalFormatting>
  <conditionalFormatting sqref="V22">
    <cfRule type="cellIs" dxfId="17388" priority="1446" operator="greaterThan">
      <formula>V21</formula>
    </cfRule>
    <cfRule type="cellIs" dxfId="17387" priority="1447" operator="equal">
      <formula>0</formula>
    </cfRule>
  </conditionalFormatting>
  <conditionalFormatting sqref="V21">
    <cfRule type="cellIs" dxfId="17386" priority="1444" operator="greaterThan">
      <formula>V20</formula>
    </cfRule>
    <cfRule type="cellIs" dxfId="17385" priority="1445" operator="equal">
      <formula>0</formula>
    </cfRule>
  </conditionalFormatting>
  <conditionalFormatting sqref="V25">
    <cfRule type="cellIs" dxfId="17384" priority="1442" operator="greaterThan">
      <formula>V24</formula>
    </cfRule>
    <cfRule type="cellIs" dxfId="17383" priority="1443" operator="equal">
      <formula>0</formula>
    </cfRule>
  </conditionalFormatting>
  <conditionalFormatting sqref="V24">
    <cfRule type="cellIs" dxfId="17382" priority="1440" operator="greaterThan">
      <formula>V23</formula>
    </cfRule>
    <cfRule type="cellIs" dxfId="17381" priority="1441" operator="equal">
      <formula>0</formula>
    </cfRule>
  </conditionalFormatting>
  <conditionalFormatting sqref="V28">
    <cfRule type="cellIs" dxfId="17380" priority="1438" operator="greaterThan">
      <formula>V27</formula>
    </cfRule>
    <cfRule type="cellIs" dxfId="17379" priority="1439" operator="equal">
      <formula>0</formula>
    </cfRule>
  </conditionalFormatting>
  <conditionalFormatting sqref="V27">
    <cfRule type="cellIs" dxfId="17378" priority="1436" operator="greaterThan">
      <formula>V26</formula>
    </cfRule>
    <cfRule type="cellIs" dxfId="17377" priority="1437" operator="equal">
      <formula>0</formula>
    </cfRule>
  </conditionalFormatting>
  <conditionalFormatting sqref="V30:V31 X30:X31">
    <cfRule type="cellIs" dxfId="17376" priority="1435" operator="equal">
      <formula>0</formula>
    </cfRule>
  </conditionalFormatting>
  <conditionalFormatting sqref="V31">
    <cfRule type="cellIs" dxfId="17375" priority="1433" operator="greaterThan">
      <formula>V30</formula>
    </cfRule>
    <cfRule type="cellIs" dxfId="17374" priority="1434" operator="equal">
      <formula>0</formula>
    </cfRule>
  </conditionalFormatting>
  <conditionalFormatting sqref="V30">
    <cfRule type="cellIs" dxfId="17373" priority="1431" operator="greaterThan">
      <formula>V29</formula>
    </cfRule>
    <cfRule type="cellIs" dxfId="17372" priority="1432" operator="equal">
      <formula>0</formula>
    </cfRule>
  </conditionalFormatting>
  <conditionalFormatting sqref="V33:V34 X33:X34">
    <cfRule type="cellIs" dxfId="17371" priority="1430" operator="equal">
      <formula>0</formula>
    </cfRule>
  </conditionalFormatting>
  <conditionalFormatting sqref="V34">
    <cfRule type="cellIs" dxfId="17370" priority="1428" operator="greaterThan">
      <formula>V33</formula>
    </cfRule>
    <cfRule type="cellIs" dxfId="17369" priority="1429" operator="equal">
      <formula>0</formula>
    </cfRule>
  </conditionalFormatting>
  <conditionalFormatting sqref="V33">
    <cfRule type="cellIs" dxfId="17368" priority="1426" operator="greaterThan">
      <formula>V32</formula>
    </cfRule>
    <cfRule type="cellIs" dxfId="17367" priority="1427" operator="equal">
      <formula>0</formula>
    </cfRule>
  </conditionalFormatting>
  <conditionalFormatting sqref="V36:V37 X36:X37">
    <cfRule type="cellIs" dxfId="17366" priority="1425" operator="equal">
      <formula>0</formula>
    </cfRule>
  </conditionalFormatting>
  <conditionalFormatting sqref="V37">
    <cfRule type="cellIs" dxfId="17365" priority="1423" operator="greaterThan">
      <formula>V36</formula>
    </cfRule>
    <cfRule type="cellIs" dxfId="17364" priority="1424" operator="equal">
      <formula>0</formula>
    </cfRule>
  </conditionalFormatting>
  <conditionalFormatting sqref="V36">
    <cfRule type="cellIs" dxfId="17363" priority="1421" operator="greaterThan">
      <formula>V35</formula>
    </cfRule>
    <cfRule type="cellIs" dxfId="17362" priority="1422" operator="equal">
      <formula>0</formula>
    </cfRule>
  </conditionalFormatting>
  <conditionalFormatting sqref="V16">
    <cfRule type="cellIs" dxfId="17361" priority="1419" operator="greaterThan">
      <formula>V15</formula>
    </cfRule>
    <cfRule type="cellIs" dxfId="17360" priority="1420" operator="equal">
      <formula>0</formula>
    </cfRule>
  </conditionalFormatting>
  <conditionalFormatting sqref="V15">
    <cfRule type="cellIs" dxfId="17359" priority="1417" operator="greaterThan">
      <formula>V14</formula>
    </cfRule>
    <cfRule type="cellIs" dxfId="17358" priority="1418" operator="equal">
      <formula>0</formula>
    </cfRule>
  </conditionalFormatting>
  <conditionalFormatting sqref="V16">
    <cfRule type="cellIs" dxfId="17357" priority="1415" operator="greaterThan">
      <formula>V15</formula>
    </cfRule>
    <cfRule type="cellIs" dxfId="17356" priority="1416" operator="equal">
      <formula>0</formula>
    </cfRule>
  </conditionalFormatting>
  <conditionalFormatting sqref="V15">
    <cfRule type="cellIs" dxfId="17355" priority="1413" operator="greaterThan">
      <formula>V14</formula>
    </cfRule>
    <cfRule type="cellIs" dxfId="17354" priority="1414" operator="equal">
      <formula>0</formula>
    </cfRule>
  </conditionalFormatting>
  <conditionalFormatting sqref="V19">
    <cfRule type="cellIs" dxfId="17353" priority="1411" operator="greaterThan">
      <formula>V18</formula>
    </cfRule>
    <cfRule type="cellIs" dxfId="17352" priority="1412" operator="equal">
      <formula>0</formula>
    </cfRule>
  </conditionalFormatting>
  <conditionalFormatting sqref="V18">
    <cfRule type="cellIs" dxfId="17351" priority="1409" operator="greaterThan">
      <formula>V17</formula>
    </cfRule>
    <cfRule type="cellIs" dxfId="17350" priority="1410" operator="equal">
      <formula>0</formula>
    </cfRule>
  </conditionalFormatting>
  <conditionalFormatting sqref="V19">
    <cfRule type="cellIs" dxfId="17349" priority="1407" operator="greaterThan">
      <formula>V18</formula>
    </cfRule>
    <cfRule type="cellIs" dxfId="17348" priority="1408" operator="equal">
      <formula>0</formula>
    </cfRule>
  </conditionalFormatting>
  <conditionalFormatting sqref="V18">
    <cfRule type="cellIs" dxfId="17347" priority="1405" operator="greaterThan">
      <formula>V17</formula>
    </cfRule>
    <cfRule type="cellIs" dxfId="17346" priority="1406" operator="equal">
      <formula>0</formula>
    </cfRule>
  </conditionalFormatting>
  <conditionalFormatting sqref="V19">
    <cfRule type="cellIs" dxfId="17345" priority="1403" operator="greaterThan">
      <formula>V18</formula>
    </cfRule>
    <cfRule type="cellIs" dxfId="17344" priority="1404" operator="equal">
      <formula>0</formula>
    </cfRule>
  </conditionalFormatting>
  <conditionalFormatting sqref="V18">
    <cfRule type="cellIs" dxfId="17343" priority="1401" operator="greaterThan">
      <formula>V17</formula>
    </cfRule>
    <cfRule type="cellIs" dxfId="17342" priority="1402" operator="equal">
      <formula>0</formula>
    </cfRule>
  </conditionalFormatting>
  <conditionalFormatting sqref="V19">
    <cfRule type="cellIs" dxfId="17341" priority="1399" operator="greaterThan">
      <formula>V18</formula>
    </cfRule>
    <cfRule type="cellIs" dxfId="17340" priority="1400" operator="equal">
      <formula>0</formula>
    </cfRule>
  </conditionalFormatting>
  <conditionalFormatting sqref="V18">
    <cfRule type="cellIs" dxfId="17339" priority="1397" operator="greaterThan">
      <formula>V17</formula>
    </cfRule>
    <cfRule type="cellIs" dxfId="17338" priority="1398" operator="equal">
      <formula>0</formula>
    </cfRule>
  </conditionalFormatting>
  <conditionalFormatting sqref="V22">
    <cfRule type="cellIs" dxfId="17337" priority="1395" operator="greaterThan">
      <formula>V21</formula>
    </cfRule>
    <cfRule type="cellIs" dxfId="17336" priority="1396" operator="equal">
      <formula>0</formula>
    </cfRule>
  </conditionalFormatting>
  <conditionalFormatting sqref="V21">
    <cfRule type="cellIs" dxfId="17335" priority="1393" operator="greaterThan">
      <formula>V20</formula>
    </cfRule>
    <cfRule type="cellIs" dxfId="17334" priority="1394" operator="equal">
      <formula>0</formula>
    </cfRule>
  </conditionalFormatting>
  <conditionalFormatting sqref="V22">
    <cfRule type="cellIs" dxfId="17333" priority="1391" operator="greaterThan">
      <formula>V21</formula>
    </cfRule>
    <cfRule type="cellIs" dxfId="17332" priority="1392" operator="equal">
      <formula>0</formula>
    </cfRule>
  </conditionalFormatting>
  <conditionalFormatting sqref="V21">
    <cfRule type="cellIs" dxfId="17331" priority="1389" operator="greaterThan">
      <formula>V20</formula>
    </cfRule>
    <cfRule type="cellIs" dxfId="17330" priority="1390" operator="equal">
      <formula>0</formula>
    </cfRule>
  </conditionalFormatting>
  <conditionalFormatting sqref="V22">
    <cfRule type="cellIs" dxfId="17329" priority="1387" operator="greaterThan">
      <formula>V21</formula>
    </cfRule>
    <cfRule type="cellIs" dxfId="17328" priority="1388" operator="equal">
      <formula>0</formula>
    </cfRule>
  </conditionalFormatting>
  <conditionalFormatting sqref="V21">
    <cfRule type="cellIs" dxfId="17327" priority="1385" operator="greaterThan">
      <formula>V20</formula>
    </cfRule>
    <cfRule type="cellIs" dxfId="17326" priority="1386" operator="equal">
      <formula>0</formula>
    </cfRule>
  </conditionalFormatting>
  <conditionalFormatting sqref="V22">
    <cfRule type="cellIs" dxfId="17325" priority="1383" operator="greaterThan">
      <formula>V21</formula>
    </cfRule>
    <cfRule type="cellIs" dxfId="17324" priority="1384" operator="equal">
      <formula>0</formula>
    </cfRule>
  </conditionalFormatting>
  <conditionalFormatting sqref="V21">
    <cfRule type="cellIs" dxfId="17323" priority="1381" operator="greaterThan">
      <formula>V20</formula>
    </cfRule>
    <cfRule type="cellIs" dxfId="17322" priority="1382" operator="equal">
      <formula>0</formula>
    </cfRule>
  </conditionalFormatting>
  <conditionalFormatting sqref="V22">
    <cfRule type="cellIs" dxfId="17321" priority="1379" operator="greaterThan">
      <formula>V21</formula>
    </cfRule>
    <cfRule type="cellIs" dxfId="17320" priority="1380" operator="equal">
      <formula>0</formula>
    </cfRule>
  </conditionalFormatting>
  <conditionalFormatting sqref="V21">
    <cfRule type="cellIs" dxfId="17319" priority="1377" operator="greaterThan">
      <formula>V20</formula>
    </cfRule>
    <cfRule type="cellIs" dxfId="17318" priority="1378" operator="equal">
      <formula>0</formula>
    </cfRule>
  </conditionalFormatting>
  <conditionalFormatting sqref="V22">
    <cfRule type="cellIs" dxfId="17317" priority="1375" operator="greaterThan">
      <formula>V21</formula>
    </cfRule>
    <cfRule type="cellIs" dxfId="17316" priority="1376" operator="equal">
      <formula>0</formula>
    </cfRule>
  </conditionalFormatting>
  <conditionalFormatting sqref="V21">
    <cfRule type="cellIs" dxfId="17315" priority="1373" operator="greaterThan">
      <formula>V20</formula>
    </cfRule>
    <cfRule type="cellIs" dxfId="17314" priority="1374" operator="equal">
      <formula>0</formula>
    </cfRule>
  </conditionalFormatting>
  <conditionalFormatting sqref="V24">
    <cfRule type="cellIs" dxfId="17313" priority="1371" operator="greaterThan">
      <formula>V23</formula>
    </cfRule>
    <cfRule type="cellIs" dxfId="17312" priority="1372" operator="equal">
      <formula>0</formula>
    </cfRule>
  </conditionalFormatting>
  <conditionalFormatting sqref="V25">
    <cfRule type="cellIs" dxfId="17311" priority="1369" operator="greaterThan">
      <formula>V24</formula>
    </cfRule>
    <cfRule type="cellIs" dxfId="17310" priority="1370" operator="equal">
      <formula>0</formula>
    </cfRule>
  </conditionalFormatting>
  <conditionalFormatting sqref="V24">
    <cfRule type="cellIs" dxfId="17309" priority="1367" operator="greaterThan">
      <formula>V23</formula>
    </cfRule>
    <cfRule type="cellIs" dxfId="17308" priority="1368" operator="equal">
      <formula>0</formula>
    </cfRule>
  </conditionalFormatting>
  <conditionalFormatting sqref="V25">
    <cfRule type="cellIs" dxfId="17307" priority="1365" operator="greaterThan">
      <formula>V24</formula>
    </cfRule>
    <cfRule type="cellIs" dxfId="17306" priority="1366" operator="equal">
      <formula>0</formula>
    </cfRule>
  </conditionalFormatting>
  <conditionalFormatting sqref="V24">
    <cfRule type="cellIs" dxfId="17305" priority="1363" operator="greaterThan">
      <formula>V23</formula>
    </cfRule>
    <cfRule type="cellIs" dxfId="17304" priority="1364" operator="equal">
      <formula>0</formula>
    </cfRule>
  </conditionalFormatting>
  <conditionalFormatting sqref="V25">
    <cfRule type="cellIs" dxfId="17303" priority="1361" operator="greaterThan">
      <formula>V24</formula>
    </cfRule>
    <cfRule type="cellIs" dxfId="17302" priority="1362" operator="equal">
      <formula>0</formula>
    </cfRule>
  </conditionalFormatting>
  <conditionalFormatting sqref="V24">
    <cfRule type="cellIs" dxfId="17301" priority="1359" operator="greaterThan">
      <formula>V23</formula>
    </cfRule>
    <cfRule type="cellIs" dxfId="17300" priority="1360" operator="equal">
      <formula>0</formula>
    </cfRule>
  </conditionalFormatting>
  <conditionalFormatting sqref="V25">
    <cfRule type="cellIs" dxfId="17299" priority="1357" operator="greaterThan">
      <formula>V24</formula>
    </cfRule>
    <cfRule type="cellIs" dxfId="17298" priority="1358" operator="equal">
      <formula>0</formula>
    </cfRule>
  </conditionalFormatting>
  <conditionalFormatting sqref="V24">
    <cfRule type="cellIs" dxfId="17297" priority="1355" operator="greaterThan">
      <formula>V23</formula>
    </cfRule>
    <cfRule type="cellIs" dxfId="17296" priority="1356" operator="equal">
      <formula>0</formula>
    </cfRule>
  </conditionalFormatting>
  <conditionalFormatting sqref="V25">
    <cfRule type="cellIs" dxfId="17295" priority="1353" operator="greaterThan">
      <formula>V24</formula>
    </cfRule>
    <cfRule type="cellIs" dxfId="17294" priority="1354" operator="equal">
      <formula>0</formula>
    </cfRule>
  </conditionalFormatting>
  <conditionalFormatting sqref="V24">
    <cfRule type="cellIs" dxfId="17293" priority="1351" operator="greaterThan">
      <formula>V23</formula>
    </cfRule>
    <cfRule type="cellIs" dxfId="17292" priority="1352" operator="equal">
      <formula>0</formula>
    </cfRule>
  </conditionalFormatting>
  <conditionalFormatting sqref="V25">
    <cfRule type="cellIs" dxfId="17291" priority="1349" operator="greaterThan">
      <formula>V24</formula>
    </cfRule>
    <cfRule type="cellIs" dxfId="17290" priority="1350" operator="equal">
      <formula>0</formula>
    </cfRule>
  </conditionalFormatting>
  <conditionalFormatting sqref="V24">
    <cfRule type="cellIs" dxfId="17289" priority="1347" operator="greaterThan">
      <formula>V23</formula>
    </cfRule>
    <cfRule type="cellIs" dxfId="17288" priority="1348" operator="equal">
      <formula>0</formula>
    </cfRule>
  </conditionalFormatting>
  <conditionalFormatting sqref="V25">
    <cfRule type="cellIs" dxfId="17287" priority="1345" operator="greaterThan">
      <formula>V24</formula>
    </cfRule>
    <cfRule type="cellIs" dxfId="17286" priority="1346" operator="equal">
      <formula>0</formula>
    </cfRule>
  </conditionalFormatting>
  <conditionalFormatting sqref="V24">
    <cfRule type="cellIs" dxfId="17285" priority="1343" operator="greaterThan">
      <formula>V23</formula>
    </cfRule>
    <cfRule type="cellIs" dxfId="17284" priority="1344" operator="equal">
      <formula>0</formula>
    </cfRule>
  </conditionalFormatting>
  <conditionalFormatting sqref="V27:V28">
    <cfRule type="cellIs" dxfId="17283" priority="1341" operator="greaterThan">
      <formula>V26</formula>
    </cfRule>
    <cfRule type="cellIs" dxfId="17282" priority="1342" operator="equal">
      <formula>0</formula>
    </cfRule>
  </conditionalFormatting>
  <conditionalFormatting sqref="V27">
    <cfRule type="cellIs" dxfId="17281" priority="1339" operator="greaterThan">
      <formula>V26</formula>
    </cfRule>
    <cfRule type="cellIs" dxfId="17280" priority="1340" operator="equal">
      <formula>0</formula>
    </cfRule>
  </conditionalFormatting>
  <conditionalFormatting sqref="V28">
    <cfRule type="cellIs" dxfId="17279" priority="1337" operator="greaterThan">
      <formula>V27</formula>
    </cfRule>
    <cfRule type="cellIs" dxfId="17278" priority="1338" operator="equal">
      <formula>0</formula>
    </cfRule>
  </conditionalFormatting>
  <conditionalFormatting sqref="V27">
    <cfRule type="cellIs" dxfId="17277" priority="1335" operator="greaterThan">
      <formula>V26</formula>
    </cfRule>
    <cfRule type="cellIs" dxfId="17276" priority="1336" operator="equal">
      <formula>0</formula>
    </cfRule>
  </conditionalFormatting>
  <conditionalFormatting sqref="V27">
    <cfRule type="cellIs" dxfId="17275" priority="1333" operator="greaterThan">
      <formula>V26</formula>
    </cfRule>
    <cfRule type="cellIs" dxfId="17274" priority="1334" operator="equal">
      <formula>0</formula>
    </cfRule>
  </conditionalFormatting>
  <conditionalFormatting sqref="V28">
    <cfRule type="cellIs" dxfId="17273" priority="1331" operator="greaterThan">
      <formula>V27</formula>
    </cfRule>
    <cfRule type="cellIs" dxfId="17272" priority="1332" operator="equal">
      <formula>0</formula>
    </cfRule>
  </conditionalFormatting>
  <conditionalFormatting sqref="V27">
    <cfRule type="cellIs" dxfId="17271" priority="1329" operator="greaterThan">
      <formula>V26</formula>
    </cfRule>
    <cfRule type="cellIs" dxfId="17270" priority="1330" operator="equal">
      <formula>0</formula>
    </cfRule>
  </conditionalFormatting>
  <conditionalFormatting sqref="V28">
    <cfRule type="cellIs" dxfId="17269" priority="1327" operator="greaterThan">
      <formula>V27</formula>
    </cfRule>
    <cfRule type="cellIs" dxfId="17268" priority="1328" operator="equal">
      <formula>0</formula>
    </cfRule>
  </conditionalFormatting>
  <conditionalFormatting sqref="V27">
    <cfRule type="cellIs" dxfId="17267" priority="1325" operator="greaterThan">
      <formula>V26</formula>
    </cfRule>
    <cfRule type="cellIs" dxfId="17266" priority="1326" operator="equal">
      <formula>0</formula>
    </cfRule>
  </conditionalFormatting>
  <conditionalFormatting sqref="V28">
    <cfRule type="cellIs" dxfId="17265" priority="1323" operator="greaterThan">
      <formula>V27</formula>
    </cfRule>
    <cfRule type="cellIs" dxfId="17264" priority="1324" operator="equal">
      <formula>0</formula>
    </cfRule>
  </conditionalFormatting>
  <conditionalFormatting sqref="V27">
    <cfRule type="cellIs" dxfId="17263" priority="1321" operator="greaterThan">
      <formula>V26</formula>
    </cfRule>
    <cfRule type="cellIs" dxfId="17262" priority="1322" operator="equal">
      <formula>0</formula>
    </cfRule>
  </conditionalFormatting>
  <conditionalFormatting sqref="V28">
    <cfRule type="cellIs" dxfId="17261" priority="1319" operator="greaterThan">
      <formula>V27</formula>
    </cfRule>
    <cfRule type="cellIs" dxfId="17260" priority="1320" operator="equal">
      <formula>0</formula>
    </cfRule>
  </conditionalFormatting>
  <conditionalFormatting sqref="V27">
    <cfRule type="cellIs" dxfId="17259" priority="1317" operator="greaterThan">
      <formula>V26</formula>
    </cfRule>
    <cfRule type="cellIs" dxfId="17258" priority="1318" operator="equal">
      <formula>0</formula>
    </cfRule>
  </conditionalFormatting>
  <conditionalFormatting sqref="V28">
    <cfRule type="cellIs" dxfId="17257" priority="1315" operator="greaterThan">
      <formula>V27</formula>
    </cfRule>
    <cfRule type="cellIs" dxfId="17256" priority="1316" operator="equal">
      <formula>0</formula>
    </cfRule>
  </conditionalFormatting>
  <conditionalFormatting sqref="V27">
    <cfRule type="cellIs" dxfId="17255" priority="1313" operator="greaterThan">
      <formula>V26</formula>
    </cfRule>
    <cfRule type="cellIs" dxfId="17254" priority="1314" operator="equal">
      <formula>0</formula>
    </cfRule>
  </conditionalFormatting>
  <conditionalFormatting sqref="V28">
    <cfRule type="cellIs" dxfId="17253" priority="1311" operator="greaterThan">
      <formula>V27</formula>
    </cfRule>
    <cfRule type="cellIs" dxfId="17252" priority="1312" operator="equal">
      <formula>0</formula>
    </cfRule>
  </conditionalFormatting>
  <conditionalFormatting sqref="V27">
    <cfRule type="cellIs" dxfId="17251" priority="1309" operator="greaterThan">
      <formula>V26</formula>
    </cfRule>
    <cfRule type="cellIs" dxfId="17250" priority="1310" operator="equal">
      <formula>0</formula>
    </cfRule>
  </conditionalFormatting>
  <conditionalFormatting sqref="V28">
    <cfRule type="cellIs" dxfId="17249" priority="1307" operator="greaterThan">
      <formula>V27</formula>
    </cfRule>
    <cfRule type="cellIs" dxfId="17248" priority="1308" operator="equal">
      <formula>0</formula>
    </cfRule>
  </conditionalFormatting>
  <conditionalFormatting sqref="V27">
    <cfRule type="cellIs" dxfId="17247" priority="1305" operator="greaterThan">
      <formula>V26</formula>
    </cfRule>
    <cfRule type="cellIs" dxfId="17246" priority="1306" operator="equal">
      <formula>0</formula>
    </cfRule>
  </conditionalFormatting>
  <conditionalFormatting sqref="V50">
    <cfRule type="cellIs" dxfId="17245" priority="1303" operator="greaterThan">
      <formula>V49</formula>
    </cfRule>
    <cfRule type="cellIs" dxfId="17244" priority="1304" operator="equal">
      <formula>0</formula>
    </cfRule>
  </conditionalFormatting>
  <conditionalFormatting sqref="V12:V13 X12:X13 X15:X16 X18:X19 X21:X25 X27:X28 V15:V16 V18:V19 V21:V22 V24:V25 V27:V28">
    <cfRule type="cellIs" dxfId="17243" priority="1302" operator="equal">
      <formula>0</formula>
    </cfRule>
  </conditionalFormatting>
  <conditionalFormatting sqref="V28">
    <cfRule type="cellIs" dxfId="17242" priority="1300" operator="greaterThan">
      <formula>V27</formula>
    </cfRule>
    <cfRule type="cellIs" dxfId="17241" priority="1301" operator="equal">
      <formula>0</formula>
    </cfRule>
  </conditionalFormatting>
  <conditionalFormatting sqref="V27">
    <cfRule type="cellIs" dxfId="17240" priority="1298" operator="greaterThan">
      <formula>V26</formula>
    </cfRule>
    <cfRule type="cellIs" dxfId="17239" priority="1299" operator="equal">
      <formula>0</formula>
    </cfRule>
  </conditionalFormatting>
  <conditionalFormatting sqref="V13">
    <cfRule type="cellIs" dxfId="17238" priority="1296" operator="greaterThan">
      <formula>V12</formula>
    </cfRule>
    <cfRule type="cellIs" dxfId="17237" priority="1297" operator="equal">
      <formula>0</formula>
    </cfRule>
  </conditionalFormatting>
  <conditionalFormatting sqref="V12">
    <cfRule type="cellIs" dxfId="17236" priority="1294" operator="greaterThan">
      <formula>V11</formula>
    </cfRule>
    <cfRule type="cellIs" dxfId="17235" priority="1295" operator="equal">
      <formula>0</formula>
    </cfRule>
  </conditionalFormatting>
  <conditionalFormatting sqref="V16">
    <cfRule type="cellIs" dxfId="17234" priority="1292" operator="greaterThan">
      <formula>V15</formula>
    </cfRule>
    <cfRule type="cellIs" dxfId="17233" priority="1293" operator="equal">
      <formula>0</formula>
    </cfRule>
  </conditionalFormatting>
  <conditionalFormatting sqref="V15">
    <cfRule type="cellIs" dxfId="17232" priority="1290" operator="greaterThan">
      <formula>V14</formula>
    </cfRule>
    <cfRule type="cellIs" dxfId="17231" priority="1291" operator="equal">
      <formula>0</formula>
    </cfRule>
  </conditionalFormatting>
  <conditionalFormatting sqref="V19">
    <cfRule type="cellIs" dxfId="17230" priority="1288" operator="greaterThan">
      <formula>V18</formula>
    </cfRule>
    <cfRule type="cellIs" dxfId="17229" priority="1289" operator="equal">
      <formula>0</formula>
    </cfRule>
  </conditionalFormatting>
  <conditionalFormatting sqref="V18">
    <cfRule type="cellIs" dxfId="17228" priority="1286" operator="greaterThan">
      <formula>V17</formula>
    </cfRule>
    <cfRule type="cellIs" dxfId="17227" priority="1287" operator="equal">
      <formula>0</formula>
    </cfRule>
  </conditionalFormatting>
  <conditionalFormatting sqref="V22 V24:V25">
    <cfRule type="cellIs" dxfId="17226" priority="1284" operator="greaterThan">
      <formula>V21</formula>
    </cfRule>
    <cfRule type="cellIs" dxfId="17225" priority="1285" operator="equal">
      <formula>0</formula>
    </cfRule>
  </conditionalFormatting>
  <conditionalFormatting sqref="V21">
    <cfRule type="cellIs" dxfId="17224" priority="1282" operator="greaterThan">
      <formula>V20</formula>
    </cfRule>
    <cfRule type="cellIs" dxfId="17223" priority="1283" operator="equal">
      <formula>0</formula>
    </cfRule>
  </conditionalFormatting>
  <conditionalFormatting sqref="V24">
    <cfRule type="cellIs" dxfId="17222" priority="1280" operator="greaterThan">
      <formula>V23</formula>
    </cfRule>
    <cfRule type="cellIs" dxfId="17221" priority="1281" operator="equal">
      <formula>0</formula>
    </cfRule>
  </conditionalFormatting>
  <conditionalFormatting sqref="V27:V28">
    <cfRule type="cellIs" dxfId="17220" priority="1278" operator="greaterThan">
      <formula>V26</formula>
    </cfRule>
    <cfRule type="cellIs" dxfId="17219" priority="1279" operator="equal">
      <formula>0</formula>
    </cfRule>
  </conditionalFormatting>
  <conditionalFormatting sqref="V27">
    <cfRule type="cellIs" dxfId="17218" priority="1276" operator="greaterThan">
      <formula>V26</formula>
    </cfRule>
    <cfRule type="cellIs" dxfId="17217" priority="1277" operator="equal">
      <formula>0</formula>
    </cfRule>
  </conditionalFormatting>
  <conditionalFormatting sqref="V16">
    <cfRule type="cellIs" dxfId="17216" priority="1274" operator="greaterThan">
      <formula>V15</formula>
    </cfRule>
    <cfRule type="cellIs" dxfId="17215" priority="1275" operator="equal">
      <formula>0</formula>
    </cfRule>
  </conditionalFormatting>
  <conditionalFormatting sqref="V15">
    <cfRule type="cellIs" dxfId="17214" priority="1272" operator="greaterThan">
      <formula>V14</formula>
    </cfRule>
    <cfRule type="cellIs" dxfId="17213" priority="1273" operator="equal">
      <formula>0</formula>
    </cfRule>
  </conditionalFormatting>
  <conditionalFormatting sqref="V19">
    <cfRule type="cellIs" dxfId="17212" priority="1270" operator="greaterThan">
      <formula>V18</formula>
    </cfRule>
    <cfRule type="cellIs" dxfId="17211" priority="1271" operator="equal">
      <formula>0</formula>
    </cfRule>
  </conditionalFormatting>
  <conditionalFormatting sqref="V18">
    <cfRule type="cellIs" dxfId="17210" priority="1268" operator="greaterThan">
      <formula>V17</formula>
    </cfRule>
    <cfRule type="cellIs" dxfId="17209" priority="1269" operator="equal">
      <formula>0</formula>
    </cfRule>
  </conditionalFormatting>
  <conditionalFormatting sqref="V22">
    <cfRule type="cellIs" dxfId="17208" priority="1266" operator="greaterThan">
      <formula>V21</formula>
    </cfRule>
    <cfRule type="cellIs" dxfId="17207" priority="1267" operator="equal">
      <formula>0</formula>
    </cfRule>
  </conditionalFormatting>
  <conditionalFormatting sqref="V21">
    <cfRule type="cellIs" dxfId="17206" priority="1264" operator="greaterThan">
      <formula>V20</formula>
    </cfRule>
    <cfRule type="cellIs" dxfId="17205" priority="1265" operator="equal">
      <formula>0</formula>
    </cfRule>
  </conditionalFormatting>
  <conditionalFormatting sqref="V25">
    <cfRule type="cellIs" dxfId="17204" priority="1262" operator="greaterThan">
      <formula>V24</formula>
    </cfRule>
    <cfRule type="cellIs" dxfId="17203" priority="1263" operator="equal">
      <formula>0</formula>
    </cfRule>
  </conditionalFormatting>
  <conditionalFormatting sqref="V24">
    <cfRule type="cellIs" dxfId="17202" priority="1260" operator="greaterThan">
      <formula>V23</formula>
    </cfRule>
    <cfRule type="cellIs" dxfId="17201" priority="1261" operator="equal">
      <formula>0</formula>
    </cfRule>
  </conditionalFormatting>
  <conditionalFormatting sqref="V28">
    <cfRule type="cellIs" dxfId="17200" priority="1258" operator="greaterThan">
      <formula>V27</formula>
    </cfRule>
    <cfRule type="cellIs" dxfId="17199" priority="1259" operator="equal">
      <formula>0</formula>
    </cfRule>
  </conditionalFormatting>
  <conditionalFormatting sqref="V27">
    <cfRule type="cellIs" dxfId="17198" priority="1256" operator="greaterThan">
      <formula>V26</formula>
    </cfRule>
    <cfRule type="cellIs" dxfId="17197" priority="1257" operator="equal">
      <formula>0</formula>
    </cfRule>
  </conditionalFormatting>
  <conditionalFormatting sqref="V30:V31 X30:X31">
    <cfRule type="cellIs" dxfId="17196" priority="1255" operator="equal">
      <formula>0</formula>
    </cfRule>
  </conditionalFormatting>
  <conditionalFormatting sqref="V31">
    <cfRule type="cellIs" dxfId="17195" priority="1253" operator="greaterThan">
      <formula>V30</formula>
    </cfRule>
    <cfRule type="cellIs" dxfId="17194" priority="1254" operator="equal">
      <formula>0</formula>
    </cfRule>
  </conditionalFormatting>
  <conditionalFormatting sqref="V30">
    <cfRule type="cellIs" dxfId="17193" priority="1251" operator="greaterThan">
      <formula>V29</formula>
    </cfRule>
    <cfRule type="cellIs" dxfId="17192" priority="1252" operator="equal">
      <formula>0</formula>
    </cfRule>
  </conditionalFormatting>
  <conditionalFormatting sqref="V33:V34 X33:X34">
    <cfRule type="cellIs" dxfId="17191" priority="1250" operator="equal">
      <formula>0</formula>
    </cfRule>
  </conditionalFormatting>
  <conditionalFormatting sqref="V34">
    <cfRule type="cellIs" dxfId="17190" priority="1248" operator="greaterThan">
      <formula>V33</formula>
    </cfRule>
    <cfRule type="cellIs" dxfId="17189" priority="1249" operator="equal">
      <formula>0</formula>
    </cfRule>
  </conditionalFormatting>
  <conditionalFormatting sqref="V33">
    <cfRule type="cellIs" dxfId="17188" priority="1246" operator="greaterThan">
      <formula>V32</formula>
    </cfRule>
    <cfRule type="cellIs" dxfId="17187" priority="1247" operator="equal">
      <formula>0</formula>
    </cfRule>
  </conditionalFormatting>
  <conditionalFormatting sqref="V36:V37 X36:X37">
    <cfRule type="cellIs" dxfId="17186" priority="1245" operator="equal">
      <formula>0</formula>
    </cfRule>
  </conditionalFormatting>
  <conditionalFormatting sqref="V37">
    <cfRule type="cellIs" dxfId="17185" priority="1243" operator="greaterThan">
      <formula>V36</formula>
    </cfRule>
    <cfRule type="cellIs" dxfId="17184" priority="1244" operator="equal">
      <formula>0</formula>
    </cfRule>
  </conditionalFormatting>
  <conditionalFormatting sqref="V36">
    <cfRule type="cellIs" dxfId="17183" priority="1241" operator="greaterThan">
      <formula>V35</formula>
    </cfRule>
    <cfRule type="cellIs" dxfId="17182" priority="1242" operator="equal">
      <formula>0</formula>
    </cfRule>
  </conditionalFormatting>
  <conditionalFormatting sqref="V16">
    <cfRule type="cellIs" dxfId="17181" priority="1239" operator="greaterThan">
      <formula>V15</formula>
    </cfRule>
    <cfRule type="cellIs" dxfId="17180" priority="1240" operator="equal">
      <formula>0</formula>
    </cfRule>
  </conditionalFormatting>
  <conditionalFormatting sqref="V15">
    <cfRule type="cellIs" dxfId="17179" priority="1237" operator="greaterThan">
      <formula>V14</formula>
    </cfRule>
    <cfRule type="cellIs" dxfId="17178" priority="1238" operator="equal">
      <formula>0</formula>
    </cfRule>
  </conditionalFormatting>
  <conditionalFormatting sqref="V16">
    <cfRule type="cellIs" dxfId="17177" priority="1235" operator="greaterThan">
      <formula>V15</formula>
    </cfRule>
    <cfRule type="cellIs" dxfId="17176" priority="1236" operator="equal">
      <formula>0</formula>
    </cfRule>
  </conditionalFormatting>
  <conditionalFormatting sqref="V15">
    <cfRule type="cellIs" dxfId="17175" priority="1233" operator="greaterThan">
      <formula>V14</formula>
    </cfRule>
    <cfRule type="cellIs" dxfId="17174" priority="1234" operator="equal">
      <formula>0</formula>
    </cfRule>
  </conditionalFormatting>
  <conditionalFormatting sqref="V19">
    <cfRule type="cellIs" dxfId="17173" priority="1231" operator="greaterThan">
      <formula>V18</formula>
    </cfRule>
    <cfRule type="cellIs" dxfId="17172" priority="1232" operator="equal">
      <formula>0</formula>
    </cfRule>
  </conditionalFormatting>
  <conditionalFormatting sqref="V18">
    <cfRule type="cellIs" dxfId="17171" priority="1229" operator="greaterThan">
      <formula>V17</formula>
    </cfRule>
    <cfRule type="cellIs" dxfId="17170" priority="1230" operator="equal">
      <formula>0</formula>
    </cfRule>
  </conditionalFormatting>
  <conditionalFormatting sqref="V19">
    <cfRule type="cellIs" dxfId="17169" priority="1227" operator="greaterThan">
      <formula>V18</formula>
    </cfRule>
    <cfRule type="cellIs" dxfId="17168" priority="1228" operator="equal">
      <formula>0</formula>
    </cfRule>
  </conditionalFormatting>
  <conditionalFormatting sqref="V18">
    <cfRule type="cellIs" dxfId="17167" priority="1225" operator="greaterThan">
      <formula>V17</formula>
    </cfRule>
    <cfRule type="cellIs" dxfId="17166" priority="1226" operator="equal">
      <formula>0</formula>
    </cfRule>
  </conditionalFormatting>
  <conditionalFormatting sqref="V19">
    <cfRule type="cellIs" dxfId="17165" priority="1223" operator="greaterThan">
      <formula>V18</formula>
    </cfRule>
    <cfRule type="cellIs" dxfId="17164" priority="1224" operator="equal">
      <formula>0</formula>
    </cfRule>
  </conditionalFormatting>
  <conditionalFormatting sqref="V18">
    <cfRule type="cellIs" dxfId="17163" priority="1221" operator="greaterThan">
      <formula>V17</formula>
    </cfRule>
    <cfRule type="cellIs" dxfId="17162" priority="1222" operator="equal">
      <formula>0</formula>
    </cfRule>
  </conditionalFormatting>
  <conditionalFormatting sqref="V19">
    <cfRule type="cellIs" dxfId="17161" priority="1219" operator="greaterThan">
      <formula>V18</formula>
    </cfRule>
    <cfRule type="cellIs" dxfId="17160" priority="1220" operator="equal">
      <formula>0</formula>
    </cfRule>
  </conditionalFormatting>
  <conditionalFormatting sqref="V18">
    <cfRule type="cellIs" dxfId="17159" priority="1217" operator="greaterThan">
      <formula>V17</formula>
    </cfRule>
    <cfRule type="cellIs" dxfId="17158" priority="1218" operator="equal">
      <formula>0</formula>
    </cfRule>
  </conditionalFormatting>
  <conditionalFormatting sqref="V22">
    <cfRule type="cellIs" dxfId="17157" priority="1215" operator="greaterThan">
      <formula>V21</formula>
    </cfRule>
    <cfRule type="cellIs" dxfId="17156" priority="1216" operator="equal">
      <formula>0</formula>
    </cfRule>
  </conditionalFormatting>
  <conditionalFormatting sqref="V21">
    <cfRule type="cellIs" dxfId="17155" priority="1213" operator="greaterThan">
      <formula>V20</formula>
    </cfRule>
    <cfRule type="cellIs" dxfId="17154" priority="1214" operator="equal">
      <formula>0</formula>
    </cfRule>
  </conditionalFormatting>
  <conditionalFormatting sqref="V22">
    <cfRule type="cellIs" dxfId="17153" priority="1211" operator="greaterThan">
      <formula>V21</formula>
    </cfRule>
    <cfRule type="cellIs" dxfId="17152" priority="1212" operator="equal">
      <formula>0</formula>
    </cfRule>
  </conditionalFormatting>
  <conditionalFormatting sqref="V21">
    <cfRule type="cellIs" dxfId="17151" priority="1209" operator="greaterThan">
      <formula>V20</formula>
    </cfRule>
    <cfRule type="cellIs" dxfId="17150" priority="1210" operator="equal">
      <formula>0</formula>
    </cfRule>
  </conditionalFormatting>
  <conditionalFormatting sqref="V22">
    <cfRule type="cellIs" dxfId="17149" priority="1207" operator="greaterThan">
      <formula>V21</formula>
    </cfRule>
    <cfRule type="cellIs" dxfId="17148" priority="1208" operator="equal">
      <formula>0</formula>
    </cfRule>
  </conditionalFormatting>
  <conditionalFormatting sqref="V21">
    <cfRule type="cellIs" dxfId="17147" priority="1205" operator="greaterThan">
      <formula>V20</formula>
    </cfRule>
    <cfRule type="cellIs" dxfId="17146" priority="1206" operator="equal">
      <formula>0</formula>
    </cfRule>
  </conditionalFormatting>
  <conditionalFormatting sqref="V22">
    <cfRule type="cellIs" dxfId="17145" priority="1203" operator="greaterThan">
      <formula>V21</formula>
    </cfRule>
    <cfRule type="cellIs" dxfId="17144" priority="1204" operator="equal">
      <formula>0</formula>
    </cfRule>
  </conditionalFormatting>
  <conditionalFormatting sqref="V21">
    <cfRule type="cellIs" dxfId="17143" priority="1201" operator="greaterThan">
      <formula>V20</formula>
    </cfRule>
    <cfRule type="cellIs" dxfId="17142" priority="1202" operator="equal">
      <formula>0</formula>
    </cfRule>
  </conditionalFormatting>
  <conditionalFormatting sqref="V22">
    <cfRule type="cellIs" dxfId="17141" priority="1199" operator="greaterThan">
      <formula>V21</formula>
    </cfRule>
    <cfRule type="cellIs" dxfId="17140" priority="1200" operator="equal">
      <formula>0</formula>
    </cfRule>
  </conditionalFormatting>
  <conditionalFormatting sqref="V21">
    <cfRule type="cellIs" dxfId="17139" priority="1197" operator="greaterThan">
      <formula>V20</formula>
    </cfRule>
    <cfRule type="cellIs" dxfId="17138" priority="1198" operator="equal">
      <formula>0</formula>
    </cfRule>
  </conditionalFormatting>
  <conditionalFormatting sqref="V22">
    <cfRule type="cellIs" dxfId="17137" priority="1195" operator="greaterThan">
      <formula>V21</formula>
    </cfRule>
    <cfRule type="cellIs" dxfId="17136" priority="1196" operator="equal">
      <formula>0</formula>
    </cfRule>
  </conditionalFormatting>
  <conditionalFormatting sqref="V21">
    <cfRule type="cellIs" dxfId="17135" priority="1193" operator="greaterThan">
      <formula>V20</formula>
    </cfRule>
    <cfRule type="cellIs" dxfId="17134" priority="1194" operator="equal">
      <formula>0</formula>
    </cfRule>
  </conditionalFormatting>
  <conditionalFormatting sqref="V24">
    <cfRule type="cellIs" dxfId="17133" priority="1191" operator="greaterThan">
      <formula>V23</formula>
    </cfRule>
    <cfRule type="cellIs" dxfId="17132" priority="1192" operator="equal">
      <formula>0</formula>
    </cfRule>
  </conditionalFormatting>
  <conditionalFormatting sqref="V25">
    <cfRule type="cellIs" dxfId="17131" priority="1189" operator="greaterThan">
      <formula>V24</formula>
    </cfRule>
    <cfRule type="cellIs" dxfId="17130" priority="1190" operator="equal">
      <formula>0</formula>
    </cfRule>
  </conditionalFormatting>
  <conditionalFormatting sqref="V24">
    <cfRule type="cellIs" dxfId="17129" priority="1187" operator="greaterThan">
      <formula>V23</formula>
    </cfRule>
    <cfRule type="cellIs" dxfId="17128" priority="1188" operator="equal">
      <formula>0</formula>
    </cfRule>
  </conditionalFormatting>
  <conditionalFormatting sqref="V25">
    <cfRule type="cellIs" dxfId="17127" priority="1185" operator="greaterThan">
      <formula>V24</formula>
    </cfRule>
    <cfRule type="cellIs" dxfId="17126" priority="1186" operator="equal">
      <formula>0</formula>
    </cfRule>
  </conditionalFormatting>
  <conditionalFormatting sqref="V24">
    <cfRule type="cellIs" dxfId="17125" priority="1183" operator="greaterThan">
      <formula>V23</formula>
    </cfRule>
    <cfRule type="cellIs" dxfId="17124" priority="1184" operator="equal">
      <formula>0</formula>
    </cfRule>
  </conditionalFormatting>
  <conditionalFormatting sqref="V25">
    <cfRule type="cellIs" dxfId="17123" priority="1181" operator="greaterThan">
      <formula>V24</formula>
    </cfRule>
    <cfRule type="cellIs" dxfId="17122" priority="1182" operator="equal">
      <formula>0</formula>
    </cfRule>
  </conditionalFormatting>
  <conditionalFormatting sqref="V24">
    <cfRule type="cellIs" dxfId="17121" priority="1179" operator="greaterThan">
      <formula>V23</formula>
    </cfRule>
    <cfRule type="cellIs" dxfId="17120" priority="1180" operator="equal">
      <formula>0</formula>
    </cfRule>
  </conditionalFormatting>
  <conditionalFormatting sqref="V25">
    <cfRule type="cellIs" dxfId="17119" priority="1177" operator="greaterThan">
      <formula>V24</formula>
    </cfRule>
    <cfRule type="cellIs" dxfId="17118" priority="1178" operator="equal">
      <formula>0</formula>
    </cfRule>
  </conditionalFormatting>
  <conditionalFormatting sqref="V24">
    <cfRule type="cellIs" dxfId="17117" priority="1175" operator="greaterThan">
      <formula>V23</formula>
    </cfRule>
    <cfRule type="cellIs" dxfId="17116" priority="1176" operator="equal">
      <formula>0</formula>
    </cfRule>
  </conditionalFormatting>
  <conditionalFormatting sqref="V25">
    <cfRule type="cellIs" dxfId="17115" priority="1173" operator="greaterThan">
      <formula>V24</formula>
    </cfRule>
    <cfRule type="cellIs" dxfId="17114" priority="1174" operator="equal">
      <formula>0</formula>
    </cfRule>
  </conditionalFormatting>
  <conditionalFormatting sqref="V24">
    <cfRule type="cellIs" dxfId="17113" priority="1171" operator="greaterThan">
      <formula>V23</formula>
    </cfRule>
    <cfRule type="cellIs" dxfId="17112" priority="1172" operator="equal">
      <formula>0</formula>
    </cfRule>
  </conditionalFormatting>
  <conditionalFormatting sqref="V25">
    <cfRule type="cellIs" dxfId="17111" priority="1169" operator="greaterThan">
      <formula>V24</formula>
    </cfRule>
    <cfRule type="cellIs" dxfId="17110" priority="1170" operator="equal">
      <formula>0</formula>
    </cfRule>
  </conditionalFormatting>
  <conditionalFormatting sqref="V24">
    <cfRule type="cellIs" dxfId="17109" priority="1167" operator="greaterThan">
      <formula>V23</formula>
    </cfRule>
    <cfRule type="cellIs" dxfId="17108" priority="1168" operator="equal">
      <formula>0</formula>
    </cfRule>
  </conditionalFormatting>
  <conditionalFormatting sqref="V25">
    <cfRule type="cellIs" dxfId="17107" priority="1165" operator="greaterThan">
      <formula>V24</formula>
    </cfRule>
    <cfRule type="cellIs" dxfId="17106" priority="1166" operator="equal">
      <formula>0</formula>
    </cfRule>
  </conditionalFormatting>
  <conditionalFormatting sqref="V24">
    <cfRule type="cellIs" dxfId="17105" priority="1163" operator="greaterThan">
      <formula>V23</formula>
    </cfRule>
    <cfRule type="cellIs" dxfId="17104" priority="1164" operator="equal">
      <formula>0</formula>
    </cfRule>
  </conditionalFormatting>
  <conditionalFormatting sqref="V27:V28">
    <cfRule type="cellIs" dxfId="17103" priority="1161" operator="greaterThan">
      <formula>V26</formula>
    </cfRule>
    <cfRule type="cellIs" dxfId="17102" priority="1162" operator="equal">
      <formula>0</formula>
    </cfRule>
  </conditionalFormatting>
  <conditionalFormatting sqref="V27">
    <cfRule type="cellIs" dxfId="17101" priority="1159" operator="greaterThan">
      <formula>V26</formula>
    </cfRule>
    <cfRule type="cellIs" dxfId="17100" priority="1160" operator="equal">
      <formula>0</formula>
    </cfRule>
  </conditionalFormatting>
  <conditionalFormatting sqref="V28">
    <cfRule type="cellIs" dxfId="17099" priority="1157" operator="greaterThan">
      <formula>V27</formula>
    </cfRule>
    <cfRule type="cellIs" dxfId="17098" priority="1158" operator="equal">
      <formula>0</formula>
    </cfRule>
  </conditionalFormatting>
  <conditionalFormatting sqref="V27">
    <cfRule type="cellIs" dxfId="17097" priority="1155" operator="greaterThan">
      <formula>V26</formula>
    </cfRule>
    <cfRule type="cellIs" dxfId="17096" priority="1156" operator="equal">
      <formula>0</formula>
    </cfRule>
  </conditionalFormatting>
  <conditionalFormatting sqref="V27">
    <cfRule type="cellIs" dxfId="17095" priority="1153" operator="greaterThan">
      <formula>V26</formula>
    </cfRule>
    <cfRule type="cellIs" dxfId="17094" priority="1154" operator="equal">
      <formula>0</formula>
    </cfRule>
  </conditionalFormatting>
  <conditionalFormatting sqref="V28">
    <cfRule type="cellIs" dxfId="17093" priority="1151" operator="greaterThan">
      <formula>V27</formula>
    </cfRule>
    <cfRule type="cellIs" dxfId="17092" priority="1152" operator="equal">
      <formula>0</formula>
    </cfRule>
  </conditionalFormatting>
  <conditionalFormatting sqref="V27">
    <cfRule type="cellIs" dxfId="17091" priority="1149" operator="greaterThan">
      <formula>V26</formula>
    </cfRule>
    <cfRule type="cellIs" dxfId="17090" priority="1150" operator="equal">
      <formula>0</formula>
    </cfRule>
  </conditionalFormatting>
  <conditionalFormatting sqref="V28">
    <cfRule type="cellIs" dxfId="17089" priority="1147" operator="greaterThan">
      <formula>V27</formula>
    </cfRule>
    <cfRule type="cellIs" dxfId="17088" priority="1148" operator="equal">
      <formula>0</formula>
    </cfRule>
  </conditionalFormatting>
  <conditionalFormatting sqref="V27">
    <cfRule type="cellIs" dxfId="17087" priority="1145" operator="greaterThan">
      <formula>V26</formula>
    </cfRule>
    <cfRule type="cellIs" dxfId="17086" priority="1146" operator="equal">
      <formula>0</formula>
    </cfRule>
  </conditionalFormatting>
  <conditionalFormatting sqref="V28">
    <cfRule type="cellIs" dxfId="17085" priority="1143" operator="greaterThan">
      <formula>V27</formula>
    </cfRule>
    <cfRule type="cellIs" dxfId="17084" priority="1144" operator="equal">
      <formula>0</formula>
    </cfRule>
  </conditionalFormatting>
  <conditionalFormatting sqref="V27">
    <cfRule type="cellIs" dxfId="17083" priority="1141" operator="greaterThan">
      <formula>V26</formula>
    </cfRule>
    <cfRule type="cellIs" dxfId="17082" priority="1142" operator="equal">
      <formula>0</formula>
    </cfRule>
  </conditionalFormatting>
  <conditionalFormatting sqref="V28">
    <cfRule type="cellIs" dxfId="17081" priority="1139" operator="greaterThan">
      <formula>V27</formula>
    </cfRule>
    <cfRule type="cellIs" dxfId="17080" priority="1140" operator="equal">
      <formula>0</formula>
    </cfRule>
  </conditionalFormatting>
  <conditionalFormatting sqref="V27">
    <cfRule type="cellIs" dxfId="17079" priority="1137" operator="greaterThan">
      <formula>V26</formula>
    </cfRule>
    <cfRule type="cellIs" dxfId="17078" priority="1138" operator="equal">
      <formula>0</formula>
    </cfRule>
  </conditionalFormatting>
  <conditionalFormatting sqref="V28">
    <cfRule type="cellIs" dxfId="17077" priority="1135" operator="greaterThan">
      <formula>V27</formula>
    </cfRule>
    <cfRule type="cellIs" dxfId="17076" priority="1136" operator="equal">
      <formula>0</formula>
    </cfRule>
  </conditionalFormatting>
  <conditionalFormatting sqref="V27">
    <cfRule type="cellIs" dxfId="17075" priority="1133" operator="greaterThan">
      <formula>V26</formula>
    </cfRule>
    <cfRule type="cellIs" dxfId="17074" priority="1134" operator="equal">
      <formula>0</formula>
    </cfRule>
  </conditionalFormatting>
  <conditionalFormatting sqref="V28">
    <cfRule type="cellIs" dxfId="17073" priority="1131" operator="greaterThan">
      <formula>V27</formula>
    </cfRule>
    <cfRule type="cellIs" dxfId="17072" priority="1132" operator="equal">
      <formula>0</formula>
    </cfRule>
  </conditionalFormatting>
  <conditionalFormatting sqref="V27">
    <cfRule type="cellIs" dxfId="17071" priority="1129" operator="greaterThan">
      <formula>V26</formula>
    </cfRule>
    <cfRule type="cellIs" dxfId="17070" priority="1130" operator="equal">
      <formula>0</formula>
    </cfRule>
  </conditionalFormatting>
  <conditionalFormatting sqref="V28">
    <cfRule type="cellIs" dxfId="17069" priority="1127" operator="greaterThan">
      <formula>V27</formula>
    </cfRule>
    <cfRule type="cellIs" dxfId="17068" priority="1128" operator="equal">
      <formula>0</formula>
    </cfRule>
  </conditionalFormatting>
  <conditionalFormatting sqref="V27">
    <cfRule type="cellIs" dxfId="17067" priority="1125" operator="greaterThan">
      <formula>V26</formula>
    </cfRule>
    <cfRule type="cellIs" dxfId="17066" priority="1126" operator="equal">
      <formula>0</formula>
    </cfRule>
  </conditionalFormatting>
  <conditionalFormatting sqref="V19">
    <cfRule type="cellIs" dxfId="17065" priority="1123" operator="greaterThan">
      <formula>V18</formula>
    </cfRule>
    <cfRule type="cellIs" dxfId="17064" priority="1124" operator="equal">
      <formula>0</formula>
    </cfRule>
  </conditionalFormatting>
  <conditionalFormatting sqref="V18">
    <cfRule type="cellIs" dxfId="17063" priority="1121" operator="greaterThan">
      <formula>V17</formula>
    </cfRule>
    <cfRule type="cellIs" dxfId="17062" priority="1122" operator="equal">
      <formula>0</formula>
    </cfRule>
  </conditionalFormatting>
  <conditionalFormatting sqref="V19">
    <cfRule type="cellIs" dxfId="17061" priority="1119" operator="greaterThan">
      <formula>V18</formula>
    </cfRule>
    <cfRule type="cellIs" dxfId="17060" priority="1120" operator="equal">
      <formula>0</formula>
    </cfRule>
  </conditionalFormatting>
  <conditionalFormatting sqref="V18">
    <cfRule type="cellIs" dxfId="17059" priority="1117" operator="greaterThan">
      <formula>V17</formula>
    </cfRule>
    <cfRule type="cellIs" dxfId="17058" priority="1118" operator="equal">
      <formula>0</formula>
    </cfRule>
  </conditionalFormatting>
  <conditionalFormatting sqref="V19">
    <cfRule type="cellIs" dxfId="17057" priority="1115" operator="greaterThan">
      <formula>V18</formula>
    </cfRule>
    <cfRule type="cellIs" dxfId="17056" priority="1116" operator="equal">
      <formula>0</formula>
    </cfRule>
  </conditionalFormatting>
  <conditionalFormatting sqref="V18">
    <cfRule type="cellIs" dxfId="17055" priority="1113" operator="greaterThan">
      <formula>V17</formula>
    </cfRule>
    <cfRule type="cellIs" dxfId="17054" priority="1114" operator="equal">
      <formula>0</formula>
    </cfRule>
  </conditionalFormatting>
  <conditionalFormatting sqref="V19">
    <cfRule type="cellIs" dxfId="17053" priority="1111" operator="greaterThan">
      <formula>V18</formula>
    </cfRule>
    <cfRule type="cellIs" dxfId="17052" priority="1112" operator="equal">
      <formula>0</formula>
    </cfRule>
  </conditionalFormatting>
  <conditionalFormatting sqref="V18">
    <cfRule type="cellIs" dxfId="17051" priority="1109" operator="greaterThan">
      <formula>V17</formula>
    </cfRule>
    <cfRule type="cellIs" dxfId="17050" priority="1110" operator="equal">
      <formula>0</formula>
    </cfRule>
  </conditionalFormatting>
  <conditionalFormatting sqref="V16">
    <cfRule type="cellIs" dxfId="17049" priority="1107" operator="greaterThan">
      <formula>V15</formula>
    </cfRule>
    <cfRule type="cellIs" dxfId="17048" priority="1108" operator="equal">
      <formula>0</formula>
    </cfRule>
  </conditionalFormatting>
  <conditionalFormatting sqref="V16">
    <cfRule type="cellIs" dxfId="17047" priority="1105" operator="greaterThan">
      <formula>V15</formula>
    </cfRule>
    <cfRule type="cellIs" dxfId="17046" priority="1106" operator="equal">
      <formula>0</formula>
    </cfRule>
  </conditionalFormatting>
  <conditionalFormatting sqref="V16">
    <cfRule type="cellIs" dxfId="17045" priority="1103" operator="greaterThan">
      <formula>V15</formula>
    </cfRule>
    <cfRule type="cellIs" dxfId="17044" priority="1104" operator="equal">
      <formula>0</formula>
    </cfRule>
  </conditionalFormatting>
  <conditionalFormatting sqref="V16">
    <cfRule type="cellIs" dxfId="17043" priority="1101" operator="greaterThan">
      <formula>V15</formula>
    </cfRule>
    <cfRule type="cellIs" dxfId="17042" priority="1102" operator="equal">
      <formula>0</formula>
    </cfRule>
  </conditionalFormatting>
  <conditionalFormatting sqref="V19">
    <cfRule type="cellIs" dxfId="17041" priority="1099" operator="greaterThan">
      <formula>V18</formula>
    </cfRule>
    <cfRule type="cellIs" dxfId="17040" priority="1100" operator="equal">
      <formula>0</formula>
    </cfRule>
  </conditionalFormatting>
  <conditionalFormatting sqref="V19">
    <cfRule type="cellIs" dxfId="17039" priority="1097" operator="greaterThan">
      <formula>V18</formula>
    </cfRule>
    <cfRule type="cellIs" dxfId="17038" priority="1098" operator="equal">
      <formula>0</formula>
    </cfRule>
  </conditionalFormatting>
  <conditionalFormatting sqref="V19">
    <cfRule type="cellIs" dxfId="17037" priority="1095" operator="greaterThan">
      <formula>V18</formula>
    </cfRule>
    <cfRule type="cellIs" dxfId="17036" priority="1096" operator="equal">
      <formula>0</formula>
    </cfRule>
  </conditionalFormatting>
  <conditionalFormatting sqref="V19">
    <cfRule type="cellIs" dxfId="17035" priority="1093" operator="greaterThan">
      <formula>V18</formula>
    </cfRule>
    <cfRule type="cellIs" dxfId="17034" priority="1094" operator="equal">
      <formula>0</formula>
    </cfRule>
  </conditionalFormatting>
  <conditionalFormatting sqref="V19">
    <cfRule type="cellIs" dxfId="17033" priority="1091" operator="greaterThan">
      <formula>V18</formula>
    </cfRule>
    <cfRule type="cellIs" dxfId="17032" priority="1092" operator="equal">
      <formula>0</formula>
    </cfRule>
  </conditionalFormatting>
  <conditionalFormatting sqref="V19">
    <cfRule type="cellIs" dxfId="17031" priority="1089" operator="greaterThan">
      <formula>V18</formula>
    </cfRule>
    <cfRule type="cellIs" dxfId="17030" priority="1090" operator="equal">
      <formula>0</formula>
    </cfRule>
  </conditionalFormatting>
  <conditionalFormatting sqref="V19">
    <cfRule type="cellIs" dxfId="17029" priority="1087" operator="greaterThan">
      <formula>V18</formula>
    </cfRule>
    <cfRule type="cellIs" dxfId="17028" priority="1088" operator="equal">
      <formula>0</formula>
    </cfRule>
  </conditionalFormatting>
  <conditionalFormatting sqref="V19">
    <cfRule type="cellIs" dxfId="17027" priority="1085" operator="greaterThan">
      <formula>V18</formula>
    </cfRule>
    <cfRule type="cellIs" dxfId="17026" priority="1086" operator="equal">
      <formula>0</formula>
    </cfRule>
  </conditionalFormatting>
  <conditionalFormatting sqref="V19">
    <cfRule type="cellIs" dxfId="17025" priority="1083" operator="greaterThan">
      <formula>V18</formula>
    </cfRule>
    <cfRule type="cellIs" dxfId="17024" priority="1084" operator="equal">
      <formula>0</formula>
    </cfRule>
  </conditionalFormatting>
  <conditionalFormatting sqref="V19">
    <cfRule type="cellIs" dxfId="17023" priority="1081" operator="greaterThan">
      <formula>V18</formula>
    </cfRule>
    <cfRule type="cellIs" dxfId="17022" priority="1082" operator="equal">
      <formula>0</formula>
    </cfRule>
  </conditionalFormatting>
  <conditionalFormatting sqref="V22">
    <cfRule type="cellIs" dxfId="17021" priority="1079" operator="greaterThan">
      <formula>V21</formula>
    </cfRule>
    <cfRule type="cellIs" dxfId="17020" priority="1080" operator="equal">
      <formula>0</formula>
    </cfRule>
  </conditionalFormatting>
  <conditionalFormatting sqref="V21">
    <cfRule type="cellIs" dxfId="17019" priority="1077" operator="greaterThan">
      <formula>V20</formula>
    </cfRule>
    <cfRule type="cellIs" dxfId="17018" priority="1078" operator="equal">
      <formula>0</formula>
    </cfRule>
  </conditionalFormatting>
  <conditionalFormatting sqref="V22">
    <cfRule type="cellIs" dxfId="17017" priority="1075" operator="greaterThan">
      <formula>V21</formula>
    </cfRule>
    <cfRule type="cellIs" dxfId="17016" priority="1076" operator="equal">
      <formula>0</formula>
    </cfRule>
  </conditionalFormatting>
  <conditionalFormatting sqref="V21">
    <cfRule type="cellIs" dxfId="17015" priority="1073" operator="greaterThan">
      <formula>V20</formula>
    </cfRule>
    <cfRule type="cellIs" dxfId="17014" priority="1074" operator="equal">
      <formula>0</formula>
    </cfRule>
  </conditionalFormatting>
  <conditionalFormatting sqref="V22">
    <cfRule type="cellIs" dxfId="17013" priority="1071" operator="greaterThan">
      <formula>V21</formula>
    </cfRule>
    <cfRule type="cellIs" dxfId="17012" priority="1072" operator="equal">
      <formula>0</formula>
    </cfRule>
  </conditionalFormatting>
  <conditionalFormatting sqref="V21">
    <cfRule type="cellIs" dxfId="17011" priority="1069" operator="greaterThan">
      <formula>V20</formula>
    </cfRule>
    <cfRule type="cellIs" dxfId="17010" priority="1070" operator="equal">
      <formula>0</formula>
    </cfRule>
  </conditionalFormatting>
  <conditionalFormatting sqref="V22">
    <cfRule type="cellIs" dxfId="17009" priority="1067" operator="greaterThan">
      <formula>V21</formula>
    </cfRule>
    <cfRule type="cellIs" dxfId="17008" priority="1068" operator="equal">
      <formula>0</formula>
    </cfRule>
  </conditionalFormatting>
  <conditionalFormatting sqref="V21">
    <cfRule type="cellIs" dxfId="17007" priority="1065" operator="greaterThan">
      <formula>V20</formula>
    </cfRule>
    <cfRule type="cellIs" dxfId="17006" priority="1066" operator="equal">
      <formula>0</formula>
    </cfRule>
  </conditionalFormatting>
  <conditionalFormatting sqref="V22">
    <cfRule type="cellIs" dxfId="17005" priority="1063" operator="greaterThan">
      <formula>V21</formula>
    </cfRule>
    <cfRule type="cellIs" dxfId="17004" priority="1064" operator="equal">
      <formula>0</formula>
    </cfRule>
  </conditionalFormatting>
  <conditionalFormatting sqref="V21">
    <cfRule type="cellIs" dxfId="17003" priority="1061" operator="greaterThan">
      <formula>V20</formula>
    </cfRule>
    <cfRule type="cellIs" dxfId="17002" priority="1062" operator="equal">
      <formula>0</formula>
    </cfRule>
  </conditionalFormatting>
  <conditionalFormatting sqref="V22">
    <cfRule type="cellIs" dxfId="17001" priority="1059" operator="greaterThan">
      <formula>V21</formula>
    </cfRule>
    <cfRule type="cellIs" dxfId="17000" priority="1060" operator="equal">
      <formula>0</formula>
    </cfRule>
  </conditionalFormatting>
  <conditionalFormatting sqref="V21">
    <cfRule type="cellIs" dxfId="16999" priority="1057" operator="greaterThan">
      <formula>V20</formula>
    </cfRule>
    <cfRule type="cellIs" dxfId="16998" priority="1058" operator="equal">
      <formula>0</formula>
    </cfRule>
  </conditionalFormatting>
  <conditionalFormatting sqref="V22">
    <cfRule type="cellIs" dxfId="16997" priority="1055" operator="greaterThan">
      <formula>V21</formula>
    </cfRule>
    <cfRule type="cellIs" dxfId="16996" priority="1056" operator="equal">
      <formula>0</formula>
    </cfRule>
  </conditionalFormatting>
  <conditionalFormatting sqref="V21">
    <cfRule type="cellIs" dxfId="16995" priority="1053" operator="greaterThan">
      <formula>V20</formula>
    </cfRule>
    <cfRule type="cellIs" dxfId="16994" priority="1054" operator="equal">
      <formula>0</formula>
    </cfRule>
  </conditionalFormatting>
  <conditionalFormatting sqref="V22">
    <cfRule type="cellIs" dxfId="16993" priority="1051" operator="greaterThan">
      <formula>V21</formula>
    </cfRule>
    <cfRule type="cellIs" dxfId="16992" priority="1052" operator="equal">
      <formula>0</formula>
    </cfRule>
  </conditionalFormatting>
  <conditionalFormatting sqref="V21">
    <cfRule type="cellIs" dxfId="16991" priority="1049" operator="greaterThan">
      <formula>V20</formula>
    </cfRule>
    <cfRule type="cellIs" dxfId="16990" priority="1050" operator="equal">
      <formula>0</formula>
    </cfRule>
  </conditionalFormatting>
  <conditionalFormatting sqref="V22">
    <cfRule type="cellIs" dxfId="16989" priority="1047" operator="greaterThan">
      <formula>V21</formula>
    </cfRule>
    <cfRule type="cellIs" dxfId="16988" priority="1048" operator="equal">
      <formula>0</formula>
    </cfRule>
  </conditionalFormatting>
  <conditionalFormatting sqref="V21">
    <cfRule type="cellIs" dxfId="16987" priority="1045" operator="greaterThan">
      <formula>V20</formula>
    </cfRule>
    <cfRule type="cellIs" dxfId="16986" priority="1046" operator="equal">
      <formula>0</formula>
    </cfRule>
  </conditionalFormatting>
  <conditionalFormatting sqref="V22">
    <cfRule type="cellIs" dxfId="16985" priority="1043" operator="greaterThan">
      <formula>V21</formula>
    </cfRule>
    <cfRule type="cellIs" dxfId="16984" priority="1044" operator="equal">
      <formula>0</formula>
    </cfRule>
  </conditionalFormatting>
  <conditionalFormatting sqref="V21">
    <cfRule type="cellIs" dxfId="16983" priority="1041" operator="greaterThan">
      <formula>V20</formula>
    </cfRule>
    <cfRule type="cellIs" dxfId="16982" priority="1042" operator="equal">
      <formula>0</formula>
    </cfRule>
  </conditionalFormatting>
  <conditionalFormatting sqref="V22">
    <cfRule type="cellIs" dxfId="16981" priority="1039" operator="greaterThan">
      <formula>V21</formula>
    </cfRule>
    <cfRule type="cellIs" dxfId="16980" priority="1040" operator="equal">
      <formula>0</formula>
    </cfRule>
  </conditionalFormatting>
  <conditionalFormatting sqref="V22">
    <cfRule type="cellIs" dxfId="16979" priority="1037" operator="greaterThan">
      <formula>V21</formula>
    </cfRule>
    <cfRule type="cellIs" dxfId="16978" priority="1038" operator="equal">
      <formula>0</formula>
    </cfRule>
  </conditionalFormatting>
  <conditionalFormatting sqref="V22">
    <cfRule type="cellIs" dxfId="16977" priority="1035" operator="greaterThan">
      <formula>V21</formula>
    </cfRule>
    <cfRule type="cellIs" dxfId="16976" priority="1036" operator="equal">
      <formula>0</formula>
    </cfRule>
  </conditionalFormatting>
  <conditionalFormatting sqref="V22">
    <cfRule type="cellIs" dxfId="16975" priority="1033" operator="greaterThan">
      <formula>V21</formula>
    </cfRule>
    <cfRule type="cellIs" dxfId="16974" priority="1034" operator="equal">
      <formula>0</formula>
    </cfRule>
  </conditionalFormatting>
  <conditionalFormatting sqref="V22">
    <cfRule type="cellIs" dxfId="16973" priority="1031" operator="greaterThan">
      <formula>V21</formula>
    </cfRule>
    <cfRule type="cellIs" dxfId="16972" priority="1032" operator="equal">
      <formula>0</formula>
    </cfRule>
  </conditionalFormatting>
  <conditionalFormatting sqref="V22">
    <cfRule type="cellIs" dxfId="16971" priority="1029" operator="greaterThan">
      <formula>V21</formula>
    </cfRule>
    <cfRule type="cellIs" dxfId="16970" priority="1030" operator="equal">
      <formula>0</formula>
    </cfRule>
  </conditionalFormatting>
  <conditionalFormatting sqref="V22">
    <cfRule type="cellIs" dxfId="16969" priority="1027" operator="greaterThan">
      <formula>V21</formula>
    </cfRule>
    <cfRule type="cellIs" dxfId="16968" priority="1028" operator="equal">
      <formula>0</formula>
    </cfRule>
  </conditionalFormatting>
  <conditionalFormatting sqref="V22">
    <cfRule type="cellIs" dxfId="16967" priority="1025" operator="greaterThan">
      <formula>V21</formula>
    </cfRule>
    <cfRule type="cellIs" dxfId="16966" priority="1026" operator="equal">
      <formula>0</formula>
    </cfRule>
  </conditionalFormatting>
  <conditionalFormatting sqref="V22">
    <cfRule type="cellIs" dxfId="16965" priority="1023" operator="greaterThan">
      <formula>V21</formula>
    </cfRule>
    <cfRule type="cellIs" dxfId="16964" priority="1024" operator="equal">
      <formula>0</formula>
    </cfRule>
  </conditionalFormatting>
  <conditionalFormatting sqref="V22">
    <cfRule type="cellIs" dxfId="16963" priority="1021" operator="greaterThan">
      <formula>V21</formula>
    </cfRule>
    <cfRule type="cellIs" dxfId="16962" priority="1022" operator="equal">
      <formula>0</formula>
    </cfRule>
  </conditionalFormatting>
  <conditionalFormatting sqref="V22">
    <cfRule type="cellIs" dxfId="16961" priority="1019" operator="greaterThan">
      <formula>V21</formula>
    </cfRule>
    <cfRule type="cellIs" dxfId="16960" priority="1020" operator="equal">
      <formula>0</formula>
    </cfRule>
  </conditionalFormatting>
  <conditionalFormatting sqref="V22">
    <cfRule type="cellIs" dxfId="16959" priority="1017" operator="greaterThan">
      <formula>V21</formula>
    </cfRule>
    <cfRule type="cellIs" dxfId="16958" priority="1018" operator="equal">
      <formula>0</formula>
    </cfRule>
  </conditionalFormatting>
  <conditionalFormatting sqref="V22">
    <cfRule type="cellIs" dxfId="16957" priority="1015" operator="greaterThan">
      <formula>V21</formula>
    </cfRule>
    <cfRule type="cellIs" dxfId="16956" priority="1016" operator="equal">
      <formula>0</formula>
    </cfRule>
  </conditionalFormatting>
  <conditionalFormatting sqref="V22">
    <cfRule type="cellIs" dxfId="16955" priority="1013" operator="greaterThan">
      <formula>V21</formula>
    </cfRule>
    <cfRule type="cellIs" dxfId="16954" priority="1014" operator="equal">
      <formula>0</formula>
    </cfRule>
  </conditionalFormatting>
  <conditionalFormatting sqref="V22">
    <cfRule type="cellIs" dxfId="16953" priority="1011" operator="greaterThan">
      <formula>V21</formula>
    </cfRule>
    <cfRule type="cellIs" dxfId="16952" priority="1012" operator="equal">
      <formula>0</formula>
    </cfRule>
  </conditionalFormatting>
  <conditionalFormatting sqref="V22">
    <cfRule type="cellIs" dxfId="16951" priority="1009" operator="greaterThan">
      <formula>V21</formula>
    </cfRule>
    <cfRule type="cellIs" dxfId="16950" priority="1010" operator="equal">
      <formula>0</formula>
    </cfRule>
  </conditionalFormatting>
  <conditionalFormatting sqref="V22">
    <cfRule type="cellIs" dxfId="16949" priority="1007" operator="greaterThan">
      <formula>V21</formula>
    </cfRule>
    <cfRule type="cellIs" dxfId="16948" priority="1008" operator="equal">
      <formula>0</formula>
    </cfRule>
  </conditionalFormatting>
  <conditionalFormatting sqref="V22">
    <cfRule type="cellIs" dxfId="16947" priority="1005" operator="greaterThan">
      <formula>V21</formula>
    </cfRule>
    <cfRule type="cellIs" dxfId="16946" priority="1006" operator="equal">
      <formula>0</formula>
    </cfRule>
  </conditionalFormatting>
  <conditionalFormatting sqref="V22">
    <cfRule type="cellIs" dxfId="16945" priority="1003" operator="greaterThan">
      <formula>V21</formula>
    </cfRule>
    <cfRule type="cellIs" dxfId="16944" priority="1004" operator="equal">
      <formula>0</formula>
    </cfRule>
  </conditionalFormatting>
  <conditionalFormatting sqref="V22">
    <cfRule type="cellIs" dxfId="16943" priority="1001" operator="greaterThan">
      <formula>V21</formula>
    </cfRule>
    <cfRule type="cellIs" dxfId="16942" priority="1002" operator="equal">
      <formula>0</formula>
    </cfRule>
  </conditionalFormatting>
  <conditionalFormatting sqref="V22">
    <cfRule type="cellIs" dxfId="16941" priority="999" operator="greaterThan">
      <formula>V21</formula>
    </cfRule>
    <cfRule type="cellIs" dxfId="16940" priority="1000" operator="equal">
      <formula>0</formula>
    </cfRule>
  </conditionalFormatting>
  <conditionalFormatting sqref="V22">
    <cfRule type="cellIs" dxfId="16939" priority="997" operator="greaterThan">
      <formula>V21</formula>
    </cfRule>
    <cfRule type="cellIs" dxfId="16938" priority="998" operator="equal">
      <formula>0</formula>
    </cfRule>
  </conditionalFormatting>
  <conditionalFormatting sqref="V22">
    <cfRule type="cellIs" dxfId="16937" priority="995" operator="greaterThan">
      <formula>V21</formula>
    </cfRule>
    <cfRule type="cellIs" dxfId="16936" priority="996" operator="equal">
      <formula>0</formula>
    </cfRule>
  </conditionalFormatting>
  <conditionalFormatting sqref="V22">
    <cfRule type="cellIs" dxfId="16935" priority="993" operator="greaterThan">
      <formula>V21</formula>
    </cfRule>
    <cfRule type="cellIs" dxfId="16934" priority="994" operator="equal">
      <formula>0</formula>
    </cfRule>
  </conditionalFormatting>
  <conditionalFormatting sqref="V22">
    <cfRule type="cellIs" dxfId="16933" priority="991" operator="greaterThan">
      <formula>V21</formula>
    </cfRule>
    <cfRule type="cellIs" dxfId="16932" priority="992" operator="equal">
      <formula>0</formula>
    </cfRule>
  </conditionalFormatting>
  <conditionalFormatting sqref="V22">
    <cfRule type="cellIs" dxfId="16931" priority="989" operator="greaterThan">
      <formula>V21</formula>
    </cfRule>
    <cfRule type="cellIs" dxfId="16930" priority="990" operator="equal">
      <formula>0</formula>
    </cfRule>
  </conditionalFormatting>
  <conditionalFormatting sqref="V22">
    <cfRule type="cellIs" dxfId="16929" priority="987" operator="greaterThan">
      <formula>V21</formula>
    </cfRule>
    <cfRule type="cellIs" dxfId="16928" priority="988" operator="equal">
      <formula>0</formula>
    </cfRule>
  </conditionalFormatting>
  <conditionalFormatting sqref="V22">
    <cfRule type="cellIs" dxfId="16927" priority="985" operator="greaterThan">
      <formula>V21</formula>
    </cfRule>
    <cfRule type="cellIs" dxfId="16926" priority="986" operator="equal">
      <formula>0</formula>
    </cfRule>
  </conditionalFormatting>
  <conditionalFormatting sqref="V24">
    <cfRule type="cellIs" dxfId="16925" priority="983" operator="greaterThan">
      <formula>V23</formula>
    </cfRule>
    <cfRule type="cellIs" dxfId="16924" priority="984" operator="equal">
      <formula>0</formula>
    </cfRule>
  </conditionalFormatting>
  <conditionalFormatting sqref="V24">
    <cfRule type="cellIs" dxfId="16923" priority="981" operator="greaterThan">
      <formula>V23</formula>
    </cfRule>
    <cfRule type="cellIs" dxfId="16922" priority="982" operator="equal">
      <formula>0</formula>
    </cfRule>
  </conditionalFormatting>
  <conditionalFormatting sqref="V24">
    <cfRule type="cellIs" dxfId="16921" priority="979" operator="greaterThan">
      <formula>V23</formula>
    </cfRule>
    <cfRule type="cellIs" dxfId="16920" priority="980" operator="equal">
      <formula>0</formula>
    </cfRule>
  </conditionalFormatting>
  <conditionalFormatting sqref="V24">
    <cfRule type="cellIs" dxfId="16919" priority="977" operator="greaterThan">
      <formula>V23</formula>
    </cfRule>
    <cfRule type="cellIs" dxfId="16918" priority="978" operator="equal">
      <formula>0</formula>
    </cfRule>
  </conditionalFormatting>
  <conditionalFormatting sqref="V24">
    <cfRule type="cellIs" dxfId="16917" priority="975" operator="greaterThan">
      <formula>V23</formula>
    </cfRule>
    <cfRule type="cellIs" dxfId="16916" priority="976" operator="equal">
      <formula>0</formula>
    </cfRule>
  </conditionalFormatting>
  <conditionalFormatting sqref="V24">
    <cfRule type="cellIs" dxfId="16915" priority="973" operator="greaterThan">
      <formula>V23</formula>
    </cfRule>
    <cfRule type="cellIs" dxfId="16914" priority="974" operator="equal">
      <formula>0</formula>
    </cfRule>
  </conditionalFormatting>
  <conditionalFormatting sqref="V24">
    <cfRule type="cellIs" dxfId="16913" priority="971" operator="greaterThan">
      <formula>V23</formula>
    </cfRule>
    <cfRule type="cellIs" dxfId="16912" priority="972" operator="equal">
      <formula>0</formula>
    </cfRule>
  </conditionalFormatting>
  <conditionalFormatting sqref="V24">
    <cfRule type="cellIs" dxfId="16911" priority="969" operator="greaterThan">
      <formula>V23</formula>
    </cfRule>
    <cfRule type="cellIs" dxfId="16910" priority="970" operator="equal">
      <formula>0</formula>
    </cfRule>
  </conditionalFormatting>
  <conditionalFormatting sqref="V24">
    <cfRule type="cellIs" dxfId="16909" priority="967" operator="greaterThan">
      <formula>V23</formula>
    </cfRule>
    <cfRule type="cellIs" dxfId="16908" priority="968" operator="equal">
      <formula>0</formula>
    </cfRule>
  </conditionalFormatting>
  <conditionalFormatting sqref="V24">
    <cfRule type="cellIs" dxfId="16907" priority="965" operator="greaterThan">
      <formula>V23</formula>
    </cfRule>
    <cfRule type="cellIs" dxfId="16906" priority="966" operator="equal">
      <formula>0</formula>
    </cfRule>
  </conditionalFormatting>
  <conditionalFormatting sqref="V24">
    <cfRule type="cellIs" dxfId="16905" priority="963" operator="greaterThan">
      <formula>V23</formula>
    </cfRule>
    <cfRule type="cellIs" dxfId="16904" priority="964" operator="equal">
      <formula>0</formula>
    </cfRule>
  </conditionalFormatting>
  <conditionalFormatting sqref="V24">
    <cfRule type="cellIs" dxfId="16903" priority="961" operator="greaterThan">
      <formula>V23</formula>
    </cfRule>
    <cfRule type="cellIs" dxfId="16902" priority="962" operator="equal">
      <formula>0</formula>
    </cfRule>
  </conditionalFormatting>
  <conditionalFormatting sqref="V24">
    <cfRule type="cellIs" dxfId="16901" priority="959" operator="greaterThan">
      <formula>V23</formula>
    </cfRule>
    <cfRule type="cellIs" dxfId="16900" priority="960" operator="equal">
      <formula>0</formula>
    </cfRule>
  </conditionalFormatting>
  <conditionalFormatting sqref="V24">
    <cfRule type="cellIs" dxfId="16899" priority="957" operator="greaterThan">
      <formula>V23</formula>
    </cfRule>
    <cfRule type="cellIs" dxfId="16898" priority="958" operator="equal">
      <formula>0</formula>
    </cfRule>
  </conditionalFormatting>
  <conditionalFormatting sqref="V24">
    <cfRule type="cellIs" dxfId="16897" priority="955" operator="greaterThan">
      <formula>V23</formula>
    </cfRule>
    <cfRule type="cellIs" dxfId="16896" priority="956" operator="equal">
      <formula>0</formula>
    </cfRule>
  </conditionalFormatting>
  <conditionalFormatting sqref="V24">
    <cfRule type="cellIs" dxfId="16895" priority="953" operator="greaterThan">
      <formula>V23</formula>
    </cfRule>
    <cfRule type="cellIs" dxfId="16894" priority="954" operator="equal">
      <formula>0</formula>
    </cfRule>
  </conditionalFormatting>
  <conditionalFormatting sqref="V24">
    <cfRule type="cellIs" dxfId="16893" priority="951" operator="greaterThan">
      <formula>V23</formula>
    </cfRule>
    <cfRule type="cellIs" dxfId="16892" priority="952" operator="equal">
      <formula>0</formula>
    </cfRule>
  </conditionalFormatting>
  <conditionalFormatting sqref="V24">
    <cfRule type="cellIs" dxfId="16891" priority="949" operator="greaterThan">
      <formula>V23</formula>
    </cfRule>
    <cfRule type="cellIs" dxfId="16890" priority="950" operator="equal">
      <formula>0</formula>
    </cfRule>
  </conditionalFormatting>
  <conditionalFormatting sqref="V25">
    <cfRule type="cellIs" dxfId="16889" priority="947" operator="greaterThan">
      <formula>V24</formula>
    </cfRule>
    <cfRule type="cellIs" dxfId="16888" priority="948" operator="equal">
      <formula>0</formula>
    </cfRule>
  </conditionalFormatting>
  <conditionalFormatting sqref="V25">
    <cfRule type="cellIs" dxfId="16887" priority="945" operator="greaterThan">
      <formula>V24</formula>
    </cfRule>
    <cfRule type="cellIs" dxfId="16886" priority="946" operator="equal">
      <formula>0</formula>
    </cfRule>
  </conditionalFormatting>
  <conditionalFormatting sqref="V25">
    <cfRule type="cellIs" dxfId="16885" priority="943" operator="greaterThan">
      <formula>V24</formula>
    </cfRule>
    <cfRule type="cellIs" dxfId="16884" priority="944" operator="equal">
      <formula>0</formula>
    </cfRule>
  </conditionalFormatting>
  <conditionalFormatting sqref="V25">
    <cfRule type="cellIs" dxfId="16883" priority="941" operator="greaterThan">
      <formula>V24</formula>
    </cfRule>
    <cfRule type="cellIs" dxfId="16882" priority="942" operator="equal">
      <formula>0</formula>
    </cfRule>
  </conditionalFormatting>
  <conditionalFormatting sqref="V25">
    <cfRule type="cellIs" dxfId="16881" priority="939" operator="greaterThan">
      <formula>V24</formula>
    </cfRule>
    <cfRule type="cellIs" dxfId="16880" priority="940" operator="equal">
      <formula>0</formula>
    </cfRule>
  </conditionalFormatting>
  <conditionalFormatting sqref="V25">
    <cfRule type="cellIs" dxfId="16879" priority="937" operator="greaterThan">
      <formula>V24</formula>
    </cfRule>
    <cfRule type="cellIs" dxfId="16878" priority="938" operator="equal">
      <formula>0</formula>
    </cfRule>
  </conditionalFormatting>
  <conditionalFormatting sqref="V25">
    <cfRule type="cellIs" dxfId="16877" priority="935" operator="greaterThan">
      <formula>V24</formula>
    </cfRule>
    <cfRule type="cellIs" dxfId="16876" priority="936" operator="equal">
      <formula>0</formula>
    </cfRule>
  </conditionalFormatting>
  <conditionalFormatting sqref="V25">
    <cfRule type="cellIs" dxfId="16875" priority="933" operator="greaterThan">
      <formula>V24</formula>
    </cfRule>
    <cfRule type="cellIs" dxfId="16874" priority="934" operator="equal">
      <formula>0</formula>
    </cfRule>
  </conditionalFormatting>
  <conditionalFormatting sqref="V25">
    <cfRule type="cellIs" dxfId="16873" priority="931" operator="greaterThan">
      <formula>V24</formula>
    </cfRule>
    <cfRule type="cellIs" dxfId="16872" priority="932" operator="equal">
      <formula>0</formula>
    </cfRule>
  </conditionalFormatting>
  <conditionalFormatting sqref="V25">
    <cfRule type="cellIs" dxfId="16871" priority="929" operator="greaterThan">
      <formula>V24</formula>
    </cfRule>
    <cfRule type="cellIs" dxfId="16870" priority="930" operator="equal">
      <formula>0</formula>
    </cfRule>
  </conditionalFormatting>
  <conditionalFormatting sqref="V25">
    <cfRule type="cellIs" dxfId="16869" priority="927" operator="greaterThan">
      <formula>V24</formula>
    </cfRule>
    <cfRule type="cellIs" dxfId="16868" priority="928" operator="equal">
      <formula>0</formula>
    </cfRule>
  </conditionalFormatting>
  <conditionalFormatting sqref="V25">
    <cfRule type="cellIs" dxfId="16867" priority="925" operator="greaterThan">
      <formula>V24</formula>
    </cfRule>
    <cfRule type="cellIs" dxfId="16866" priority="926" operator="equal">
      <formula>0</formula>
    </cfRule>
  </conditionalFormatting>
  <conditionalFormatting sqref="V25">
    <cfRule type="cellIs" dxfId="16865" priority="923" operator="greaterThan">
      <formula>V24</formula>
    </cfRule>
    <cfRule type="cellIs" dxfId="16864" priority="924" operator="equal">
      <formula>0</formula>
    </cfRule>
  </conditionalFormatting>
  <conditionalFormatting sqref="V25">
    <cfRule type="cellIs" dxfId="16863" priority="921" operator="greaterThan">
      <formula>V24</formula>
    </cfRule>
    <cfRule type="cellIs" dxfId="16862" priority="922" operator="equal">
      <formula>0</formula>
    </cfRule>
  </conditionalFormatting>
  <conditionalFormatting sqref="V25">
    <cfRule type="cellIs" dxfId="16861" priority="919" operator="greaterThan">
      <formula>V24</formula>
    </cfRule>
    <cfRule type="cellIs" dxfId="16860" priority="920" operator="equal">
      <formula>0</formula>
    </cfRule>
  </conditionalFormatting>
  <conditionalFormatting sqref="V25">
    <cfRule type="cellIs" dxfId="16859" priority="917" operator="greaterThan">
      <formula>V24</formula>
    </cfRule>
    <cfRule type="cellIs" dxfId="16858" priority="918" operator="equal">
      <formula>0</formula>
    </cfRule>
  </conditionalFormatting>
  <conditionalFormatting sqref="V25">
    <cfRule type="cellIs" dxfId="16857" priority="915" operator="greaterThan">
      <formula>V24</formula>
    </cfRule>
    <cfRule type="cellIs" dxfId="16856" priority="916" operator="equal">
      <formula>0</formula>
    </cfRule>
  </conditionalFormatting>
  <conditionalFormatting sqref="V25">
    <cfRule type="cellIs" dxfId="16855" priority="913" operator="greaterThan">
      <formula>V24</formula>
    </cfRule>
    <cfRule type="cellIs" dxfId="16854" priority="914" operator="equal">
      <formula>0</formula>
    </cfRule>
  </conditionalFormatting>
  <conditionalFormatting sqref="V25">
    <cfRule type="cellIs" dxfId="16853" priority="911" operator="greaterThan">
      <formula>V24</formula>
    </cfRule>
    <cfRule type="cellIs" dxfId="16852" priority="912" operator="equal">
      <formula>0</formula>
    </cfRule>
  </conditionalFormatting>
  <conditionalFormatting sqref="V25">
    <cfRule type="cellIs" dxfId="16851" priority="909" operator="greaterThan">
      <formula>V24</formula>
    </cfRule>
    <cfRule type="cellIs" dxfId="16850" priority="910" operator="equal">
      <formula>0</formula>
    </cfRule>
  </conditionalFormatting>
  <conditionalFormatting sqref="V25">
    <cfRule type="cellIs" dxfId="16849" priority="907" operator="greaterThan">
      <formula>V24</formula>
    </cfRule>
    <cfRule type="cellIs" dxfId="16848" priority="908" operator="equal">
      <formula>0</formula>
    </cfRule>
  </conditionalFormatting>
  <conditionalFormatting sqref="V25">
    <cfRule type="cellIs" dxfId="16847" priority="905" operator="greaterThan">
      <formula>V24</formula>
    </cfRule>
    <cfRule type="cellIs" dxfId="16846" priority="906" operator="equal">
      <formula>0</formula>
    </cfRule>
  </conditionalFormatting>
  <conditionalFormatting sqref="V25">
    <cfRule type="cellIs" dxfId="16845" priority="903" operator="greaterThan">
      <formula>V24</formula>
    </cfRule>
    <cfRule type="cellIs" dxfId="16844" priority="904" operator="equal">
      <formula>0</formula>
    </cfRule>
  </conditionalFormatting>
  <conditionalFormatting sqref="V25">
    <cfRule type="cellIs" dxfId="16843" priority="901" operator="greaterThan">
      <formula>V24</formula>
    </cfRule>
    <cfRule type="cellIs" dxfId="16842" priority="902" operator="equal">
      <formula>0</formula>
    </cfRule>
  </conditionalFormatting>
  <conditionalFormatting sqref="V25">
    <cfRule type="cellIs" dxfId="16841" priority="899" operator="greaterThan">
      <formula>V24</formula>
    </cfRule>
    <cfRule type="cellIs" dxfId="16840" priority="900" operator="equal">
      <formula>0</formula>
    </cfRule>
  </conditionalFormatting>
  <conditionalFormatting sqref="V25">
    <cfRule type="cellIs" dxfId="16839" priority="897" operator="greaterThan">
      <formula>V24</formula>
    </cfRule>
    <cfRule type="cellIs" dxfId="16838" priority="898" operator="equal">
      <formula>0</formula>
    </cfRule>
  </conditionalFormatting>
  <conditionalFormatting sqref="V25">
    <cfRule type="cellIs" dxfId="16837" priority="895" operator="greaterThan">
      <formula>V24</formula>
    </cfRule>
    <cfRule type="cellIs" dxfId="16836" priority="896" operator="equal">
      <formula>0</formula>
    </cfRule>
  </conditionalFormatting>
  <conditionalFormatting sqref="V25">
    <cfRule type="cellIs" dxfId="16835" priority="893" operator="greaterThan">
      <formula>V24</formula>
    </cfRule>
    <cfRule type="cellIs" dxfId="16834" priority="894" operator="equal">
      <formula>0</formula>
    </cfRule>
  </conditionalFormatting>
  <conditionalFormatting sqref="V27">
    <cfRule type="cellIs" dxfId="16833" priority="891" operator="greaterThan">
      <formula>V26</formula>
    </cfRule>
    <cfRule type="cellIs" dxfId="16832" priority="892" operator="equal">
      <formula>0</formula>
    </cfRule>
  </conditionalFormatting>
  <conditionalFormatting sqref="V27">
    <cfRule type="cellIs" dxfId="16831" priority="889" operator="greaterThan">
      <formula>V26</formula>
    </cfRule>
    <cfRule type="cellIs" dxfId="16830" priority="890" operator="equal">
      <formula>0</formula>
    </cfRule>
  </conditionalFormatting>
  <conditionalFormatting sqref="V27">
    <cfRule type="cellIs" dxfId="16829" priority="887" operator="greaterThan">
      <formula>V26</formula>
    </cfRule>
    <cfRule type="cellIs" dxfId="16828" priority="888" operator="equal">
      <formula>0</formula>
    </cfRule>
  </conditionalFormatting>
  <conditionalFormatting sqref="V27">
    <cfRule type="cellIs" dxfId="16827" priority="885" operator="greaterThan">
      <formula>V26</formula>
    </cfRule>
    <cfRule type="cellIs" dxfId="16826" priority="886" operator="equal">
      <formula>0</formula>
    </cfRule>
  </conditionalFormatting>
  <conditionalFormatting sqref="V27">
    <cfRule type="cellIs" dxfId="16825" priority="883" operator="greaterThan">
      <formula>V26</formula>
    </cfRule>
    <cfRule type="cellIs" dxfId="16824" priority="884" operator="equal">
      <formula>0</formula>
    </cfRule>
  </conditionalFormatting>
  <conditionalFormatting sqref="V27">
    <cfRule type="cellIs" dxfId="16823" priority="881" operator="greaterThan">
      <formula>V26</formula>
    </cfRule>
    <cfRule type="cellIs" dxfId="16822" priority="882" operator="equal">
      <formula>0</formula>
    </cfRule>
  </conditionalFormatting>
  <conditionalFormatting sqref="V27">
    <cfRule type="cellIs" dxfId="16821" priority="879" operator="greaterThan">
      <formula>V26</formula>
    </cfRule>
    <cfRule type="cellIs" dxfId="16820" priority="880" operator="equal">
      <formula>0</formula>
    </cfRule>
  </conditionalFormatting>
  <conditionalFormatting sqref="V27">
    <cfRule type="cellIs" dxfId="16819" priority="877" operator="greaterThan">
      <formula>V26</formula>
    </cfRule>
    <cfRule type="cellIs" dxfId="16818" priority="878" operator="equal">
      <formula>0</formula>
    </cfRule>
  </conditionalFormatting>
  <conditionalFormatting sqref="V27">
    <cfRule type="cellIs" dxfId="16817" priority="875" operator="greaterThan">
      <formula>V26</formula>
    </cfRule>
    <cfRule type="cellIs" dxfId="16816" priority="876" operator="equal">
      <formula>0</formula>
    </cfRule>
  </conditionalFormatting>
  <conditionalFormatting sqref="V27">
    <cfRule type="cellIs" dxfId="16815" priority="873" operator="greaterThan">
      <formula>V26</formula>
    </cfRule>
    <cfRule type="cellIs" dxfId="16814" priority="874" operator="equal">
      <formula>0</formula>
    </cfRule>
  </conditionalFormatting>
  <conditionalFormatting sqref="V27">
    <cfRule type="cellIs" dxfId="16813" priority="871" operator="greaterThan">
      <formula>V26</formula>
    </cfRule>
    <cfRule type="cellIs" dxfId="16812" priority="872" operator="equal">
      <formula>0</formula>
    </cfRule>
  </conditionalFormatting>
  <conditionalFormatting sqref="V27">
    <cfRule type="cellIs" dxfId="16811" priority="869" operator="greaterThan">
      <formula>V26</formula>
    </cfRule>
    <cfRule type="cellIs" dxfId="16810" priority="870" operator="equal">
      <formula>0</formula>
    </cfRule>
  </conditionalFormatting>
  <conditionalFormatting sqref="V27">
    <cfRule type="cellIs" dxfId="16809" priority="867" operator="greaterThan">
      <formula>V26</formula>
    </cfRule>
    <cfRule type="cellIs" dxfId="16808" priority="868" operator="equal">
      <formula>0</formula>
    </cfRule>
  </conditionalFormatting>
  <conditionalFormatting sqref="V27">
    <cfRule type="cellIs" dxfId="16807" priority="865" operator="greaterThan">
      <formula>V26</formula>
    </cfRule>
    <cfRule type="cellIs" dxfId="16806" priority="866" operator="equal">
      <formula>0</formula>
    </cfRule>
  </conditionalFormatting>
  <conditionalFormatting sqref="V27">
    <cfRule type="cellIs" dxfId="16805" priority="863" operator="greaterThan">
      <formula>V26</formula>
    </cfRule>
    <cfRule type="cellIs" dxfId="16804" priority="864" operator="equal">
      <formula>0</formula>
    </cfRule>
  </conditionalFormatting>
  <conditionalFormatting sqref="V27">
    <cfRule type="cellIs" dxfId="16803" priority="861" operator="greaterThan">
      <formula>V26</formula>
    </cfRule>
    <cfRule type="cellIs" dxfId="16802" priority="862" operator="equal">
      <formula>0</formula>
    </cfRule>
  </conditionalFormatting>
  <conditionalFormatting sqref="V27">
    <cfRule type="cellIs" dxfId="16801" priority="859" operator="greaterThan">
      <formula>V26</formula>
    </cfRule>
    <cfRule type="cellIs" dxfId="16800" priority="860" operator="equal">
      <formula>0</formula>
    </cfRule>
  </conditionalFormatting>
  <conditionalFormatting sqref="V27">
    <cfRule type="cellIs" dxfId="16799" priority="857" operator="greaterThan">
      <formula>V26</formula>
    </cfRule>
    <cfRule type="cellIs" dxfId="16798" priority="858" operator="equal">
      <formula>0</formula>
    </cfRule>
  </conditionalFormatting>
  <conditionalFormatting sqref="V27">
    <cfRule type="cellIs" dxfId="16797" priority="855" operator="greaterThan">
      <formula>V26</formula>
    </cfRule>
    <cfRule type="cellIs" dxfId="16796" priority="856" operator="equal">
      <formula>0</formula>
    </cfRule>
  </conditionalFormatting>
  <conditionalFormatting sqref="V27">
    <cfRule type="cellIs" dxfId="16795" priority="853" operator="greaterThan">
      <formula>V26</formula>
    </cfRule>
    <cfRule type="cellIs" dxfId="16794" priority="854" operator="equal">
      <formula>0</formula>
    </cfRule>
  </conditionalFormatting>
  <conditionalFormatting sqref="V27">
    <cfRule type="cellIs" dxfId="16793" priority="851" operator="greaterThan">
      <formula>V26</formula>
    </cfRule>
    <cfRule type="cellIs" dxfId="16792" priority="852" operator="equal">
      <formula>0</formula>
    </cfRule>
  </conditionalFormatting>
  <conditionalFormatting sqref="V27">
    <cfRule type="cellIs" dxfId="16791" priority="849" operator="greaterThan">
      <formula>V26</formula>
    </cfRule>
    <cfRule type="cellIs" dxfId="16790" priority="850" operator="equal">
      <formula>0</formula>
    </cfRule>
  </conditionalFormatting>
  <conditionalFormatting sqref="V27">
    <cfRule type="cellIs" dxfId="16789" priority="847" operator="greaterThan">
      <formula>V26</formula>
    </cfRule>
    <cfRule type="cellIs" dxfId="16788" priority="848" operator="equal">
      <formula>0</formula>
    </cfRule>
  </conditionalFormatting>
  <conditionalFormatting sqref="V27">
    <cfRule type="cellIs" dxfId="16787" priority="845" operator="greaterThan">
      <formula>V26</formula>
    </cfRule>
    <cfRule type="cellIs" dxfId="16786" priority="846" operator="equal">
      <formula>0</formula>
    </cfRule>
  </conditionalFormatting>
  <conditionalFormatting sqref="V27">
    <cfRule type="cellIs" dxfId="16785" priority="843" operator="greaterThan">
      <formula>V26</formula>
    </cfRule>
    <cfRule type="cellIs" dxfId="16784" priority="844" operator="equal">
      <formula>0</formula>
    </cfRule>
  </conditionalFormatting>
  <conditionalFormatting sqref="V27">
    <cfRule type="cellIs" dxfId="16783" priority="841" operator="greaterThan">
      <formula>V26</formula>
    </cfRule>
    <cfRule type="cellIs" dxfId="16782" priority="842" operator="equal">
      <formula>0</formula>
    </cfRule>
  </conditionalFormatting>
  <conditionalFormatting sqref="V27">
    <cfRule type="cellIs" dxfId="16781" priority="839" operator="greaterThan">
      <formula>V26</formula>
    </cfRule>
    <cfRule type="cellIs" dxfId="16780" priority="840" operator="equal">
      <formula>0</formula>
    </cfRule>
  </conditionalFormatting>
  <conditionalFormatting sqref="V27">
    <cfRule type="cellIs" dxfId="16779" priority="837" operator="greaterThan">
      <formula>V26</formula>
    </cfRule>
    <cfRule type="cellIs" dxfId="16778" priority="838" operator="equal">
      <formula>0</formula>
    </cfRule>
  </conditionalFormatting>
  <conditionalFormatting sqref="V27">
    <cfRule type="cellIs" dxfId="16777" priority="835" operator="greaterThan">
      <formula>V26</formula>
    </cfRule>
    <cfRule type="cellIs" dxfId="16776" priority="836" operator="equal">
      <formula>0</formula>
    </cfRule>
  </conditionalFormatting>
  <conditionalFormatting sqref="V28">
    <cfRule type="cellIs" dxfId="16775" priority="833" operator="greaterThan">
      <formula>V27</formula>
    </cfRule>
    <cfRule type="cellIs" dxfId="16774" priority="834" operator="equal">
      <formula>0</formula>
    </cfRule>
  </conditionalFormatting>
  <conditionalFormatting sqref="V28">
    <cfRule type="cellIs" dxfId="16773" priority="831" operator="greaterThan">
      <formula>V27</formula>
    </cfRule>
    <cfRule type="cellIs" dxfId="16772" priority="832" operator="equal">
      <formula>0</formula>
    </cfRule>
  </conditionalFormatting>
  <conditionalFormatting sqref="V28">
    <cfRule type="cellIs" dxfId="16771" priority="829" operator="greaterThan">
      <formula>V27</formula>
    </cfRule>
    <cfRule type="cellIs" dxfId="16770" priority="830" operator="equal">
      <formula>0</formula>
    </cfRule>
  </conditionalFormatting>
  <conditionalFormatting sqref="V28">
    <cfRule type="cellIs" dxfId="16769" priority="827" operator="greaterThan">
      <formula>V27</formula>
    </cfRule>
    <cfRule type="cellIs" dxfId="16768" priority="828" operator="equal">
      <formula>0</formula>
    </cfRule>
  </conditionalFormatting>
  <conditionalFormatting sqref="V28">
    <cfRule type="cellIs" dxfId="16767" priority="825" operator="greaterThan">
      <formula>V27</formula>
    </cfRule>
    <cfRule type="cellIs" dxfId="16766" priority="826" operator="equal">
      <formula>0</formula>
    </cfRule>
  </conditionalFormatting>
  <conditionalFormatting sqref="V28">
    <cfRule type="cellIs" dxfId="16765" priority="823" operator="greaterThan">
      <formula>V27</formula>
    </cfRule>
    <cfRule type="cellIs" dxfId="16764" priority="824" operator="equal">
      <formula>0</formula>
    </cfRule>
  </conditionalFormatting>
  <conditionalFormatting sqref="V28">
    <cfRule type="cellIs" dxfId="16763" priority="821" operator="greaterThan">
      <formula>V27</formula>
    </cfRule>
    <cfRule type="cellIs" dxfId="16762" priority="822" operator="equal">
      <formula>0</formula>
    </cfRule>
  </conditionalFormatting>
  <conditionalFormatting sqref="V28">
    <cfRule type="cellIs" dxfId="16761" priority="819" operator="greaterThan">
      <formula>V27</formula>
    </cfRule>
    <cfRule type="cellIs" dxfId="16760" priority="820" operator="equal">
      <formula>0</formula>
    </cfRule>
  </conditionalFormatting>
  <conditionalFormatting sqref="V28">
    <cfRule type="cellIs" dxfId="16759" priority="817" operator="greaterThan">
      <formula>V27</formula>
    </cfRule>
    <cfRule type="cellIs" dxfId="16758" priority="818" operator="equal">
      <formula>0</formula>
    </cfRule>
  </conditionalFormatting>
  <conditionalFormatting sqref="V28">
    <cfRule type="cellIs" dxfId="16757" priority="815" operator="greaterThan">
      <formula>V27</formula>
    </cfRule>
    <cfRule type="cellIs" dxfId="16756" priority="816" operator="equal">
      <formula>0</formula>
    </cfRule>
  </conditionalFormatting>
  <conditionalFormatting sqref="V28">
    <cfRule type="cellIs" dxfId="16755" priority="813" operator="greaterThan">
      <formula>V27</formula>
    </cfRule>
    <cfRule type="cellIs" dxfId="16754" priority="814" operator="equal">
      <formula>0</formula>
    </cfRule>
  </conditionalFormatting>
  <conditionalFormatting sqref="V28">
    <cfRule type="cellIs" dxfId="16753" priority="811" operator="greaterThan">
      <formula>V27</formula>
    </cfRule>
    <cfRule type="cellIs" dxfId="16752" priority="812" operator="equal">
      <formula>0</formula>
    </cfRule>
  </conditionalFormatting>
  <conditionalFormatting sqref="V28">
    <cfRule type="cellIs" dxfId="16751" priority="809" operator="greaterThan">
      <formula>V27</formula>
    </cfRule>
    <cfRule type="cellIs" dxfId="16750" priority="810" operator="equal">
      <formula>0</formula>
    </cfRule>
  </conditionalFormatting>
  <conditionalFormatting sqref="V28">
    <cfRule type="cellIs" dxfId="16749" priority="807" operator="greaterThan">
      <formula>V27</formula>
    </cfRule>
    <cfRule type="cellIs" dxfId="16748" priority="808" operator="equal">
      <formula>0</formula>
    </cfRule>
  </conditionalFormatting>
  <conditionalFormatting sqref="V28">
    <cfRule type="cellIs" dxfId="16747" priority="805" operator="greaterThan">
      <formula>V27</formula>
    </cfRule>
    <cfRule type="cellIs" dxfId="16746" priority="806" operator="equal">
      <formula>0</formula>
    </cfRule>
  </conditionalFormatting>
  <conditionalFormatting sqref="V28">
    <cfRule type="cellIs" dxfId="16745" priority="803" operator="greaterThan">
      <formula>V27</formula>
    </cfRule>
    <cfRule type="cellIs" dxfId="16744" priority="804" operator="equal">
      <formula>0</formula>
    </cfRule>
  </conditionalFormatting>
  <conditionalFormatting sqref="V28">
    <cfRule type="cellIs" dxfId="16743" priority="801" operator="greaterThan">
      <formula>V27</formula>
    </cfRule>
    <cfRule type="cellIs" dxfId="16742" priority="802" operator="equal">
      <formula>0</formula>
    </cfRule>
  </conditionalFormatting>
  <conditionalFormatting sqref="V28">
    <cfRule type="cellIs" dxfId="16741" priority="799" operator="greaterThan">
      <formula>V27</formula>
    </cfRule>
    <cfRule type="cellIs" dxfId="16740" priority="800" operator="equal">
      <formula>0</formula>
    </cfRule>
  </conditionalFormatting>
  <conditionalFormatting sqref="V28">
    <cfRule type="cellIs" dxfId="16739" priority="797" operator="greaterThan">
      <formula>V27</formula>
    </cfRule>
    <cfRule type="cellIs" dxfId="16738" priority="798" operator="equal">
      <formula>0</formula>
    </cfRule>
  </conditionalFormatting>
  <conditionalFormatting sqref="V28">
    <cfRule type="cellIs" dxfId="16737" priority="795" operator="greaterThan">
      <formula>V27</formula>
    </cfRule>
    <cfRule type="cellIs" dxfId="16736" priority="796" operator="equal">
      <formula>0</formula>
    </cfRule>
  </conditionalFormatting>
  <conditionalFormatting sqref="V28">
    <cfRule type="cellIs" dxfId="16735" priority="793" operator="greaterThan">
      <formula>V27</formula>
    </cfRule>
    <cfRule type="cellIs" dxfId="16734" priority="794" operator="equal">
      <formula>0</formula>
    </cfRule>
  </conditionalFormatting>
  <conditionalFormatting sqref="V28">
    <cfRule type="cellIs" dxfId="16733" priority="791" operator="greaterThan">
      <formula>V27</formula>
    </cfRule>
    <cfRule type="cellIs" dxfId="16732" priority="792" operator="equal">
      <formula>0</formula>
    </cfRule>
  </conditionalFormatting>
  <conditionalFormatting sqref="V28">
    <cfRule type="cellIs" dxfId="16731" priority="789" operator="greaterThan">
      <formula>V27</formula>
    </cfRule>
    <cfRule type="cellIs" dxfId="16730" priority="790" operator="equal">
      <formula>0</formula>
    </cfRule>
  </conditionalFormatting>
  <conditionalFormatting sqref="V28">
    <cfRule type="cellIs" dxfId="16729" priority="787" operator="greaterThan">
      <formula>V27</formula>
    </cfRule>
    <cfRule type="cellIs" dxfId="16728" priority="788" operator="equal">
      <formula>0</formula>
    </cfRule>
  </conditionalFormatting>
  <conditionalFormatting sqref="V28">
    <cfRule type="cellIs" dxfId="16727" priority="785" operator="greaterThan">
      <formula>V27</formula>
    </cfRule>
    <cfRule type="cellIs" dxfId="16726" priority="786" operator="equal">
      <formula>0</formula>
    </cfRule>
  </conditionalFormatting>
  <conditionalFormatting sqref="V28">
    <cfRule type="cellIs" dxfId="16725" priority="783" operator="greaterThan">
      <formula>V27</formula>
    </cfRule>
    <cfRule type="cellIs" dxfId="16724" priority="784" operator="equal">
      <formula>0</formula>
    </cfRule>
  </conditionalFormatting>
  <conditionalFormatting sqref="V28">
    <cfRule type="cellIs" dxfId="16723" priority="781" operator="greaterThan">
      <formula>V27</formula>
    </cfRule>
    <cfRule type="cellIs" dxfId="16722" priority="782" operator="equal">
      <formula>0</formula>
    </cfRule>
  </conditionalFormatting>
  <conditionalFormatting sqref="V28">
    <cfRule type="cellIs" dxfId="16721" priority="779" operator="greaterThan">
      <formula>V27</formula>
    </cfRule>
    <cfRule type="cellIs" dxfId="16720" priority="780" operator="equal">
      <formula>0</formula>
    </cfRule>
  </conditionalFormatting>
  <conditionalFormatting sqref="V28">
    <cfRule type="cellIs" dxfId="16719" priority="777" operator="greaterThan">
      <formula>V27</formula>
    </cfRule>
    <cfRule type="cellIs" dxfId="16718" priority="778" operator="equal">
      <formula>0</formula>
    </cfRule>
  </conditionalFormatting>
  <conditionalFormatting sqref="V28">
    <cfRule type="cellIs" dxfId="16717" priority="775" operator="greaterThan">
      <formula>V27</formula>
    </cfRule>
    <cfRule type="cellIs" dxfId="16716" priority="776" operator="equal">
      <formula>0</formula>
    </cfRule>
  </conditionalFormatting>
  <conditionalFormatting sqref="V28">
    <cfRule type="cellIs" dxfId="16715" priority="773" operator="greaterThan">
      <formula>V27</formula>
    </cfRule>
    <cfRule type="cellIs" dxfId="16714" priority="774" operator="equal">
      <formula>0</formula>
    </cfRule>
  </conditionalFormatting>
  <conditionalFormatting sqref="V28">
    <cfRule type="cellIs" dxfId="16713" priority="771" operator="greaterThan">
      <formula>V27</formula>
    </cfRule>
    <cfRule type="cellIs" dxfId="16712" priority="772" operator="equal">
      <formula>0</formula>
    </cfRule>
  </conditionalFormatting>
  <conditionalFormatting sqref="V28">
    <cfRule type="cellIs" dxfId="16711" priority="769" operator="greaterThan">
      <formula>V27</formula>
    </cfRule>
    <cfRule type="cellIs" dxfId="16710" priority="770" operator="equal">
      <formula>0</formula>
    </cfRule>
  </conditionalFormatting>
  <conditionalFormatting sqref="V28">
    <cfRule type="cellIs" dxfId="16709" priority="767" operator="greaterThan">
      <formula>V27</formula>
    </cfRule>
    <cfRule type="cellIs" dxfId="16708" priority="768" operator="equal">
      <formula>0</formula>
    </cfRule>
  </conditionalFormatting>
  <conditionalFormatting sqref="V28">
    <cfRule type="cellIs" dxfId="16707" priority="765" operator="greaterThan">
      <formula>V27</formula>
    </cfRule>
    <cfRule type="cellIs" dxfId="16706" priority="766" operator="equal">
      <formula>0</formula>
    </cfRule>
  </conditionalFormatting>
  <conditionalFormatting sqref="V28">
    <cfRule type="cellIs" dxfId="16705" priority="763" operator="greaterThan">
      <formula>V27</formula>
    </cfRule>
    <cfRule type="cellIs" dxfId="16704" priority="764" operator="equal">
      <formula>0</formula>
    </cfRule>
  </conditionalFormatting>
  <conditionalFormatting sqref="V28">
    <cfRule type="cellIs" dxfId="16703" priority="761" operator="greaterThan">
      <formula>V27</formula>
    </cfRule>
    <cfRule type="cellIs" dxfId="16702" priority="762" operator="equal">
      <formula>0</formula>
    </cfRule>
  </conditionalFormatting>
  <conditionalFormatting sqref="V28">
    <cfRule type="cellIs" dxfId="16701" priority="759" operator="greaterThan">
      <formula>V27</formula>
    </cfRule>
    <cfRule type="cellIs" dxfId="16700" priority="760" operator="equal">
      <formula>0</formula>
    </cfRule>
  </conditionalFormatting>
  <conditionalFormatting sqref="V28">
    <cfRule type="cellIs" dxfId="16699" priority="757" operator="greaterThan">
      <formula>V27</formula>
    </cfRule>
    <cfRule type="cellIs" dxfId="16698" priority="758" operator="equal">
      <formula>0</formula>
    </cfRule>
  </conditionalFormatting>
  <conditionalFormatting sqref="V28">
    <cfRule type="cellIs" dxfId="16697" priority="755" operator="greaterThan">
      <formula>V27</formula>
    </cfRule>
    <cfRule type="cellIs" dxfId="16696" priority="756" operator="equal">
      <formula>0</formula>
    </cfRule>
  </conditionalFormatting>
  <conditionalFormatting sqref="V28">
    <cfRule type="cellIs" dxfId="16695" priority="753" operator="greaterThan">
      <formula>V27</formula>
    </cfRule>
    <cfRule type="cellIs" dxfId="16694" priority="754" operator="equal">
      <formula>0</formula>
    </cfRule>
  </conditionalFormatting>
  <conditionalFormatting sqref="V28">
    <cfRule type="cellIs" dxfId="16693" priority="751" operator="greaterThan">
      <formula>V27</formula>
    </cfRule>
    <cfRule type="cellIs" dxfId="16692" priority="752" operator="equal">
      <formula>0</formula>
    </cfRule>
  </conditionalFormatting>
  <conditionalFormatting sqref="V28">
    <cfRule type="cellIs" dxfId="16691" priority="749" operator="greaterThan">
      <formula>V27</formula>
    </cfRule>
    <cfRule type="cellIs" dxfId="16690" priority="750" operator="equal">
      <formula>0</formula>
    </cfRule>
  </conditionalFormatting>
  <conditionalFormatting sqref="V28">
    <cfRule type="cellIs" dxfId="16689" priority="747" operator="greaterThan">
      <formula>V27</formula>
    </cfRule>
    <cfRule type="cellIs" dxfId="16688" priority="748" operator="equal">
      <formula>0</formula>
    </cfRule>
  </conditionalFormatting>
  <conditionalFormatting sqref="V28">
    <cfRule type="cellIs" dxfId="16687" priority="745" operator="greaterThan">
      <formula>V27</formula>
    </cfRule>
    <cfRule type="cellIs" dxfId="16686" priority="746" operator="equal">
      <formula>0</formula>
    </cfRule>
  </conditionalFormatting>
  <conditionalFormatting sqref="V28">
    <cfRule type="cellIs" dxfId="16685" priority="743" operator="greaterThan">
      <formula>V27</formula>
    </cfRule>
    <cfRule type="cellIs" dxfId="16684" priority="744" operator="equal">
      <formula>0</formula>
    </cfRule>
  </conditionalFormatting>
  <conditionalFormatting sqref="V28">
    <cfRule type="cellIs" dxfId="16683" priority="741" operator="greaterThan">
      <formula>V27</formula>
    </cfRule>
    <cfRule type="cellIs" dxfId="16682" priority="742" operator="equal">
      <formula>0</formula>
    </cfRule>
  </conditionalFormatting>
  <conditionalFormatting sqref="V28">
    <cfRule type="cellIs" dxfId="16681" priority="739" operator="greaterThan">
      <formula>V27</formula>
    </cfRule>
    <cfRule type="cellIs" dxfId="16680" priority="740" operator="equal">
      <formula>0</formula>
    </cfRule>
  </conditionalFormatting>
  <conditionalFormatting sqref="V28">
    <cfRule type="cellIs" dxfId="16679" priority="737" operator="greaterThan">
      <formula>V27</formula>
    </cfRule>
    <cfRule type="cellIs" dxfId="16678" priority="738" operator="equal">
      <formula>0</formula>
    </cfRule>
  </conditionalFormatting>
  <conditionalFormatting sqref="V28">
    <cfRule type="cellIs" dxfId="16677" priority="735" operator="greaterThan">
      <formula>V27</formula>
    </cfRule>
    <cfRule type="cellIs" dxfId="16676" priority="736" operator="equal">
      <formula>0</formula>
    </cfRule>
  </conditionalFormatting>
  <conditionalFormatting sqref="V28">
    <cfRule type="cellIs" dxfId="16675" priority="733" operator="greaterThan">
      <formula>V27</formula>
    </cfRule>
    <cfRule type="cellIs" dxfId="16674" priority="734" operator="equal">
      <formula>0</formula>
    </cfRule>
  </conditionalFormatting>
  <conditionalFormatting sqref="V28">
    <cfRule type="cellIs" dxfId="16673" priority="731" operator="greaterThan">
      <formula>V27</formula>
    </cfRule>
    <cfRule type="cellIs" dxfId="16672" priority="732" operator="equal">
      <formula>0</formula>
    </cfRule>
  </conditionalFormatting>
  <conditionalFormatting sqref="V28">
    <cfRule type="cellIs" dxfId="16671" priority="729" operator="greaterThan">
      <formula>V27</formula>
    </cfRule>
    <cfRule type="cellIs" dxfId="16670" priority="730" operator="equal">
      <formula>0</formula>
    </cfRule>
  </conditionalFormatting>
  <conditionalFormatting sqref="V28">
    <cfRule type="cellIs" dxfId="16669" priority="727" operator="greaterThan">
      <formula>V27</formula>
    </cfRule>
    <cfRule type="cellIs" dxfId="16668" priority="728" operator="equal">
      <formula>0</formula>
    </cfRule>
  </conditionalFormatting>
  <conditionalFormatting sqref="V28">
    <cfRule type="cellIs" dxfId="16667" priority="725" operator="greaterThan">
      <formula>V27</formula>
    </cfRule>
    <cfRule type="cellIs" dxfId="16666" priority="726" operator="equal">
      <formula>0</formula>
    </cfRule>
  </conditionalFormatting>
  <conditionalFormatting sqref="V28">
    <cfRule type="cellIs" dxfId="16665" priority="723" operator="greaterThan">
      <formula>V27</formula>
    </cfRule>
    <cfRule type="cellIs" dxfId="16664" priority="724" operator="equal">
      <formula>0</formula>
    </cfRule>
  </conditionalFormatting>
  <conditionalFormatting sqref="V28">
    <cfRule type="cellIs" dxfId="16663" priority="721" operator="greaterThan">
      <formula>V27</formula>
    </cfRule>
    <cfRule type="cellIs" dxfId="16662" priority="722" operator="equal">
      <formula>0</formula>
    </cfRule>
  </conditionalFormatting>
  <conditionalFormatting sqref="V28">
    <cfRule type="cellIs" dxfId="16661" priority="719" operator="greaterThan">
      <formula>V27</formula>
    </cfRule>
    <cfRule type="cellIs" dxfId="16660" priority="720" operator="equal">
      <formula>0</formula>
    </cfRule>
  </conditionalFormatting>
  <conditionalFormatting sqref="V28">
    <cfRule type="cellIs" dxfId="16659" priority="717" operator="greaterThan">
      <formula>V27</formula>
    </cfRule>
    <cfRule type="cellIs" dxfId="16658" priority="718" operator="equal">
      <formula>0</formula>
    </cfRule>
  </conditionalFormatting>
  <conditionalFormatting sqref="V28">
    <cfRule type="cellIs" dxfId="16657" priority="715" operator="greaterThan">
      <formula>V27</formula>
    </cfRule>
    <cfRule type="cellIs" dxfId="16656" priority="716" operator="equal">
      <formula>0</formula>
    </cfRule>
  </conditionalFormatting>
  <conditionalFormatting sqref="V28">
    <cfRule type="cellIs" dxfId="16655" priority="713" operator="greaterThan">
      <formula>V27</formula>
    </cfRule>
    <cfRule type="cellIs" dxfId="16654" priority="714" operator="equal">
      <formula>0</formula>
    </cfRule>
  </conditionalFormatting>
  <conditionalFormatting sqref="V28">
    <cfRule type="cellIs" dxfId="16653" priority="711" operator="greaterThan">
      <formula>V27</formula>
    </cfRule>
    <cfRule type="cellIs" dxfId="16652" priority="712" operator="equal">
      <formula>0</formula>
    </cfRule>
  </conditionalFormatting>
  <conditionalFormatting sqref="V28">
    <cfRule type="cellIs" dxfId="16651" priority="709" operator="greaterThan">
      <formula>V27</formula>
    </cfRule>
    <cfRule type="cellIs" dxfId="16650" priority="710" operator="equal">
      <formula>0</formula>
    </cfRule>
  </conditionalFormatting>
  <conditionalFormatting sqref="V28">
    <cfRule type="cellIs" dxfId="16649" priority="707" operator="greaterThan">
      <formula>V27</formula>
    </cfRule>
    <cfRule type="cellIs" dxfId="16648" priority="708" operator="equal">
      <formula>0</formula>
    </cfRule>
  </conditionalFormatting>
  <conditionalFormatting sqref="V28">
    <cfRule type="cellIs" dxfId="16647" priority="705" operator="greaterThan">
      <formula>V27</formula>
    </cfRule>
    <cfRule type="cellIs" dxfId="16646" priority="706" operator="equal">
      <formula>0</formula>
    </cfRule>
  </conditionalFormatting>
  <conditionalFormatting sqref="V28">
    <cfRule type="cellIs" dxfId="16645" priority="703" operator="greaterThan">
      <formula>V27</formula>
    </cfRule>
    <cfRule type="cellIs" dxfId="16644" priority="704" operator="equal">
      <formula>0</formula>
    </cfRule>
  </conditionalFormatting>
  <conditionalFormatting sqref="V28">
    <cfRule type="cellIs" dxfId="16643" priority="701" operator="greaterThan">
      <formula>V27</formula>
    </cfRule>
    <cfRule type="cellIs" dxfId="16642" priority="702" operator="equal">
      <formula>0</formula>
    </cfRule>
  </conditionalFormatting>
  <conditionalFormatting sqref="V28">
    <cfRule type="cellIs" dxfId="16641" priority="699" operator="greaterThan">
      <formula>V27</formula>
    </cfRule>
    <cfRule type="cellIs" dxfId="16640" priority="700" operator="equal">
      <formula>0</formula>
    </cfRule>
  </conditionalFormatting>
  <conditionalFormatting sqref="V28">
    <cfRule type="cellIs" dxfId="16639" priority="697" operator="greaterThan">
      <formula>V27</formula>
    </cfRule>
    <cfRule type="cellIs" dxfId="16638" priority="698" operator="equal">
      <formula>0</formula>
    </cfRule>
  </conditionalFormatting>
  <conditionalFormatting sqref="V28">
    <cfRule type="cellIs" dxfId="16637" priority="695" operator="greaterThan">
      <formula>V27</formula>
    </cfRule>
    <cfRule type="cellIs" dxfId="16636" priority="696" operator="equal">
      <formula>0</formula>
    </cfRule>
  </conditionalFormatting>
  <conditionalFormatting sqref="V28">
    <cfRule type="cellIs" dxfId="16635" priority="693" operator="greaterThan">
      <formula>V27</formula>
    </cfRule>
    <cfRule type="cellIs" dxfId="16634" priority="694" operator="equal">
      <formula>0</formula>
    </cfRule>
  </conditionalFormatting>
  <conditionalFormatting sqref="V28">
    <cfRule type="cellIs" dxfId="16633" priority="691" operator="greaterThan">
      <formula>V27</formula>
    </cfRule>
    <cfRule type="cellIs" dxfId="16632" priority="692" operator="equal">
      <formula>0</formula>
    </cfRule>
  </conditionalFormatting>
  <conditionalFormatting sqref="V28">
    <cfRule type="cellIs" dxfId="16631" priority="689" operator="greaterThan">
      <formula>V27</formula>
    </cfRule>
    <cfRule type="cellIs" dxfId="16630" priority="690" operator="equal">
      <formula>0</formula>
    </cfRule>
  </conditionalFormatting>
  <conditionalFormatting sqref="V28">
    <cfRule type="cellIs" dxfId="16629" priority="687" operator="greaterThan">
      <formula>V27</formula>
    </cfRule>
    <cfRule type="cellIs" dxfId="16628" priority="688" operator="equal">
      <formula>0</formula>
    </cfRule>
  </conditionalFormatting>
  <conditionalFormatting sqref="V28">
    <cfRule type="cellIs" dxfId="16627" priority="685" operator="greaterThan">
      <formula>V27</formula>
    </cfRule>
    <cfRule type="cellIs" dxfId="16626" priority="686" operator="equal">
      <formula>0</formula>
    </cfRule>
  </conditionalFormatting>
  <conditionalFormatting sqref="V28">
    <cfRule type="cellIs" dxfId="16625" priority="683" operator="greaterThan">
      <formula>V27</formula>
    </cfRule>
    <cfRule type="cellIs" dxfId="16624" priority="684" operator="equal">
      <formula>0</formula>
    </cfRule>
  </conditionalFormatting>
  <conditionalFormatting sqref="V28">
    <cfRule type="cellIs" dxfId="16623" priority="681" operator="greaterThan">
      <formula>V27</formula>
    </cfRule>
    <cfRule type="cellIs" dxfId="16622" priority="682" operator="equal">
      <formula>0</formula>
    </cfRule>
  </conditionalFormatting>
  <conditionalFormatting sqref="V28">
    <cfRule type="cellIs" dxfId="16621" priority="679" operator="greaterThan">
      <formula>V27</formula>
    </cfRule>
    <cfRule type="cellIs" dxfId="16620" priority="680" operator="equal">
      <formula>0</formula>
    </cfRule>
  </conditionalFormatting>
  <conditionalFormatting sqref="V28">
    <cfRule type="cellIs" dxfId="16619" priority="677" operator="greaterThan">
      <formula>V27</formula>
    </cfRule>
    <cfRule type="cellIs" dxfId="16618" priority="678" operator="equal">
      <formula>0</formula>
    </cfRule>
  </conditionalFormatting>
  <conditionalFormatting sqref="V28">
    <cfRule type="cellIs" dxfId="16617" priority="675" operator="greaterThan">
      <formula>V27</formula>
    </cfRule>
    <cfRule type="cellIs" dxfId="16616" priority="676" operator="equal">
      <formula>0</formula>
    </cfRule>
  </conditionalFormatting>
  <conditionalFormatting sqref="V28">
    <cfRule type="cellIs" dxfId="16615" priority="673" operator="greaterThan">
      <formula>V27</formula>
    </cfRule>
    <cfRule type="cellIs" dxfId="16614" priority="674" operator="equal">
      <formula>0</formula>
    </cfRule>
  </conditionalFormatting>
  <conditionalFormatting sqref="V28">
    <cfRule type="cellIs" dxfId="16613" priority="671" operator="greaterThan">
      <formula>V27</formula>
    </cfRule>
    <cfRule type="cellIs" dxfId="16612" priority="672" operator="equal">
      <formula>0</formula>
    </cfRule>
  </conditionalFormatting>
  <conditionalFormatting sqref="V28">
    <cfRule type="cellIs" dxfId="16611" priority="669" operator="greaterThan">
      <formula>V27</formula>
    </cfRule>
    <cfRule type="cellIs" dxfId="16610" priority="670" operator="equal">
      <formula>0</formula>
    </cfRule>
  </conditionalFormatting>
  <conditionalFormatting sqref="V28">
    <cfRule type="cellIs" dxfId="16609" priority="667" operator="greaterThan">
      <formula>V27</formula>
    </cfRule>
    <cfRule type="cellIs" dxfId="16608" priority="668" operator="equal">
      <formula>0</formula>
    </cfRule>
  </conditionalFormatting>
  <conditionalFormatting sqref="V12:V13 X12:X13 X15:X16 X18:X19 X21:X25 X27:X28 V15:V16 V18:V19 V21:V22 V24:V25 V27:V28">
    <cfRule type="cellIs" dxfId="16607" priority="666" operator="equal">
      <formula>0</formula>
    </cfRule>
  </conditionalFormatting>
  <conditionalFormatting sqref="V28">
    <cfRule type="cellIs" dxfId="16606" priority="664" operator="greaterThan">
      <formula>V27</formula>
    </cfRule>
    <cfRule type="cellIs" dxfId="16605" priority="665" operator="equal">
      <formula>0</formula>
    </cfRule>
  </conditionalFormatting>
  <conditionalFormatting sqref="V27">
    <cfRule type="cellIs" dxfId="16604" priority="662" operator="greaterThan">
      <formula>V26</formula>
    </cfRule>
    <cfRule type="cellIs" dxfId="16603" priority="663" operator="equal">
      <formula>0</formula>
    </cfRule>
  </conditionalFormatting>
  <conditionalFormatting sqref="V13">
    <cfRule type="cellIs" dxfId="16602" priority="660" operator="greaterThan">
      <formula>V12</formula>
    </cfRule>
    <cfRule type="cellIs" dxfId="16601" priority="661" operator="equal">
      <formula>0</formula>
    </cfRule>
  </conditionalFormatting>
  <conditionalFormatting sqref="V12">
    <cfRule type="cellIs" dxfId="16600" priority="658" operator="greaterThan">
      <formula>V11</formula>
    </cfRule>
    <cfRule type="cellIs" dxfId="16599" priority="659" operator="equal">
      <formula>0</formula>
    </cfRule>
  </conditionalFormatting>
  <conditionalFormatting sqref="V16">
    <cfRule type="cellIs" dxfId="16598" priority="656" operator="greaterThan">
      <formula>V15</formula>
    </cfRule>
    <cfRule type="cellIs" dxfId="16597" priority="657" operator="equal">
      <formula>0</formula>
    </cfRule>
  </conditionalFormatting>
  <conditionalFormatting sqref="V15">
    <cfRule type="cellIs" dxfId="16596" priority="654" operator="greaterThan">
      <formula>V14</formula>
    </cfRule>
    <cfRule type="cellIs" dxfId="16595" priority="655" operator="equal">
      <formula>0</formula>
    </cfRule>
  </conditionalFormatting>
  <conditionalFormatting sqref="V19">
    <cfRule type="cellIs" dxfId="16594" priority="652" operator="greaterThan">
      <formula>V18</formula>
    </cfRule>
    <cfRule type="cellIs" dxfId="16593" priority="653" operator="equal">
      <formula>0</formula>
    </cfRule>
  </conditionalFormatting>
  <conditionalFormatting sqref="V18">
    <cfRule type="cellIs" dxfId="16592" priority="650" operator="greaterThan">
      <formula>V17</formula>
    </cfRule>
    <cfRule type="cellIs" dxfId="16591" priority="651" operator="equal">
      <formula>0</formula>
    </cfRule>
  </conditionalFormatting>
  <conditionalFormatting sqref="V22 V24:V25">
    <cfRule type="cellIs" dxfId="16590" priority="648" operator="greaterThan">
      <formula>V21</formula>
    </cfRule>
    <cfRule type="cellIs" dxfId="16589" priority="649" operator="equal">
      <formula>0</formula>
    </cfRule>
  </conditionalFormatting>
  <conditionalFormatting sqref="V21">
    <cfRule type="cellIs" dxfId="16588" priority="646" operator="greaterThan">
      <formula>V20</formula>
    </cfRule>
    <cfRule type="cellIs" dxfId="16587" priority="647" operator="equal">
      <formula>0</formula>
    </cfRule>
  </conditionalFormatting>
  <conditionalFormatting sqref="V24">
    <cfRule type="cellIs" dxfId="16586" priority="644" operator="greaterThan">
      <formula>V23</formula>
    </cfRule>
    <cfRule type="cellIs" dxfId="16585" priority="645" operator="equal">
      <formula>0</formula>
    </cfRule>
  </conditionalFormatting>
  <conditionalFormatting sqref="V27:V28">
    <cfRule type="cellIs" dxfId="16584" priority="642" operator="greaterThan">
      <formula>V26</formula>
    </cfRule>
    <cfRule type="cellIs" dxfId="16583" priority="643" operator="equal">
      <formula>0</formula>
    </cfRule>
  </conditionalFormatting>
  <conditionalFormatting sqref="V27">
    <cfRule type="cellIs" dxfId="16582" priority="640" operator="greaterThan">
      <formula>V26</formula>
    </cfRule>
    <cfRule type="cellIs" dxfId="16581" priority="641" operator="equal">
      <formula>0</formula>
    </cfRule>
  </conditionalFormatting>
  <conditionalFormatting sqref="V16">
    <cfRule type="cellIs" dxfId="16580" priority="638" operator="greaterThan">
      <formula>V15</formula>
    </cfRule>
    <cfRule type="cellIs" dxfId="16579" priority="639" operator="equal">
      <formula>0</formula>
    </cfRule>
  </conditionalFormatting>
  <conditionalFormatting sqref="V15">
    <cfRule type="cellIs" dxfId="16578" priority="636" operator="greaterThan">
      <formula>V14</formula>
    </cfRule>
    <cfRule type="cellIs" dxfId="16577" priority="637" operator="equal">
      <formula>0</formula>
    </cfRule>
  </conditionalFormatting>
  <conditionalFormatting sqref="V19">
    <cfRule type="cellIs" dxfId="16576" priority="634" operator="greaterThan">
      <formula>V18</formula>
    </cfRule>
    <cfRule type="cellIs" dxfId="16575" priority="635" operator="equal">
      <formula>0</formula>
    </cfRule>
  </conditionalFormatting>
  <conditionalFormatting sqref="V18">
    <cfRule type="cellIs" dxfId="16574" priority="632" operator="greaterThan">
      <formula>V17</formula>
    </cfRule>
    <cfRule type="cellIs" dxfId="16573" priority="633" operator="equal">
      <formula>0</formula>
    </cfRule>
  </conditionalFormatting>
  <conditionalFormatting sqref="V22">
    <cfRule type="cellIs" dxfId="16572" priority="630" operator="greaterThan">
      <formula>V21</formula>
    </cfRule>
    <cfRule type="cellIs" dxfId="16571" priority="631" operator="equal">
      <formula>0</formula>
    </cfRule>
  </conditionalFormatting>
  <conditionalFormatting sqref="V21">
    <cfRule type="cellIs" dxfId="16570" priority="628" operator="greaterThan">
      <formula>V20</formula>
    </cfRule>
    <cfRule type="cellIs" dxfId="16569" priority="629" operator="equal">
      <formula>0</formula>
    </cfRule>
  </conditionalFormatting>
  <conditionalFormatting sqref="V25">
    <cfRule type="cellIs" dxfId="16568" priority="626" operator="greaterThan">
      <formula>V24</formula>
    </cfRule>
    <cfRule type="cellIs" dxfId="16567" priority="627" operator="equal">
      <formula>0</formula>
    </cfRule>
  </conditionalFormatting>
  <conditionalFormatting sqref="V24">
    <cfRule type="cellIs" dxfId="16566" priority="624" operator="greaterThan">
      <formula>V23</formula>
    </cfRule>
    <cfRule type="cellIs" dxfId="16565" priority="625" operator="equal">
      <formula>0</formula>
    </cfRule>
  </conditionalFormatting>
  <conditionalFormatting sqref="V28">
    <cfRule type="cellIs" dxfId="16564" priority="622" operator="greaterThan">
      <formula>V27</formula>
    </cfRule>
    <cfRule type="cellIs" dxfId="16563" priority="623" operator="equal">
      <formula>0</formula>
    </cfRule>
  </conditionalFormatting>
  <conditionalFormatting sqref="V27">
    <cfRule type="cellIs" dxfId="16562" priority="620" operator="greaterThan">
      <formula>V26</formula>
    </cfRule>
    <cfRule type="cellIs" dxfId="16561" priority="621" operator="equal">
      <formula>0</formula>
    </cfRule>
  </conditionalFormatting>
  <conditionalFormatting sqref="V30:V31 X30:X31">
    <cfRule type="cellIs" dxfId="16560" priority="619" operator="equal">
      <formula>0</formula>
    </cfRule>
  </conditionalFormatting>
  <conditionalFormatting sqref="V31">
    <cfRule type="cellIs" dxfId="16559" priority="617" operator="greaterThan">
      <formula>V30</formula>
    </cfRule>
    <cfRule type="cellIs" dxfId="16558" priority="618" operator="equal">
      <formula>0</formula>
    </cfRule>
  </conditionalFormatting>
  <conditionalFormatting sqref="V30">
    <cfRule type="cellIs" dxfId="16557" priority="615" operator="greaterThan">
      <formula>V29</formula>
    </cfRule>
    <cfRule type="cellIs" dxfId="16556" priority="616" operator="equal">
      <formula>0</formula>
    </cfRule>
  </conditionalFormatting>
  <conditionalFormatting sqref="V33:V34 X33:X34">
    <cfRule type="cellIs" dxfId="16555" priority="614" operator="equal">
      <formula>0</formula>
    </cfRule>
  </conditionalFormatting>
  <conditionalFormatting sqref="V34">
    <cfRule type="cellIs" dxfId="16554" priority="612" operator="greaterThan">
      <formula>V33</formula>
    </cfRule>
    <cfRule type="cellIs" dxfId="16553" priority="613" operator="equal">
      <formula>0</formula>
    </cfRule>
  </conditionalFormatting>
  <conditionalFormatting sqref="V33">
    <cfRule type="cellIs" dxfId="16552" priority="610" operator="greaterThan">
      <formula>V32</formula>
    </cfRule>
    <cfRule type="cellIs" dxfId="16551" priority="611" operator="equal">
      <formula>0</formula>
    </cfRule>
  </conditionalFormatting>
  <conditionalFormatting sqref="V36:V37 X36:X37">
    <cfRule type="cellIs" dxfId="16550" priority="609" operator="equal">
      <formula>0</formula>
    </cfRule>
  </conditionalFormatting>
  <conditionalFormatting sqref="V37">
    <cfRule type="cellIs" dxfId="16549" priority="607" operator="greaterThan">
      <formula>V36</formula>
    </cfRule>
    <cfRule type="cellIs" dxfId="16548" priority="608" operator="equal">
      <formula>0</formula>
    </cfRule>
  </conditionalFormatting>
  <conditionalFormatting sqref="V36">
    <cfRule type="cellIs" dxfId="16547" priority="605" operator="greaterThan">
      <formula>V35</formula>
    </cfRule>
    <cfRule type="cellIs" dxfId="16546" priority="606" operator="equal">
      <formula>0</formula>
    </cfRule>
  </conditionalFormatting>
  <conditionalFormatting sqref="V16">
    <cfRule type="cellIs" dxfId="16545" priority="603" operator="greaterThan">
      <formula>V15</formula>
    </cfRule>
    <cfRule type="cellIs" dxfId="16544" priority="604" operator="equal">
      <formula>0</formula>
    </cfRule>
  </conditionalFormatting>
  <conditionalFormatting sqref="V15">
    <cfRule type="cellIs" dxfId="16543" priority="601" operator="greaterThan">
      <formula>V14</formula>
    </cfRule>
    <cfRule type="cellIs" dxfId="16542" priority="602" operator="equal">
      <formula>0</formula>
    </cfRule>
  </conditionalFormatting>
  <conditionalFormatting sqref="V16">
    <cfRule type="cellIs" dxfId="16541" priority="599" operator="greaterThan">
      <formula>V15</formula>
    </cfRule>
    <cfRule type="cellIs" dxfId="16540" priority="600" operator="equal">
      <formula>0</formula>
    </cfRule>
  </conditionalFormatting>
  <conditionalFormatting sqref="V15">
    <cfRule type="cellIs" dxfId="16539" priority="597" operator="greaterThan">
      <formula>V14</formula>
    </cfRule>
    <cfRule type="cellIs" dxfId="16538" priority="598" operator="equal">
      <formula>0</formula>
    </cfRule>
  </conditionalFormatting>
  <conditionalFormatting sqref="V19">
    <cfRule type="cellIs" dxfId="16537" priority="595" operator="greaterThan">
      <formula>V18</formula>
    </cfRule>
    <cfRule type="cellIs" dxfId="16536" priority="596" operator="equal">
      <formula>0</formula>
    </cfRule>
  </conditionalFormatting>
  <conditionalFormatting sqref="V18">
    <cfRule type="cellIs" dxfId="16535" priority="593" operator="greaterThan">
      <formula>V17</formula>
    </cfRule>
    <cfRule type="cellIs" dxfId="16534" priority="594" operator="equal">
      <formula>0</formula>
    </cfRule>
  </conditionalFormatting>
  <conditionalFormatting sqref="V19">
    <cfRule type="cellIs" dxfId="16533" priority="591" operator="greaterThan">
      <formula>V18</formula>
    </cfRule>
    <cfRule type="cellIs" dxfId="16532" priority="592" operator="equal">
      <formula>0</formula>
    </cfRule>
  </conditionalFormatting>
  <conditionalFormatting sqref="V18">
    <cfRule type="cellIs" dxfId="16531" priority="589" operator="greaterThan">
      <formula>V17</formula>
    </cfRule>
    <cfRule type="cellIs" dxfId="16530" priority="590" operator="equal">
      <formula>0</formula>
    </cfRule>
  </conditionalFormatting>
  <conditionalFormatting sqref="V19">
    <cfRule type="cellIs" dxfId="16529" priority="587" operator="greaterThan">
      <formula>V18</formula>
    </cfRule>
    <cfRule type="cellIs" dxfId="16528" priority="588" operator="equal">
      <formula>0</formula>
    </cfRule>
  </conditionalFormatting>
  <conditionalFormatting sqref="V18">
    <cfRule type="cellIs" dxfId="16527" priority="585" operator="greaterThan">
      <formula>V17</formula>
    </cfRule>
    <cfRule type="cellIs" dxfId="16526" priority="586" operator="equal">
      <formula>0</formula>
    </cfRule>
  </conditionalFormatting>
  <conditionalFormatting sqref="V19">
    <cfRule type="cellIs" dxfId="16525" priority="583" operator="greaterThan">
      <formula>V18</formula>
    </cfRule>
    <cfRule type="cellIs" dxfId="16524" priority="584" operator="equal">
      <formula>0</formula>
    </cfRule>
  </conditionalFormatting>
  <conditionalFormatting sqref="V18">
    <cfRule type="cellIs" dxfId="16523" priority="581" operator="greaterThan">
      <formula>V17</formula>
    </cfRule>
    <cfRule type="cellIs" dxfId="16522" priority="582" operator="equal">
      <formula>0</formula>
    </cfRule>
  </conditionalFormatting>
  <conditionalFormatting sqref="V22">
    <cfRule type="cellIs" dxfId="16521" priority="579" operator="greaterThan">
      <formula>V21</formula>
    </cfRule>
    <cfRule type="cellIs" dxfId="16520" priority="580" operator="equal">
      <formula>0</formula>
    </cfRule>
  </conditionalFormatting>
  <conditionalFormatting sqref="V21">
    <cfRule type="cellIs" dxfId="16519" priority="577" operator="greaterThan">
      <formula>V20</formula>
    </cfRule>
    <cfRule type="cellIs" dxfId="16518" priority="578" operator="equal">
      <formula>0</formula>
    </cfRule>
  </conditionalFormatting>
  <conditionalFormatting sqref="V22">
    <cfRule type="cellIs" dxfId="16517" priority="575" operator="greaterThan">
      <formula>V21</formula>
    </cfRule>
    <cfRule type="cellIs" dxfId="16516" priority="576" operator="equal">
      <formula>0</formula>
    </cfRule>
  </conditionalFormatting>
  <conditionalFormatting sqref="V21">
    <cfRule type="cellIs" dxfId="16515" priority="573" operator="greaterThan">
      <formula>V20</formula>
    </cfRule>
    <cfRule type="cellIs" dxfId="16514" priority="574" operator="equal">
      <formula>0</formula>
    </cfRule>
  </conditionalFormatting>
  <conditionalFormatting sqref="V22">
    <cfRule type="cellIs" dxfId="16513" priority="571" operator="greaterThan">
      <formula>V21</formula>
    </cfRule>
    <cfRule type="cellIs" dxfId="16512" priority="572" operator="equal">
      <formula>0</formula>
    </cfRule>
  </conditionalFormatting>
  <conditionalFormatting sqref="V21">
    <cfRule type="cellIs" dxfId="16511" priority="569" operator="greaterThan">
      <formula>V20</formula>
    </cfRule>
    <cfRule type="cellIs" dxfId="16510" priority="570" operator="equal">
      <formula>0</formula>
    </cfRule>
  </conditionalFormatting>
  <conditionalFormatting sqref="V22">
    <cfRule type="cellIs" dxfId="16509" priority="567" operator="greaterThan">
      <formula>V21</formula>
    </cfRule>
    <cfRule type="cellIs" dxfId="16508" priority="568" operator="equal">
      <formula>0</formula>
    </cfRule>
  </conditionalFormatting>
  <conditionalFormatting sqref="V21">
    <cfRule type="cellIs" dxfId="16507" priority="565" operator="greaterThan">
      <formula>V20</formula>
    </cfRule>
    <cfRule type="cellIs" dxfId="16506" priority="566" operator="equal">
      <formula>0</formula>
    </cfRule>
  </conditionalFormatting>
  <conditionalFormatting sqref="V22">
    <cfRule type="cellIs" dxfId="16505" priority="563" operator="greaterThan">
      <formula>V21</formula>
    </cfRule>
    <cfRule type="cellIs" dxfId="16504" priority="564" operator="equal">
      <formula>0</formula>
    </cfRule>
  </conditionalFormatting>
  <conditionalFormatting sqref="V21">
    <cfRule type="cellIs" dxfId="16503" priority="561" operator="greaterThan">
      <formula>V20</formula>
    </cfRule>
    <cfRule type="cellIs" dxfId="16502" priority="562" operator="equal">
      <formula>0</formula>
    </cfRule>
  </conditionalFormatting>
  <conditionalFormatting sqref="V22">
    <cfRule type="cellIs" dxfId="16501" priority="559" operator="greaterThan">
      <formula>V21</formula>
    </cfRule>
    <cfRule type="cellIs" dxfId="16500" priority="560" operator="equal">
      <formula>0</formula>
    </cfRule>
  </conditionalFormatting>
  <conditionalFormatting sqref="V21">
    <cfRule type="cellIs" dxfId="16499" priority="557" operator="greaterThan">
      <formula>V20</formula>
    </cfRule>
    <cfRule type="cellIs" dxfId="16498" priority="558" operator="equal">
      <formula>0</formula>
    </cfRule>
  </conditionalFormatting>
  <conditionalFormatting sqref="V24">
    <cfRule type="cellIs" dxfId="16497" priority="555" operator="greaterThan">
      <formula>V23</formula>
    </cfRule>
    <cfRule type="cellIs" dxfId="16496" priority="556" operator="equal">
      <formula>0</formula>
    </cfRule>
  </conditionalFormatting>
  <conditionalFormatting sqref="V25">
    <cfRule type="cellIs" dxfId="16495" priority="553" operator="greaterThan">
      <formula>V24</formula>
    </cfRule>
    <cfRule type="cellIs" dxfId="16494" priority="554" operator="equal">
      <formula>0</formula>
    </cfRule>
  </conditionalFormatting>
  <conditionalFormatting sqref="V24">
    <cfRule type="cellIs" dxfId="16493" priority="551" operator="greaterThan">
      <formula>V23</formula>
    </cfRule>
    <cfRule type="cellIs" dxfId="16492" priority="552" operator="equal">
      <formula>0</formula>
    </cfRule>
  </conditionalFormatting>
  <conditionalFormatting sqref="V25">
    <cfRule type="cellIs" dxfId="16491" priority="549" operator="greaterThan">
      <formula>V24</formula>
    </cfRule>
    <cfRule type="cellIs" dxfId="16490" priority="550" operator="equal">
      <formula>0</formula>
    </cfRule>
  </conditionalFormatting>
  <conditionalFormatting sqref="V24">
    <cfRule type="cellIs" dxfId="16489" priority="547" operator="greaterThan">
      <formula>V23</formula>
    </cfRule>
    <cfRule type="cellIs" dxfId="16488" priority="548" operator="equal">
      <formula>0</formula>
    </cfRule>
  </conditionalFormatting>
  <conditionalFormatting sqref="V25">
    <cfRule type="cellIs" dxfId="16487" priority="545" operator="greaterThan">
      <formula>V24</formula>
    </cfRule>
    <cfRule type="cellIs" dxfId="16486" priority="546" operator="equal">
      <formula>0</formula>
    </cfRule>
  </conditionalFormatting>
  <conditionalFormatting sqref="V24">
    <cfRule type="cellIs" dxfId="16485" priority="543" operator="greaterThan">
      <formula>V23</formula>
    </cfRule>
    <cfRule type="cellIs" dxfId="16484" priority="544" operator="equal">
      <formula>0</formula>
    </cfRule>
  </conditionalFormatting>
  <conditionalFormatting sqref="V25">
    <cfRule type="cellIs" dxfId="16483" priority="541" operator="greaterThan">
      <formula>V24</formula>
    </cfRule>
    <cfRule type="cellIs" dxfId="16482" priority="542" operator="equal">
      <formula>0</formula>
    </cfRule>
  </conditionalFormatting>
  <conditionalFormatting sqref="V24">
    <cfRule type="cellIs" dxfId="16481" priority="539" operator="greaterThan">
      <formula>V23</formula>
    </cfRule>
    <cfRule type="cellIs" dxfId="16480" priority="540" operator="equal">
      <formula>0</formula>
    </cfRule>
  </conditionalFormatting>
  <conditionalFormatting sqref="V25">
    <cfRule type="cellIs" dxfId="16479" priority="537" operator="greaterThan">
      <formula>V24</formula>
    </cfRule>
    <cfRule type="cellIs" dxfId="16478" priority="538" operator="equal">
      <formula>0</formula>
    </cfRule>
  </conditionalFormatting>
  <conditionalFormatting sqref="V24">
    <cfRule type="cellIs" dxfId="16477" priority="535" operator="greaterThan">
      <formula>V23</formula>
    </cfRule>
    <cfRule type="cellIs" dxfId="16476" priority="536" operator="equal">
      <formula>0</formula>
    </cfRule>
  </conditionalFormatting>
  <conditionalFormatting sqref="V25">
    <cfRule type="cellIs" dxfId="16475" priority="533" operator="greaterThan">
      <formula>V24</formula>
    </cfRule>
    <cfRule type="cellIs" dxfId="16474" priority="534" operator="equal">
      <formula>0</formula>
    </cfRule>
  </conditionalFormatting>
  <conditionalFormatting sqref="V24">
    <cfRule type="cellIs" dxfId="16473" priority="531" operator="greaterThan">
      <formula>V23</formula>
    </cfRule>
    <cfRule type="cellIs" dxfId="16472" priority="532" operator="equal">
      <formula>0</formula>
    </cfRule>
  </conditionalFormatting>
  <conditionalFormatting sqref="V25">
    <cfRule type="cellIs" dxfId="16471" priority="529" operator="greaterThan">
      <formula>V24</formula>
    </cfRule>
    <cfRule type="cellIs" dxfId="16470" priority="530" operator="equal">
      <formula>0</formula>
    </cfRule>
  </conditionalFormatting>
  <conditionalFormatting sqref="V24">
    <cfRule type="cellIs" dxfId="16469" priority="527" operator="greaterThan">
      <formula>V23</formula>
    </cfRule>
    <cfRule type="cellIs" dxfId="16468" priority="528" operator="equal">
      <formula>0</formula>
    </cfRule>
  </conditionalFormatting>
  <conditionalFormatting sqref="V27:V28">
    <cfRule type="cellIs" dxfId="16467" priority="525" operator="greaterThan">
      <formula>V26</formula>
    </cfRule>
    <cfRule type="cellIs" dxfId="16466" priority="526" operator="equal">
      <formula>0</formula>
    </cfRule>
  </conditionalFormatting>
  <conditionalFormatting sqref="V27">
    <cfRule type="cellIs" dxfId="16465" priority="523" operator="greaterThan">
      <formula>V26</formula>
    </cfRule>
    <cfRule type="cellIs" dxfId="16464" priority="524" operator="equal">
      <formula>0</formula>
    </cfRule>
  </conditionalFormatting>
  <conditionalFormatting sqref="V28">
    <cfRule type="cellIs" dxfId="16463" priority="521" operator="greaterThan">
      <formula>V27</formula>
    </cfRule>
    <cfRule type="cellIs" dxfId="16462" priority="522" operator="equal">
      <formula>0</formula>
    </cfRule>
  </conditionalFormatting>
  <conditionalFormatting sqref="V27">
    <cfRule type="cellIs" dxfId="16461" priority="519" operator="greaterThan">
      <formula>V26</formula>
    </cfRule>
    <cfRule type="cellIs" dxfId="16460" priority="520" operator="equal">
      <formula>0</formula>
    </cfRule>
  </conditionalFormatting>
  <conditionalFormatting sqref="V27">
    <cfRule type="cellIs" dxfId="16459" priority="517" operator="greaterThan">
      <formula>V26</formula>
    </cfRule>
    <cfRule type="cellIs" dxfId="16458" priority="518" operator="equal">
      <formula>0</formula>
    </cfRule>
  </conditionalFormatting>
  <conditionalFormatting sqref="V28">
    <cfRule type="cellIs" dxfId="16457" priority="515" operator="greaterThan">
      <formula>V27</formula>
    </cfRule>
    <cfRule type="cellIs" dxfId="16456" priority="516" operator="equal">
      <formula>0</formula>
    </cfRule>
  </conditionalFormatting>
  <conditionalFormatting sqref="V27">
    <cfRule type="cellIs" dxfId="16455" priority="513" operator="greaterThan">
      <formula>V26</formula>
    </cfRule>
    <cfRule type="cellIs" dxfId="16454" priority="514" operator="equal">
      <formula>0</formula>
    </cfRule>
  </conditionalFormatting>
  <conditionalFormatting sqref="V28">
    <cfRule type="cellIs" dxfId="16453" priority="511" operator="greaterThan">
      <formula>V27</formula>
    </cfRule>
    <cfRule type="cellIs" dxfId="16452" priority="512" operator="equal">
      <formula>0</formula>
    </cfRule>
  </conditionalFormatting>
  <conditionalFormatting sqref="V27">
    <cfRule type="cellIs" dxfId="16451" priority="509" operator="greaterThan">
      <formula>V26</formula>
    </cfRule>
    <cfRule type="cellIs" dxfId="16450" priority="510" operator="equal">
      <formula>0</formula>
    </cfRule>
  </conditionalFormatting>
  <conditionalFormatting sqref="V28">
    <cfRule type="cellIs" dxfId="16449" priority="507" operator="greaterThan">
      <formula>V27</formula>
    </cfRule>
    <cfRule type="cellIs" dxfId="16448" priority="508" operator="equal">
      <formula>0</formula>
    </cfRule>
  </conditionalFormatting>
  <conditionalFormatting sqref="V27">
    <cfRule type="cellIs" dxfId="16447" priority="505" operator="greaterThan">
      <formula>V26</formula>
    </cfRule>
    <cfRule type="cellIs" dxfId="16446" priority="506" operator="equal">
      <formula>0</formula>
    </cfRule>
  </conditionalFormatting>
  <conditionalFormatting sqref="V28">
    <cfRule type="cellIs" dxfId="16445" priority="503" operator="greaterThan">
      <formula>V27</formula>
    </cfRule>
    <cfRule type="cellIs" dxfId="16444" priority="504" operator="equal">
      <formula>0</formula>
    </cfRule>
  </conditionalFormatting>
  <conditionalFormatting sqref="V27">
    <cfRule type="cellIs" dxfId="16443" priority="501" operator="greaterThan">
      <formula>V26</formula>
    </cfRule>
    <cfRule type="cellIs" dxfId="16442" priority="502" operator="equal">
      <formula>0</formula>
    </cfRule>
  </conditionalFormatting>
  <conditionalFormatting sqref="V28">
    <cfRule type="cellIs" dxfId="16441" priority="499" operator="greaterThan">
      <formula>V27</formula>
    </cfRule>
    <cfRule type="cellIs" dxfId="16440" priority="500" operator="equal">
      <formula>0</formula>
    </cfRule>
  </conditionalFormatting>
  <conditionalFormatting sqref="V27">
    <cfRule type="cellIs" dxfId="16439" priority="497" operator="greaterThan">
      <formula>V26</formula>
    </cfRule>
    <cfRule type="cellIs" dxfId="16438" priority="498" operator="equal">
      <formula>0</formula>
    </cfRule>
  </conditionalFormatting>
  <conditionalFormatting sqref="V28">
    <cfRule type="cellIs" dxfId="16437" priority="495" operator="greaterThan">
      <formula>V27</formula>
    </cfRule>
    <cfRule type="cellIs" dxfId="16436" priority="496" operator="equal">
      <formula>0</formula>
    </cfRule>
  </conditionalFormatting>
  <conditionalFormatting sqref="V27">
    <cfRule type="cellIs" dxfId="16435" priority="493" operator="greaterThan">
      <formula>V26</formula>
    </cfRule>
    <cfRule type="cellIs" dxfId="16434" priority="494" operator="equal">
      <formula>0</formula>
    </cfRule>
  </conditionalFormatting>
  <conditionalFormatting sqref="V28">
    <cfRule type="cellIs" dxfId="16433" priority="491" operator="greaterThan">
      <formula>V27</formula>
    </cfRule>
    <cfRule type="cellIs" dxfId="16432" priority="492" operator="equal">
      <formula>0</formula>
    </cfRule>
  </conditionalFormatting>
  <conditionalFormatting sqref="V27">
    <cfRule type="cellIs" dxfId="16431" priority="489" operator="greaterThan">
      <formula>V26</formula>
    </cfRule>
    <cfRule type="cellIs" dxfId="16430" priority="490" operator="equal">
      <formula>0</formula>
    </cfRule>
  </conditionalFormatting>
  <conditionalFormatting sqref="V19">
    <cfRule type="cellIs" dxfId="16429" priority="487" operator="greaterThan">
      <formula>V18</formula>
    </cfRule>
    <cfRule type="cellIs" dxfId="16428" priority="488" operator="equal">
      <formula>0</formula>
    </cfRule>
  </conditionalFormatting>
  <conditionalFormatting sqref="V18">
    <cfRule type="cellIs" dxfId="16427" priority="485" operator="greaterThan">
      <formula>V17</formula>
    </cfRule>
    <cfRule type="cellIs" dxfId="16426" priority="486" operator="equal">
      <formula>0</formula>
    </cfRule>
  </conditionalFormatting>
  <conditionalFormatting sqref="V19">
    <cfRule type="cellIs" dxfId="16425" priority="483" operator="greaterThan">
      <formula>V18</formula>
    </cfRule>
    <cfRule type="cellIs" dxfId="16424" priority="484" operator="equal">
      <formula>0</formula>
    </cfRule>
  </conditionalFormatting>
  <conditionalFormatting sqref="V18">
    <cfRule type="cellIs" dxfId="16423" priority="481" operator="greaterThan">
      <formula>V17</formula>
    </cfRule>
    <cfRule type="cellIs" dxfId="16422" priority="482" operator="equal">
      <formula>0</formula>
    </cfRule>
  </conditionalFormatting>
  <conditionalFormatting sqref="V19">
    <cfRule type="cellIs" dxfId="16421" priority="479" operator="greaterThan">
      <formula>V18</formula>
    </cfRule>
    <cfRule type="cellIs" dxfId="16420" priority="480" operator="equal">
      <formula>0</formula>
    </cfRule>
  </conditionalFormatting>
  <conditionalFormatting sqref="V18">
    <cfRule type="cellIs" dxfId="16419" priority="477" operator="greaterThan">
      <formula>V17</formula>
    </cfRule>
    <cfRule type="cellIs" dxfId="16418" priority="478" operator="equal">
      <formula>0</formula>
    </cfRule>
  </conditionalFormatting>
  <conditionalFormatting sqref="V19">
    <cfRule type="cellIs" dxfId="16417" priority="475" operator="greaterThan">
      <formula>V18</formula>
    </cfRule>
    <cfRule type="cellIs" dxfId="16416" priority="476" operator="equal">
      <formula>0</formula>
    </cfRule>
  </conditionalFormatting>
  <conditionalFormatting sqref="V18">
    <cfRule type="cellIs" dxfId="16415" priority="473" operator="greaterThan">
      <formula>V17</formula>
    </cfRule>
    <cfRule type="cellIs" dxfId="16414" priority="474" operator="equal">
      <formula>0</formula>
    </cfRule>
  </conditionalFormatting>
  <conditionalFormatting sqref="V16">
    <cfRule type="cellIs" dxfId="16413" priority="471" operator="greaterThan">
      <formula>V15</formula>
    </cfRule>
    <cfRule type="cellIs" dxfId="16412" priority="472" operator="equal">
      <formula>0</formula>
    </cfRule>
  </conditionalFormatting>
  <conditionalFormatting sqref="V16">
    <cfRule type="cellIs" dxfId="16411" priority="469" operator="greaterThan">
      <formula>V15</formula>
    </cfRule>
    <cfRule type="cellIs" dxfId="16410" priority="470" operator="equal">
      <formula>0</formula>
    </cfRule>
  </conditionalFormatting>
  <conditionalFormatting sqref="V16">
    <cfRule type="cellIs" dxfId="16409" priority="467" operator="greaterThan">
      <formula>V15</formula>
    </cfRule>
    <cfRule type="cellIs" dxfId="16408" priority="468" operator="equal">
      <formula>0</formula>
    </cfRule>
  </conditionalFormatting>
  <conditionalFormatting sqref="V16">
    <cfRule type="cellIs" dxfId="16407" priority="465" operator="greaterThan">
      <formula>V15</formula>
    </cfRule>
    <cfRule type="cellIs" dxfId="16406" priority="466" operator="equal">
      <formula>0</formula>
    </cfRule>
  </conditionalFormatting>
  <conditionalFormatting sqref="V19">
    <cfRule type="cellIs" dxfId="16405" priority="463" operator="greaterThan">
      <formula>V18</formula>
    </cfRule>
    <cfRule type="cellIs" dxfId="16404" priority="464" operator="equal">
      <formula>0</formula>
    </cfRule>
  </conditionalFormatting>
  <conditionalFormatting sqref="V19">
    <cfRule type="cellIs" dxfId="16403" priority="461" operator="greaterThan">
      <formula>V18</formula>
    </cfRule>
    <cfRule type="cellIs" dxfId="16402" priority="462" operator="equal">
      <formula>0</formula>
    </cfRule>
  </conditionalFormatting>
  <conditionalFormatting sqref="V19">
    <cfRule type="cellIs" dxfId="16401" priority="459" operator="greaterThan">
      <formula>V18</formula>
    </cfRule>
    <cfRule type="cellIs" dxfId="16400" priority="460" operator="equal">
      <formula>0</formula>
    </cfRule>
  </conditionalFormatting>
  <conditionalFormatting sqref="V19">
    <cfRule type="cellIs" dxfId="16399" priority="457" operator="greaterThan">
      <formula>V18</formula>
    </cfRule>
    <cfRule type="cellIs" dxfId="16398" priority="458" operator="equal">
      <formula>0</formula>
    </cfRule>
  </conditionalFormatting>
  <conditionalFormatting sqref="V19">
    <cfRule type="cellIs" dxfId="16397" priority="455" operator="greaterThan">
      <formula>V18</formula>
    </cfRule>
    <cfRule type="cellIs" dxfId="16396" priority="456" operator="equal">
      <formula>0</formula>
    </cfRule>
  </conditionalFormatting>
  <conditionalFormatting sqref="V19">
    <cfRule type="cellIs" dxfId="16395" priority="453" operator="greaterThan">
      <formula>V18</formula>
    </cfRule>
    <cfRule type="cellIs" dxfId="16394" priority="454" operator="equal">
      <formula>0</formula>
    </cfRule>
  </conditionalFormatting>
  <conditionalFormatting sqref="V19">
    <cfRule type="cellIs" dxfId="16393" priority="451" operator="greaterThan">
      <formula>V18</formula>
    </cfRule>
    <cfRule type="cellIs" dxfId="16392" priority="452" operator="equal">
      <formula>0</formula>
    </cfRule>
  </conditionalFormatting>
  <conditionalFormatting sqref="V19">
    <cfRule type="cellIs" dxfId="16391" priority="449" operator="greaterThan">
      <formula>V18</formula>
    </cfRule>
    <cfRule type="cellIs" dxfId="16390" priority="450" operator="equal">
      <formula>0</formula>
    </cfRule>
  </conditionalFormatting>
  <conditionalFormatting sqref="V19">
    <cfRule type="cellIs" dxfId="16389" priority="447" operator="greaterThan">
      <formula>V18</formula>
    </cfRule>
    <cfRule type="cellIs" dxfId="16388" priority="448" operator="equal">
      <formula>0</formula>
    </cfRule>
  </conditionalFormatting>
  <conditionalFormatting sqref="V19">
    <cfRule type="cellIs" dxfId="16387" priority="445" operator="greaterThan">
      <formula>V18</formula>
    </cfRule>
    <cfRule type="cellIs" dxfId="16386" priority="446" operator="equal">
      <formula>0</formula>
    </cfRule>
  </conditionalFormatting>
  <conditionalFormatting sqref="V22">
    <cfRule type="cellIs" dxfId="16385" priority="443" operator="greaterThan">
      <formula>V21</formula>
    </cfRule>
    <cfRule type="cellIs" dxfId="16384" priority="444" operator="equal">
      <formula>0</formula>
    </cfRule>
  </conditionalFormatting>
  <conditionalFormatting sqref="V21">
    <cfRule type="cellIs" dxfId="16383" priority="441" operator="greaterThan">
      <formula>V20</formula>
    </cfRule>
    <cfRule type="cellIs" dxfId="16382" priority="442" operator="equal">
      <formula>0</formula>
    </cfRule>
  </conditionalFormatting>
  <conditionalFormatting sqref="V22">
    <cfRule type="cellIs" dxfId="16381" priority="439" operator="greaterThan">
      <formula>V21</formula>
    </cfRule>
    <cfRule type="cellIs" dxfId="16380" priority="440" operator="equal">
      <formula>0</formula>
    </cfRule>
  </conditionalFormatting>
  <conditionalFormatting sqref="V21">
    <cfRule type="cellIs" dxfId="16379" priority="437" operator="greaterThan">
      <formula>V20</formula>
    </cfRule>
    <cfRule type="cellIs" dxfId="16378" priority="438" operator="equal">
      <formula>0</formula>
    </cfRule>
  </conditionalFormatting>
  <conditionalFormatting sqref="V22">
    <cfRule type="cellIs" dxfId="16377" priority="435" operator="greaterThan">
      <formula>V21</formula>
    </cfRule>
    <cfRule type="cellIs" dxfId="16376" priority="436" operator="equal">
      <formula>0</formula>
    </cfRule>
  </conditionalFormatting>
  <conditionalFormatting sqref="V21">
    <cfRule type="cellIs" dxfId="16375" priority="433" operator="greaterThan">
      <formula>V20</formula>
    </cfRule>
    <cfRule type="cellIs" dxfId="16374" priority="434" operator="equal">
      <formula>0</formula>
    </cfRule>
  </conditionalFormatting>
  <conditionalFormatting sqref="V22">
    <cfRule type="cellIs" dxfId="16373" priority="431" operator="greaterThan">
      <formula>V21</formula>
    </cfRule>
    <cfRule type="cellIs" dxfId="16372" priority="432" operator="equal">
      <formula>0</formula>
    </cfRule>
  </conditionalFormatting>
  <conditionalFormatting sqref="V21">
    <cfRule type="cellIs" dxfId="16371" priority="429" operator="greaterThan">
      <formula>V20</formula>
    </cfRule>
    <cfRule type="cellIs" dxfId="16370" priority="430" operator="equal">
      <formula>0</formula>
    </cfRule>
  </conditionalFormatting>
  <conditionalFormatting sqref="V22">
    <cfRule type="cellIs" dxfId="16369" priority="427" operator="greaterThan">
      <formula>V21</formula>
    </cfRule>
    <cfRule type="cellIs" dxfId="16368" priority="428" operator="equal">
      <formula>0</formula>
    </cfRule>
  </conditionalFormatting>
  <conditionalFormatting sqref="V21">
    <cfRule type="cellIs" dxfId="16367" priority="425" operator="greaterThan">
      <formula>V20</formula>
    </cfRule>
    <cfRule type="cellIs" dxfId="16366" priority="426" operator="equal">
      <formula>0</formula>
    </cfRule>
  </conditionalFormatting>
  <conditionalFormatting sqref="V22">
    <cfRule type="cellIs" dxfId="16365" priority="423" operator="greaterThan">
      <formula>V21</formula>
    </cfRule>
    <cfRule type="cellIs" dxfId="16364" priority="424" operator="equal">
      <formula>0</formula>
    </cfRule>
  </conditionalFormatting>
  <conditionalFormatting sqref="V21">
    <cfRule type="cellIs" dxfId="16363" priority="421" operator="greaterThan">
      <formula>V20</formula>
    </cfRule>
    <cfRule type="cellIs" dxfId="16362" priority="422" operator="equal">
      <formula>0</formula>
    </cfRule>
  </conditionalFormatting>
  <conditionalFormatting sqref="V22">
    <cfRule type="cellIs" dxfId="16361" priority="419" operator="greaterThan">
      <formula>V21</formula>
    </cfRule>
    <cfRule type="cellIs" dxfId="16360" priority="420" operator="equal">
      <formula>0</formula>
    </cfRule>
  </conditionalFormatting>
  <conditionalFormatting sqref="V21">
    <cfRule type="cellIs" dxfId="16359" priority="417" operator="greaterThan">
      <formula>V20</formula>
    </cfRule>
    <cfRule type="cellIs" dxfId="16358" priority="418" operator="equal">
      <formula>0</formula>
    </cfRule>
  </conditionalFormatting>
  <conditionalFormatting sqref="V22">
    <cfRule type="cellIs" dxfId="16357" priority="415" operator="greaterThan">
      <formula>V21</formula>
    </cfRule>
    <cfRule type="cellIs" dxfId="16356" priority="416" operator="equal">
      <formula>0</formula>
    </cfRule>
  </conditionalFormatting>
  <conditionalFormatting sqref="V21">
    <cfRule type="cellIs" dxfId="16355" priority="413" operator="greaterThan">
      <formula>V20</formula>
    </cfRule>
    <cfRule type="cellIs" dxfId="16354" priority="414" operator="equal">
      <formula>0</formula>
    </cfRule>
  </conditionalFormatting>
  <conditionalFormatting sqref="V22">
    <cfRule type="cellIs" dxfId="16353" priority="411" operator="greaterThan">
      <formula>V21</formula>
    </cfRule>
    <cfRule type="cellIs" dxfId="16352" priority="412" operator="equal">
      <formula>0</formula>
    </cfRule>
  </conditionalFormatting>
  <conditionalFormatting sqref="V21">
    <cfRule type="cellIs" dxfId="16351" priority="409" operator="greaterThan">
      <formula>V20</formula>
    </cfRule>
    <cfRule type="cellIs" dxfId="16350" priority="410" operator="equal">
      <formula>0</formula>
    </cfRule>
  </conditionalFormatting>
  <conditionalFormatting sqref="V22">
    <cfRule type="cellIs" dxfId="16349" priority="407" operator="greaterThan">
      <formula>V21</formula>
    </cfRule>
    <cfRule type="cellIs" dxfId="16348" priority="408" operator="equal">
      <formula>0</formula>
    </cfRule>
  </conditionalFormatting>
  <conditionalFormatting sqref="V21">
    <cfRule type="cellIs" dxfId="16347" priority="405" operator="greaterThan">
      <formula>V20</formula>
    </cfRule>
    <cfRule type="cellIs" dxfId="16346" priority="406" operator="equal">
      <formula>0</formula>
    </cfRule>
  </conditionalFormatting>
  <conditionalFormatting sqref="V22">
    <cfRule type="cellIs" dxfId="16345" priority="403" operator="greaterThan">
      <formula>V21</formula>
    </cfRule>
    <cfRule type="cellIs" dxfId="16344" priority="404" operator="equal">
      <formula>0</formula>
    </cfRule>
  </conditionalFormatting>
  <conditionalFormatting sqref="V22">
    <cfRule type="cellIs" dxfId="16343" priority="401" operator="greaterThan">
      <formula>V21</formula>
    </cfRule>
    <cfRule type="cellIs" dxfId="16342" priority="402" operator="equal">
      <formula>0</formula>
    </cfRule>
  </conditionalFormatting>
  <conditionalFormatting sqref="V22">
    <cfRule type="cellIs" dxfId="16341" priority="399" operator="greaterThan">
      <formula>V21</formula>
    </cfRule>
    <cfRule type="cellIs" dxfId="16340" priority="400" operator="equal">
      <formula>0</formula>
    </cfRule>
  </conditionalFormatting>
  <conditionalFormatting sqref="V22">
    <cfRule type="cellIs" dxfId="16339" priority="397" operator="greaterThan">
      <formula>V21</formula>
    </cfRule>
    <cfRule type="cellIs" dxfId="16338" priority="398" operator="equal">
      <formula>0</formula>
    </cfRule>
  </conditionalFormatting>
  <conditionalFormatting sqref="V22">
    <cfRule type="cellIs" dxfId="16337" priority="395" operator="greaterThan">
      <formula>V21</formula>
    </cfRule>
    <cfRule type="cellIs" dxfId="16336" priority="396" operator="equal">
      <formula>0</formula>
    </cfRule>
  </conditionalFormatting>
  <conditionalFormatting sqref="V22">
    <cfRule type="cellIs" dxfId="16335" priority="393" operator="greaterThan">
      <formula>V21</formula>
    </cfRule>
    <cfRule type="cellIs" dxfId="16334" priority="394" operator="equal">
      <formula>0</formula>
    </cfRule>
  </conditionalFormatting>
  <conditionalFormatting sqref="V22">
    <cfRule type="cellIs" dxfId="16333" priority="391" operator="greaterThan">
      <formula>V21</formula>
    </cfRule>
    <cfRule type="cellIs" dxfId="16332" priority="392" operator="equal">
      <formula>0</formula>
    </cfRule>
  </conditionalFormatting>
  <conditionalFormatting sqref="V22">
    <cfRule type="cellIs" dxfId="16331" priority="389" operator="greaterThan">
      <formula>V21</formula>
    </cfRule>
    <cfRule type="cellIs" dxfId="16330" priority="390" operator="equal">
      <formula>0</formula>
    </cfRule>
  </conditionalFormatting>
  <conditionalFormatting sqref="V22">
    <cfRule type="cellIs" dxfId="16329" priority="387" operator="greaterThan">
      <formula>V21</formula>
    </cfRule>
    <cfRule type="cellIs" dxfId="16328" priority="388" operator="equal">
      <formula>0</formula>
    </cfRule>
  </conditionalFormatting>
  <conditionalFormatting sqref="V22">
    <cfRule type="cellIs" dxfId="16327" priority="385" operator="greaterThan">
      <formula>V21</formula>
    </cfRule>
    <cfRule type="cellIs" dxfId="16326" priority="386" operator="equal">
      <formula>0</formula>
    </cfRule>
  </conditionalFormatting>
  <conditionalFormatting sqref="V22">
    <cfRule type="cellIs" dxfId="16325" priority="383" operator="greaterThan">
      <formula>V21</formula>
    </cfRule>
    <cfRule type="cellIs" dxfId="16324" priority="384" operator="equal">
      <formula>0</formula>
    </cfRule>
  </conditionalFormatting>
  <conditionalFormatting sqref="V22">
    <cfRule type="cellIs" dxfId="16323" priority="381" operator="greaterThan">
      <formula>V21</formula>
    </cfRule>
    <cfRule type="cellIs" dxfId="16322" priority="382" operator="equal">
      <formula>0</formula>
    </cfRule>
  </conditionalFormatting>
  <conditionalFormatting sqref="V22">
    <cfRule type="cellIs" dxfId="16321" priority="379" operator="greaterThan">
      <formula>V21</formula>
    </cfRule>
    <cfRule type="cellIs" dxfId="16320" priority="380" operator="equal">
      <formula>0</formula>
    </cfRule>
  </conditionalFormatting>
  <conditionalFormatting sqref="V22">
    <cfRule type="cellIs" dxfId="16319" priority="377" operator="greaterThan">
      <formula>V21</formula>
    </cfRule>
    <cfRule type="cellIs" dxfId="16318" priority="378" operator="equal">
      <formula>0</formula>
    </cfRule>
  </conditionalFormatting>
  <conditionalFormatting sqref="V22">
    <cfRule type="cellIs" dxfId="16317" priority="375" operator="greaterThan">
      <formula>V21</formula>
    </cfRule>
    <cfRule type="cellIs" dxfId="16316" priority="376" operator="equal">
      <formula>0</formula>
    </cfRule>
  </conditionalFormatting>
  <conditionalFormatting sqref="V22">
    <cfRule type="cellIs" dxfId="16315" priority="373" operator="greaterThan">
      <formula>V21</formula>
    </cfRule>
    <cfRule type="cellIs" dxfId="16314" priority="374" operator="equal">
      <formula>0</formula>
    </cfRule>
  </conditionalFormatting>
  <conditionalFormatting sqref="V22">
    <cfRule type="cellIs" dxfId="16313" priority="371" operator="greaterThan">
      <formula>V21</formula>
    </cfRule>
    <cfRule type="cellIs" dxfId="16312" priority="372" operator="equal">
      <formula>0</formula>
    </cfRule>
  </conditionalFormatting>
  <conditionalFormatting sqref="V22">
    <cfRule type="cellIs" dxfId="16311" priority="369" operator="greaterThan">
      <formula>V21</formula>
    </cfRule>
    <cfRule type="cellIs" dxfId="16310" priority="370" operator="equal">
      <formula>0</formula>
    </cfRule>
  </conditionalFormatting>
  <conditionalFormatting sqref="V22">
    <cfRule type="cellIs" dxfId="16309" priority="367" operator="greaterThan">
      <formula>V21</formula>
    </cfRule>
    <cfRule type="cellIs" dxfId="16308" priority="368" operator="equal">
      <formula>0</formula>
    </cfRule>
  </conditionalFormatting>
  <conditionalFormatting sqref="V22">
    <cfRule type="cellIs" dxfId="16307" priority="365" operator="greaterThan">
      <formula>V21</formula>
    </cfRule>
    <cfRule type="cellIs" dxfId="16306" priority="366" operator="equal">
      <formula>0</formula>
    </cfRule>
  </conditionalFormatting>
  <conditionalFormatting sqref="V22">
    <cfRule type="cellIs" dxfId="16305" priority="363" operator="greaterThan">
      <formula>V21</formula>
    </cfRule>
    <cfRule type="cellIs" dxfId="16304" priority="364" operator="equal">
      <formula>0</formula>
    </cfRule>
  </conditionalFormatting>
  <conditionalFormatting sqref="V22">
    <cfRule type="cellIs" dxfId="16303" priority="361" operator="greaterThan">
      <formula>V21</formula>
    </cfRule>
    <cfRule type="cellIs" dxfId="16302" priority="362" operator="equal">
      <formula>0</formula>
    </cfRule>
  </conditionalFormatting>
  <conditionalFormatting sqref="V22">
    <cfRule type="cellIs" dxfId="16301" priority="359" operator="greaterThan">
      <formula>V21</formula>
    </cfRule>
    <cfRule type="cellIs" dxfId="16300" priority="360" operator="equal">
      <formula>0</formula>
    </cfRule>
  </conditionalFormatting>
  <conditionalFormatting sqref="V22">
    <cfRule type="cellIs" dxfId="16299" priority="357" operator="greaterThan">
      <formula>V21</formula>
    </cfRule>
    <cfRule type="cellIs" dxfId="16298" priority="358" operator="equal">
      <formula>0</formula>
    </cfRule>
  </conditionalFormatting>
  <conditionalFormatting sqref="V22">
    <cfRule type="cellIs" dxfId="16297" priority="355" operator="greaterThan">
      <formula>V21</formula>
    </cfRule>
    <cfRule type="cellIs" dxfId="16296" priority="356" operator="equal">
      <formula>0</formula>
    </cfRule>
  </conditionalFormatting>
  <conditionalFormatting sqref="V22">
    <cfRule type="cellIs" dxfId="16295" priority="353" operator="greaterThan">
      <formula>V21</formula>
    </cfRule>
    <cfRule type="cellIs" dxfId="16294" priority="354" operator="equal">
      <formula>0</formula>
    </cfRule>
  </conditionalFormatting>
  <conditionalFormatting sqref="V22">
    <cfRule type="cellIs" dxfId="16293" priority="351" operator="greaterThan">
      <formula>V21</formula>
    </cfRule>
    <cfRule type="cellIs" dxfId="16292" priority="352" operator="equal">
      <formula>0</formula>
    </cfRule>
  </conditionalFormatting>
  <conditionalFormatting sqref="V22">
    <cfRule type="cellIs" dxfId="16291" priority="349" operator="greaterThan">
      <formula>V21</formula>
    </cfRule>
    <cfRule type="cellIs" dxfId="16290" priority="350" operator="equal">
      <formula>0</formula>
    </cfRule>
  </conditionalFormatting>
  <conditionalFormatting sqref="V24">
    <cfRule type="cellIs" dxfId="16289" priority="347" operator="greaterThan">
      <formula>V23</formula>
    </cfRule>
    <cfRule type="cellIs" dxfId="16288" priority="348" operator="equal">
      <formula>0</formula>
    </cfRule>
  </conditionalFormatting>
  <conditionalFormatting sqref="V24">
    <cfRule type="cellIs" dxfId="16287" priority="345" operator="greaterThan">
      <formula>V23</formula>
    </cfRule>
    <cfRule type="cellIs" dxfId="16286" priority="346" operator="equal">
      <formula>0</formula>
    </cfRule>
  </conditionalFormatting>
  <conditionalFormatting sqref="V24">
    <cfRule type="cellIs" dxfId="16285" priority="343" operator="greaterThan">
      <formula>V23</formula>
    </cfRule>
    <cfRule type="cellIs" dxfId="16284" priority="344" operator="equal">
      <formula>0</formula>
    </cfRule>
  </conditionalFormatting>
  <conditionalFormatting sqref="V24">
    <cfRule type="cellIs" dxfId="16283" priority="341" operator="greaterThan">
      <formula>V23</formula>
    </cfRule>
    <cfRule type="cellIs" dxfId="16282" priority="342" operator="equal">
      <formula>0</formula>
    </cfRule>
  </conditionalFormatting>
  <conditionalFormatting sqref="V24">
    <cfRule type="cellIs" dxfId="16281" priority="339" operator="greaterThan">
      <formula>V23</formula>
    </cfRule>
    <cfRule type="cellIs" dxfId="16280" priority="340" operator="equal">
      <formula>0</formula>
    </cfRule>
  </conditionalFormatting>
  <conditionalFormatting sqref="V24">
    <cfRule type="cellIs" dxfId="16279" priority="337" operator="greaterThan">
      <formula>V23</formula>
    </cfRule>
    <cfRule type="cellIs" dxfId="16278" priority="338" operator="equal">
      <formula>0</formula>
    </cfRule>
  </conditionalFormatting>
  <conditionalFormatting sqref="V24">
    <cfRule type="cellIs" dxfId="16277" priority="335" operator="greaterThan">
      <formula>V23</formula>
    </cfRule>
    <cfRule type="cellIs" dxfId="16276" priority="336" operator="equal">
      <formula>0</formula>
    </cfRule>
  </conditionalFormatting>
  <conditionalFormatting sqref="V24">
    <cfRule type="cellIs" dxfId="16275" priority="333" operator="greaterThan">
      <formula>V23</formula>
    </cfRule>
    <cfRule type="cellIs" dxfId="16274" priority="334" operator="equal">
      <formula>0</formula>
    </cfRule>
  </conditionalFormatting>
  <conditionalFormatting sqref="V24">
    <cfRule type="cellIs" dxfId="16273" priority="331" operator="greaterThan">
      <formula>V23</formula>
    </cfRule>
    <cfRule type="cellIs" dxfId="16272" priority="332" operator="equal">
      <formula>0</formula>
    </cfRule>
  </conditionalFormatting>
  <conditionalFormatting sqref="V24">
    <cfRule type="cellIs" dxfId="16271" priority="329" operator="greaterThan">
      <formula>V23</formula>
    </cfRule>
    <cfRule type="cellIs" dxfId="16270" priority="330" operator="equal">
      <formula>0</formula>
    </cfRule>
  </conditionalFormatting>
  <conditionalFormatting sqref="V24">
    <cfRule type="cellIs" dxfId="16269" priority="327" operator="greaterThan">
      <formula>V23</formula>
    </cfRule>
    <cfRule type="cellIs" dxfId="16268" priority="328" operator="equal">
      <formula>0</formula>
    </cfRule>
  </conditionalFormatting>
  <conditionalFormatting sqref="V24">
    <cfRule type="cellIs" dxfId="16267" priority="325" operator="greaterThan">
      <formula>V23</formula>
    </cfRule>
    <cfRule type="cellIs" dxfId="16266" priority="326" operator="equal">
      <formula>0</formula>
    </cfRule>
  </conditionalFormatting>
  <conditionalFormatting sqref="V24">
    <cfRule type="cellIs" dxfId="16265" priority="323" operator="greaterThan">
      <formula>V23</formula>
    </cfRule>
    <cfRule type="cellIs" dxfId="16264" priority="324" operator="equal">
      <formula>0</formula>
    </cfRule>
  </conditionalFormatting>
  <conditionalFormatting sqref="V24">
    <cfRule type="cellIs" dxfId="16263" priority="321" operator="greaterThan">
      <formula>V23</formula>
    </cfRule>
    <cfRule type="cellIs" dxfId="16262" priority="322" operator="equal">
      <formula>0</formula>
    </cfRule>
  </conditionalFormatting>
  <conditionalFormatting sqref="V24">
    <cfRule type="cellIs" dxfId="16261" priority="319" operator="greaterThan">
      <formula>V23</formula>
    </cfRule>
    <cfRule type="cellIs" dxfId="16260" priority="320" operator="equal">
      <formula>0</formula>
    </cfRule>
  </conditionalFormatting>
  <conditionalFormatting sqref="V24">
    <cfRule type="cellIs" dxfId="16259" priority="317" operator="greaterThan">
      <formula>V23</formula>
    </cfRule>
    <cfRule type="cellIs" dxfId="16258" priority="318" operator="equal">
      <formula>0</formula>
    </cfRule>
  </conditionalFormatting>
  <conditionalFormatting sqref="V24">
    <cfRule type="cellIs" dxfId="16257" priority="315" operator="greaterThan">
      <formula>V23</formula>
    </cfRule>
    <cfRule type="cellIs" dxfId="16256" priority="316" operator="equal">
      <formula>0</formula>
    </cfRule>
  </conditionalFormatting>
  <conditionalFormatting sqref="V24">
    <cfRule type="cellIs" dxfId="16255" priority="313" operator="greaterThan">
      <formula>V23</formula>
    </cfRule>
    <cfRule type="cellIs" dxfId="16254" priority="314" operator="equal">
      <formula>0</formula>
    </cfRule>
  </conditionalFormatting>
  <conditionalFormatting sqref="V25">
    <cfRule type="cellIs" dxfId="16253" priority="311" operator="greaterThan">
      <formula>V24</formula>
    </cfRule>
    <cfRule type="cellIs" dxfId="16252" priority="312" operator="equal">
      <formula>0</formula>
    </cfRule>
  </conditionalFormatting>
  <conditionalFormatting sqref="V25">
    <cfRule type="cellIs" dxfId="16251" priority="309" operator="greaterThan">
      <formula>V24</formula>
    </cfRule>
    <cfRule type="cellIs" dxfId="16250" priority="310" operator="equal">
      <formula>0</formula>
    </cfRule>
  </conditionalFormatting>
  <conditionalFormatting sqref="V25">
    <cfRule type="cellIs" dxfId="16249" priority="307" operator="greaterThan">
      <formula>V24</formula>
    </cfRule>
    <cfRule type="cellIs" dxfId="16248" priority="308" operator="equal">
      <formula>0</formula>
    </cfRule>
  </conditionalFormatting>
  <conditionalFormatting sqref="V25">
    <cfRule type="cellIs" dxfId="16247" priority="305" operator="greaterThan">
      <formula>V24</formula>
    </cfRule>
    <cfRule type="cellIs" dxfId="16246" priority="306" operator="equal">
      <formula>0</formula>
    </cfRule>
  </conditionalFormatting>
  <conditionalFormatting sqref="V25">
    <cfRule type="cellIs" dxfId="16245" priority="303" operator="greaterThan">
      <formula>V24</formula>
    </cfRule>
    <cfRule type="cellIs" dxfId="16244" priority="304" operator="equal">
      <formula>0</formula>
    </cfRule>
  </conditionalFormatting>
  <conditionalFormatting sqref="V25">
    <cfRule type="cellIs" dxfId="16243" priority="301" operator="greaterThan">
      <formula>V24</formula>
    </cfRule>
    <cfRule type="cellIs" dxfId="16242" priority="302" operator="equal">
      <formula>0</formula>
    </cfRule>
  </conditionalFormatting>
  <conditionalFormatting sqref="V25">
    <cfRule type="cellIs" dxfId="16241" priority="299" operator="greaterThan">
      <formula>V24</formula>
    </cfRule>
    <cfRule type="cellIs" dxfId="16240" priority="300" operator="equal">
      <formula>0</formula>
    </cfRule>
  </conditionalFormatting>
  <conditionalFormatting sqref="V25">
    <cfRule type="cellIs" dxfId="16239" priority="297" operator="greaterThan">
      <formula>V24</formula>
    </cfRule>
    <cfRule type="cellIs" dxfId="16238" priority="298" operator="equal">
      <formula>0</formula>
    </cfRule>
  </conditionalFormatting>
  <conditionalFormatting sqref="V25">
    <cfRule type="cellIs" dxfId="16237" priority="295" operator="greaterThan">
      <formula>V24</formula>
    </cfRule>
    <cfRule type="cellIs" dxfId="16236" priority="296" operator="equal">
      <formula>0</formula>
    </cfRule>
  </conditionalFormatting>
  <conditionalFormatting sqref="V25">
    <cfRule type="cellIs" dxfId="16235" priority="293" operator="greaterThan">
      <formula>V24</formula>
    </cfRule>
    <cfRule type="cellIs" dxfId="16234" priority="294" operator="equal">
      <formula>0</formula>
    </cfRule>
  </conditionalFormatting>
  <conditionalFormatting sqref="V25">
    <cfRule type="cellIs" dxfId="16233" priority="291" operator="greaterThan">
      <formula>V24</formula>
    </cfRule>
    <cfRule type="cellIs" dxfId="16232" priority="292" operator="equal">
      <formula>0</formula>
    </cfRule>
  </conditionalFormatting>
  <conditionalFormatting sqref="V25">
    <cfRule type="cellIs" dxfId="16231" priority="289" operator="greaterThan">
      <formula>V24</formula>
    </cfRule>
    <cfRule type="cellIs" dxfId="16230" priority="290" operator="equal">
      <formula>0</formula>
    </cfRule>
  </conditionalFormatting>
  <conditionalFormatting sqref="V25">
    <cfRule type="cellIs" dxfId="16229" priority="287" operator="greaterThan">
      <formula>V24</formula>
    </cfRule>
    <cfRule type="cellIs" dxfId="16228" priority="288" operator="equal">
      <formula>0</formula>
    </cfRule>
  </conditionalFormatting>
  <conditionalFormatting sqref="V25">
    <cfRule type="cellIs" dxfId="16227" priority="285" operator="greaterThan">
      <formula>V24</formula>
    </cfRule>
    <cfRule type="cellIs" dxfId="16226" priority="286" operator="equal">
      <formula>0</formula>
    </cfRule>
  </conditionalFormatting>
  <conditionalFormatting sqref="V25">
    <cfRule type="cellIs" dxfId="16225" priority="283" operator="greaterThan">
      <formula>V24</formula>
    </cfRule>
    <cfRule type="cellIs" dxfId="16224" priority="284" operator="equal">
      <formula>0</formula>
    </cfRule>
  </conditionalFormatting>
  <conditionalFormatting sqref="V25">
    <cfRule type="cellIs" dxfId="16223" priority="281" operator="greaterThan">
      <formula>V24</formula>
    </cfRule>
    <cfRule type="cellIs" dxfId="16222" priority="282" operator="equal">
      <formula>0</formula>
    </cfRule>
  </conditionalFormatting>
  <conditionalFormatting sqref="V25">
    <cfRule type="cellIs" dxfId="16221" priority="279" operator="greaterThan">
      <formula>V24</formula>
    </cfRule>
    <cfRule type="cellIs" dxfId="16220" priority="280" operator="equal">
      <formula>0</formula>
    </cfRule>
  </conditionalFormatting>
  <conditionalFormatting sqref="V25">
    <cfRule type="cellIs" dxfId="16219" priority="277" operator="greaterThan">
      <formula>V24</formula>
    </cfRule>
    <cfRule type="cellIs" dxfId="16218" priority="278" operator="equal">
      <formula>0</formula>
    </cfRule>
  </conditionalFormatting>
  <conditionalFormatting sqref="V25">
    <cfRule type="cellIs" dxfId="16217" priority="275" operator="greaterThan">
      <formula>V24</formula>
    </cfRule>
    <cfRule type="cellIs" dxfId="16216" priority="276" operator="equal">
      <formula>0</formula>
    </cfRule>
  </conditionalFormatting>
  <conditionalFormatting sqref="V25">
    <cfRule type="cellIs" dxfId="16215" priority="273" operator="greaterThan">
      <formula>V24</formula>
    </cfRule>
    <cfRule type="cellIs" dxfId="16214" priority="274" operator="equal">
      <formula>0</formula>
    </cfRule>
  </conditionalFormatting>
  <conditionalFormatting sqref="V25">
    <cfRule type="cellIs" dxfId="16213" priority="271" operator="greaterThan">
      <formula>V24</formula>
    </cfRule>
    <cfRule type="cellIs" dxfId="16212" priority="272" operator="equal">
      <formula>0</formula>
    </cfRule>
  </conditionalFormatting>
  <conditionalFormatting sqref="V25">
    <cfRule type="cellIs" dxfId="16211" priority="269" operator="greaterThan">
      <formula>V24</formula>
    </cfRule>
    <cfRule type="cellIs" dxfId="16210" priority="270" operator="equal">
      <formula>0</formula>
    </cfRule>
  </conditionalFormatting>
  <conditionalFormatting sqref="V25">
    <cfRule type="cellIs" dxfId="16209" priority="267" operator="greaterThan">
      <formula>V24</formula>
    </cfRule>
    <cfRule type="cellIs" dxfId="16208" priority="268" operator="equal">
      <formula>0</formula>
    </cfRule>
  </conditionalFormatting>
  <conditionalFormatting sqref="V25">
    <cfRule type="cellIs" dxfId="16207" priority="265" operator="greaterThan">
      <formula>V24</formula>
    </cfRule>
    <cfRule type="cellIs" dxfId="16206" priority="266" operator="equal">
      <formula>0</formula>
    </cfRule>
  </conditionalFormatting>
  <conditionalFormatting sqref="V25">
    <cfRule type="cellIs" dxfId="16205" priority="263" operator="greaterThan">
      <formula>V24</formula>
    </cfRule>
    <cfRule type="cellIs" dxfId="16204" priority="264" operator="equal">
      <formula>0</formula>
    </cfRule>
  </conditionalFormatting>
  <conditionalFormatting sqref="V25">
    <cfRule type="cellIs" dxfId="16203" priority="261" operator="greaterThan">
      <formula>V24</formula>
    </cfRule>
    <cfRule type="cellIs" dxfId="16202" priority="262" operator="equal">
      <formula>0</formula>
    </cfRule>
  </conditionalFormatting>
  <conditionalFormatting sqref="V25">
    <cfRule type="cellIs" dxfId="16201" priority="259" operator="greaterThan">
      <formula>V24</formula>
    </cfRule>
    <cfRule type="cellIs" dxfId="16200" priority="260" operator="equal">
      <formula>0</formula>
    </cfRule>
  </conditionalFormatting>
  <conditionalFormatting sqref="V25">
    <cfRule type="cellIs" dxfId="16199" priority="257" operator="greaterThan">
      <formula>V24</formula>
    </cfRule>
    <cfRule type="cellIs" dxfId="16198" priority="258" operator="equal">
      <formula>0</formula>
    </cfRule>
  </conditionalFormatting>
  <conditionalFormatting sqref="V27">
    <cfRule type="cellIs" dxfId="16197" priority="255" operator="greaterThan">
      <formula>V26</formula>
    </cfRule>
    <cfRule type="cellIs" dxfId="16196" priority="256" operator="equal">
      <formula>0</formula>
    </cfRule>
  </conditionalFormatting>
  <conditionalFormatting sqref="V27">
    <cfRule type="cellIs" dxfId="16195" priority="253" operator="greaterThan">
      <formula>V26</formula>
    </cfRule>
    <cfRule type="cellIs" dxfId="16194" priority="254" operator="equal">
      <formula>0</formula>
    </cfRule>
  </conditionalFormatting>
  <conditionalFormatting sqref="V27">
    <cfRule type="cellIs" dxfId="16193" priority="251" operator="greaterThan">
      <formula>V26</formula>
    </cfRule>
    <cfRule type="cellIs" dxfId="16192" priority="252" operator="equal">
      <formula>0</formula>
    </cfRule>
  </conditionalFormatting>
  <conditionalFormatting sqref="V27">
    <cfRule type="cellIs" dxfId="16191" priority="249" operator="greaterThan">
      <formula>V26</formula>
    </cfRule>
    <cfRule type="cellIs" dxfId="16190" priority="250" operator="equal">
      <formula>0</formula>
    </cfRule>
  </conditionalFormatting>
  <conditionalFormatting sqref="V27">
    <cfRule type="cellIs" dxfId="16189" priority="247" operator="greaterThan">
      <formula>V26</formula>
    </cfRule>
    <cfRule type="cellIs" dxfId="16188" priority="248" operator="equal">
      <formula>0</formula>
    </cfRule>
  </conditionalFormatting>
  <conditionalFormatting sqref="V27">
    <cfRule type="cellIs" dxfId="16187" priority="245" operator="greaterThan">
      <formula>V26</formula>
    </cfRule>
    <cfRule type="cellIs" dxfId="16186" priority="246" operator="equal">
      <formula>0</formula>
    </cfRule>
  </conditionalFormatting>
  <conditionalFormatting sqref="V27">
    <cfRule type="cellIs" dxfId="16185" priority="243" operator="greaterThan">
      <formula>V26</formula>
    </cfRule>
    <cfRule type="cellIs" dxfId="16184" priority="244" operator="equal">
      <formula>0</formula>
    </cfRule>
  </conditionalFormatting>
  <conditionalFormatting sqref="V27">
    <cfRule type="cellIs" dxfId="16183" priority="241" operator="greaterThan">
      <formula>V26</formula>
    </cfRule>
    <cfRule type="cellIs" dxfId="16182" priority="242" operator="equal">
      <formula>0</formula>
    </cfRule>
  </conditionalFormatting>
  <conditionalFormatting sqref="V27">
    <cfRule type="cellIs" dxfId="16181" priority="239" operator="greaterThan">
      <formula>V26</formula>
    </cfRule>
    <cfRule type="cellIs" dxfId="16180" priority="240" operator="equal">
      <formula>0</formula>
    </cfRule>
  </conditionalFormatting>
  <conditionalFormatting sqref="V27">
    <cfRule type="cellIs" dxfId="16179" priority="237" operator="greaterThan">
      <formula>V26</formula>
    </cfRule>
    <cfRule type="cellIs" dxfId="16178" priority="238" operator="equal">
      <formula>0</formula>
    </cfRule>
  </conditionalFormatting>
  <conditionalFormatting sqref="V27">
    <cfRule type="cellIs" dxfId="16177" priority="235" operator="greaterThan">
      <formula>V26</formula>
    </cfRule>
    <cfRule type="cellIs" dxfId="16176" priority="236" operator="equal">
      <formula>0</formula>
    </cfRule>
  </conditionalFormatting>
  <conditionalFormatting sqref="V27">
    <cfRule type="cellIs" dxfId="16175" priority="233" operator="greaterThan">
      <formula>V26</formula>
    </cfRule>
    <cfRule type="cellIs" dxfId="16174" priority="234" operator="equal">
      <formula>0</formula>
    </cfRule>
  </conditionalFormatting>
  <conditionalFormatting sqref="V27">
    <cfRule type="cellIs" dxfId="16173" priority="231" operator="greaterThan">
      <formula>V26</formula>
    </cfRule>
    <cfRule type="cellIs" dxfId="16172" priority="232" operator="equal">
      <formula>0</formula>
    </cfRule>
  </conditionalFormatting>
  <conditionalFormatting sqref="V27">
    <cfRule type="cellIs" dxfId="16171" priority="229" operator="greaterThan">
      <formula>V26</formula>
    </cfRule>
    <cfRule type="cellIs" dxfId="16170" priority="230" operator="equal">
      <formula>0</formula>
    </cfRule>
  </conditionalFormatting>
  <conditionalFormatting sqref="V27">
    <cfRule type="cellIs" dxfId="16169" priority="227" operator="greaterThan">
      <formula>V26</formula>
    </cfRule>
    <cfRule type="cellIs" dxfId="16168" priority="228" operator="equal">
      <formula>0</formula>
    </cfRule>
  </conditionalFormatting>
  <conditionalFormatting sqref="V27">
    <cfRule type="cellIs" dxfId="16167" priority="225" operator="greaterThan">
      <formula>V26</formula>
    </cfRule>
    <cfRule type="cellIs" dxfId="16166" priority="226" operator="equal">
      <formula>0</formula>
    </cfRule>
  </conditionalFormatting>
  <conditionalFormatting sqref="V27">
    <cfRule type="cellIs" dxfId="16165" priority="223" operator="greaterThan">
      <formula>V26</formula>
    </cfRule>
    <cfRule type="cellIs" dxfId="16164" priority="224" operator="equal">
      <formula>0</formula>
    </cfRule>
  </conditionalFormatting>
  <conditionalFormatting sqref="V27">
    <cfRule type="cellIs" dxfId="16163" priority="221" operator="greaterThan">
      <formula>V26</formula>
    </cfRule>
    <cfRule type="cellIs" dxfId="16162" priority="222" operator="equal">
      <formula>0</formula>
    </cfRule>
  </conditionalFormatting>
  <conditionalFormatting sqref="V27">
    <cfRule type="cellIs" dxfId="16161" priority="219" operator="greaterThan">
      <formula>V26</formula>
    </cfRule>
    <cfRule type="cellIs" dxfId="16160" priority="220" operator="equal">
      <formula>0</formula>
    </cfRule>
  </conditionalFormatting>
  <conditionalFormatting sqref="V27">
    <cfRule type="cellIs" dxfId="16159" priority="217" operator="greaterThan">
      <formula>V26</formula>
    </cfRule>
    <cfRule type="cellIs" dxfId="16158" priority="218" operator="equal">
      <formula>0</formula>
    </cfRule>
  </conditionalFormatting>
  <conditionalFormatting sqref="V27">
    <cfRule type="cellIs" dxfId="16157" priority="215" operator="greaterThan">
      <formula>V26</formula>
    </cfRule>
    <cfRule type="cellIs" dxfId="16156" priority="216" operator="equal">
      <formula>0</formula>
    </cfRule>
  </conditionalFormatting>
  <conditionalFormatting sqref="V27">
    <cfRule type="cellIs" dxfId="16155" priority="213" operator="greaterThan">
      <formula>V26</formula>
    </cfRule>
    <cfRule type="cellIs" dxfId="16154" priority="214" operator="equal">
      <formula>0</formula>
    </cfRule>
  </conditionalFormatting>
  <conditionalFormatting sqref="V27">
    <cfRule type="cellIs" dxfId="16153" priority="211" operator="greaterThan">
      <formula>V26</formula>
    </cfRule>
    <cfRule type="cellIs" dxfId="16152" priority="212" operator="equal">
      <formula>0</formula>
    </cfRule>
  </conditionalFormatting>
  <conditionalFormatting sqref="V27">
    <cfRule type="cellIs" dxfId="16151" priority="209" operator="greaterThan">
      <formula>V26</formula>
    </cfRule>
    <cfRule type="cellIs" dxfId="16150" priority="210" operator="equal">
      <formula>0</formula>
    </cfRule>
  </conditionalFormatting>
  <conditionalFormatting sqref="V27">
    <cfRule type="cellIs" dxfId="16149" priority="207" operator="greaterThan">
      <formula>V26</formula>
    </cfRule>
    <cfRule type="cellIs" dxfId="16148" priority="208" operator="equal">
      <formula>0</formula>
    </cfRule>
  </conditionalFormatting>
  <conditionalFormatting sqref="V27">
    <cfRule type="cellIs" dxfId="16147" priority="205" operator="greaterThan">
      <formula>V26</formula>
    </cfRule>
    <cfRule type="cellIs" dxfId="16146" priority="206" operator="equal">
      <formula>0</formula>
    </cfRule>
  </conditionalFormatting>
  <conditionalFormatting sqref="V27">
    <cfRule type="cellIs" dxfId="16145" priority="203" operator="greaterThan">
      <formula>V26</formula>
    </cfRule>
    <cfRule type="cellIs" dxfId="16144" priority="204" operator="equal">
      <formula>0</formula>
    </cfRule>
  </conditionalFormatting>
  <conditionalFormatting sqref="V27">
    <cfRule type="cellIs" dxfId="16143" priority="201" operator="greaterThan">
      <formula>V26</formula>
    </cfRule>
    <cfRule type="cellIs" dxfId="16142" priority="202" operator="equal">
      <formula>0</formula>
    </cfRule>
  </conditionalFormatting>
  <conditionalFormatting sqref="V27">
    <cfRule type="cellIs" dxfId="16141" priority="199" operator="greaterThan">
      <formula>V26</formula>
    </cfRule>
    <cfRule type="cellIs" dxfId="16140" priority="200" operator="equal">
      <formula>0</formula>
    </cfRule>
  </conditionalFormatting>
  <conditionalFormatting sqref="V28">
    <cfRule type="cellIs" dxfId="16139" priority="197" operator="greaterThan">
      <formula>V27</formula>
    </cfRule>
    <cfRule type="cellIs" dxfId="16138" priority="198" operator="equal">
      <formula>0</formula>
    </cfRule>
  </conditionalFormatting>
  <conditionalFormatting sqref="V28">
    <cfRule type="cellIs" dxfId="16137" priority="195" operator="greaterThan">
      <formula>V27</formula>
    </cfRule>
    <cfRule type="cellIs" dxfId="16136" priority="196" operator="equal">
      <formula>0</formula>
    </cfRule>
  </conditionalFormatting>
  <conditionalFormatting sqref="V28">
    <cfRule type="cellIs" dxfId="16135" priority="193" operator="greaterThan">
      <formula>V27</formula>
    </cfRule>
    <cfRule type="cellIs" dxfId="16134" priority="194" operator="equal">
      <formula>0</formula>
    </cfRule>
  </conditionalFormatting>
  <conditionalFormatting sqref="V28">
    <cfRule type="cellIs" dxfId="16133" priority="191" operator="greaterThan">
      <formula>V27</formula>
    </cfRule>
    <cfRule type="cellIs" dxfId="16132" priority="192" operator="equal">
      <formula>0</formula>
    </cfRule>
  </conditionalFormatting>
  <conditionalFormatting sqref="V28">
    <cfRule type="cellIs" dxfId="16131" priority="189" operator="greaterThan">
      <formula>V27</formula>
    </cfRule>
    <cfRule type="cellIs" dxfId="16130" priority="190" operator="equal">
      <formula>0</formula>
    </cfRule>
  </conditionalFormatting>
  <conditionalFormatting sqref="V28">
    <cfRule type="cellIs" dxfId="16129" priority="187" operator="greaterThan">
      <formula>V27</formula>
    </cfRule>
    <cfRule type="cellIs" dxfId="16128" priority="188" operator="equal">
      <formula>0</formula>
    </cfRule>
  </conditionalFormatting>
  <conditionalFormatting sqref="V28">
    <cfRule type="cellIs" dxfId="16127" priority="185" operator="greaterThan">
      <formula>V27</formula>
    </cfRule>
    <cfRule type="cellIs" dxfId="16126" priority="186" operator="equal">
      <formula>0</formula>
    </cfRule>
  </conditionalFormatting>
  <conditionalFormatting sqref="V28">
    <cfRule type="cellIs" dxfId="16125" priority="183" operator="greaterThan">
      <formula>V27</formula>
    </cfRule>
    <cfRule type="cellIs" dxfId="16124" priority="184" operator="equal">
      <formula>0</formula>
    </cfRule>
  </conditionalFormatting>
  <conditionalFormatting sqref="V28">
    <cfRule type="cellIs" dxfId="16123" priority="181" operator="greaterThan">
      <formula>V27</formula>
    </cfRule>
    <cfRule type="cellIs" dxfId="16122" priority="182" operator="equal">
      <formula>0</formula>
    </cfRule>
  </conditionalFormatting>
  <conditionalFormatting sqref="V28">
    <cfRule type="cellIs" dxfId="16121" priority="179" operator="greaterThan">
      <formula>V27</formula>
    </cfRule>
    <cfRule type="cellIs" dxfId="16120" priority="180" operator="equal">
      <formula>0</formula>
    </cfRule>
  </conditionalFormatting>
  <conditionalFormatting sqref="V28">
    <cfRule type="cellIs" dxfId="16119" priority="177" operator="greaterThan">
      <formula>V27</formula>
    </cfRule>
    <cfRule type="cellIs" dxfId="16118" priority="178" operator="equal">
      <formula>0</formula>
    </cfRule>
  </conditionalFormatting>
  <conditionalFormatting sqref="V28">
    <cfRule type="cellIs" dxfId="16117" priority="175" operator="greaterThan">
      <formula>V27</formula>
    </cfRule>
    <cfRule type="cellIs" dxfId="16116" priority="176" operator="equal">
      <formula>0</formula>
    </cfRule>
  </conditionalFormatting>
  <conditionalFormatting sqref="V28">
    <cfRule type="cellIs" dxfId="16115" priority="173" operator="greaterThan">
      <formula>V27</formula>
    </cfRule>
    <cfRule type="cellIs" dxfId="16114" priority="174" operator="equal">
      <formula>0</formula>
    </cfRule>
  </conditionalFormatting>
  <conditionalFormatting sqref="V28">
    <cfRule type="cellIs" dxfId="16113" priority="171" operator="greaterThan">
      <formula>V27</formula>
    </cfRule>
    <cfRule type="cellIs" dxfId="16112" priority="172" operator="equal">
      <formula>0</formula>
    </cfRule>
  </conditionalFormatting>
  <conditionalFormatting sqref="V28">
    <cfRule type="cellIs" dxfId="16111" priority="169" operator="greaterThan">
      <formula>V27</formula>
    </cfRule>
    <cfRule type="cellIs" dxfId="16110" priority="170" operator="equal">
      <formula>0</formula>
    </cfRule>
  </conditionalFormatting>
  <conditionalFormatting sqref="V28">
    <cfRule type="cellIs" dxfId="16109" priority="167" operator="greaterThan">
      <formula>V27</formula>
    </cfRule>
    <cfRule type="cellIs" dxfId="16108" priority="168" operator="equal">
      <formula>0</formula>
    </cfRule>
  </conditionalFormatting>
  <conditionalFormatting sqref="V28">
    <cfRule type="cellIs" dxfId="16107" priority="165" operator="greaterThan">
      <formula>V27</formula>
    </cfRule>
    <cfRule type="cellIs" dxfId="16106" priority="166" operator="equal">
      <formula>0</formula>
    </cfRule>
  </conditionalFormatting>
  <conditionalFormatting sqref="V28">
    <cfRule type="cellIs" dxfId="16105" priority="163" operator="greaterThan">
      <formula>V27</formula>
    </cfRule>
    <cfRule type="cellIs" dxfId="16104" priority="164" operator="equal">
      <formula>0</formula>
    </cfRule>
  </conditionalFormatting>
  <conditionalFormatting sqref="V28">
    <cfRule type="cellIs" dxfId="16103" priority="161" operator="greaterThan">
      <formula>V27</formula>
    </cfRule>
    <cfRule type="cellIs" dxfId="16102" priority="162" operator="equal">
      <formula>0</formula>
    </cfRule>
  </conditionalFormatting>
  <conditionalFormatting sqref="V28">
    <cfRule type="cellIs" dxfId="16101" priority="159" operator="greaterThan">
      <formula>V27</formula>
    </cfRule>
    <cfRule type="cellIs" dxfId="16100" priority="160" operator="equal">
      <formula>0</formula>
    </cfRule>
  </conditionalFormatting>
  <conditionalFormatting sqref="V28">
    <cfRule type="cellIs" dxfId="16099" priority="157" operator="greaterThan">
      <formula>V27</formula>
    </cfRule>
    <cfRule type="cellIs" dxfId="16098" priority="158" operator="equal">
      <formula>0</formula>
    </cfRule>
  </conditionalFormatting>
  <conditionalFormatting sqref="V28">
    <cfRule type="cellIs" dxfId="16097" priority="155" operator="greaterThan">
      <formula>V27</formula>
    </cfRule>
    <cfRule type="cellIs" dxfId="16096" priority="156" operator="equal">
      <formula>0</formula>
    </cfRule>
  </conditionalFormatting>
  <conditionalFormatting sqref="V28">
    <cfRule type="cellIs" dxfId="16095" priority="153" operator="greaterThan">
      <formula>V27</formula>
    </cfRule>
    <cfRule type="cellIs" dxfId="16094" priority="154" operator="equal">
      <formula>0</formula>
    </cfRule>
  </conditionalFormatting>
  <conditionalFormatting sqref="V28">
    <cfRule type="cellIs" dxfId="16093" priority="151" operator="greaterThan">
      <formula>V27</formula>
    </cfRule>
    <cfRule type="cellIs" dxfId="16092" priority="152" operator="equal">
      <formula>0</formula>
    </cfRule>
  </conditionalFormatting>
  <conditionalFormatting sqref="V28">
    <cfRule type="cellIs" dxfId="16091" priority="149" operator="greaterThan">
      <formula>V27</formula>
    </cfRule>
    <cfRule type="cellIs" dxfId="16090" priority="150" operator="equal">
      <formula>0</formula>
    </cfRule>
  </conditionalFormatting>
  <conditionalFormatting sqref="V28">
    <cfRule type="cellIs" dxfId="16089" priority="147" operator="greaterThan">
      <formula>V27</formula>
    </cfRule>
    <cfRule type="cellIs" dxfId="16088" priority="148" operator="equal">
      <formula>0</formula>
    </cfRule>
  </conditionalFormatting>
  <conditionalFormatting sqref="V28">
    <cfRule type="cellIs" dxfId="16087" priority="145" operator="greaterThan">
      <formula>V27</formula>
    </cfRule>
    <cfRule type="cellIs" dxfId="16086" priority="146" operator="equal">
      <formula>0</formula>
    </cfRule>
  </conditionalFormatting>
  <conditionalFormatting sqref="V28">
    <cfRule type="cellIs" dxfId="16085" priority="143" operator="greaterThan">
      <formula>V27</formula>
    </cfRule>
    <cfRule type="cellIs" dxfId="16084" priority="144" operator="equal">
      <formula>0</formula>
    </cfRule>
  </conditionalFormatting>
  <conditionalFormatting sqref="V28">
    <cfRule type="cellIs" dxfId="16083" priority="141" operator="greaterThan">
      <formula>V27</formula>
    </cfRule>
    <cfRule type="cellIs" dxfId="16082" priority="142" operator="equal">
      <formula>0</formula>
    </cfRule>
  </conditionalFormatting>
  <conditionalFormatting sqref="V28">
    <cfRule type="cellIs" dxfId="16081" priority="139" operator="greaterThan">
      <formula>V27</formula>
    </cfRule>
    <cfRule type="cellIs" dxfId="16080" priority="140" operator="equal">
      <formula>0</formula>
    </cfRule>
  </conditionalFormatting>
  <conditionalFormatting sqref="V28">
    <cfRule type="cellIs" dxfId="16079" priority="137" operator="greaterThan">
      <formula>V27</formula>
    </cfRule>
    <cfRule type="cellIs" dxfId="16078" priority="138" operator="equal">
      <formula>0</formula>
    </cfRule>
  </conditionalFormatting>
  <conditionalFormatting sqref="V28">
    <cfRule type="cellIs" dxfId="16077" priority="135" operator="greaterThan">
      <formula>V27</formula>
    </cfRule>
    <cfRule type="cellIs" dxfId="16076" priority="136" operator="equal">
      <formula>0</formula>
    </cfRule>
  </conditionalFormatting>
  <conditionalFormatting sqref="V28">
    <cfRule type="cellIs" dxfId="16075" priority="133" operator="greaterThan">
      <formula>V27</formula>
    </cfRule>
    <cfRule type="cellIs" dxfId="16074" priority="134" operator="equal">
      <formula>0</formula>
    </cfRule>
  </conditionalFormatting>
  <conditionalFormatting sqref="V28">
    <cfRule type="cellIs" dxfId="16073" priority="131" operator="greaterThan">
      <formula>V27</formula>
    </cfRule>
    <cfRule type="cellIs" dxfId="16072" priority="132" operator="equal">
      <formula>0</formula>
    </cfRule>
  </conditionalFormatting>
  <conditionalFormatting sqref="V28">
    <cfRule type="cellIs" dxfId="16071" priority="129" operator="greaterThan">
      <formula>V27</formula>
    </cfRule>
    <cfRule type="cellIs" dxfId="16070" priority="130" operator="equal">
      <formula>0</formula>
    </cfRule>
  </conditionalFormatting>
  <conditionalFormatting sqref="V28">
    <cfRule type="cellIs" dxfId="16069" priority="127" operator="greaterThan">
      <formula>V27</formula>
    </cfRule>
    <cfRule type="cellIs" dxfId="16068" priority="128" operator="equal">
      <formula>0</formula>
    </cfRule>
  </conditionalFormatting>
  <conditionalFormatting sqref="V28">
    <cfRule type="cellIs" dxfId="16067" priority="125" operator="greaterThan">
      <formula>V27</formula>
    </cfRule>
    <cfRule type="cellIs" dxfId="16066" priority="126" operator="equal">
      <formula>0</formula>
    </cfRule>
  </conditionalFormatting>
  <conditionalFormatting sqref="V28">
    <cfRule type="cellIs" dxfId="16065" priority="123" operator="greaterThan">
      <formula>V27</formula>
    </cfRule>
    <cfRule type="cellIs" dxfId="16064" priority="124" operator="equal">
      <formula>0</formula>
    </cfRule>
  </conditionalFormatting>
  <conditionalFormatting sqref="V28">
    <cfRule type="cellIs" dxfId="16063" priority="121" operator="greaterThan">
      <formula>V27</formula>
    </cfRule>
    <cfRule type="cellIs" dxfId="16062" priority="122" operator="equal">
      <formula>0</formula>
    </cfRule>
  </conditionalFormatting>
  <conditionalFormatting sqref="V28">
    <cfRule type="cellIs" dxfId="16061" priority="119" operator="greaterThan">
      <formula>V27</formula>
    </cfRule>
    <cfRule type="cellIs" dxfId="16060" priority="120" operator="equal">
      <formula>0</formula>
    </cfRule>
  </conditionalFormatting>
  <conditionalFormatting sqref="V28">
    <cfRule type="cellIs" dxfId="16059" priority="117" operator="greaterThan">
      <formula>V27</formula>
    </cfRule>
    <cfRule type="cellIs" dxfId="16058" priority="118" operator="equal">
      <formula>0</formula>
    </cfRule>
  </conditionalFormatting>
  <conditionalFormatting sqref="V28">
    <cfRule type="cellIs" dxfId="16057" priority="115" operator="greaterThan">
      <formula>V27</formula>
    </cfRule>
    <cfRule type="cellIs" dxfId="16056" priority="116" operator="equal">
      <formula>0</formula>
    </cfRule>
  </conditionalFormatting>
  <conditionalFormatting sqref="V28">
    <cfRule type="cellIs" dxfId="16055" priority="113" operator="greaterThan">
      <formula>V27</formula>
    </cfRule>
    <cfRule type="cellIs" dxfId="16054" priority="114" operator="equal">
      <formula>0</formula>
    </cfRule>
  </conditionalFormatting>
  <conditionalFormatting sqref="V28">
    <cfRule type="cellIs" dxfId="16053" priority="111" operator="greaterThan">
      <formula>V27</formula>
    </cfRule>
    <cfRule type="cellIs" dxfId="16052" priority="112" operator="equal">
      <formula>0</formula>
    </cfRule>
  </conditionalFormatting>
  <conditionalFormatting sqref="V28">
    <cfRule type="cellIs" dxfId="16051" priority="109" operator="greaterThan">
      <formula>V27</formula>
    </cfRule>
    <cfRule type="cellIs" dxfId="16050" priority="110" operator="equal">
      <formula>0</formula>
    </cfRule>
  </conditionalFormatting>
  <conditionalFormatting sqref="V28">
    <cfRule type="cellIs" dxfId="16049" priority="107" operator="greaterThan">
      <formula>V27</formula>
    </cfRule>
    <cfRule type="cellIs" dxfId="16048" priority="108" operator="equal">
      <formula>0</formula>
    </cfRule>
  </conditionalFormatting>
  <conditionalFormatting sqref="V28">
    <cfRule type="cellIs" dxfId="16047" priority="105" operator="greaterThan">
      <formula>V27</formula>
    </cfRule>
    <cfRule type="cellIs" dxfId="16046" priority="106" operator="equal">
      <formula>0</formula>
    </cfRule>
  </conditionalFormatting>
  <conditionalFormatting sqref="V28">
    <cfRule type="cellIs" dxfId="16045" priority="103" operator="greaterThan">
      <formula>V27</formula>
    </cfRule>
    <cfRule type="cellIs" dxfId="16044" priority="104" operator="equal">
      <formula>0</formula>
    </cfRule>
  </conditionalFormatting>
  <conditionalFormatting sqref="V28">
    <cfRule type="cellIs" dxfId="16043" priority="101" operator="greaterThan">
      <formula>V27</formula>
    </cfRule>
    <cfRule type="cellIs" dxfId="16042" priority="102" operator="equal">
      <formula>0</formula>
    </cfRule>
  </conditionalFormatting>
  <conditionalFormatting sqref="V28">
    <cfRule type="cellIs" dxfId="16041" priority="99" operator="greaterThan">
      <formula>V27</formula>
    </cfRule>
    <cfRule type="cellIs" dxfId="16040" priority="100" operator="equal">
      <formula>0</formula>
    </cfRule>
  </conditionalFormatting>
  <conditionalFormatting sqref="V28">
    <cfRule type="cellIs" dxfId="16039" priority="97" operator="greaterThan">
      <formula>V27</formula>
    </cfRule>
    <cfRule type="cellIs" dxfId="16038" priority="98" operator="equal">
      <formula>0</formula>
    </cfRule>
  </conditionalFormatting>
  <conditionalFormatting sqref="V28">
    <cfRule type="cellIs" dxfId="16037" priority="95" operator="greaterThan">
      <formula>V27</formula>
    </cfRule>
    <cfRule type="cellIs" dxfId="16036" priority="96" operator="equal">
      <formula>0</formula>
    </cfRule>
  </conditionalFormatting>
  <conditionalFormatting sqref="V28">
    <cfRule type="cellIs" dxfId="16035" priority="93" operator="greaterThan">
      <formula>V27</formula>
    </cfRule>
    <cfRule type="cellIs" dxfId="16034" priority="94" operator="equal">
      <formula>0</formula>
    </cfRule>
  </conditionalFormatting>
  <conditionalFormatting sqref="V28">
    <cfRule type="cellIs" dxfId="16033" priority="91" operator="greaterThan">
      <formula>V27</formula>
    </cfRule>
    <cfRule type="cellIs" dxfId="16032" priority="92" operator="equal">
      <formula>0</formula>
    </cfRule>
  </conditionalFormatting>
  <conditionalFormatting sqref="V28">
    <cfRule type="cellIs" dxfId="16031" priority="89" operator="greaterThan">
      <formula>V27</formula>
    </cfRule>
    <cfRule type="cellIs" dxfId="16030" priority="90" operator="equal">
      <formula>0</formula>
    </cfRule>
  </conditionalFormatting>
  <conditionalFormatting sqref="V28">
    <cfRule type="cellIs" dxfId="16029" priority="87" operator="greaterThan">
      <formula>V27</formula>
    </cfRule>
    <cfRule type="cellIs" dxfId="16028" priority="88" operator="equal">
      <formula>0</formula>
    </cfRule>
  </conditionalFormatting>
  <conditionalFormatting sqref="V28">
    <cfRule type="cellIs" dxfId="16027" priority="85" operator="greaterThan">
      <formula>V27</formula>
    </cfRule>
    <cfRule type="cellIs" dxfId="16026" priority="86" operator="equal">
      <formula>0</formula>
    </cfRule>
  </conditionalFormatting>
  <conditionalFormatting sqref="V28">
    <cfRule type="cellIs" dxfId="16025" priority="83" operator="greaterThan">
      <formula>V27</formula>
    </cfRule>
    <cfRule type="cellIs" dxfId="16024" priority="84" operator="equal">
      <formula>0</formula>
    </cfRule>
  </conditionalFormatting>
  <conditionalFormatting sqref="V28">
    <cfRule type="cellIs" dxfId="16023" priority="81" operator="greaterThan">
      <formula>V27</formula>
    </cfRule>
    <cfRule type="cellIs" dxfId="16022" priority="82" operator="equal">
      <formula>0</formula>
    </cfRule>
  </conditionalFormatting>
  <conditionalFormatting sqref="V28">
    <cfRule type="cellIs" dxfId="16021" priority="79" operator="greaterThan">
      <formula>V27</formula>
    </cfRule>
    <cfRule type="cellIs" dxfId="16020" priority="80" operator="equal">
      <formula>0</formula>
    </cfRule>
  </conditionalFormatting>
  <conditionalFormatting sqref="V28">
    <cfRule type="cellIs" dxfId="16019" priority="77" operator="greaterThan">
      <formula>V27</formula>
    </cfRule>
    <cfRule type="cellIs" dxfId="16018" priority="78" operator="equal">
      <formula>0</formula>
    </cfRule>
  </conditionalFormatting>
  <conditionalFormatting sqref="V28">
    <cfRule type="cellIs" dxfId="16017" priority="75" operator="greaterThan">
      <formula>V27</formula>
    </cfRule>
    <cfRule type="cellIs" dxfId="16016" priority="76" operator="equal">
      <formula>0</formula>
    </cfRule>
  </conditionalFormatting>
  <conditionalFormatting sqref="V28">
    <cfRule type="cellIs" dxfId="16015" priority="73" operator="greaterThan">
      <formula>V27</formula>
    </cfRule>
    <cfRule type="cellIs" dxfId="16014" priority="74" operator="equal">
      <formula>0</formula>
    </cfRule>
  </conditionalFormatting>
  <conditionalFormatting sqref="V28">
    <cfRule type="cellIs" dxfId="16013" priority="71" operator="greaterThan">
      <formula>V27</formula>
    </cfRule>
    <cfRule type="cellIs" dxfId="16012" priority="72" operator="equal">
      <formula>0</formula>
    </cfRule>
  </conditionalFormatting>
  <conditionalFormatting sqref="V28">
    <cfRule type="cellIs" dxfId="16011" priority="69" operator="greaterThan">
      <formula>V27</formula>
    </cfRule>
    <cfRule type="cellIs" dxfId="16010" priority="70" operator="equal">
      <formula>0</formula>
    </cfRule>
  </conditionalFormatting>
  <conditionalFormatting sqref="V28">
    <cfRule type="cellIs" dxfId="16009" priority="67" operator="greaterThan">
      <formula>V27</formula>
    </cfRule>
    <cfRule type="cellIs" dxfId="16008" priority="68" operator="equal">
      <formula>0</formula>
    </cfRule>
  </conditionalFormatting>
  <conditionalFormatting sqref="V28">
    <cfRule type="cellIs" dxfId="16007" priority="65" operator="greaterThan">
      <formula>V27</formula>
    </cfRule>
    <cfRule type="cellIs" dxfId="16006" priority="66" operator="equal">
      <formula>0</formula>
    </cfRule>
  </conditionalFormatting>
  <conditionalFormatting sqref="V28">
    <cfRule type="cellIs" dxfId="16005" priority="63" operator="greaterThan">
      <formula>V27</formula>
    </cfRule>
    <cfRule type="cellIs" dxfId="16004" priority="64" operator="equal">
      <formula>0</formula>
    </cfRule>
  </conditionalFormatting>
  <conditionalFormatting sqref="V28">
    <cfRule type="cellIs" dxfId="16003" priority="61" operator="greaterThan">
      <formula>V27</formula>
    </cfRule>
    <cfRule type="cellIs" dxfId="16002" priority="62" operator="equal">
      <formula>0</formula>
    </cfRule>
  </conditionalFormatting>
  <conditionalFormatting sqref="V28">
    <cfRule type="cellIs" dxfId="16001" priority="59" operator="greaterThan">
      <formula>V27</formula>
    </cfRule>
    <cfRule type="cellIs" dxfId="16000" priority="60" operator="equal">
      <formula>0</formula>
    </cfRule>
  </conditionalFormatting>
  <conditionalFormatting sqref="V28">
    <cfRule type="cellIs" dxfId="15999" priority="57" operator="greaterThan">
      <formula>V27</formula>
    </cfRule>
    <cfRule type="cellIs" dxfId="15998" priority="58" operator="equal">
      <formula>0</formula>
    </cfRule>
  </conditionalFormatting>
  <conditionalFormatting sqref="V28">
    <cfRule type="cellIs" dxfId="15997" priority="55" operator="greaterThan">
      <formula>V27</formula>
    </cfRule>
    <cfRule type="cellIs" dxfId="15996" priority="56" operator="equal">
      <formula>0</formula>
    </cfRule>
  </conditionalFormatting>
  <conditionalFormatting sqref="V28">
    <cfRule type="cellIs" dxfId="15995" priority="53" operator="greaterThan">
      <formula>V27</formula>
    </cfRule>
    <cfRule type="cellIs" dxfId="15994" priority="54" operator="equal">
      <formula>0</formula>
    </cfRule>
  </conditionalFormatting>
  <conditionalFormatting sqref="V28">
    <cfRule type="cellIs" dxfId="15993" priority="51" operator="greaterThan">
      <formula>V27</formula>
    </cfRule>
    <cfRule type="cellIs" dxfId="15992" priority="52" operator="equal">
      <formula>0</formula>
    </cfRule>
  </conditionalFormatting>
  <conditionalFormatting sqref="V28">
    <cfRule type="cellIs" dxfId="15991" priority="49" operator="greaterThan">
      <formula>V27</formula>
    </cfRule>
    <cfRule type="cellIs" dxfId="15990" priority="50" operator="equal">
      <formula>0</formula>
    </cfRule>
  </conditionalFormatting>
  <conditionalFormatting sqref="V28">
    <cfRule type="cellIs" dxfId="15989" priority="47" operator="greaterThan">
      <formula>V27</formula>
    </cfRule>
    <cfRule type="cellIs" dxfId="15988" priority="48" operator="equal">
      <formula>0</formula>
    </cfRule>
  </conditionalFormatting>
  <conditionalFormatting sqref="V28">
    <cfRule type="cellIs" dxfId="15987" priority="45" operator="greaterThan">
      <formula>V27</formula>
    </cfRule>
    <cfRule type="cellIs" dxfId="15986" priority="46" operator="equal">
      <formula>0</formula>
    </cfRule>
  </conditionalFormatting>
  <conditionalFormatting sqref="V28">
    <cfRule type="cellIs" dxfId="15985" priority="43" operator="greaterThan">
      <formula>V27</formula>
    </cfRule>
    <cfRule type="cellIs" dxfId="15984" priority="44" operator="equal">
      <formula>0</formula>
    </cfRule>
  </conditionalFormatting>
  <conditionalFormatting sqref="V28">
    <cfRule type="cellIs" dxfId="15983" priority="41" operator="greaterThan">
      <formula>V27</formula>
    </cfRule>
    <cfRule type="cellIs" dxfId="15982" priority="42" operator="equal">
      <formula>0</formula>
    </cfRule>
  </conditionalFormatting>
  <conditionalFormatting sqref="V28">
    <cfRule type="cellIs" dxfId="15981" priority="39" operator="greaterThan">
      <formula>V27</formula>
    </cfRule>
    <cfRule type="cellIs" dxfId="15980" priority="40" operator="equal">
      <formula>0</formula>
    </cfRule>
  </conditionalFormatting>
  <conditionalFormatting sqref="V28">
    <cfRule type="cellIs" dxfId="15979" priority="37" operator="greaterThan">
      <formula>V27</formula>
    </cfRule>
    <cfRule type="cellIs" dxfId="15978" priority="38" operator="equal">
      <formula>0</formula>
    </cfRule>
  </conditionalFormatting>
  <conditionalFormatting sqref="V28">
    <cfRule type="cellIs" dxfId="15977" priority="35" operator="greaterThan">
      <formula>V27</formula>
    </cfRule>
    <cfRule type="cellIs" dxfId="15976" priority="36" operator="equal">
      <formula>0</formula>
    </cfRule>
  </conditionalFormatting>
  <conditionalFormatting sqref="V28">
    <cfRule type="cellIs" dxfId="15975" priority="33" operator="greaterThan">
      <formula>V27</formula>
    </cfRule>
    <cfRule type="cellIs" dxfId="15974" priority="34" operator="equal">
      <formula>0</formula>
    </cfRule>
  </conditionalFormatting>
  <conditionalFormatting sqref="V28">
    <cfRule type="cellIs" dxfId="15973" priority="31" operator="greaterThan">
      <formula>V27</formula>
    </cfRule>
    <cfRule type="cellIs" dxfId="15972" priority="32" operator="equal">
      <formula>0</formula>
    </cfRule>
  </conditionalFormatting>
  <conditionalFormatting sqref="V13">
    <cfRule type="cellIs" dxfId="15971" priority="30" operator="equal">
      <formula>0</formula>
    </cfRule>
  </conditionalFormatting>
  <conditionalFormatting sqref="V13">
    <cfRule type="cellIs" dxfId="15970" priority="28" operator="greaterThan">
      <formula>V12</formula>
    </cfRule>
    <cfRule type="cellIs" dxfId="15969" priority="29" operator="equal">
      <formula>0</formula>
    </cfRule>
  </conditionalFormatting>
  <conditionalFormatting sqref="V13">
    <cfRule type="cellIs" dxfId="15968" priority="26" operator="greaterThan">
      <formula>V12</formula>
    </cfRule>
    <cfRule type="cellIs" dxfId="15967" priority="27" operator="equal">
      <formula>0</formula>
    </cfRule>
  </conditionalFormatting>
  <conditionalFormatting sqref="V16">
    <cfRule type="cellIs" dxfId="15966" priority="25" operator="equal">
      <formula>0</formula>
    </cfRule>
  </conditionalFormatting>
  <conditionalFormatting sqref="V16">
    <cfRule type="cellIs" dxfId="15965" priority="23" operator="greaterThan">
      <formula>V15</formula>
    </cfRule>
    <cfRule type="cellIs" dxfId="15964" priority="24" operator="equal">
      <formula>0</formula>
    </cfRule>
  </conditionalFormatting>
  <conditionalFormatting sqref="V16">
    <cfRule type="cellIs" dxfId="15963" priority="21" operator="greaterThan">
      <formula>V15</formula>
    </cfRule>
    <cfRule type="cellIs" dxfId="15962" priority="22" operator="equal">
      <formula>0</formula>
    </cfRule>
  </conditionalFormatting>
  <conditionalFormatting sqref="V19">
    <cfRule type="cellIs" dxfId="15961" priority="20" operator="equal">
      <formula>0</formula>
    </cfRule>
  </conditionalFormatting>
  <conditionalFormatting sqref="V19">
    <cfRule type="cellIs" dxfId="15960" priority="18" operator="greaterThan">
      <formula>V18</formula>
    </cfRule>
    <cfRule type="cellIs" dxfId="15959" priority="19" operator="equal">
      <formula>0</formula>
    </cfRule>
  </conditionalFormatting>
  <conditionalFormatting sqref="V19">
    <cfRule type="cellIs" dxfId="15958" priority="16" operator="greaterThan">
      <formula>V18</formula>
    </cfRule>
    <cfRule type="cellIs" dxfId="15957" priority="17" operator="equal">
      <formula>0</formula>
    </cfRule>
  </conditionalFormatting>
  <conditionalFormatting sqref="V22">
    <cfRule type="cellIs" dxfId="15956" priority="15" operator="equal">
      <formula>0</formula>
    </cfRule>
  </conditionalFormatting>
  <conditionalFormatting sqref="V22">
    <cfRule type="cellIs" dxfId="15955" priority="13" operator="greaterThan">
      <formula>V21</formula>
    </cfRule>
    <cfRule type="cellIs" dxfId="15954" priority="14" operator="equal">
      <formula>0</formula>
    </cfRule>
  </conditionalFormatting>
  <conditionalFormatting sqref="V22">
    <cfRule type="cellIs" dxfId="15953" priority="11" operator="greaterThan">
      <formula>V21</formula>
    </cfRule>
    <cfRule type="cellIs" dxfId="15952" priority="12" operator="equal">
      <formula>0</formula>
    </cfRule>
  </conditionalFormatting>
  <conditionalFormatting sqref="V25">
    <cfRule type="cellIs" dxfId="15951" priority="10" operator="equal">
      <formula>0</formula>
    </cfRule>
  </conditionalFormatting>
  <conditionalFormatting sqref="V25">
    <cfRule type="cellIs" dxfId="15950" priority="8" operator="greaterThan">
      <formula>V24</formula>
    </cfRule>
    <cfRule type="cellIs" dxfId="15949" priority="9" operator="equal">
      <formula>0</formula>
    </cfRule>
  </conditionalFormatting>
  <conditionalFormatting sqref="V25">
    <cfRule type="cellIs" dxfId="15948" priority="6" operator="greaterThan">
      <formula>V24</formula>
    </cfRule>
    <cfRule type="cellIs" dxfId="15947" priority="7" operator="equal">
      <formula>0</formula>
    </cfRule>
  </conditionalFormatting>
  <conditionalFormatting sqref="V28">
    <cfRule type="cellIs" dxfId="15946" priority="5" operator="equal">
      <formula>0</formula>
    </cfRule>
  </conditionalFormatting>
  <conditionalFormatting sqref="V28">
    <cfRule type="cellIs" dxfId="15945" priority="3" operator="greaterThan">
      <formula>V27</formula>
    </cfRule>
    <cfRule type="cellIs" dxfId="15944" priority="4" operator="equal">
      <formula>0</formula>
    </cfRule>
  </conditionalFormatting>
  <conditionalFormatting sqref="V28">
    <cfRule type="cellIs" dxfId="15943" priority="1" operator="greaterThan">
      <formula>V27</formula>
    </cfRule>
    <cfRule type="cellIs" dxfId="15942" priority="2" operator="equal">
      <formula>0</formula>
    </cfRule>
  </conditionalFormatting>
  <dataValidations count="25">
    <dataValidation type="whole" operator="greaterThanOrEqual" allowBlank="1" showInputMessage="1" showErrorMessage="1" errorTitle="المجموع" error="العدد المناسب" sqref="O49 M42 P33 P30 P12 P15 P18 P21 P27 P24 P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allowBlank="1" showInputMessage="1" showErrorMessage="1" sqref="X51 X44:X48 Y16:Y51 X38:X41 X17 X20 X23 X26 X29 X32 X35">
      <formula1>0</formula1>
      <formula2>5000</formula2>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&amp;R&amp;"-,Gras"&amp;8&amp;K00-032Echamil V.08      &amp;F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2">
    <tabColor rgb="FF00B050"/>
  </sheetPr>
  <dimension ref="A1:Z54"/>
  <sheetViews>
    <sheetView showGridLines="0" rightToLeft="1" zoomScale="115" zoomScaleNormal="115" workbookViewId="0">
      <selection activeCell="L8" sqref="L8"/>
    </sheetView>
  </sheetViews>
  <sheetFormatPr baseColWidth="10" defaultColWidth="0" defaultRowHeight="14.4" zeroHeight="1"/>
  <cols>
    <col min="1" max="1" width="1.6640625"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9" t="s">
        <v>603</v>
      </c>
      <c r="W2" s="4459"/>
      <c r="X2" s="4459"/>
      <c r="Y2" s="1945"/>
      <c r="Z2" s="1420"/>
    </row>
    <row r="3" spans="1:26"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9"/>
      <c r="W3" s="4459"/>
      <c r="X3" s="4459"/>
      <c r="Y3" s="1945"/>
      <c r="Z3" s="1420"/>
    </row>
    <row r="4" spans="1:26" ht="20.100000000000001" customHeight="1">
      <c r="A4" s="1418"/>
      <c r="B4" s="1431"/>
      <c r="C4" s="1432"/>
      <c r="D4" s="2464" t="s">
        <v>1463</v>
      </c>
      <c r="E4" s="2465"/>
      <c r="F4" s="2465"/>
      <c r="G4" s="1032"/>
      <c r="H4" s="1032"/>
      <c r="I4" s="1032"/>
      <c r="J4" s="1032"/>
      <c r="K4" s="1032"/>
      <c r="L4" s="1032"/>
      <c r="M4" s="2466"/>
      <c r="N4" s="2467"/>
      <c r="O4" s="2467"/>
      <c r="P4" s="2468" t="s">
        <v>1464</v>
      </c>
      <c r="Q4" s="1948"/>
      <c r="R4" s="1441"/>
      <c r="S4" s="1430"/>
      <c r="T4" s="1424"/>
      <c r="U4" s="1944"/>
      <c r="V4" s="4459"/>
      <c r="W4" s="4459"/>
      <c r="X4" s="4459"/>
      <c r="Y4" s="1945"/>
      <c r="Z4" s="1420"/>
    </row>
    <row r="5" spans="1:26" ht="2.1" customHeight="1">
      <c r="A5" s="1418"/>
      <c r="B5" s="1431"/>
      <c r="C5" s="1442"/>
      <c r="D5" s="2465"/>
      <c r="E5" s="2465"/>
      <c r="F5" s="2465"/>
      <c r="G5" s="2465"/>
      <c r="H5" s="2469"/>
      <c r="I5" s="2470"/>
      <c r="J5" s="2470"/>
      <c r="K5" s="2470"/>
      <c r="L5" s="1316"/>
      <c r="M5" s="2467"/>
      <c r="N5" s="2467"/>
      <c r="O5" s="2467"/>
      <c r="P5" s="2471"/>
      <c r="Q5" s="1440"/>
      <c r="R5" s="1441"/>
      <c r="S5" s="1430"/>
      <c r="T5" s="1424"/>
      <c r="U5" s="1944"/>
      <c r="V5" s="4459"/>
      <c r="W5" s="4459"/>
      <c r="X5" s="4459"/>
      <c r="Y5" s="1945"/>
      <c r="Z5" s="1420"/>
    </row>
    <row r="6" spans="1:26" ht="15.9" customHeight="1">
      <c r="A6" s="1418"/>
      <c r="B6" s="1431"/>
      <c r="C6" s="1442"/>
      <c r="D6" s="1032"/>
      <c r="E6" s="1032"/>
      <c r="F6" s="2472"/>
      <c r="G6" s="2473" t="s">
        <v>936</v>
      </c>
      <c r="H6" s="2474" t="s">
        <v>1089</v>
      </c>
      <c r="I6" s="2475"/>
      <c r="J6" s="1032"/>
      <c r="K6" s="2477"/>
      <c r="L6" s="2478" t="s">
        <v>1104</v>
      </c>
      <c r="M6" s="2477"/>
      <c r="N6" s="2479"/>
      <c r="O6" s="2479" t="s">
        <v>937</v>
      </c>
      <c r="P6" s="1032"/>
      <c r="Q6" s="1440"/>
      <c r="R6" s="1441"/>
      <c r="S6" s="1430"/>
      <c r="T6" s="1424"/>
      <c r="U6" s="1944"/>
      <c r="V6" s="4459"/>
      <c r="W6" s="4459"/>
      <c r="X6" s="4459"/>
      <c r="Y6" s="1950"/>
      <c r="Z6" s="1420"/>
    </row>
    <row r="7" spans="1:26" ht="2.1" customHeight="1">
      <c r="A7" s="1418"/>
      <c r="B7" s="1431"/>
      <c r="C7" s="1442"/>
      <c r="D7" s="1966"/>
      <c r="E7" s="2480"/>
      <c r="F7" s="2480"/>
      <c r="G7" s="2480"/>
      <c r="H7" s="2480"/>
      <c r="I7" s="2480"/>
      <c r="J7" s="2480"/>
      <c r="K7" s="2480"/>
      <c r="L7" s="2480"/>
      <c r="M7" s="2480"/>
      <c r="N7" s="2480"/>
      <c r="O7" s="2480"/>
      <c r="P7" s="2480"/>
      <c r="Q7" s="1440"/>
      <c r="R7" s="1441"/>
      <c r="S7" s="1430"/>
      <c r="T7" s="1424"/>
      <c r="U7" s="1944"/>
      <c r="V7" s="1032"/>
      <c r="W7" s="1950"/>
      <c r="X7" s="1950"/>
      <c r="Y7" s="1950"/>
      <c r="Z7" s="1420"/>
    </row>
    <row r="8" spans="1:26" ht="14.1" customHeight="1">
      <c r="A8" s="1418"/>
      <c r="B8" s="1431"/>
      <c r="C8" s="1442"/>
      <c r="D8" s="2418" t="s">
        <v>1179</v>
      </c>
      <c r="E8" s="2419"/>
      <c r="F8" s="2419"/>
      <c r="G8" s="2419"/>
      <c r="H8" s="2420"/>
      <c r="I8" s="2420"/>
      <c r="J8" s="2420"/>
      <c r="K8" s="2420"/>
      <c r="L8" s="2419"/>
      <c r="M8" s="2419"/>
      <c r="N8" s="2419"/>
      <c r="O8" s="2419"/>
      <c r="P8" s="2396" t="s">
        <v>1180</v>
      </c>
      <c r="Q8" s="1440"/>
      <c r="R8" s="144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1440"/>
      <c r="R9" s="144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1440"/>
      <c r="R10" s="144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1440"/>
      <c r="R11" s="1441"/>
      <c r="S11" s="1430"/>
      <c r="T11" s="1424"/>
      <c r="U11" s="1944"/>
      <c r="V11" s="3100" t="s">
        <v>965</v>
      </c>
      <c r="W11" s="1966"/>
      <c r="X11" s="2036"/>
      <c r="Y11" s="2036"/>
      <c r="Z11" s="1420"/>
    </row>
    <row r="12" spans="1:26" ht="12" customHeight="1">
      <c r="A12" s="1418"/>
      <c r="B12" s="1431"/>
      <c r="C12" s="1442"/>
      <c r="D12" s="2430" t="s">
        <v>20</v>
      </c>
      <c r="E12" s="2265"/>
      <c r="F12" s="1462"/>
      <c r="G12" s="1462">
        <v>0</v>
      </c>
      <c r="H12" s="1462"/>
      <c r="I12" s="1462"/>
      <c r="J12" s="1462"/>
      <c r="K12" s="1462"/>
      <c r="L12" s="1462"/>
      <c r="M12" s="1462"/>
      <c r="N12" s="1462"/>
      <c r="O12" s="1462"/>
      <c r="P12" s="1998">
        <f>E12+F12+G12+H12+I12+J12+K12+L12+M12+N12+O12</f>
        <v>0</v>
      </c>
      <c r="Q12" s="1440"/>
      <c r="R12" s="1441"/>
      <c r="S12" s="1430"/>
      <c r="T12" s="1424"/>
      <c r="U12" s="1944"/>
      <c r="V12" s="4452" t="str">
        <f>IF(('الصفحة 1'!$Q$14&gt;0),((IF((P12&gt;'الصفحة 14'!$I$13),"العدد غيرمطابق",IF((P12&lt;='الصفحة 14'!$I$13)," ")))),"")</f>
        <v xml:space="preserve"> </v>
      </c>
      <c r="W12" s="4453"/>
      <c r="X12" s="3097"/>
      <c r="Y12" s="3096"/>
      <c r="Z12" s="1420"/>
    </row>
    <row r="13" spans="1:26" ht="12" customHeight="1">
      <c r="A13" s="1418"/>
      <c r="B13" s="1431"/>
      <c r="C13" s="1442"/>
      <c r="D13" s="2430" t="s">
        <v>672</v>
      </c>
      <c r="E13" s="2265"/>
      <c r="F13" s="2265"/>
      <c r="G13" s="2265"/>
      <c r="H13" s="2265"/>
      <c r="I13" s="2265"/>
      <c r="J13" s="2265"/>
      <c r="K13" s="2265"/>
      <c r="L13" s="2265"/>
      <c r="M13" s="2265"/>
      <c r="N13" s="2265"/>
      <c r="O13" s="2265"/>
      <c r="P13" s="1998">
        <f>E13+F13+G13+H13+I13+J13+K13+L13+M13+N13+O13</f>
        <v>0</v>
      </c>
      <c r="Q13" s="1440"/>
      <c r="R13" s="144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1440"/>
      <c r="R14" s="1441"/>
      <c r="S14" s="1430"/>
      <c r="T14" s="1424"/>
      <c r="U14" s="1944"/>
      <c r="V14" s="3100" t="s">
        <v>964</v>
      </c>
      <c r="W14" s="2036"/>
      <c r="X14" s="2036"/>
      <c r="Y14" s="2036"/>
      <c r="Z14" s="1420"/>
    </row>
    <row r="15" spans="1:26" ht="12" customHeight="1">
      <c r="A15" s="1418"/>
      <c r="B15" s="1431"/>
      <c r="C15" s="1442"/>
      <c r="D15" s="2430" t="s">
        <v>20</v>
      </c>
      <c r="E15" s="2265"/>
      <c r="F15" s="1462"/>
      <c r="G15" s="1462"/>
      <c r="H15" s="1462"/>
      <c r="I15" s="1462"/>
      <c r="J15" s="1462"/>
      <c r="K15" s="1462"/>
      <c r="L15" s="1462"/>
      <c r="M15" s="1462"/>
      <c r="N15" s="1462"/>
      <c r="O15" s="1462"/>
      <c r="P15" s="1998">
        <f>E15+F15+G15+H15+I15+J15+K15+L15+M15+N15+O15</f>
        <v>0</v>
      </c>
      <c r="Q15" s="1440"/>
      <c r="R15" s="1441"/>
      <c r="S15" s="1430"/>
      <c r="T15" s="1424"/>
      <c r="U15" s="1944"/>
      <c r="V15" s="4452" t="str">
        <f>IF(('الصفحة 1'!$Q$14&gt;0),((IF((P15&gt;'الصفحة 14'!$I$15),"العدد غيرمطابق",IF((P15&lt;='الصفحة 14'!$I$15)," ")))),"")</f>
        <v xml:space="preserve"> </v>
      </c>
      <c r="W15" s="4453"/>
      <c r="X15" s="3097"/>
      <c r="Y15" s="2036"/>
      <c r="Z15" s="1420"/>
    </row>
    <row r="16" spans="1:26" ht="12" customHeight="1">
      <c r="A16" s="1418"/>
      <c r="B16" s="1431"/>
      <c r="C16" s="1442"/>
      <c r="D16" s="2430" t="s">
        <v>672</v>
      </c>
      <c r="E16" s="2265"/>
      <c r="F16" s="2265"/>
      <c r="G16" s="2265"/>
      <c r="H16" s="2265"/>
      <c r="I16" s="2265"/>
      <c r="J16" s="2265"/>
      <c r="K16" s="2265"/>
      <c r="L16" s="2265"/>
      <c r="M16" s="2265"/>
      <c r="N16" s="2265"/>
      <c r="O16" s="2265"/>
      <c r="P16" s="1998">
        <f>E16+F16+G16+H16+I16+J16+K16+L16+M16+N16+O16</f>
        <v>0</v>
      </c>
      <c r="Q16" s="1440"/>
      <c r="R16" s="144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1440"/>
      <c r="R17" s="144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52" t="str">
        <f>IF(('الصفحة 1'!$Q$14&gt;0),((IF((P18&gt;'الصفحة 14'!$I$17),"العدد غيرمطابق",IF((P18&lt;='الصفحة 14'!$I$17),"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1440"/>
      <c r="R20" s="1441"/>
      <c r="S20" s="1430"/>
      <c r="T20" s="1424"/>
      <c r="U20" s="1944"/>
      <c r="V20" s="3100" t="s">
        <v>962</v>
      </c>
      <c r="W20" s="2039"/>
      <c r="X20" s="3052"/>
      <c r="Y20" s="3052"/>
      <c r="Z20" s="1420"/>
    </row>
    <row r="21" spans="1:26" ht="12" customHeight="1">
      <c r="A21" s="1418"/>
      <c r="B21" s="1431"/>
      <c r="C21" s="1442"/>
      <c r="D21" s="2430" t="s">
        <v>20</v>
      </c>
      <c r="E21" s="2265">
        <v>3</v>
      </c>
      <c r="F21" s="1462"/>
      <c r="G21" s="1462"/>
      <c r="H21" s="1462"/>
      <c r="I21" s="1462"/>
      <c r="J21" s="1462"/>
      <c r="K21" s="1462"/>
      <c r="L21" s="1462"/>
      <c r="M21" s="1462"/>
      <c r="N21" s="1462"/>
      <c r="O21" s="1462"/>
      <c r="P21" s="1998">
        <f>E21+F21+G21+H21+I21+J21+K21+L21+M21+N21+O21</f>
        <v>3</v>
      </c>
      <c r="Q21" s="1440"/>
      <c r="R21" s="1441"/>
      <c r="S21" s="1430"/>
      <c r="T21" s="1424"/>
      <c r="U21" s="1944"/>
      <c r="V21" s="4452" t="str">
        <f>IF(('الصفحة 1'!$Q$14&gt;0),((IF((P21&gt;'الصفحة 14'!$I$19),"العدد غيرمطابق",IF((P21&lt;='الصفحة 14'!$I$19)," ")))),"")</f>
        <v xml:space="preserve"> </v>
      </c>
      <c r="W21" s="4453"/>
      <c r="X21" s="3097"/>
      <c r="Y21" s="3052"/>
      <c r="Z21" s="1420"/>
    </row>
    <row r="22" spans="1:26" ht="12" customHeight="1">
      <c r="A22" s="1418"/>
      <c r="B22" s="1431"/>
      <c r="C22" s="1442"/>
      <c r="D22" s="2430" t="s">
        <v>672</v>
      </c>
      <c r="E22" s="2265">
        <v>2</v>
      </c>
      <c r="F22" s="2265"/>
      <c r="G22" s="2265"/>
      <c r="H22" s="2265"/>
      <c r="I22" s="2265"/>
      <c r="J22" s="2265"/>
      <c r="K22" s="2265"/>
      <c r="L22" s="2265"/>
      <c r="M22" s="2265"/>
      <c r="N22" s="2265"/>
      <c r="O22" s="2265"/>
      <c r="P22" s="1998">
        <f>E22+F22+G22+H22+I22+J22+K22+L22+M22+N22+O22</f>
        <v>2</v>
      </c>
      <c r="Q22" s="1440"/>
      <c r="R22" s="144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1440"/>
      <c r="R23" s="144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52" t="str">
        <f>IF(('الصفحة 1'!$Q$14&gt;0),((IF((P24&gt;'الصفحة 14'!$I$21),"العدد غيرمطابق",IF((P24&lt;='الصفحة 14'!$I$21),"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1440"/>
      <c r="R26" s="1441"/>
      <c r="S26" s="1430"/>
      <c r="T26" s="1424"/>
      <c r="U26" s="1944"/>
      <c r="V26" s="3109" t="s">
        <v>1083</v>
      </c>
      <c r="W26" s="1966"/>
      <c r="X26" s="3052"/>
      <c r="Y26" s="3052"/>
      <c r="Z26" s="1420"/>
    </row>
    <row r="27" spans="1:26" ht="12" customHeight="1">
      <c r="A27" s="1418"/>
      <c r="B27" s="1431"/>
      <c r="C27" s="1442"/>
      <c r="D27" s="2430" t="s">
        <v>20</v>
      </c>
      <c r="E27" s="1996">
        <f t="shared" ref="E27:O27" si="0">(E12+E15+E18+E21+E24)</f>
        <v>3</v>
      </c>
      <c r="F27" s="1997">
        <f t="shared" si="0"/>
        <v>0</v>
      </c>
      <c r="G27" s="1997">
        <f t="shared" si="0"/>
        <v>0</v>
      </c>
      <c r="H27" s="1997">
        <f t="shared" si="0"/>
        <v>0</v>
      </c>
      <c r="I27" s="1997">
        <f t="shared" si="0"/>
        <v>0</v>
      </c>
      <c r="J27" s="1997">
        <f t="shared" si="0"/>
        <v>0</v>
      </c>
      <c r="K27" s="1997">
        <f t="shared" si="0"/>
        <v>0</v>
      </c>
      <c r="L27" s="1997">
        <f t="shared" si="0"/>
        <v>0</v>
      </c>
      <c r="M27" s="1997">
        <f t="shared" si="0"/>
        <v>0</v>
      </c>
      <c r="N27" s="1997">
        <f t="shared" si="0"/>
        <v>0</v>
      </c>
      <c r="O27" s="1997">
        <f t="shared" si="0"/>
        <v>0</v>
      </c>
      <c r="P27" s="1998">
        <f>E27+F27+G27+H27+I27+J27+K27+L27+M27+N27+O27</f>
        <v>3</v>
      </c>
      <c r="Q27" s="1440"/>
      <c r="R27" s="1441"/>
      <c r="S27" s="1430"/>
      <c r="T27" s="1424"/>
      <c r="U27" s="1944"/>
      <c r="V27" s="4452" t="str">
        <f>IF(('الصفحة 1'!$Q$14&gt;0),((IF((P27&gt;'الصفحة 14'!$I$23),"العدد غيرمطابق",IF((P27&lt;='الصفحة 14'!$I$23)," ")))),"")</f>
        <v xml:space="preserve"> </v>
      </c>
      <c r="W27" s="4453"/>
      <c r="X27" s="3097"/>
      <c r="Y27" s="3052"/>
      <c r="Z27" s="1420"/>
    </row>
    <row r="28" spans="1:26" ht="12" customHeight="1">
      <c r="A28" s="1418"/>
      <c r="B28" s="1431"/>
      <c r="C28" s="1442"/>
      <c r="D28" s="2430" t="s">
        <v>672</v>
      </c>
      <c r="E28" s="1996">
        <f t="shared" ref="E28:O28" si="1">(E13+E16+E19+E22+E25)</f>
        <v>2</v>
      </c>
      <c r="F28" s="1996">
        <f t="shared" si="1"/>
        <v>0</v>
      </c>
      <c r="G28" s="1996">
        <f t="shared" si="1"/>
        <v>0</v>
      </c>
      <c r="H28" s="1996">
        <f t="shared" si="1"/>
        <v>0</v>
      </c>
      <c r="I28" s="1996">
        <f t="shared" si="1"/>
        <v>0</v>
      </c>
      <c r="J28" s="1996">
        <f t="shared" si="1"/>
        <v>0</v>
      </c>
      <c r="K28" s="1996">
        <f t="shared" si="1"/>
        <v>0</v>
      </c>
      <c r="L28" s="1996">
        <f t="shared" si="1"/>
        <v>0</v>
      </c>
      <c r="M28" s="1996">
        <f t="shared" si="1"/>
        <v>0</v>
      </c>
      <c r="N28" s="1996">
        <f t="shared" si="1"/>
        <v>0</v>
      </c>
      <c r="O28" s="1996">
        <f t="shared" si="1"/>
        <v>0</v>
      </c>
      <c r="P28" s="1998">
        <f>E28+F28+G28+H28+I28+J28+K28+L28+M28+N28+O28</f>
        <v>2</v>
      </c>
      <c r="Q28" s="1440"/>
      <c r="R28" s="144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1440"/>
      <c r="R29" s="144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64"/>
      <c r="W31" s="4464"/>
      <c r="X31" s="3052"/>
      <c r="Y31" s="3052"/>
      <c r="Z31" s="1420"/>
    </row>
    <row r="32" spans="1:26" ht="11.1" customHeight="1">
      <c r="A32" s="1418"/>
      <c r="B32" s="1431"/>
      <c r="C32" s="1442"/>
      <c r="D32" s="2437" t="s">
        <v>1181</v>
      </c>
      <c r="E32" s="2000"/>
      <c r="F32" s="2000"/>
      <c r="G32" s="2000"/>
      <c r="H32" s="2000"/>
      <c r="I32" s="2000"/>
      <c r="J32" s="2000"/>
      <c r="K32" s="2000"/>
      <c r="L32" s="2000"/>
      <c r="M32" s="2000"/>
      <c r="N32" s="2000"/>
      <c r="O32" s="2000"/>
      <c r="P32" s="2403" t="s">
        <v>1182</v>
      </c>
      <c r="Q32" s="1440"/>
      <c r="R32" s="1441"/>
      <c r="S32" s="1430"/>
      <c r="T32" s="1424"/>
      <c r="U32" s="1944"/>
      <c r="V32" s="2177"/>
      <c r="W32" s="1966"/>
      <c r="X32" s="3052"/>
      <c r="Y32" s="3052"/>
      <c r="Z32" s="1420"/>
    </row>
    <row r="33" spans="1:26" ht="12.9" customHeight="1">
      <c r="A33" s="1418"/>
      <c r="B33" s="1431"/>
      <c r="C33" s="1442"/>
      <c r="D33" s="2430" t="s">
        <v>20</v>
      </c>
      <c r="E33" s="2265">
        <v>1</v>
      </c>
      <c r="F33" s="1462"/>
      <c r="G33" s="1462"/>
      <c r="H33" s="1462"/>
      <c r="I33" s="1462"/>
      <c r="J33" s="1462"/>
      <c r="K33" s="1462"/>
      <c r="L33" s="1462"/>
      <c r="M33" s="1462"/>
      <c r="N33" s="1462"/>
      <c r="O33" s="1462"/>
      <c r="P33" s="1998">
        <f>E33+F33+G33+H33+I33+J33+K33+L33+M33+N33+O33</f>
        <v>1</v>
      </c>
      <c r="Q33" s="1440"/>
      <c r="R33" s="1441"/>
      <c r="S33" s="1430"/>
      <c r="T33" s="1424"/>
      <c r="U33" s="1944"/>
      <c r="V33" s="4464"/>
      <c r="W33" s="4464"/>
      <c r="X33" s="3052"/>
      <c r="Y33" s="3052"/>
      <c r="Z33" s="1420"/>
    </row>
    <row r="34" spans="1:26" ht="12" customHeight="1">
      <c r="A34" s="1418"/>
      <c r="B34" s="1431"/>
      <c r="C34" s="1442"/>
      <c r="D34" s="2430" t="s">
        <v>672</v>
      </c>
      <c r="E34" s="2265">
        <v>1</v>
      </c>
      <c r="F34" s="2265"/>
      <c r="G34" s="2265"/>
      <c r="H34" s="2265"/>
      <c r="I34" s="2265"/>
      <c r="J34" s="2265"/>
      <c r="K34" s="2265"/>
      <c r="L34" s="2265"/>
      <c r="M34" s="2265"/>
      <c r="N34" s="2265"/>
      <c r="O34" s="2265"/>
      <c r="P34" s="1998">
        <f>E34+F34+G34+H34+I34+J34+K34+L34+M34+N34+O34</f>
        <v>1</v>
      </c>
      <c r="Q34" s="1440"/>
      <c r="R34" s="144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1440"/>
      <c r="R35" s="1441"/>
      <c r="S35" s="1430"/>
      <c r="T35" s="1424"/>
      <c r="U35" s="1944"/>
      <c r="V35" s="2176"/>
      <c r="W35" s="1966"/>
      <c r="X35" s="3052"/>
      <c r="Y35" s="3052"/>
      <c r="Z35" s="1420"/>
    </row>
    <row r="36" spans="1:26" ht="12.9" customHeight="1">
      <c r="A36" s="1418"/>
      <c r="B36" s="1431"/>
      <c r="C36" s="1442"/>
      <c r="D36" s="2430" t="s">
        <v>20</v>
      </c>
      <c r="E36" s="1996">
        <f t="shared" ref="E36:O36" si="2">(E27+E33)</f>
        <v>4</v>
      </c>
      <c r="F36" s="1997">
        <f t="shared" si="2"/>
        <v>0</v>
      </c>
      <c r="G36" s="1997">
        <f t="shared" si="2"/>
        <v>0</v>
      </c>
      <c r="H36" s="1997">
        <f t="shared" si="2"/>
        <v>0</v>
      </c>
      <c r="I36" s="1997">
        <f t="shared" si="2"/>
        <v>0</v>
      </c>
      <c r="J36" s="1997">
        <f t="shared" si="2"/>
        <v>0</v>
      </c>
      <c r="K36" s="1997">
        <f t="shared" si="2"/>
        <v>0</v>
      </c>
      <c r="L36" s="1997">
        <f t="shared" si="2"/>
        <v>0</v>
      </c>
      <c r="M36" s="1997">
        <f t="shared" si="2"/>
        <v>0</v>
      </c>
      <c r="N36" s="1997">
        <f t="shared" si="2"/>
        <v>0</v>
      </c>
      <c r="O36" s="1997">
        <f t="shared" si="2"/>
        <v>0</v>
      </c>
      <c r="P36" s="1998">
        <f>E36+F36+G36+H36+I36+J36+K36+L36+M36+N36+O36</f>
        <v>4</v>
      </c>
      <c r="Q36" s="1440"/>
      <c r="R36" s="1441"/>
      <c r="S36" s="1430"/>
      <c r="T36" s="1424"/>
      <c r="U36" s="1944"/>
      <c r="V36" s="4464"/>
      <c r="W36" s="4464"/>
      <c r="X36" s="3052"/>
      <c r="Y36" s="3052"/>
      <c r="Z36" s="1420"/>
    </row>
    <row r="37" spans="1:26" ht="12.9" customHeight="1">
      <c r="A37" s="1418"/>
      <c r="B37" s="1431"/>
      <c r="C37" s="1442"/>
      <c r="D37" s="2430" t="s">
        <v>672</v>
      </c>
      <c r="E37" s="1996">
        <f t="shared" ref="E37:O37" si="3">(E28+E34)</f>
        <v>3</v>
      </c>
      <c r="F37" s="1996">
        <f t="shared" si="3"/>
        <v>0</v>
      </c>
      <c r="G37" s="1996">
        <f t="shared" si="3"/>
        <v>0</v>
      </c>
      <c r="H37" s="1996">
        <f t="shared" si="3"/>
        <v>0</v>
      </c>
      <c r="I37" s="1996">
        <f t="shared" si="3"/>
        <v>0</v>
      </c>
      <c r="J37" s="1996">
        <f t="shared" si="3"/>
        <v>0</v>
      </c>
      <c r="K37" s="1996">
        <f t="shared" si="3"/>
        <v>0</v>
      </c>
      <c r="L37" s="1996">
        <f t="shared" si="3"/>
        <v>0</v>
      </c>
      <c r="M37" s="1996">
        <f t="shared" si="3"/>
        <v>0</v>
      </c>
      <c r="N37" s="1996">
        <f t="shared" si="3"/>
        <v>0</v>
      </c>
      <c r="O37" s="1996">
        <f t="shared" si="3"/>
        <v>0</v>
      </c>
      <c r="P37" s="1998">
        <f>E37+F37+G37+H37+I37+J37+K37+L37+M37+N37+O37</f>
        <v>3</v>
      </c>
      <c r="Q37" s="1440"/>
      <c r="R37" s="144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1440"/>
      <c r="R38" s="1441"/>
      <c r="S38" s="1430"/>
      <c r="T38" s="1424"/>
      <c r="U38" s="1944"/>
      <c r="V38" s="2038"/>
      <c r="W38" s="1966"/>
      <c r="X38" s="3052"/>
      <c r="Y38" s="3052"/>
      <c r="Z38" s="1420"/>
    </row>
    <row r="39" spans="1:26" ht="15" customHeight="1">
      <c r="A39" s="1418"/>
      <c r="B39" s="1431"/>
      <c r="C39" s="1442"/>
      <c r="D39" s="2441" t="s">
        <v>1133</v>
      </c>
      <c r="E39" s="2419"/>
      <c r="F39" s="2419"/>
      <c r="G39" s="2419"/>
      <c r="H39" s="2442" t="s">
        <v>1257</v>
      </c>
      <c r="I39" s="2420"/>
      <c r="J39" s="2420"/>
      <c r="K39" s="2420"/>
      <c r="L39" s="2419"/>
      <c r="M39" s="2419"/>
      <c r="N39" s="2419"/>
      <c r="O39" s="2419"/>
      <c r="P39" s="2443" t="s">
        <v>1201</v>
      </c>
      <c r="Q39" s="1440"/>
      <c r="R39" s="144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1440"/>
      <c r="R40" s="144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1440"/>
      <c r="R41" s="1441"/>
      <c r="S41" s="1430"/>
      <c r="T41" s="1424"/>
      <c r="U41" s="1944"/>
      <c r="V41" s="2179" t="s">
        <v>1085</v>
      </c>
      <c r="W41" s="1966"/>
      <c r="X41" s="2037"/>
      <c r="Y41" s="2037"/>
      <c r="Z41" s="1420"/>
    </row>
    <row r="42" spans="1:26" ht="14.1" customHeight="1">
      <c r="A42" s="1418"/>
      <c r="B42" s="1431"/>
      <c r="C42" s="1442"/>
      <c r="D42" s="2430" t="s">
        <v>20</v>
      </c>
      <c r="E42" s="2265"/>
      <c r="F42" s="1462">
        <v>2</v>
      </c>
      <c r="G42" s="1462"/>
      <c r="H42" s="1462">
        <v>2</v>
      </c>
      <c r="I42" s="1462"/>
      <c r="J42" s="1462"/>
      <c r="K42" s="1462"/>
      <c r="L42" s="1462"/>
      <c r="M42" s="2453">
        <f>E42+F42+G42+H42+I42+J42+K42+L42</f>
        <v>4</v>
      </c>
      <c r="N42" s="2452"/>
      <c r="O42" s="2452"/>
      <c r="P42" s="2452"/>
      <c r="Q42" s="1440"/>
      <c r="R42" s="1441"/>
      <c r="S42" s="1430"/>
      <c r="T42" s="1424"/>
      <c r="U42" s="1944"/>
      <c r="V42" s="4452" t="str">
        <f>IF(('الصفحة 1'!$Q$14&gt;0),((IF((M42&gt;'الصفحة 14'!$I$23),"العدد غيرمطابق",IF((M42&lt;='الصفحة 14'!$I$23)," ")))),"")</f>
        <v xml:space="preserve"> </v>
      </c>
      <c r="W42" s="4453"/>
      <c r="X42" s="1975" t="str">
        <f>IF(('الصفحة 1'!$Q$14&gt;0),((IF((M42&lt;&gt;P27),"العدد غيرمطابق",IF((M42=P27)," ")))),"")</f>
        <v>العدد غيرمطابق</v>
      </c>
      <c r="Y42" s="2037"/>
      <c r="Z42" s="1420"/>
    </row>
    <row r="43" spans="1:26" ht="14.1" customHeight="1">
      <c r="A43" s="1418"/>
      <c r="B43" s="1431"/>
      <c r="C43" s="1442"/>
      <c r="D43" s="2430" t="s">
        <v>672</v>
      </c>
      <c r="E43" s="2265"/>
      <c r="F43" s="2265">
        <v>2</v>
      </c>
      <c r="G43" s="2265"/>
      <c r="H43" s="2265">
        <v>1</v>
      </c>
      <c r="I43" s="2265"/>
      <c r="J43" s="2265"/>
      <c r="K43" s="2265"/>
      <c r="L43" s="2265"/>
      <c r="M43" s="2453">
        <f>E43+F43+G43+H43+I43+J43+K43+L43</f>
        <v>3</v>
      </c>
      <c r="N43" s="2452"/>
      <c r="O43" s="2452"/>
      <c r="P43" s="2452"/>
      <c r="Q43" s="1440"/>
      <c r="R43" s="1441"/>
      <c r="S43" s="1430"/>
      <c r="T43" s="1424"/>
      <c r="U43" s="1944"/>
      <c r="V43" s="4452" t="str">
        <f>IF(('الصفحة 1'!$Q$14&gt;0),((IF((M43&gt;'الصفحة 14'!$I$23),"العدد غيرمطابق",IF((M43&lt;='الصفحة 14'!$I$23)," ")))),"")</f>
        <v xml:space="preserve"> </v>
      </c>
      <c r="W43" s="4453"/>
      <c r="X43" s="1975" t="str">
        <f>IF(('الصفحة 1'!$Q$14&gt;0),((IF((M43&lt;&gt;P28),"العدد غيرمطابق",IF((M43=P28)," ")))),"")</f>
        <v>العدد غيرمطابق</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1440"/>
      <c r="R44" s="144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1440"/>
      <c r="R45" s="1441"/>
      <c r="S45" s="1430"/>
      <c r="T45" s="1424"/>
      <c r="U45" s="1944"/>
      <c r="V45" s="2038"/>
      <c r="W45" s="1966"/>
      <c r="X45" s="2037"/>
      <c r="Y45" s="2037"/>
      <c r="Z45" s="1420"/>
    </row>
    <row r="46" spans="1:26" ht="15" customHeight="1">
      <c r="A46" s="1418"/>
      <c r="B46" s="1431"/>
      <c r="C46" s="1442"/>
      <c r="D46" s="2441" t="s">
        <v>1134</v>
      </c>
      <c r="E46" s="2457"/>
      <c r="F46" s="2457"/>
      <c r="G46" s="2457"/>
      <c r="H46" s="2442" t="s">
        <v>1257</v>
      </c>
      <c r="I46" s="2458"/>
      <c r="J46" s="2458"/>
      <c r="K46" s="2458"/>
      <c r="L46" s="2457"/>
      <c r="M46" s="2457"/>
      <c r="N46" s="2457"/>
      <c r="O46" s="2457"/>
      <c r="P46" s="2459" t="s">
        <v>1135</v>
      </c>
      <c r="Q46" s="1440"/>
      <c r="R46" s="144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1440"/>
      <c r="R47" s="144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1440"/>
      <c r="R48" s="144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1440"/>
      <c r="R49" s="1441"/>
      <c r="S49" s="1430"/>
      <c r="T49" s="1424"/>
      <c r="U49" s="1944"/>
      <c r="V49" s="4452" t="str">
        <f>IF(('الصفحة 1'!$Q$14&gt;0),((IF((O49&gt;'الصفحة 14'!$I$23),"العدد غيرمطابق",IF((O49&lt;='الصفحة 14'!$I$23)," ")))),"")</f>
        <v xml:space="preserve"> </v>
      </c>
      <c r="W49" s="4453"/>
      <c r="X49" s="1975" t="str">
        <f>IF(('الصفحة 1'!$Q$14&gt;0),((IF((O49&lt;&gt;P27),"العدد غيرمطابق",IF((O49=P27)," ")))),"")</f>
        <v>العدد غيرمطابق</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1440"/>
      <c r="R50" s="1441"/>
      <c r="S50" s="1430"/>
      <c r="T50" s="1424"/>
      <c r="U50" s="1944"/>
      <c r="V50" s="4452" t="str">
        <f>IF(('الصفحة 1'!$Q$14&gt;0),((IF((O50&gt;'الصفحة 14'!$I$23),"العدد غيرمطابق",IF((O50&lt;='الصفحة 14'!$I$23)," ")))),"")</f>
        <v xml:space="preserve"> </v>
      </c>
      <c r="W50" s="4453"/>
      <c r="X50" s="1975" t="str">
        <f>IF(('الصفحة 1'!$Q$14&gt;0),((IF((O50&lt;&gt;P28),"العدد غيرمطابق",IF((O50=P28)," ")))),"")</f>
        <v>العدد غيرمطابق</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19</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5:W15"/>
    <mergeCell ref="V2:X6"/>
    <mergeCell ref="V10:W10"/>
    <mergeCell ref="V12:W12"/>
    <mergeCell ref="V13:W13"/>
    <mergeCell ref="V8:W8"/>
    <mergeCell ref="V33:W33"/>
    <mergeCell ref="V16:W16"/>
    <mergeCell ref="V18:W18"/>
    <mergeCell ref="V19:W19"/>
    <mergeCell ref="V21:W21"/>
    <mergeCell ref="V22:W22"/>
    <mergeCell ref="V24:W24"/>
    <mergeCell ref="V25:W25"/>
    <mergeCell ref="V27:W27"/>
    <mergeCell ref="V28:W28"/>
    <mergeCell ref="V30:W30"/>
    <mergeCell ref="V31:W31"/>
    <mergeCell ref="V34:W34"/>
    <mergeCell ref="V36:W36"/>
    <mergeCell ref="V37:W37"/>
    <mergeCell ref="V42:W42"/>
    <mergeCell ref="V43:W43"/>
    <mergeCell ref="O48:P48"/>
    <mergeCell ref="E49:F49"/>
    <mergeCell ref="G49:H49"/>
    <mergeCell ref="I49:J49"/>
    <mergeCell ref="K49:L49"/>
    <mergeCell ref="M49:N49"/>
    <mergeCell ref="O49:P49"/>
    <mergeCell ref="E48:F48"/>
    <mergeCell ref="G48:H48"/>
    <mergeCell ref="I48:J48"/>
    <mergeCell ref="K48:L48"/>
    <mergeCell ref="M48:N48"/>
    <mergeCell ref="C53:R53"/>
    <mergeCell ref="V49:W49"/>
    <mergeCell ref="E50:F50"/>
    <mergeCell ref="G50:H50"/>
    <mergeCell ref="I50:J50"/>
    <mergeCell ref="K50:L50"/>
    <mergeCell ref="M50:N50"/>
    <mergeCell ref="O50:P50"/>
    <mergeCell ref="V50:W50"/>
  </mergeCells>
  <conditionalFormatting sqref="G49 I49:I50 K49:K50 M49:M50 O49:O50 V49:V50 X49:X50 E49 X42:X43 E42:P42 V42:V43 E27:P27 E12:P12 E15:P15 E18:P18 E21:P21 V12:V13 V15:V16 V18:V19 E30:P30 X12:X13 X15:X16 X18:X19 E24:P24 X21:X25 V21:V22 V24:V25 X27:X28 V27:V28">
    <cfRule type="cellIs" dxfId="15941" priority="1812" operator="equal">
      <formula>0</formula>
    </cfRule>
  </conditionalFormatting>
  <conditionalFormatting sqref="E13 E43:P44 V50 X50">
    <cfRule type="cellIs" dxfId="15940" priority="1810" operator="greaterThan">
      <formula>E12</formula>
    </cfRule>
    <cfRule type="cellIs" dxfId="15939" priority="1811" operator="equal">
      <formula>0</formula>
    </cfRule>
  </conditionalFormatting>
  <conditionalFormatting sqref="F13">
    <cfRule type="cellIs" dxfId="15938" priority="1808" operator="greaterThan">
      <formula>F12</formula>
    </cfRule>
    <cfRule type="cellIs" dxfId="15937" priority="1809" operator="equal">
      <formula>0</formula>
    </cfRule>
  </conditionalFormatting>
  <conditionalFormatting sqref="G13">
    <cfRule type="cellIs" dxfId="15936" priority="1806" operator="greaterThan">
      <formula>G12</formula>
    </cfRule>
    <cfRule type="cellIs" dxfId="15935" priority="1807" operator="equal">
      <formula>0</formula>
    </cfRule>
  </conditionalFormatting>
  <conditionalFormatting sqref="H13">
    <cfRule type="cellIs" dxfId="15934" priority="1804" operator="greaterThan">
      <formula>H12</formula>
    </cfRule>
    <cfRule type="cellIs" dxfId="15933" priority="1805" operator="equal">
      <formula>0</formula>
    </cfRule>
  </conditionalFormatting>
  <conditionalFormatting sqref="I13">
    <cfRule type="cellIs" dxfId="15932" priority="1802" operator="greaterThan">
      <formula>I12</formula>
    </cfRule>
    <cfRule type="cellIs" dxfId="15931" priority="1803" operator="equal">
      <formula>0</formula>
    </cfRule>
  </conditionalFormatting>
  <conditionalFormatting sqref="J13">
    <cfRule type="cellIs" dxfId="15930" priority="1800" operator="greaterThan">
      <formula>J12</formula>
    </cfRule>
    <cfRule type="cellIs" dxfId="15929" priority="1801" operator="equal">
      <formula>0</formula>
    </cfRule>
  </conditionalFormatting>
  <conditionalFormatting sqref="K13">
    <cfRule type="cellIs" dxfId="15928" priority="1798" operator="greaterThan">
      <formula>K12</formula>
    </cfRule>
    <cfRule type="cellIs" dxfId="15927" priority="1799" operator="equal">
      <formula>0</formula>
    </cfRule>
  </conditionalFormatting>
  <conditionalFormatting sqref="L13">
    <cfRule type="cellIs" dxfId="15926" priority="1796" operator="greaterThan">
      <formula>L12</formula>
    </cfRule>
    <cfRule type="cellIs" dxfId="15925" priority="1797" operator="equal">
      <formula>0</formula>
    </cfRule>
  </conditionalFormatting>
  <conditionalFormatting sqref="M13">
    <cfRule type="cellIs" dxfId="15924" priority="1794" operator="greaterThan">
      <formula>M12</formula>
    </cfRule>
    <cfRule type="cellIs" dxfId="15923" priority="1795" operator="equal">
      <formula>0</formula>
    </cfRule>
  </conditionalFormatting>
  <conditionalFormatting sqref="N13">
    <cfRule type="cellIs" dxfId="15922" priority="1792" operator="greaterThan">
      <formula>N12</formula>
    </cfRule>
    <cfRule type="cellIs" dxfId="15921" priority="1793" operator="equal">
      <formula>0</formula>
    </cfRule>
  </conditionalFormatting>
  <conditionalFormatting sqref="O13">
    <cfRule type="cellIs" dxfId="15920" priority="1790" operator="greaterThan">
      <formula>O12</formula>
    </cfRule>
    <cfRule type="cellIs" dxfId="15919" priority="1791" operator="equal">
      <formula>0</formula>
    </cfRule>
  </conditionalFormatting>
  <conditionalFormatting sqref="P13">
    <cfRule type="cellIs" dxfId="15918" priority="1788" operator="greaterThan">
      <formula>P12</formula>
    </cfRule>
    <cfRule type="cellIs" dxfId="15917" priority="1789" operator="equal">
      <formula>0</formula>
    </cfRule>
  </conditionalFormatting>
  <conditionalFormatting sqref="E16">
    <cfRule type="cellIs" dxfId="15916" priority="1786" operator="greaterThan">
      <formula>E15</formula>
    </cfRule>
    <cfRule type="cellIs" dxfId="15915" priority="1787" operator="equal">
      <formula>0</formula>
    </cfRule>
  </conditionalFormatting>
  <conditionalFormatting sqref="F16">
    <cfRule type="cellIs" dxfId="15914" priority="1784" operator="greaterThan">
      <formula>F15</formula>
    </cfRule>
    <cfRule type="cellIs" dxfId="15913" priority="1785" operator="equal">
      <formula>0</formula>
    </cfRule>
  </conditionalFormatting>
  <conditionalFormatting sqref="G16">
    <cfRule type="cellIs" dxfId="15912" priority="1782" operator="greaterThan">
      <formula>G15</formula>
    </cfRule>
    <cfRule type="cellIs" dxfId="15911" priority="1783" operator="equal">
      <formula>0</formula>
    </cfRule>
  </conditionalFormatting>
  <conditionalFormatting sqref="H16">
    <cfRule type="cellIs" dxfId="15910" priority="1780" operator="greaterThan">
      <formula>H15</formula>
    </cfRule>
    <cfRule type="cellIs" dxfId="15909" priority="1781" operator="equal">
      <formula>0</formula>
    </cfRule>
  </conditionalFormatting>
  <conditionalFormatting sqref="I16">
    <cfRule type="cellIs" dxfId="15908" priority="1778" operator="greaterThan">
      <formula>I15</formula>
    </cfRule>
    <cfRule type="cellIs" dxfId="15907" priority="1779" operator="equal">
      <formula>0</formula>
    </cfRule>
  </conditionalFormatting>
  <conditionalFormatting sqref="J16">
    <cfRule type="cellIs" dxfId="15906" priority="1776" operator="greaterThan">
      <formula>J15</formula>
    </cfRule>
    <cfRule type="cellIs" dxfId="15905" priority="1777" operator="equal">
      <formula>0</formula>
    </cfRule>
  </conditionalFormatting>
  <conditionalFormatting sqref="K16">
    <cfRule type="cellIs" dxfId="15904" priority="1774" operator="greaterThan">
      <formula>K15</formula>
    </cfRule>
    <cfRule type="cellIs" dxfId="15903" priority="1775" operator="equal">
      <formula>0</formula>
    </cfRule>
  </conditionalFormatting>
  <conditionalFormatting sqref="L16">
    <cfRule type="cellIs" dxfId="15902" priority="1772" operator="greaterThan">
      <formula>L15</formula>
    </cfRule>
    <cfRule type="cellIs" dxfId="15901" priority="1773" operator="equal">
      <formula>0</formula>
    </cfRule>
  </conditionalFormatting>
  <conditionalFormatting sqref="M16">
    <cfRule type="cellIs" dxfId="15900" priority="1770" operator="greaterThan">
      <formula>M15</formula>
    </cfRule>
    <cfRule type="cellIs" dxfId="15899" priority="1771" operator="equal">
      <formula>0</formula>
    </cfRule>
  </conditionalFormatting>
  <conditionalFormatting sqref="N16">
    <cfRule type="cellIs" dxfId="15898" priority="1768" operator="greaterThan">
      <formula>N15</formula>
    </cfRule>
    <cfRule type="cellIs" dxfId="15897" priority="1769" operator="equal">
      <formula>0</formula>
    </cfRule>
  </conditionalFormatting>
  <conditionalFormatting sqref="O16">
    <cfRule type="cellIs" dxfId="15896" priority="1766" operator="greaterThan">
      <formula>O15</formula>
    </cfRule>
    <cfRule type="cellIs" dxfId="15895" priority="1767" operator="equal">
      <formula>0</formula>
    </cfRule>
  </conditionalFormatting>
  <conditionalFormatting sqref="P16">
    <cfRule type="cellIs" dxfId="15894" priority="1764" operator="greaterThan">
      <formula>P15</formula>
    </cfRule>
    <cfRule type="cellIs" dxfId="15893" priority="1765" operator="equal">
      <formula>0</formula>
    </cfRule>
  </conditionalFormatting>
  <conditionalFormatting sqref="E19">
    <cfRule type="cellIs" dxfId="15892" priority="1762" operator="greaterThan">
      <formula>E18</formula>
    </cfRule>
    <cfRule type="cellIs" dxfId="15891" priority="1763" operator="equal">
      <formula>0</formula>
    </cfRule>
  </conditionalFormatting>
  <conditionalFormatting sqref="F19">
    <cfRule type="cellIs" dxfId="15890" priority="1760" operator="greaterThan">
      <formula>F18</formula>
    </cfRule>
    <cfRule type="cellIs" dxfId="15889" priority="1761" operator="equal">
      <formula>0</formula>
    </cfRule>
  </conditionalFormatting>
  <conditionalFormatting sqref="G19">
    <cfRule type="cellIs" dxfId="15888" priority="1758" operator="greaterThan">
      <formula>G18</formula>
    </cfRule>
    <cfRule type="cellIs" dxfId="15887" priority="1759" operator="equal">
      <formula>0</formula>
    </cfRule>
  </conditionalFormatting>
  <conditionalFormatting sqref="H19">
    <cfRule type="cellIs" dxfId="15886" priority="1756" operator="greaterThan">
      <formula>H18</formula>
    </cfRule>
    <cfRule type="cellIs" dxfId="15885" priority="1757" operator="equal">
      <formula>0</formula>
    </cfRule>
  </conditionalFormatting>
  <conditionalFormatting sqref="I19">
    <cfRule type="cellIs" dxfId="15884" priority="1754" operator="greaterThan">
      <formula>I18</formula>
    </cfRule>
    <cfRule type="cellIs" dxfId="15883" priority="1755" operator="equal">
      <formula>0</formula>
    </cfRule>
  </conditionalFormatting>
  <conditionalFormatting sqref="J19">
    <cfRule type="cellIs" dxfId="15882" priority="1752" operator="greaterThan">
      <formula>J18</formula>
    </cfRule>
    <cfRule type="cellIs" dxfId="15881" priority="1753" operator="equal">
      <formula>0</formula>
    </cfRule>
  </conditionalFormatting>
  <conditionalFormatting sqref="K19">
    <cfRule type="cellIs" dxfId="15880" priority="1750" operator="greaterThan">
      <formula>K18</formula>
    </cfRule>
    <cfRule type="cellIs" dxfId="15879" priority="1751" operator="equal">
      <formula>0</formula>
    </cfRule>
  </conditionalFormatting>
  <conditionalFormatting sqref="L19">
    <cfRule type="cellIs" dxfId="15878" priority="1748" operator="greaterThan">
      <formula>L18</formula>
    </cfRule>
    <cfRule type="cellIs" dxfId="15877" priority="1749" operator="equal">
      <formula>0</formula>
    </cfRule>
  </conditionalFormatting>
  <conditionalFormatting sqref="M19">
    <cfRule type="cellIs" dxfId="15876" priority="1746" operator="greaterThan">
      <formula>M18</formula>
    </cfRule>
    <cfRule type="cellIs" dxfId="15875" priority="1747" operator="equal">
      <formula>0</formula>
    </cfRule>
  </conditionalFormatting>
  <conditionalFormatting sqref="N19">
    <cfRule type="cellIs" dxfId="15874" priority="1744" operator="greaterThan">
      <formula>N18</formula>
    </cfRule>
    <cfRule type="cellIs" dxfId="15873" priority="1745" operator="equal">
      <formula>0</formula>
    </cfRule>
  </conditionalFormatting>
  <conditionalFormatting sqref="O19">
    <cfRule type="cellIs" dxfId="15872" priority="1742" operator="greaterThan">
      <formula>O18</formula>
    </cfRule>
    <cfRule type="cellIs" dxfId="15871" priority="1743" operator="equal">
      <formula>0</formula>
    </cfRule>
  </conditionalFormatting>
  <conditionalFormatting sqref="P19">
    <cfRule type="cellIs" dxfId="15870" priority="1740" operator="greaterThan">
      <formula>P18</formula>
    </cfRule>
    <cfRule type="cellIs" dxfId="15869" priority="1741" operator="equal">
      <formula>0</formula>
    </cfRule>
  </conditionalFormatting>
  <conditionalFormatting sqref="E22">
    <cfRule type="cellIs" dxfId="15868" priority="1738" operator="greaterThan">
      <formula>E21</formula>
    </cfRule>
    <cfRule type="cellIs" dxfId="15867" priority="1739" operator="equal">
      <formula>0</formula>
    </cfRule>
  </conditionalFormatting>
  <conditionalFormatting sqref="F22">
    <cfRule type="cellIs" dxfId="15866" priority="1736" operator="greaterThan">
      <formula>F21</formula>
    </cfRule>
    <cfRule type="cellIs" dxfId="15865" priority="1737" operator="equal">
      <formula>0</formula>
    </cfRule>
  </conditionalFormatting>
  <conditionalFormatting sqref="G22">
    <cfRule type="cellIs" dxfId="15864" priority="1734" operator="greaterThan">
      <formula>G21</formula>
    </cfRule>
    <cfRule type="cellIs" dxfId="15863" priority="1735" operator="equal">
      <formula>0</formula>
    </cfRule>
  </conditionalFormatting>
  <conditionalFormatting sqref="H22">
    <cfRule type="cellIs" dxfId="15862" priority="1732" operator="greaterThan">
      <formula>H21</formula>
    </cfRule>
    <cfRule type="cellIs" dxfId="15861" priority="1733" operator="equal">
      <formula>0</formula>
    </cfRule>
  </conditionalFormatting>
  <conditionalFormatting sqref="I22">
    <cfRule type="cellIs" dxfId="15860" priority="1730" operator="greaterThan">
      <formula>I21</formula>
    </cfRule>
    <cfRule type="cellIs" dxfId="15859" priority="1731" operator="equal">
      <formula>0</formula>
    </cfRule>
  </conditionalFormatting>
  <conditionalFormatting sqref="J22">
    <cfRule type="cellIs" dxfId="15858" priority="1728" operator="greaterThan">
      <formula>J21</formula>
    </cfRule>
    <cfRule type="cellIs" dxfId="15857" priority="1729" operator="equal">
      <formula>0</formula>
    </cfRule>
  </conditionalFormatting>
  <conditionalFormatting sqref="K22">
    <cfRule type="cellIs" dxfId="15856" priority="1726" operator="greaterThan">
      <formula>K21</formula>
    </cfRule>
    <cfRule type="cellIs" dxfId="15855" priority="1727" operator="equal">
      <formula>0</formula>
    </cfRule>
  </conditionalFormatting>
  <conditionalFormatting sqref="L22">
    <cfRule type="cellIs" dxfId="15854" priority="1724" operator="greaterThan">
      <formula>L21</formula>
    </cfRule>
    <cfRule type="cellIs" dxfId="15853" priority="1725" operator="equal">
      <formula>0</formula>
    </cfRule>
  </conditionalFormatting>
  <conditionalFormatting sqref="M22">
    <cfRule type="cellIs" dxfId="15852" priority="1722" operator="greaterThan">
      <formula>M21</formula>
    </cfRule>
    <cfRule type="cellIs" dxfId="15851" priority="1723" operator="equal">
      <formula>0</formula>
    </cfRule>
  </conditionalFormatting>
  <conditionalFormatting sqref="N22">
    <cfRule type="cellIs" dxfId="15850" priority="1720" operator="greaterThan">
      <formula>N21</formula>
    </cfRule>
    <cfRule type="cellIs" dxfId="15849" priority="1721" operator="equal">
      <formula>0</formula>
    </cfRule>
  </conditionalFormatting>
  <conditionalFormatting sqref="O22">
    <cfRule type="cellIs" dxfId="15848" priority="1718" operator="greaterThan">
      <formula>O21</formula>
    </cfRule>
    <cfRule type="cellIs" dxfId="15847" priority="1719" operator="equal">
      <formula>0</formula>
    </cfRule>
  </conditionalFormatting>
  <conditionalFormatting sqref="P22">
    <cfRule type="cellIs" dxfId="15846" priority="1716" operator="greaterThan">
      <formula>P21</formula>
    </cfRule>
    <cfRule type="cellIs" dxfId="15845" priority="1717" operator="equal">
      <formula>0</formula>
    </cfRule>
  </conditionalFormatting>
  <conditionalFormatting sqref="E28">
    <cfRule type="cellIs" dxfId="15844" priority="1714" operator="greaterThan">
      <formula>E27</formula>
    </cfRule>
    <cfRule type="cellIs" dxfId="15843" priority="1715" operator="equal">
      <formula>0</formula>
    </cfRule>
  </conditionalFormatting>
  <conditionalFormatting sqref="F28">
    <cfRule type="cellIs" dxfId="15842" priority="1712" operator="greaterThan">
      <formula>F27</formula>
    </cfRule>
    <cfRule type="cellIs" dxfId="15841" priority="1713" operator="equal">
      <formula>0</formula>
    </cfRule>
  </conditionalFormatting>
  <conditionalFormatting sqref="G28">
    <cfRule type="cellIs" dxfId="15840" priority="1710" operator="greaterThan">
      <formula>G27</formula>
    </cfRule>
    <cfRule type="cellIs" dxfId="15839" priority="1711" operator="equal">
      <formula>0</formula>
    </cfRule>
  </conditionalFormatting>
  <conditionalFormatting sqref="H28">
    <cfRule type="cellIs" dxfId="15838" priority="1708" operator="greaterThan">
      <formula>H27</formula>
    </cfRule>
    <cfRule type="cellIs" dxfId="15837" priority="1709" operator="equal">
      <formula>0</formula>
    </cfRule>
  </conditionalFormatting>
  <conditionalFormatting sqref="I28">
    <cfRule type="cellIs" dxfId="15836" priority="1706" operator="greaterThan">
      <formula>I27</formula>
    </cfRule>
    <cfRule type="cellIs" dxfId="15835" priority="1707" operator="equal">
      <formula>0</formula>
    </cfRule>
  </conditionalFormatting>
  <conditionalFormatting sqref="J28">
    <cfRule type="cellIs" dxfId="15834" priority="1704" operator="greaterThan">
      <formula>J27</formula>
    </cfRule>
    <cfRule type="cellIs" dxfId="15833" priority="1705" operator="equal">
      <formula>0</formula>
    </cfRule>
  </conditionalFormatting>
  <conditionalFormatting sqref="K28">
    <cfRule type="cellIs" dxfId="15832" priority="1702" operator="greaterThan">
      <formula>K27</formula>
    </cfRule>
    <cfRule type="cellIs" dxfId="15831" priority="1703" operator="equal">
      <formula>0</formula>
    </cfRule>
  </conditionalFormatting>
  <conditionalFormatting sqref="L28">
    <cfRule type="cellIs" dxfId="15830" priority="1700" operator="greaterThan">
      <formula>L27</formula>
    </cfRule>
    <cfRule type="cellIs" dxfId="15829" priority="1701" operator="equal">
      <formula>0</formula>
    </cfRule>
  </conditionalFormatting>
  <conditionalFormatting sqref="M28">
    <cfRule type="cellIs" dxfId="15828" priority="1698" operator="greaterThan">
      <formula>M27</formula>
    </cfRule>
    <cfRule type="cellIs" dxfId="15827" priority="1699" operator="equal">
      <formula>0</formula>
    </cfRule>
  </conditionalFormatting>
  <conditionalFormatting sqref="N28">
    <cfRule type="cellIs" dxfId="15826" priority="1696" operator="greaterThan">
      <formula>N27</formula>
    </cfRule>
    <cfRule type="cellIs" dxfId="15825" priority="1697" operator="equal">
      <formula>0</formula>
    </cfRule>
  </conditionalFormatting>
  <conditionalFormatting sqref="O28">
    <cfRule type="cellIs" dxfId="15824" priority="1694" operator="greaterThan">
      <formula>O27</formula>
    </cfRule>
    <cfRule type="cellIs" dxfId="15823" priority="1695" operator="equal">
      <formula>0</formula>
    </cfRule>
  </conditionalFormatting>
  <conditionalFormatting sqref="P28">
    <cfRule type="cellIs" dxfId="15822" priority="1692" operator="greaterThan">
      <formula>P27</formula>
    </cfRule>
    <cfRule type="cellIs" dxfId="15821" priority="1693" operator="equal">
      <formula>0</formula>
    </cfRule>
  </conditionalFormatting>
  <conditionalFormatting sqref="E47:P47">
    <cfRule type="cellIs" dxfId="15820" priority="1690" operator="greaterThan">
      <formula>E45</formula>
    </cfRule>
    <cfRule type="cellIs" dxfId="15819" priority="1691" operator="equal">
      <formula>0</formula>
    </cfRule>
  </conditionalFormatting>
  <conditionalFormatting sqref="G50 I50 K50 M50 O50 E50">
    <cfRule type="cellIs" dxfId="15818" priority="1688" operator="greaterThan">
      <formula>E49</formula>
    </cfRule>
    <cfRule type="cellIs" dxfId="15817" priority="1689" operator="equal">
      <formula>0</formula>
    </cfRule>
  </conditionalFormatting>
  <conditionalFormatting sqref="E51:P51">
    <cfRule type="cellIs" dxfId="15816" priority="1686" operator="greaterThan">
      <formula>E45</formula>
    </cfRule>
    <cfRule type="cellIs" dxfId="15815" priority="1687" operator="equal">
      <formula>0</formula>
    </cfRule>
  </conditionalFormatting>
  <conditionalFormatting sqref="V28">
    <cfRule type="cellIs" dxfId="15814" priority="1684" operator="greaterThan">
      <formula>V27</formula>
    </cfRule>
    <cfRule type="cellIs" dxfId="15813" priority="1685" operator="equal">
      <formula>0</formula>
    </cfRule>
  </conditionalFormatting>
  <conditionalFormatting sqref="V43">
    <cfRule type="cellIs" dxfId="15812" priority="1682" operator="greaterThan">
      <formula>V42</formula>
    </cfRule>
    <cfRule type="cellIs" dxfId="15811" priority="1683" operator="equal">
      <formula>0</formula>
    </cfRule>
  </conditionalFormatting>
  <conditionalFormatting sqref="X43">
    <cfRule type="cellIs" dxfId="15810" priority="1680" operator="greaterThan">
      <formula>X42</formula>
    </cfRule>
    <cfRule type="cellIs" dxfId="15809" priority="1681" operator="equal">
      <formula>0</formula>
    </cfRule>
  </conditionalFormatting>
  <conditionalFormatting sqref="V27">
    <cfRule type="cellIs" dxfId="15808" priority="1678" operator="greaterThan">
      <formula>V26</formula>
    </cfRule>
    <cfRule type="cellIs" dxfId="15807" priority="1679" operator="equal">
      <formula>0</formula>
    </cfRule>
  </conditionalFormatting>
  <conditionalFormatting sqref="E51:N51">
    <cfRule type="cellIs" dxfId="15806" priority="1676" operator="greaterThan">
      <formula>G50</formula>
    </cfRule>
    <cfRule type="cellIs" dxfId="15805" priority="1677" operator="equal">
      <formula>0</formula>
    </cfRule>
  </conditionalFormatting>
  <conditionalFormatting sqref="O51:P51">
    <cfRule type="cellIs" dxfId="15804" priority="1674" operator="greaterThan">
      <formula>#REF!</formula>
    </cfRule>
    <cfRule type="cellIs" dxfId="15803" priority="1675" operator="equal">
      <formula>0</formula>
    </cfRule>
  </conditionalFormatting>
  <conditionalFormatting sqref="V13">
    <cfRule type="cellIs" dxfId="15802" priority="1672" operator="greaterThan">
      <formula>V12</formula>
    </cfRule>
    <cfRule type="cellIs" dxfId="15801" priority="1673" operator="equal">
      <formula>0</formula>
    </cfRule>
  </conditionalFormatting>
  <conditionalFormatting sqref="V12">
    <cfRule type="cellIs" dxfId="15800" priority="1670" operator="greaterThan">
      <formula>V11</formula>
    </cfRule>
    <cfRule type="cellIs" dxfId="15799" priority="1671" operator="equal">
      <formula>0</formula>
    </cfRule>
  </conditionalFormatting>
  <conditionalFormatting sqref="V16">
    <cfRule type="cellIs" dxfId="15798" priority="1668" operator="greaterThan">
      <formula>V15</formula>
    </cfRule>
    <cfRule type="cellIs" dxfId="15797" priority="1669" operator="equal">
      <formula>0</formula>
    </cfRule>
  </conditionalFormatting>
  <conditionalFormatting sqref="V15">
    <cfRule type="cellIs" dxfId="15796" priority="1666" operator="greaterThan">
      <formula>V14</formula>
    </cfRule>
    <cfRule type="cellIs" dxfId="15795" priority="1667" operator="equal">
      <formula>0</formula>
    </cfRule>
  </conditionalFormatting>
  <conditionalFormatting sqref="V19">
    <cfRule type="cellIs" dxfId="15794" priority="1664" operator="greaterThan">
      <formula>V18</formula>
    </cfRule>
    <cfRule type="cellIs" dxfId="15793" priority="1665" operator="equal">
      <formula>0</formula>
    </cfRule>
  </conditionalFormatting>
  <conditionalFormatting sqref="V18">
    <cfRule type="cellIs" dxfId="15792" priority="1662" operator="greaterThan">
      <formula>V17</formula>
    </cfRule>
    <cfRule type="cellIs" dxfId="15791" priority="1663" operator="equal">
      <formula>0</formula>
    </cfRule>
  </conditionalFormatting>
  <conditionalFormatting sqref="V22 V24:V25">
    <cfRule type="cellIs" dxfId="15790" priority="1660" operator="greaterThan">
      <formula>V21</formula>
    </cfRule>
    <cfRule type="cellIs" dxfId="15789" priority="1661" operator="equal">
      <formula>0</formula>
    </cfRule>
  </conditionalFormatting>
  <conditionalFormatting sqref="V21">
    <cfRule type="cellIs" dxfId="15788" priority="1658" operator="greaterThan">
      <formula>V20</formula>
    </cfRule>
    <cfRule type="cellIs" dxfId="15787" priority="1659" operator="equal">
      <formula>0</formula>
    </cfRule>
  </conditionalFormatting>
  <conditionalFormatting sqref="E31">
    <cfRule type="cellIs" dxfId="15786" priority="1656" operator="greaterThan">
      <formula>E30</formula>
    </cfRule>
    <cfRule type="cellIs" dxfId="15785" priority="1657" operator="equal">
      <formula>0</formula>
    </cfRule>
  </conditionalFormatting>
  <conditionalFormatting sqref="F31">
    <cfRule type="cellIs" dxfId="15784" priority="1654" operator="greaterThan">
      <formula>F30</formula>
    </cfRule>
    <cfRule type="cellIs" dxfId="15783" priority="1655" operator="equal">
      <formula>0</formula>
    </cfRule>
  </conditionalFormatting>
  <conditionalFormatting sqref="G31">
    <cfRule type="cellIs" dxfId="15782" priority="1652" operator="greaterThan">
      <formula>G30</formula>
    </cfRule>
    <cfRule type="cellIs" dxfId="15781" priority="1653" operator="equal">
      <formula>0</formula>
    </cfRule>
  </conditionalFormatting>
  <conditionalFormatting sqref="H31">
    <cfRule type="cellIs" dxfId="15780" priority="1650" operator="greaterThan">
      <formula>H30</formula>
    </cfRule>
    <cfRule type="cellIs" dxfId="15779" priority="1651" operator="equal">
      <formula>0</formula>
    </cfRule>
  </conditionalFormatting>
  <conditionalFormatting sqref="I31">
    <cfRule type="cellIs" dxfId="15778" priority="1648" operator="greaterThan">
      <formula>I30</formula>
    </cfRule>
    <cfRule type="cellIs" dxfId="15777" priority="1649" operator="equal">
      <formula>0</formula>
    </cfRule>
  </conditionalFormatting>
  <conditionalFormatting sqref="J31">
    <cfRule type="cellIs" dxfId="15776" priority="1646" operator="greaterThan">
      <formula>J30</formula>
    </cfRule>
    <cfRule type="cellIs" dxfId="15775" priority="1647" operator="equal">
      <formula>0</formula>
    </cfRule>
  </conditionalFormatting>
  <conditionalFormatting sqref="K31">
    <cfRule type="cellIs" dxfId="15774" priority="1644" operator="greaterThan">
      <formula>K30</formula>
    </cfRule>
    <cfRule type="cellIs" dxfId="15773" priority="1645" operator="equal">
      <formula>0</formula>
    </cfRule>
  </conditionalFormatting>
  <conditionalFormatting sqref="L31">
    <cfRule type="cellIs" dxfId="15772" priority="1642" operator="greaterThan">
      <formula>L30</formula>
    </cfRule>
    <cfRule type="cellIs" dxfId="15771" priority="1643" operator="equal">
      <formula>0</formula>
    </cfRule>
  </conditionalFormatting>
  <conditionalFormatting sqref="M31">
    <cfRule type="cellIs" dxfId="15770" priority="1640" operator="greaterThan">
      <formula>M30</formula>
    </cfRule>
    <cfRule type="cellIs" dxfId="15769" priority="1641" operator="equal">
      <formula>0</formula>
    </cfRule>
  </conditionalFormatting>
  <conditionalFormatting sqref="N31">
    <cfRule type="cellIs" dxfId="15768" priority="1638" operator="greaterThan">
      <formula>N30</formula>
    </cfRule>
    <cfRule type="cellIs" dxfId="15767" priority="1639" operator="equal">
      <formula>0</formula>
    </cfRule>
  </conditionalFormatting>
  <conditionalFormatting sqref="O31">
    <cfRule type="cellIs" dxfId="15766" priority="1636" operator="greaterThan">
      <formula>O30</formula>
    </cfRule>
    <cfRule type="cellIs" dxfId="15765" priority="1637" operator="equal">
      <formula>0</formula>
    </cfRule>
  </conditionalFormatting>
  <conditionalFormatting sqref="P31">
    <cfRule type="cellIs" dxfId="15764" priority="1634" operator="greaterThan">
      <formula>P30</formula>
    </cfRule>
    <cfRule type="cellIs" dxfId="15763" priority="1635" operator="equal">
      <formula>0</formula>
    </cfRule>
  </conditionalFormatting>
  <conditionalFormatting sqref="E25">
    <cfRule type="cellIs" dxfId="15762" priority="1632" operator="greaterThan">
      <formula>E24</formula>
    </cfRule>
    <cfRule type="cellIs" dxfId="15761" priority="1633" operator="equal">
      <formula>0</formula>
    </cfRule>
  </conditionalFormatting>
  <conditionalFormatting sqref="F25">
    <cfRule type="cellIs" dxfId="15760" priority="1630" operator="greaterThan">
      <formula>F24</formula>
    </cfRule>
    <cfRule type="cellIs" dxfId="15759" priority="1631" operator="equal">
      <formula>0</formula>
    </cfRule>
  </conditionalFormatting>
  <conditionalFormatting sqref="G25">
    <cfRule type="cellIs" dxfId="15758" priority="1628" operator="greaterThan">
      <formula>G24</formula>
    </cfRule>
    <cfRule type="cellIs" dxfId="15757" priority="1629" operator="equal">
      <formula>0</formula>
    </cfRule>
  </conditionalFormatting>
  <conditionalFormatting sqref="H25">
    <cfRule type="cellIs" dxfId="15756" priority="1626" operator="greaterThan">
      <formula>H24</formula>
    </cfRule>
    <cfRule type="cellIs" dxfId="15755" priority="1627" operator="equal">
      <formula>0</formula>
    </cfRule>
  </conditionalFormatting>
  <conditionalFormatting sqref="I25">
    <cfRule type="cellIs" dxfId="15754" priority="1624" operator="greaterThan">
      <formula>I24</formula>
    </cfRule>
    <cfRule type="cellIs" dxfId="15753" priority="1625" operator="equal">
      <formula>0</formula>
    </cfRule>
  </conditionalFormatting>
  <conditionalFormatting sqref="J25">
    <cfRule type="cellIs" dxfId="15752" priority="1622" operator="greaterThan">
      <formula>J24</formula>
    </cfRule>
    <cfRule type="cellIs" dxfId="15751" priority="1623" operator="equal">
      <formula>0</formula>
    </cfRule>
  </conditionalFormatting>
  <conditionalFormatting sqref="K25">
    <cfRule type="cellIs" dxfId="15750" priority="1620" operator="greaterThan">
      <formula>K24</formula>
    </cfRule>
    <cfRule type="cellIs" dxfId="15749" priority="1621" operator="equal">
      <formula>0</formula>
    </cfRule>
  </conditionalFormatting>
  <conditionalFormatting sqref="L25">
    <cfRule type="cellIs" dxfId="15748" priority="1618" operator="greaterThan">
      <formula>L24</formula>
    </cfRule>
    <cfRule type="cellIs" dxfId="15747" priority="1619" operator="equal">
      <formula>0</formula>
    </cfRule>
  </conditionalFormatting>
  <conditionalFormatting sqref="M25">
    <cfRule type="cellIs" dxfId="15746" priority="1616" operator="greaterThan">
      <formula>M24</formula>
    </cfRule>
    <cfRule type="cellIs" dxfId="15745" priority="1617" operator="equal">
      <formula>0</formula>
    </cfRule>
  </conditionalFormatting>
  <conditionalFormatting sqref="N25">
    <cfRule type="cellIs" dxfId="15744" priority="1614" operator="greaterThan">
      <formula>N24</formula>
    </cfRule>
    <cfRule type="cellIs" dxfId="15743" priority="1615" operator="equal">
      <formula>0</formula>
    </cfRule>
  </conditionalFormatting>
  <conditionalFormatting sqref="O25">
    <cfRule type="cellIs" dxfId="15742" priority="1612" operator="greaterThan">
      <formula>O24</formula>
    </cfRule>
    <cfRule type="cellIs" dxfId="15741" priority="1613" operator="equal">
      <formula>0</formula>
    </cfRule>
  </conditionalFormatting>
  <conditionalFormatting sqref="P25">
    <cfRule type="cellIs" dxfId="15740" priority="1610" operator="greaterThan">
      <formula>P24</formula>
    </cfRule>
    <cfRule type="cellIs" dxfId="15739" priority="1611" operator="equal">
      <formula>0</formula>
    </cfRule>
  </conditionalFormatting>
  <conditionalFormatting sqref="E45:P45 E46:O46">
    <cfRule type="cellIs" dxfId="15738" priority="1608" operator="greaterThan">
      <formula>#REF!</formula>
    </cfRule>
    <cfRule type="cellIs" dxfId="15737" priority="1609" operator="equal">
      <formula>0</formula>
    </cfRule>
  </conditionalFormatting>
  <conditionalFormatting sqref="E33:P33">
    <cfRule type="cellIs" dxfId="15736" priority="1607" operator="equal">
      <formula>0</formula>
    </cfRule>
  </conditionalFormatting>
  <conditionalFormatting sqref="E34">
    <cfRule type="cellIs" dxfId="15735" priority="1605" operator="greaterThan">
      <formula>E33</formula>
    </cfRule>
    <cfRule type="cellIs" dxfId="15734" priority="1606" operator="equal">
      <formula>0</formula>
    </cfRule>
  </conditionalFormatting>
  <conditionalFormatting sqref="F34">
    <cfRule type="cellIs" dxfId="15733" priority="1603" operator="greaterThan">
      <formula>F33</formula>
    </cfRule>
    <cfRule type="cellIs" dxfId="15732" priority="1604" operator="equal">
      <formula>0</formula>
    </cfRule>
  </conditionalFormatting>
  <conditionalFormatting sqref="G34">
    <cfRule type="cellIs" dxfId="15731" priority="1601" operator="greaterThan">
      <formula>G33</formula>
    </cfRule>
    <cfRule type="cellIs" dxfId="15730" priority="1602" operator="equal">
      <formula>0</formula>
    </cfRule>
  </conditionalFormatting>
  <conditionalFormatting sqref="H34">
    <cfRule type="cellIs" dxfId="15729" priority="1599" operator="greaterThan">
      <formula>H33</formula>
    </cfRule>
    <cfRule type="cellIs" dxfId="15728" priority="1600" operator="equal">
      <formula>0</formula>
    </cfRule>
  </conditionalFormatting>
  <conditionalFormatting sqref="I34">
    <cfRule type="cellIs" dxfId="15727" priority="1597" operator="greaterThan">
      <formula>I33</formula>
    </cfRule>
    <cfRule type="cellIs" dxfId="15726" priority="1598" operator="equal">
      <formula>0</formula>
    </cfRule>
  </conditionalFormatting>
  <conditionalFormatting sqref="J34">
    <cfRule type="cellIs" dxfId="15725" priority="1595" operator="greaterThan">
      <formula>J33</formula>
    </cfRule>
    <cfRule type="cellIs" dxfId="15724" priority="1596" operator="equal">
      <formula>0</formula>
    </cfRule>
  </conditionalFormatting>
  <conditionalFormatting sqref="K34">
    <cfRule type="cellIs" dxfId="15723" priority="1593" operator="greaterThan">
      <formula>K33</formula>
    </cfRule>
    <cfRule type="cellIs" dxfId="15722" priority="1594" operator="equal">
      <formula>0</formula>
    </cfRule>
  </conditionalFormatting>
  <conditionalFormatting sqref="L34">
    <cfRule type="cellIs" dxfId="15721" priority="1591" operator="greaterThan">
      <formula>L33</formula>
    </cfRule>
    <cfRule type="cellIs" dxfId="15720" priority="1592" operator="equal">
      <formula>0</formula>
    </cfRule>
  </conditionalFormatting>
  <conditionalFormatting sqref="M34">
    <cfRule type="cellIs" dxfId="15719" priority="1589" operator="greaterThan">
      <formula>M33</formula>
    </cfRule>
    <cfRule type="cellIs" dxfId="15718" priority="1590" operator="equal">
      <formula>0</formula>
    </cfRule>
  </conditionalFormatting>
  <conditionalFormatting sqref="N34">
    <cfRule type="cellIs" dxfId="15717" priority="1587" operator="greaterThan">
      <formula>N33</formula>
    </cfRule>
    <cfRule type="cellIs" dxfId="15716" priority="1588" operator="equal">
      <formula>0</formula>
    </cfRule>
  </conditionalFormatting>
  <conditionalFormatting sqref="O34">
    <cfRule type="cellIs" dxfId="15715" priority="1585" operator="greaterThan">
      <formula>O33</formula>
    </cfRule>
    <cfRule type="cellIs" dxfId="15714" priority="1586" operator="equal">
      <formula>0</formula>
    </cfRule>
  </conditionalFormatting>
  <conditionalFormatting sqref="P34">
    <cfRule type="cellIs" dxfId="15713" priority="1583" operator="greaterThan">
      <formula>P33</formula>
    </cfRule>
    <cfRule type="cellIs" dxfId="15712" priority="1584" operator="equal">
      <formula>0</formula>
    </cfRule>
  </conditionalFormatting>
  <conditionalFormatting sqref="E36:P36">
    <cfRule type="cellIs" dxfId="15711" priority="1582" operator="equal">
      <formula>0</formula>
    </cfRule>
  </conditionalFormatting>
  <conditionalFormatting sqref="E37">
    <cfRule type="cellIs" dxfId="15710" priority="1580" operator="greaterThan">
      <formula>E36</formula>
    </cfRule>
    <cfRule type="cellIs" dxfId="15709" priority="1581" operator="equal">
      <formula>0</formula>
    </cfRule>
  </conditionalFormatting>
  <conditionalFormatting sqref="F37">
    <cfRule type="cellIs" dxfId="15708" priority="1578" operator="greaterThan">
      <formula>F36</formula>
    </cfRule>
    <cfRule type="cellIs" dxfId="15707" priority="1579" operator="equal">
      <formula>0</formula>
    </cfRule>
  </conditionalFormatting>
  <conditionalFormatting sqref="G37">
    <cfRule type="cellIs" dxfId="15706" priority="1576" operator="greaterThan">
      <formula>G36</formula>
    </cfRule>
    <cfRule type="cellIs" dxfId="15705" priority="1577" operator="equal">
      <formula>0</formula>
    </cfRule>
  </conditionalFormatting>
  <conditionalFormatting sqref="H37">
    <cfRule type="cellIs" dxfId="15704" priority="1574" operator="greaterThan">
      <formula>H36</formula>
    </cfRule>
    <cfRule type="cellIs" dxfId="15703" priority="1575" operator="equal">
      <formula>0</formula>
    </cfRule>
  </conditionalFormatting>
  <conditionalFormatting sqref="I37">
    <cfRule type="cellIs" dxfId="15702" priority="1572" operator="greaterThan">
      <formula>I36</formula>
    </cfRule>
    <cfRule type="cellIs" dxfId="15701" priority="1573" operator="equal">
      <formula>0</formula>
    </cfRule>
  </conditionalFormatting>
  <conditionalFormatting sqref="J37">
    <cfRule type="cellIs" dxfId="15700" priority="1570" operator="greaterThan">
      <formula>J36</formula>
    </cfRule>
    <cfRule type="cellIs" dxfId="15699" priority="1571" operator="equal">
      <formula>0</formula>
    </cfRule>
  </conditionalFormatting>
  <conditionalFormatting sqref="K37">
    <cfRule type="cellIs" dxfId="15698" priority="1568" operator="greaterThan">
      <formula>K36</formula>
    </cfRule>
    <cfRule type="cellIs" dxfId="15697" priority="1569" operator="equal">
      <formula>0</formula>
    </cfRule>
  </conditionalFormatting>
  <conditionalFormatting sqref="L37">
    <cfRule type="cellIs" dxfId="15696" priority="1566" operator="greaterThan">
      <formula>L36</formula>
    </cfRule>
    <cfRule type="cellIs" dxfId="15695" priority="1567" operator="equal">
      <formula>0</formula>
    </cfRule>
  </conditionalFormatting>
  <conditionalFormatting sqref="M37">
    <cfRule type="cellIs" dxfId="15694" priority="1564" operator="greaterThan">
      <formula>M36</formula>
    </cfRule>
    <cfRule type="cellIs" dxfId="15693" priority="1565" operator="equal">
      <formula>0</formula>
    </cfRule>
  </conditionalFormatting>
  <conditionalFormatting sqref="N37">
    <cfRule type="cellIs" dxfId="15692" priority="1562" operator="greaterThan">
      <formula>N36</formula>
    </cfRule>
    <cfRule type="cellIs" dxfId="15691" priority="1563" operator="equal">
      <formula>0</formula>
    </cfRule>
  </conditionalFormatting>
  <conditionalFormatting sqref="O37">
    <cfRule type="cellIs" dxfId="15690" priority="1560" operator="greaterThan">
      <formula>O36</formula>
    </cfRule>
    <cfRule type="cellIs" dxfId="15689" priority="1561" operator="equal">
      <formula>0</formula>
    </cfRule>
  </conditionalFormatting>
  <conditionalFormatting sqref="P37">
    <cfRule type="cellIs" dxfId="15688" priority="1558" operator="greaterThan">
      <formula>P36</formula>
    </cfRule>
    <cfRule type="cellIs" dxfId="15687" priority="1559" operator="equal">
      <formula>0</formula>
    </cfRule>
  </conditionalFormatting>
  <conditionalFormatting sqref="V24">
    <cfRule type="cellIs" dxfId="15686" priority="1556" operator="greaterThan">
      <formula>V23</formula>
    </cfRule>
    <cfRule type="cellIs" dxfId="15685" priority="1557" operator="equal">
      <formula>0</formula>
    </cfRule>
  </conditionalFormatting>
  <conditionalFormatting sqref="V27:V28">
    <cfRule type="cellIs" dxfId="15684" priority="1554" operator="greaterThan">
      <formula>V26</formula>
    </cfRule>
    <cfRule type="cellIs" dxfId="15683" priority="1555" operator="equal">
      <formula>0</formula>
    </cfRule>
  </conditionalFormatting>
  <conditionalFormatting sqref="V27">
    <cfRule type="cellIs" dxfId="15682" priority="1552" operator="greaterThan">
      <formula>V26</formula>
    </cfRule>
    <cfRule type="cellIs" dxfId="15681" priority="1553" operator="equal">
      <formula>0</formula>
    </cfRule>
  </conditionalFormatting>
  <conditionalFormatting sqref="V49:V50 X49:X50 X42:X43 V42:V43 V12:V13 V15:V16 V18:V19 X12:X13 X15:X16 X18:X19 X21:X25 V21:V22 V24:V25 X27:X28 V27:V28">
    <cfRule type="cellIs" dxfId="15680" priority="1551" operator="equal">
      <formula>0</formula>
    </cfRule>
  </conditionalFormatting>
  <conditionalFormatting sqref="V50 X50">
    <cfRule type="cellIs" dxfId="15679" priority="1549" operator="greaterThan">
      <formula>V49</formula>
    </cfRule>
    <cfRule type="cellIs" dxfId="15678" priority="1550" operator="equal">
      <formula>0</formula>
    </cfRule>
  </conditionalFormatting>
  <conditionalFormatting sqref="V28">
    <cfRule type="cellIs" dxfId="15677" priority="1547" operator="greaterThan">
      <formula>V27</formula>
    </cfRule>
    <cfRule type="cellIs" dxfId="15676" priority="1548" operator="equal">
      <formula>0</formula>
    </cfRule>
  </conditionalFormatting>
  <conditionalFormatting sqref="V43">
    <cfRule type="cellIs" dxfId="15675" priority="1545" operator="greaterThan">
      <formula>V42</formula>
    </cfRule>
    <cfRule type="cellIs" dxfId="15674" priority="1546" operator="equal">
      <formula>0</formula>
    </cfRule>
  </conditionalFormatting>
  <conditionalFormatting sqref="X43">
    <cfRule type="cellIs" dxfId="15673" priority="1543" operator="greaterThan">
      <formula>X42</formula>
    </cfRule>
    <cfRule type="cellIs" dxfId="15672" priority="1544" operator="equal">
      <formula>0</formula>
    </cfRule>
  </conditionalFormatting>
  <conditionalFormatting sqref="V27">
    <cfRule type="cellIs" dxfId="15671" priority="1541" operator="greaterThan">
      <formula>V26</formula>
    </cfRule>
    <cfRule type="cellIs" dxfId="15670" priority="1542" operator="equal">
      <formula>0</formula>
    </cfRule>
  </conditionalFormatting>
  <conditionalFormatting sqref="V13">
    <cfRule type="cellIs" dxfId="15669" priority="1539" operator="greaterThan">
      <formula>V12</formula>
    </cfRule>
    <cfRule type="cellIs" dxfId="15668" priority="1540" operator="equal">
      <formula>0</formula>
    </cfRule>
  </conditionalFormatting>
  <conditionalFormatting sqref="V12">
    <cfRule type="cellIs" dxfId="15667" priority="1537" operator="greaterThan">
      <formula>V11</formula>
    </cfRule>
    <cfRule type="cellIs" dxfId="15666" priority="1538" operator="equal">
      <formula>0</formula>
    </cfRule>
  </conditionalFormatting>
  <conditionalFormatting sqref="V16">
    <cfRule type="cellIs" dxfId="15665" priority="1535" operator="greaterThan">
      <formula>V15</formula>
    </cfRule>
    <cfRule type="cellIs" dxfId="15664" priority="1536" operator="equal">
      <formula>0</formula>
    </cfRule>
  </conditionalFormatting>
  <conditionalFormatting sqref="V15">
    <cfRule type="cellIs" dxfId="15663" priority="1533" operator="greaterThan">
      <formula>V14</formula>
    </cfRule>
    <cfRule type="cellIs" dxfId="15662" priority="1534" operator="equal">
      <formula>0</formula>
    </cfRule>
  </conditionalFormatting>
  <conditionalFormatting sqref="V19">
    <cfRule type="cellIs" dxfId="15661" priority="1531" operator="greaterThan">
      <formula>V18</formula>
    </cfRule>
    <cfRule type="cellIs" dxfId="15660" priority="1532" operator="equal">
      <formula>0</formula>
    </cfRule>
  </conditionalFormatting>
  <conditionalFormatting sqref="V18">
    <cfRule type="cellIs" dxfId="15659" priority="1529" operator="greaterThan">
      <formula>V17</formula>
    </cfRule>
    <cfRule type="cellIs" dxfId="15658" priority="1530" operator="equal">
      <formula>0</formula>
    </cfRule>
  </conditionalFormatting>
  <conditionalFormatting sqref="V22 V24:V25">
    <cfRule type="cellIs" dxfId="15657" priority="1527" operator="greaterThan">
      <formula>V21</formula>
    </cfRule>
    <cfRule type="cellIs" dxfId="15656" priority="1528" operator="equal">
      <formula>0</formula>
    </cfRule>
  </conditionalFormatting>
  <conditionalFormatting sqref="V21">
    <cfRule type="cellIs" dxfId="15655" priority="1525" operator="greaterThan">
      <formula>V20</formula>
    </cfRule>
    <cfRule type="cellIs" dxfId="15654" priority="1526" operator="equal">
      <formula>0</formula>
    </cfRule>
  </conditionalFormatting>
  <conditionalFormatting sqref="V24">
    <cfRule type="cellIs" dxfId="15653" priority="1523" operator="greaterThan">
      <formula>V23</formula>
    </cfRule>
    <cfRule type="cellIs" dxfId="15652" priority="1524" operator="equal">
      <formula>0</formula>
    </cfRule>
  </conditionalFormatting>
  <conditionalFormatting sqref="V27:V28">
    <cfRule type="cellIs" dxfId="15651" priority="1521" operator="greaterThan">
      <formula>V26</formula>
    </cfRule>
    <cfRule type="cellIs" dxfId="15650" priority="1522" operator="equal">
      <formula>0</formula>
    </cfRule>
  </conditionalFormatting>
  <conditionalFormatting sqref="V27">
    <cfRule type="cellIs" dxfId="15649" priority="1519" operator="greaterThan">
      <formula>V26</formula>
    </cfRule>
    <cfRule type="cellIs" dxfId="15648" priority="1520" operator="equal">
      <formula>0</formula>
    </cfRule>
  </conditionalFormatting>
  <conditionalFormatting sqref="P42 P27 P12 P15 P18 P21 P30 P24">
    <cfRule type="cellIs" dxfId="15647" priority="1518" operator="equal">
      <formula>0</formula>
    </cfRule>
  </conditionalFormatting>
  <conditionalFormatting sqref="P43:P44">
    <cfRule type="cellIs" dxfId="15646" priority="1516" operator="greaterThan">
      <formula>P42</formula>
    </cfRule>
    <cfRule type="cellIs" dxfId="15645" priority="1517" operator="equal">
      <formula>0</formula>
    </cfRule>
  </conditionalFormatting>
  <conditionalFormatting sqref="P13">
    <cfRule type="cellIs" dxfId="15644" priority="1514" operator="greaterThan">
      <formula>P12</formula>
    </cfRule>
    <cfRule type="cellIs" dxfId="15643" priority="1515" operator="equal">
      <formula>0</formula>
    </cfRule>
  </conditionalFormatting>
  <conditionalFormatting sqref="P16">
    <cfRule type="cellIs" dxfId="15642" priority="1512" operator="greaterThan">
      <formula>P15</formula>
    </cfRule>
    <cfRule type="cellIs" dxfId="15641" priority="1513" operator="equal">
      <formula>0</formula>
    </cfRule>
  </conditionalFormatting>
  <conditionalFormatting sqref="P19">
    <cfRule type="cellIs" dxfId="15640" priority="1510" operator="greaterThan">
      <formula>P18</formula>
    </cfRule>
    <cfRule type="cellIs" dxfId="15639" priority="1511" operator="equal">
      <formula>0</formula>
    </cfRule>
  </conditionalFormatting>
  <conditionalFormatting sqref="P22">
    <cfRule type="cellIs" dxfId="15638" priority="1508" operator="greaterThan">
      <formula>P21</formula>
    </cfRule>
    <cfRule type="cellIs" dxfId="15637" priority="1509" operator="equal">
      <formula>0</formula>
    </cfRule>
  </conditionalFormatting>
  <conditionalFormatting sqref="P28">
    <cfRule type="cellIs" dxfId="15636" priority="1506" operator="greaterThan">
      <formula>P27</formula>
    </cfRule>
    <cfRule type="cellIs" dxfId="15635" priority="1507" operator="equal">
      <formula>0</formula>
    </cfRule>
  </conditionalFormatting>
  <conditionalFormatting sqref="P31">
    <cfRule type="cellIs" dxfId="15634" priority="1504" operator="greaterThan">
      <formula>P30</formula>
    </cfRule>
    <cfRule type="cellIs" dxfId="15633" priority="1505" operator="equal">
      <formula>0</formula>
    </cfRule>
  </conditionalFormatting>
  <conditionalFormatting sqref="P25">
    <cfRule type="cellIs" dxfId="15632" priority="1502" operator="greaterThan">
      <formula>P24</formula>
    </cfRule>
    <cfRule type="cellIs" dxfId="15631" priority="1503" operator="equal">
      <formula>0</formula>
    </cfRule>
  </conditionalFormatting>
  <conditionalFormatting sqref="P45">
    <cfRule type="cellIs" dxfId="15630" priority="1500" operator="greaterThan">
      <formula>#REF!</formula>
    </cfRule>
    <cfRule type="cellIs" dxfId="15629" priority="1501" operator="equal">
      <formula>0</formula>
    </cfRule>
  </conditionalFormatting>
  <conditionalFormatting sqref="P33">
    <cfRule type="cellIs" dxfId="15628" priority="1499" operator="equal">
      <formula>0</formula>
    </cfRule>
  </conditionalFormatting>
  <conditionalFormatting sqref="P34">
    <cfRule type="cellIs" dxfId="15627" priority="1497" operator="greaterThan">
      <formula>P33</formula>
    </cfRule>
    <cfRule type="cellIs" dxfId="15626" priority="1498" operator="equal">
      <formula>0</formula>
    </cfRule>
  </conditionalFormatting>
  <conditionalFormatting sqref="P36">
    <cfRule type="cellIs" dxfId="15625" priority="1496" operator="equal">
      <formula>0</formula>
    </cfRule>
  </conditionalFormatting>
  <conditionalFormatting sqref="P37">
    <cfRule type="cellIs" dxfId="15624" priority="1494" operator="greaterThan">
      <formula>P36</formula>
    </cfRule>
    <cfRule type="cellIs" dxfId="15623" priority="1495" operator="equal">
      <formula>0</formula>
    </cfRule>
  </conditionalFormatting>
  <conditionalFormatting sqref="H42">
    <cfRule type="cellIs" dxfId="15622" priority="1493" operator="equal">
      <formula>0</formula>
    </cfRule>
  </conditionalFormatting>
  <conditionalFormatting sqref="H43:H44">
    <cfRule type="cellIs" dxfId="15621" priority="1491" operator="greaterThan">
      <formula>H42</formula>
    </cfRule>
    <cfRule type="cellIs" dxfId="15620" priority="1492" operator="equal">
      <formula>0</formula>
    </cfRule>
  </conditionalFormatting>
  <conditionalFormatting sqref="H45">
    <cfRule type="cellIs" dxfId="15619" priority="1489" operator="greaterThan">
      <formula>#REF!</formula>
    </cfRule>
    <cfRule type="cellIs" dxfId="15618" priority="1490" operator="equal">
      <formula>0</formula>
    </cfRule>
  </conditionalFormatting>
  <conditionalFormatting sqref="X49:X50 X42:X43 V42:V43 V12:V13 X12:X13 V15:V16 X15:X16 V18:V19 X18:X19 V21:V22 V24:V25 X21:X25 V27:V28 X27:X28 V49:V50">
    <cfRule type="cellIs" dxfId="15617" priority="1488" operator="equal">
      <formula>0</formula>
    </cfRule>
  </conditionalFormatting>
  <conditionalFormatting sqref="V50 X50">
    <cfRule type="cellIs" dxfId="15616" priority="1486" operator="greaterThan">
      <formula>V49</formula>
    </cfRule>
    <cfRule type="cellIs" dxfId="15615" priority="1487" operator="equal">
      <formula>0</formula>
    </cfRule>
  </conditionalFormatting>
  <conditionalFormatting sqref="V28">
    <cfRule type="cellIs" dxfId="15614" priority="1484" operator="greaterThan">
      <formula>V27</formula>
    </cfRule>
    <cfRule type="cellIs" dxfId="15613" priority="1485" operator="equal">
      <formula>0</formula>
    </cfRule>
  </conditionalFormatting>
  <conditionalFormatting sqref="V43">
    <cfRule type="cellIs" dxfId="15612" priority="1482" operator="greaterThan">
      <formula>V42</formula>
    </cfRule>
    <cfRule type="cellIs" dxfId="15611" priority="1483" operator="equal">
      <formula>0</formula>
    </cfRule>
  </conditionalFormatting>
  <conditionalFormatting sqref="X43">
    <cfRule type="cellIs" dxfId="15610" priority="1480" operator="greaterThan">
      <formula>X42</formula>
    </cfRule>
    <cfRule type="cellIs" dxfId="15609" priority="1481" operator="equal">
      <formula>0</formula>
    </cfRule>
  </conditionalFormatting>
  <conditionalFormatting sqref="V27">
    <cfRule type="cellIs" dxfId="15608" priority="1478" operator="greaterThan">
      <formula>V26</formula>
    </cfRule>
    <cfRule type="cellIs" dxfId="15607" priority="1479" operator="equal">
      <formula>0</formula>
    </cfRule>
  </conditionalFormatting>
  <conditionalFormatting sqref="V13">
    <cfRule type="cellIs" dxfId="15606" priority="1476" operator="greaterThan">
      <formula>V12</formula>
    </cfRule>
    <cfRule type="cellIs" dxfId="15605" priority="1477" operator="equal">
      <formula>0</formula>
    </cfRule>
  </conditionalFormatting>
  <conditionalFormatting sqref="V12">
    <cfRule type="cellIs" dxfId="15604" priority="1474" operator="greaterThan">
      <formula>V11</formula>
    </cfRule>
    <cfRule type="cellIs" dxfId="15603" priority="1475" operator="equal">
      <formula>0</formula>
    </cfRule>
  </conditionalFormatting>
  <conditionalFormatting sqref="V16">
    <cfRule type="cellIs" dxfId="15602" priority="1472" operator="greaterThan">
      <formula>V15</formula>
    </cfRule>
    <cfRule type="cellIs" dxfId="15601" priority="1473" operator="equal">
      <formula>0</formula>
    </cfRule>
  </conditionalFormatting>
  <conditionalFormatting sqref="V15">
    <cfRule type="cellIs" dxfId="15600" priority="1470" operator="greaterThan">
      <formula>V14</formula>
    </cfRule>
    <cfRule type="cellIs" dxfId="15599" priority="1471" operator="equal">
      <formula>0</formula>
    </cfRule>
  </conditionalFormatting>
  <conditionalFormatting sqref="V19">
    <cfRule type="cellIs" dxfId="15598" priority="1468" operator="greaterThan">
      <formula>V18</formula>
    </cfRule>
    <cfRule type="cellIs" dxfId="15597" priority="1469" operator="equal">
      <formula>0</formula>
    </cfRule>
  </conditionalFormatting>
  <conditionalFormatting sqref="V18">
    <cfRule type="cellIs" dxfId="15596" priority="1466" operator="greaterThan">
      <formula>V17</formula>
    </cfRule>
    <cfRule type="cellIs" dxfId="15595" priority="1467" operator="equal">
      <formula>0</formula>
    </cfRule>
  </conditionalFormatting>
  <conditionalFormatting sqref="V22 V24:V25">
    <cfRule type="cellIs" dxfId="15594" priority="1464" operator="greaterThan">
      <formula>V21</formula>
    </cfRule>
    <cfRule type="cellIs" dxfId="15593" priority="1465" operator="equal">
      <formula>0</formula>
    </cfRule>
  </conditionalFormatting>
  <conditionalFormatting sqref="V21">
    <cfRule type="cellIs" dxfId="15592" priority="1462" operator="greaterThan">
      <formula>V20</formula>
    </cfRule>
    <cfRule type="cellIs" dxfId="15591" priority="1463" operator="equal">
      <formula>0</formula>
    </cfRule>
  </conditionalFormatting>
  <conditionalFormatting sqref="V24">
    <cfRule type="cellIs" dxfId="15590" priority="1460" operator="greaterThan">
      <formula>V23</formula>
    </cfRule>
    <cfRule type="cellIs" dxfId="15589" priority="1461" operator="equal">
      <formula>0</formula>
    </cfRule>
  </conditionalFormatting>
  <conditionalFormatting sqref="V27:V28">
    <cfRule type="cellIs" dxfId="15588" priority="1458" operator="greaterThan">
      <formula>V26</formula>
    </cfRule>
    <cfRule type="cellIs" dxfId="15587" priority="1459" operator="equal">
      <formula>0</formula>
    </cfRule>
  </conditionalFormatting>
  <conditionalFormatting sqref="V27">
    <cfRule type="cellIs" dxfId="15586" priority="1456" operator="greaterThan">
      <formula>V26</formula>
    </cfRule>
    <cfRule type="cellIs" dxfId="15585" priority="1457" operator="equal">
      <formula>0</formula>
    </cfRule>
  </conditionalFormatting>
  <conditionalFormatting sqref="V16">
    <cfRule type="cellIs" dxfId="15584" priority="1454" operator="greaterThan">
      <formula>V15</formula>
    </cfRule>
    <cfRule type="cellIs" dxfId="15583" priority="1455" operator="equal">
      <formula>0</formula>
    </cfRule>
  </conditionalFormatting>
  <conditionalFormatting sqref="V15">
    <cfRule type="cellIs" dxfId="15582" priority="1452" operator="greaterThan">
      <formula>V14</formula>
    </cfRule>
    <cfRule type="cellIs" dxfId="15581" priority="1453" operator="equal">
      <formula>0</formula>
    </cfRule>
  </conditionalFormatting>
  <conditionalFormatting sqref="V19">
    <cfRule type="cellIs" dxfId="15580" priority="1450" operator="greaterThan">
      <formula>V18</formula>
    </cfRule>
    <cfRule type="cellIs" dxfId="15579" priority="1451" operator="equal">
      <formula>0</formula>
    </cfRule>
  </conditionalFormatting>
  <conditionalFormatting sqref="V18">
    <cfRule type="cellIs" dxfId="15578" priority="1448" operator="greaterThan">
      <formula>V17</formula>
    </cfRule>
    <cfRule type="cellIs" dxfId="15577" priority="1449" operator="equal">
      <formula>0</formula>
    </cfRule>
  </conditionalFormatting>
  <conditionalFormatting sqref="V22">
    <cfRule type="cellIs" dxfId="15576" priority="1446" operator="greaterThan">
      <formula>V21</formula>
    </cfRule>
    <cfRule type="cellIs" dxfId="15575" priority="1447" operator="equal">
      <formula>0</formula>
    </cfRule>
  </conditionalFormatting>
  <conditionalFormatting sqref="V21">
    <cfRule type="cellIs" dxfId="15574" priority="1444" operator="greaterThan">
      <formula>V20</formula>
    </cfRule>
    <cfRule type="cellIs" dxfId="15573" priority="1445" operator="equal">
      <formula>0</formula>
    </cfRule>
  </conditionalFormatting>
  <conditionalFormatting sqref="V25">
    <cfRule type="cellIs" dxfId="15572" priority="1442" operator="greaterThan">
      <formula>V24</formula>
    </cfRule>
    <cfRule type="cellIs" dxfId="15571" priority="1443" operator="equal">
      <formula>0</formula>
    </cfRule>
  </conditionalFormatting>
  <conditionalFormatting sqref="V24">
    <cfRule type="cellIs" dxfId="15570" priority="1440" operator="greaterThan">
      <formula>V23</formula>
    </cfRule>
    <cfRule type="cellIs" dxfId="15569" priority="1441" operator="equal">
      <formula>0</formula>
    </cfRule>
  </conditionalFormatting>
  <conditionalFormatting sqref="V28">
    <cfRule type="cellIs" dxfId="15568" priority="1438" operator="greaterThan">
      <formula>V27</formula>
    </cfRule>
    <cfRule type="cellIs" dxfId="15567" priority="1439" operator="equal">
      <formula>0</formula>
    </cfRule>
  </conditionalFormatting>
  <conditionalFormatting sqref="V27">
    <cfRule type="cellIs" dxfId="15566" priority="1436" operator="greaterThan">
      <formula>V26</formula>
    </cfRule>
    <cfRule type="cellIs" dxfId="15565" priority="1437" operator="equal">
      <formula>0</formula>
    </cfRule>
  </conditionalFormatting>
  <conditionalFormatting sqref="V30:V31 X30:X31">
    <cfRule type="cellIs" dxfId="15564" priority="1435" operator="equal">
      <formula>0</formula>
    </cfRule>
  </conditionalFormatting>
  <conditionalFormatting sqref="V31">
    <cfRule type="cellIs" dxfId="15563" priority="1433" operator="greaterThan">
      <formula>V30</formula>
    </cfRule>
    <cfRule type="cellIs" dxfId="15562" priority="1434" operator="equal">
      <formula>0</formula>
    </cfRule>
  </conditionalFormatting>
  <conditionalFormatting sqref="V30">
    <cfRule type="cellIs" dxfId="15561" priority="1431" operator="greaterThan">
      <formula>V29</formula>
    </cfRule>
    <cfRule type="cellIs" dxfId="15560" priority="1432" operator="equal">
      <formula>0</formula>
    </cfRule>
  </conditionalFormatting>
  <conditionalFormatting sqref="V33:V34 X33:X34">
    <cfRule type="cellIs" dxfId="15559" priority="1430" operator="equal">
      <formula>0</formula>
    </cfRule>
  </conditionalFormatting>
  <conditionalFormatting sqref="V34">
    <cfRule type="cellIs" dxfId="15558" priority="1428" operator="greaterThan">
      <formula>V33</formula>
    </cfRule>
    <cfRule type="cellIs" dxfId="15557" priority="1429" operator="equal">
      <formula>0</formula>
    </cfRule>
  </conditionalFormatting>
  <conditionalFormatting sqref="V33">
    <cfRule type="cellIs" dxfId="15556" priority="1426" operator="greaterThan">
      <formula>V32</formula>
    </cfRule>
    <cfRule type="cellIs" dxfId="15555" priority="1427" operator="equal">
      <formula>0</formula>
    </cfRule>
  </conditionalFormatting>
  <conditionalFormatting sqref="V36:V37 X36:X37">
    <cfRule type="cellIs" dxfId="15554" priority="1425" operator="equal">
      <formula>0</formula>
    </cfRule>
  </conditionalFormatting>
  <conditionalFormatting sqref="V37">
    <cfRule type="cellIs" dxfId="15553" priority="1423" operator="greaterThan">
      <formula>V36</formula>
    </cfRule>
    <cfRule type="cellIs" dxfId="15552" priority="1424" operator="equal">
      <formula>0</formula>
    </cfRule>
  </conditionalFormatting>
  <conditionalFormatting sqref="V36">
    <cfRule type="cellIs" dxfId="15551" priority="1421" operator="greaterThan">
      <formula>V35</formula>
    </cfRule>
    <cfRule type="cellIs" dxfId="15550" priority="1422" operator="equal">
      <formula>0</formula>
    </cfRule>
  </conditionalFormatting>
  <conditionalFormatting sqref="V16">
    <cfRule type="cellIs" dxfId="15549" priority="1419" operator="greaterThan">
      <formula>V15</formula>
    </cfRule>
    <cfRule type="cellIs" dxfId="15548" priority="1420" operator="equal">
      <formula>0</formula>
    </cfRule>
  </conditionalFormatting>
  <conditionalFormatting sqref="V15">
    <cfRule type="cellIs" dxfId="15547" priority="1417" operator="greaterThan">
      <formula>V14</formula>
    </cfRule>
    <cfRule type="cellIs" dxfId="15546" priority="1418" operator="equal">
      <formula>0</formula>
    </cfRule>
  </conditionalFormatting>
  <conditionalFormatting sqref="V16">
    <cfRule type="cellIs" dxfId="15545" priority="1415" operator="greaterThan">
      <formula>V15</formula>
    </cfRule>
    <cfRule type="cellIs" dxfId="15544" priority="1416" operator="equal">
      <formula>0</formula>
    </cfRule>
  </conditionalFormatting>
  <conditionalFormatting sqref="V15">
    <cfRule type="cellIs" dxfId="15543" priority="1413" operator="greaterThan">
      <formula>V14</formula>
    </cfRule>
    <cfRule type="cellIs" dxfId="15542" priority="1414" operator="equal">
      <formula>0</formula>
    </cfRule>
  </conditionalFormatting>
  <conditionalFormatting sqref="V19">
    <cfRule type="cellIs" dxfId="15541" priority="1411" operator="greaterThan">
      <formula>V18</formula>
    </cfRule>
    <cfRule type="cellIs" dxfId="15540" priority="1412" operator="equal">
      <formula>0</formula>
    </cfRule>
  </conditionalFormatting>
  <conditionalFormatting sqref="V18">
    <cfRule type="cellIs" dxfId="15539" priority="1409" operator="greaterThan">
      <formula>V17</formula>
    </cfRule>
    <cfRule type="cellIs" dxfId="15538" priority="1410" operator="equal">
      <formula>0</formula>
    </cfRule>
  </conditionalFormatting>
  <conditionalFormatting sqref="V19">
    <cfRule type="cellIs" dxfId="15537" priority="1407" operator="greaterThan">
      <formula>V18</formula>
    </cfRule>
    <cfRule type="cellIs" dxfId="15536" priority="1408" operator="equal">
      <formula>0</formula>
    </cfRule>
  </conditionalFormatting>
  <conditionalFormatting sqref="V18">
    <cfRule type="cellIs" dxfId="15535" priority="1405" operator="greaterThan">
      <formula>V17</formula>
    </cfRule>
    <cfRule type="cellIs" dxfId="15534" priority="1406" operator="equal">
      <formula>0</formula>
    </cfRule>
  </conditionalFormatting>
  <conditionalFormatting sqref="V19">
    <cfRule type="cellIs" dxfId="15533" priority="1403" operator="greaterThan">
      <formula>V18</formula>
    </cfRule>
    <cfRule type="cellIs" dxfId="15532" priority="1404" operator="equal">
      <formula>0</formula>
    </cfRule>
  </conditionalFormatting>
  <conditionalFormatting sqref="V18">
    <cfRule type="cellIs" dxfId="15531" priority="1401" operator="greaterThan">
      <formula>V17</formula>
    </cfRule>
    <cfRule type="cellIs" dxfId="15530" priority="1402" operator="equal">
      <formula>0</formula>
    </cfRule>
  </conditionalFormatting>
  <conditionalFormatting sqref="V19">
    <cfRule type="cellIs" dxfId="15529" priority="1399" operator="greaterThan">
      <formula>V18</formula>
    </cfRule>
    <cfRule type="cellIs" dxfId="15528" priority="1400" operator="equal">
      <formula>0</formula>
    </cfRule>
  </conditionalFormatting>
  <conditionalFormatting sqref="V18">
    <cfRule type="cellIs" dxfId="15527" priority="1397" operator="greaterThan">
      <formula>V17</formula>
    </cfRule>
    <cfRule type="cellIs" dxfId="15526" priority="1398" operator="equal">
      <formula>0</formula>
    </cfRule>
  </conditionalFormatting>
  <conditionalFormatting sqref="V22">
    <cfRule type="cellIs" dxfId="15525" priority="1395" operator="greaterThan">
      <formula>V21</formula>
    </cfRule>
    <cfRule type="cellIs" dxfId="15524" priority="1396" operator="equal">
      <formula>0</formula>
    </cfRule>
  </conditionalFormatting>
  <conditionalFormatting sqref="V21">
    <cfRule type="cellIs" dxfId="15523" priority="1393" operator="greaterThan">
      <formula>V20</formula>
    </cfRule>
    <cfRule type="cellIs" dxfId="15522" priority="1394" operator="equal">
      <formula>0</formula>
    </cfRule>
  </conditionalFormatting>
  <conditionalFormatting sqref="V22">
    <cfRule type="cellIs" dxfId="15521" priority="1391" operator="greaterThan">
      <formula>V21</formula>
    </cfRule>
    <cfRule type="cellIs" dxfId="15520" priority="1392" operator="equal">
      <formula>0</formula>
    </cfRule>
  </conditionalFormatting>
  <conditionalFormatting sqref="V21">
    <cfRule type="cellIs" dxfId="15519" priority="1389" operator="greaterThan">
      <formula>V20</formula>
    </cfRule>
    <cfRule type="cellIs" dxfId="15518" priority="1390" operator="equal">
      <formula>0</formula>
    </cfRule>
  </conditionalFormatting>
  <conditionalFormatting sqref="V22">
    <cfRule type="cellIs" dxfId="15517" priority="1387" operator="greaterThan">
      <formula>V21</formula>
    </cfRule>
    <cfRule type="cellIs" dxfId="15516" priority="1388" operator="equal">
      <formula>0</formula>
    </cfRule>
  </conditionalFormatting>
  <conditionalFormatting sqref="V21">
    <cfRule type="cellIs" dxfId="15515" priority="1385" operator="greaterThan">
      <formula>V20</formula>
    </cfRule>
    <cfRule type="cellIs" dxfId="15514" priority="1386" operator="equal">
      <formula>0</formula>
    </cfRule>
  </conditionalFormatting>
  <conditionalFormatting sqref="V22">
    <cfRule type="cellIs" dxfId="15513" priority="1383" operator="greaterThan">
      <formula>V21</formula>
    </cfRule>
    <cfRule type="cellIs" dxfId="15512" priority="1384" operator="equal">
      <formula>0</formula>
    </cfRule>
  </conditionalFormatting>
  <conditionalFormatting sqref="V21">
    <cfRule type="cellIs" dxfId="15511" priority="1381" operator="greaterThan">
      <formula>V20</formula>
    </cfRule>
    <cfRule type="cellIs" dxfId="15510" priority="1382" operator="equal">
      <formula>0</formula>
    </cfRule>
  </conditionalFormatting>
  <conditionalFormatting sqref="V22">
    <cfRule type="cellIs" dxfId="15509" priority="1379" operator="greaterThan">
      <formula>V21</formula>
    </cfRule>
    <cfRule type="cellIs" dxfId="15508" priority="1380" operator="equal">
      <formula>0</formula>
    </cfRule>
  </conditionalFormatting>
  <conditionalFormatting sqref="V21">
    <cfRule type="cellIs" dxfId="15507" priority="1377" operator="greaterThan">
      <formula>V20</formula>
    </cfRule>
    <cfRule type="cellIs" dxfId="15506" priority="1378" operator="equal">
      <formula>0</formula>
    </cfRule>
  </conditionalFormatting>
  <conditionalFormatting sqref="V22">
    <cfRule type="cellIs" dxfId="15505" priority="1375" operator="greaterThan">
      <formula>V21</formula>
    </cfRule>
    <cfRule type="cellIs" dxfId="15504" priority="1376" operator="equal">
      <formula>0</formula>
    </cfRule>
  </conditionalFormatting>
  <conditionalFormatting sqref="V21">
    <cfRule type="cellIs" dxfId="15503" priority="1373" operator="greaterThan">
      <formula>V20</formula>
    </cfRule>
    <cfRule type="cellIs" dxfId="15502" priority="1374" operator="equal">
      <formula>0</formula>
    </cfRule>
  </conditionalFormatting>
  <conditionalFormatting sqref="V24">
    <cfRule type="cellIs" dxfId="15501" priority="1371" operator="greaterThan">
      <formula>V23</formula>
    </cfRule>
    <cfRule type="cellIs" dxfId="15500" priority="1372" operator="equal">
      <formula>0</formula>
    </cfRule>
  </conditionalFormatting>
  <conditionalFormatting sqref="V25">
    <cfRule type="cellIs" dxfId="15499" priority="1369" operator="greaterThan">
      <formula>V24</formula>
    </cfRule>
    <cfRule type="cellIs" dxfId="15498" priority="1370" operator="equal">
      <formula>0</formula>
    </cfRule>
  </conditionalFormatting>
  <conditionalFormatting sqref="V24">
    <cfRule type="cellIs" dxfId="15497" priority="1367" operator="greaterThan">
      <formula>V23</formula>
    </cfRule>
    <cfRule type="cellIs" dxfId="15496" priority="1368" operator="equal">
      <formula>0</formula>
    </cfRule>
  </conditionalFormatting>
  <conditionalFormatting sqref="V25">
    <cfRule type="cellIs" dxfId="15495" priority="1365" operator="greaterThan">
      <formula>V24</formula>
    </cfRule>
    <cfRule type="cellIs" dxfId="15494" priority="1366" operator="equal">
      <formula>0</formula>
    </cfRule>
  </conditionalFormatting>
  <conditionalFormatting sqref="V24">
    <cfRule type="cellIs" dxfId="15493" priority="1363" operator="greaterThan">
      <formula>V23</formula>
    </cfRule>
    <cfRule type="cellIs" dxfId="15492" priority="1364" operator="equal">
      <formula>0</formula>
    </cfRule>
  </conditionalFormatting>
  <conditionalFormatting sqref="V25">
    <cfRule type="cellIs" dxfId="15491" priority="1361" operator="greaterThan">
      <formula>V24</formula>
    </cfRule>
    <cfRule type="cellIs" dxfId="15490" priority="1362" operator="equal">
      <formula>0</formula>
    </cfRule>
  </conditionalFormatting>
  <conditionalFormatting sqref="V24">
    <cfRule type="cellIs" dxfId="15489" priority="1359" operator="greaterThan">
      <formula>V23</formula>
    </cfRule>
    <cfRule type="cellIs" dxfId="15488" priority="1360" operator="equal">
      <formula>0</formula>
    </cfRule>
  </conditionalFormatting>
  <conditionalFormatting sqref="V25">
    <cfRule type="cellIs" dxfId="15487" priority="1357" operator="greaterThan">
      <formula>V24</formula>
    </cfRule>
    <cfRule type="cellIs" dxfId="15486" priority="1358" operator="equal">
      <formula>0</formula>
    </cfRule>
  </conditionalFormatting>
  <conditionalFormatting sqref="V24">
    <cfRule type="cellIs" dxfId="15485" priority="1355" operator="greaterThan">
      <formula>V23</formula>
    </cfRule>
    <cfRule type="cellIs" dxfId="15484" priority="1356" operator="equal">
      <formula>0</formula>
    </cfRule>
  </conditionalFormatting>
  <conditionalFormatting sqref="V25">
    <cfRule type="cellIs" dxfId="15483" priority="1353" operator="greaterThan">
      <formula>V24</formula>
    </cfRule>
    <cfRule type="cellIs" dxfId="15482" priority="1354" operator="equal">
      <formula>0</formula>
    </cfRule>
  </conditionalFormatting>
  <conditionalFormatting sqref="V24">
    <cfRule type="cellIs" dxfId="15481" priority="1351" operator="greaterThan">
      <formula>V23</formula>
    </cfRule>
    <cfRule type="cellIs" dxfId="15480" priority="1352" operator="equal">
      <formula>0</formula>
    </cfRule>
  </conditionalFormatting>
  <conditionalFormatting sqref="V25">
    <cfRule type="cellIs" dxfId="15479" priority="1349" operator="greaterThan">
      <formula>V24</formula>
    </cfRule>
    <cfRule type="cellIs" dxfId="15478" priority="1350" operator="equal">
      <formula>0</formula>
    </cfRule>
  </conditionalFormatting>
  <conditionalFormatting sqref="V24">
    <cfRule type="cellIs" dxfId="15477" priority="1347" operator="greaterThan">
      <formula>V23</formula>
    </cfRule>
    <cfRule type="cellIs" dxfId="15476" priority="1348" operator="equal">
      <formula>0</formula>
    </cfRule>
  </conditionalFormatting>
  <conditionalFormatting sqref="V25">
    <cfRule type="cellIs" dxfId="15475" priority="1345" operator="greaterThan">
      <formula>V24</formula>
    </cfRule>
    <cfRule type="cellIs" dxfId="15474" priority="1346" operator="equal">
      <formula>0</formula>
    </cfRule>
  </conditionalFormatting>
  <conditionalFormatting sqref="V24">
    <cfRule type="cellIs" dxfId="15473" priority="1343" operator="greaterThan">
      <formula>V23</formula>
    </cfRule>
    <cfRule type="cellIs" dxfId="15472" priority="1344" operator="equal">
      <formula>0</formula>
    </cfRule>
  </conditionalFormatting>
  <conditionalFormatting sqref="V27:V28">
    <cfRule type="cellIs" dxfId="15471" priority="1341" operator="greaterThan">
      <formula>V26</formula>
    </cfRule>
    <cfRule type="cellIs" dxfId="15470" priority="1342" operator="equal">
      <formula>0</formula>
    </cfRule>
  </conditionalFormatting>
  <conditionalFormatting sqref="V27">
    <cfRule type="cellIs" dxfId="15469" priority="1339" operator="greaterThan">
      <formula>V26</formula>
    </cfRule>
    <cfRule type="cellIs" dxfId="15468" priority="1340" operator="equal">
      <formula>0</formula>
    </cfRule>
  </conditionalFormatting>
  <conditionalFormatting sqref="V28">
    <cfRule type="cellIs" dxfId="15467" priority="1337" operator="greaterThan">
      <formula>V27</formula>
    </cfRule>
    <cfRule type="cellIs" dxfId="15466" priority="1338" operator="equal">
      <formula>0</formula>
    </cfRule>
  </conditionalFormatting>
  <conditionalFormatting sqref="V27">
    <cfRule type="cellIs" dxfId="15465" priority="1335" operator="greaterThan">
      <formula>V26</formula>
    </cfRule>
    <cfRule type="cellIs" dxfId="15464" priority="1336" operator="equal">
      <formula>0</formula>
    </cfRule>
  </conditionalFormatting>
  <conditionalFormatting sqref="V27">
    <cfRule type="cellIs" dxfId="15463" priority="1333" operator="greaterThan">
      <formula>V26</formula>
    </cfRule>
    <cfRule type="cellIs" dxfId="15462" priority="1334" operator="equal">
      <formula>0</formula>
    </cfRule>
  </conditionalFormatting>
  <conditionalFormatting sqref="V28">
    <cfRule type="cellIs" dxfId="15461" priority="1331" operator="greaterThan">
      <formula>V27</formula>
    </cfRule>
    <cfRule type="cellIs" dxfId="15460" priority="1332" operator="equal">
      <formula>0</formula>
    </cfRule>
  </conditionalFormatting>
  <conditionalFormatting sqref="V27">
    <cfRule type="cellIs" dxfId="15459" priority="1329" operator="greaterThan">
      <formula>V26</formula>
    </cfRule>
    <cfRule type="cellIs" dxfId="15458" priority="1330" operator="equal">
      <formula>0</formula>
    </cfRule>
  </conditionalFormatting>
  <conditionalFormatting sqref="V28">
    <cfRule type="cellIs" dxfId="15457" priority="1327" operator="greaterThan">
      <formula>V27</formula>
    </cfRule>
    <cfRule type="cellIs" dxfId="15456" priority="1328" operator="equal">
      <formula>0</formula>
    </cfRule>
  </conditionalFormatting>
  <conditionalFormatting sqref="V27">
    <cfRule type="cellIs" dxfId="15455" priority="1325" operator="greaterThan">
      <formula>V26</formula>
    </cfRule>
    <cfRule type="cellIs" dxfId="15454" priority="1326" operator="equal">
      <formula>0</formula>
    </cfRule>
  </conditionalFormatting>
  <conditionalFormatting sqref="V28">
    <cfRule type="cellIs" dxfId="15453" priority="1323" operator="greaterThan">
      <formula>V27</formula>
    </cfRule>
    <cfRule type="cellIs" dxfId="15452" priority="1324" operator="equal">
      <formula>0</formula>
    </cfRule>
  </conditionalFormatting>
  <conditionalFormatting sqref="V27">
    <cfRule type="cellIs" dxfId="15451" priority="1321" operator="greaterThan">
      <formula>V26</formula>
    </cfRule>
    <cfRule type="cellIs" dxfId="15450" priority="1322" operator="equal">
      <formula>0</formula>
    </cfRule>
  </conditionalFormatting>
  <conditionalFormatting sqref="V28">
    <cfRule type="cellIs" dxfId="15449" priority="1319" operator="greaterThan">
      <formula>V27</formula>
    </cfRule>
    <cfRule type="cellIs" dxfId="15448" priority="1320" operator="equal">
      <formula>0</formula>
    </cfRule>
  </conditionalFormatting>
  <conditionalFormatting sqref="V27">
    <cfRule type="cellIs" dxfId="15447" priority="1317" operator="greaterThan">
      <formula>V26</formula>
    </cfRule>
    <cfRule type="cellIs" dxfId="15446" priority="1318" operator="equal">
      <formula>0</formula>
    </cfRule>
  </conditionalFormatting>
  <conditionalFormatting sqref="V28">
    <cfRule type="cellIs" dxfId="15445" priority="1315" operator="greaterThan">
      <formula>V27</formula>
    </cfRule>
    <cfRule type="cellIs" dxfId="15444" priority="1316" operator="equal">
      <formula>0</formula>
    </cfRule>
  </conditionalFormatting>
  <conditionalFormatting sqref="V27">
    <cfRule type="cellIs" dxfId="15443" priority="1313" operator="greaterThan">
      <formula>V26</formula>
    </cfRule>
    <cfRule type="cellIs" dxfId="15442" priority="1314" operator="equal">
      <formula>0</formula>
    </cfRule>
  </conditionalFormatting>
  <conditionalFormatting sqref="V28">
    <cfRule type="cellIs" dxfId="15441" priority="1311" operator="greaterThan">
      <formula>V27</formula>
    </cfRule>
    <cfRule type="cellIs" dxfId="15440" priority="1312" operator="equal">
      <formula>0</formula>
    </cfRule>
  </conditionalFormatting>
  <conditionalFormatting sqref="V27">
    <cfRule type="cellIs" dxfId="15439" priority="1309" operator="greaterThan">
      <formula>V26</formula>
    </cfRule>
    <cfRule type="cellIs" dxfId="15438" priority="1310" operator="equal">
      <formula>0</formula>
    </cfRule>
  </conditionalFormatting>
  <conditionalFormatting sqref="V28">
    <cfRule type="cellIs" dxfId="15437" priority="1307" operator="greaterThan">
      <formula>V27</formula>
    </cfRule>
    <cfRule type="cellIs" dxfId="15436" priority="1308" operator="equal">
      <formula>0</formula>
    </cfRule>
  </conditionalFormatting>
  <conditionalFormatting sqref="V27">
    <cfRule type="cellIs" dxfId="15435" priority="1305" operator="greaterThan">
      <formula>V26</formula>
    </cfRule>
    <cfRule type="cellIs" dxfId="15434" priority="1306" operator="equal">
      <formula>0</formula>
    </cfRule>
  </conditionalFormatting>
  <conditionalFormatting sqref="V50">
    <cfRule type="cellIs" dxfId="15433" priority="1303" operator="greaterThan">
      <formula>V49</formula>
    </cfRule>
    <cfRule type="cellIs" dxfId="15432" priority="1304" operator="equal">
      <formula>0</formula>
    </cfRule>
  </conditionalFormatting>
  <conditionalFormatting sqref="V12:V13 X12:X13 X15:X16 X18:X19 X21:X25 X27:X28 V15:V16 V18:V19 V21:V22 V24:V25 V27:V28">
    <cfRule type="cellIs" dxfId="15431" priority="1302" operator="equal">
      <formula>0</formula>
    </cfRule>
  </conditionalFormatting>
  <conditionalFormatting sqref="V28">
    <cfRule type="cellIs" dxfId="15430" priority="1300" operator="greaterThan">
      <formula>V27</formula>
    </cfRule>
    <cfRule type="cellIs" dxfId="15429" priority="1301" operator="equal">
      <formula>0</formula>
    </cfRule>
  </conditionalFormatting>
  <conditionalFormatting sqref="V27">
    <cfRule type="cellIs" dxfId="15428" priority="1298" operator="greaterThan">
      <formula>V26</formula>
    </cfRule>
    <cfRule type="cellIs" dxfId="15427" priority="1299" operator="equal">
      <formula>0</formula>
    </cfRule>
  </conditionalFormatting>
  <conditionalFormatting sqref="V13">
    <cfRule type="cellIs" dxfId="15426" priority="1296" operator="greaterThan">
      <formula>V12</formula>
    </cfRule>
    <cfRule type="cellIs" dxfId="15425" priority="1297" operator="equal">
      <formula>0</formula>
    </cfRule>
  </conditionalFormatting>
  <conditionalFormatting sqref="V12">
    <cfRule type="cellIs" dxfId="15424" priority="1294" operator="greaterThan">
      <formula>V11</formula>
    </cfRule>
    <cfRule type="cellIs" dxfId="15423" priority="1295" operator="equal">
      <formula>0</formula>
    </cfRule>
  </conditionalFormatting>
  <conditionalFormatting sqref="V16">
    <cfRule type="cellIs" dxfId="15422" priority="1292" operator="greaterThan">
      <formula>V15</formula>
    </cfRule>
    <cfRule type="cellIs" dxfId="15421" priority="1293" operator="equal">
      <formula>0</formula>
    </cfRule>
  </conditionalFormatting>
  <conditionalFormatting sqref="V15">
    <cfRule type="cellIs" dxfId="15420" priority="1290" operator="greaterThan">
      <formula>V14</formula>
    </cfRule>
    <cfRule type="cellIs" dxfId="15419" priority="1291" operator="equal">
      <formula>0</formula>
    </cfRule>
  </conditionalFormatting>
  <conditionalFormatting sqref="V19">
    <cfRule type="cellIs" dxfId="15418" priority="1288" operator="greaterThan">
      <formula>V18</formula>
    </cfRule>
    <cfRule type="cellIs" dxfId="15417" priority="1289" operator="equal">
      <formula>0</formula>
    </cfRule>
  </conditionalFormatting>
  <conditionalFormatting sqref="V18">
    <cfRule type="cellIs" dxfId="15416" priority="1286" operator="greaterThan">
      <formula>V17</formula>
    </cfRule>
    <cfRule type="cellIs" dxfId="15415" priority="1287" operator="equal">
      <formula>0</formula>
    </cfRule>
  </conditionalFormatting>
  <conditionalFormatting sqref="V22 V24:V25">
    <cfRule type="cellIs" dxfId="15414" priority="1284" operator="greaterThan">
      <formula>V21</formula>
    </cfRule>
    <cfRule type="cellIs" dxfId="15413" priority="1285" operator="equal">
      <formula>0</formula>
    </cfRule>
  </conditionalFormatting>
  <conditionalFormatting sqref="V21">
    <cfRule type="cellIs" dxfId="15412" priority="1282" operator="greaterThan">
      <formula>V20</formula>
    </cfRule>
    <cfRule type="cellIs" dxfId="15411" priority="1283" operator="equal">
      <formula>0</formula>
    </cfRule>
  </conditionalFormatting>
  <conditionalFormatting sqref="V24">
    <cfRule type="cellIs" dxfId="15410" priority="1280" operator="greaterThan">
      <formula>V23</formula>
    </cfRule>
    <cfRule type="cellIs" dxfId="15409" priority="1281" operator="equal">
      <formula>0</formula>
    </cfRule>
  </conditionalFormatting>
  <conditionalFormatting sqref="V27:V28">
    <cfRule type="cellIs" dxfId="15408" priority="1278" operator="greaterThan">
      <formula>V26</formula>
    </cfRule>
    <cfRule type="cellIs" dxfId="15407" priority="1279" operator="equal">
      <formula>0</formula>
    </cfRule>
  </conditionalFormatting>
  <conditionalFormatting sqref="V27">
    <cfRule type="cellIs" dxfId="15406" priority="1276" operator="greaterThan">
      <formula>V26</formula>
    </cfRule>
    <cfRule type="cellIs" dxfId="15405" priority="1277" operator="equal">
      <formula>0</formula>
    </cfRule>
  </conditionalFormatting>
  <conditionalFormatting sqref="V16">
    <cfRule type="cellIs" dxfId="15404" priority="1274" operator="greaterThan">
      <formula>V15</formula>
    </cfRule>
    <cfRule type="cellIs" dxfId="15403" priority="1275" operator="equal">
      <formula>0</formula>
    </cfRule>
  </conditionalFormatting>
  <conditionalFormatting sqref="V15">
    <cfRule type="cellIs" dxfId="15402" priority="1272" operator="greaterThan">
      <formula>V14</formula>
    </cfRule>
    <cfRule type="cellIs" dxfId="15401" priority="1273" operator="equal">
      <formula>0</formula>
    </cfRule>
  </conditionalFormatting>
  <conditionalFormatting sqref="V19">
    <cfRule type="cellIs" dxfId="15400" priority="1270" operator="greaterThan">
      <formula>V18</formula>
    </cfRule>
    <cfRule type="cellIs" dxfId="15399" priority="1271" operator="equal">
      <formula>0</formula>
    </cfRule>
  </conditionalFormatting>
  <conditionalFormatting sqref="V18">
    <cfRule type="cellIs" dxfId="15398" priority="1268" operator="greaterThan">
      <formula>V17</formula>
    </cfRule>
    <cfRule type="cellIs" dxfId="15397" priority="1269" operator="equal">
      <formula>0</formula>
    </cfRule>
  </conditionalFormatting>
  <conditionalFormatting sqref="V22">
    <cfRule type="cellIs" dxfId="15396" priority="1266" operator="greaterThan">
      <formula>V21</formula>
    </cfRule>
    <cfRule type="cellIs" dxfId="15395" priority="1267" operator="equal">
      <formula>0</formula>
    </cfRule>
  </conditionalFormatting>
  <conditionalFormatting sqref="V21">
    <cfRule type="cellIs" dxfId="15394" priority="1264" operator="greaterThan">
      <formula>V20</formula>
    </cfRule>
    <cfRule type="cellIs" dxfId="15393" priority="1265" operator="equal">
      <formula>0</formula>
    </cfRule>
  </conditionalFormatting>
  <conditionalFormatting sqref="V25">
    <cfRule type="cellIs" dxfId="15392" priority="1262" operator="greaterThan">
      <formula>V24</formula>
    </cfRule>
    <cfRule type="cellIs" dxfId="15391" priority="1263" operator="equal">
      <formula>0</formula>
    </cfRule>
  </conditionalFormatting>
  <conditionalFormatting sqref="V24">
    <cfRule type="cellIs" dxfId="15390" priority="1260" operator="greaterThan">
      <formula>V23</formula>
    </cfRule>
    <cfRule type="cellIs" dxfId="15389" priority="1261" operator="equal">
      <formula>0</formula>
    </cfRule>
  </conditionalFormatting>
  <conditionalFormatting sqref="V28">
    <cfRule type="cellIs" dxfId="15388" priority="1258" operator="greaterThan">
      <formula>V27</formula>
    </cfRule>
    <cfRule type="cellIs" dxfId="15387" priority="1259" operator="equal">
      <formula>0</formula>
    </cfRule>
  </conditionalFormatting>
  <conditionalFormatting sqref="V27">
    <cfRule type="cellIs" dxfId="15386" priority="1256" operator="greaterThan">
      <formula>V26</formula>
    </cfRule>
    <cfRule type="cellIs" dxfId="15385" priority="1257" operator="equal">
      <formula>0</formula>
    </cfRule>
  </conditionalFormatting>
  <conditionalFormatting sqref="V30:V31 X30:X31">
    <cfRule type="cellIs" dxfId="15384" priority="1255" operator="equal">
      <formula>0</formula>
    </cfRule>
  </conditionalFormatting>
  <conditionalFormatting sqref="V31">
    <cfRule type="cellIs" dxfId="15383" priority="1253" operator="greaterThan">
      <formula>V30</formula>
    </cfRule>
    <cfRule type="cellIs" dxfId="15382" priority="1254" operator="equal">
      <formula>0</formula>
    </cfRule>
  </conditionalFormatting>
  <conditionalFormatting sqref="V30">
    <cfRule type="cellIs" dxfId="15381" priority="1251" operator="greaterThan">
      <formula>V29</formula>
    </cfRule>
    <cfRule type="cellIs" dxfId="15380" priority="1252" operator="equal">
      <formula>0</formula>
    </cfRule>
  </conditionalFormatting>
  <conditionalFormatting sqref="V33:V34 X33:X34">
    <cfRule type="cellIs" dxfId="15379" priority="1250" operator="equal">
      <formula>0</formula>
    </cfRule>
  </conditionalFormatting>
  <conditionalFormatting sqref="V34">
    <cfRule type="cellIs" dxfId="15378" priority="1248" operator="greaterThan">
      <formula>V33</formula>
    </cfRule>
    <cfRule type="cellIs" dxfId="15377" priority="1249" operator="equal">
      <formula>0</formula>
    </cfRule>
  </conditionalFormatting>
  <conditionalFormatting sqref="V33">
    <cfRule type="cellIs" dxfId="15376" priority="1246" operator="greaterThan">
      <formula>V32</formula>
    </cfRule>
    <cfRule type="cellIs" dxfId="15375" priority="1247" operator="equal">
      <formula>0</formula>
    </cfRule>
  </conditionalFormatting>
  <conditionalFormatting sqref="V36:V37 X36:X37">
    <cfRule type="cellIs" dxfId="15374" priority="1245" operator="equal">
      <formula>0</formula>
    </cfRule>
  </conditionalFormatting>
  <conditionalFormatting sqref="V37">
    <cfRule type="cellIs" dxfId="15373" priority="1243" operator="greaterThan">
      <formula>V36</formula>
    </cfRule>
    <cfRule type="cellIs" dxfId="15372" priority="1244" operator="equal">
      <formula>0</formula>
    </cfRule>
  </conditionalFormatting>
  <conditionalFormatting sqref="V36">
    <cfRule type="cellIs" dxfId="15371" priority="1241" operator="greaterThan">
      <formula>V35</formula>
    </cfRule>
    <cfRule type="cellIs" dxfId="15370" priority="1242" operator="equal">
      <formula>0</formula>
    </cfRule>
  </conditionalFormatting>
  <conditionalFormatting sqref="V16">
    <cfRule type="cellIs" dxfId="15369" priority="1239" operator="greaterThan">
      <formula>V15</formula>
    </cfRule>
    <cfRule type="cellIs" dxfId="15368" priority="1240" operator="equal">
      <formula>0</formula>
    </cfRule>
  </conditionalFormatting>
  <conditionalFormatting sqref="V15">
    <cfRule type="cellIs" dxfId="15367" priority="1237" operator="greaterThan">
      <formula>V14</formula>
    </cfRule>
    <cfRule type="cellIs" dxfId="15366" priority="1238" operator="equal">
      <formula>0</formula>
    </cfRule>
  </conditionalFormatting>
  <conditionalFormatting sqref="V16">
    <cfRule type="cellIs" dxfId="15365" priority="1235" operator="greaterThan">
      <formula>V15</formula>
    </cfRule>
    <cfRule type="cellIs" dxfId="15364" priority="1236" operator="equal">
      <formula>0</formula>
    </cfRule>
  </conditionalFormatting>
  <conditionalFormatting sqref="V15">
    <cfRule type="cellIs" dxfId="15363" priority="1233" operator="greaterThan">
      <formula>V14</formula>
    </cfRule>
    <cfRule type="cellIs" dxfId="15362" priority="1234" operator="equal">
      <formula>0</formula>
    </cfRule>
  </conditionalFormatting>
  <conditionalFormatting sqref="V19">
    <cfRule type="cellIs" dxfId="15361" priority="1231" operator="greaterThan">
      <formula>V18</formula>
    </cfRule>
    <cfRule type="cellIs" dxfId="15360" priority="1232" operator="equal">
      <formula>0</formula>
    </cfRule>
  </conditionalFormatting>
  <conditionalFormatting sqref="V18">
    <cfRule type="cellIs" dxfId="15359" priority="1229" operator="greaterThan">
      <formula>V17</formula>
    </cfRule>
    <cfRule type="cellIs" dxfId="15358" priority="1230" operator="equal">
      <formula>0</formula>
    </cfRule>
  </conditionalFormatting>
  <conditionalFormatting sqref="V19">
    <cfRule type="cellIs" dxfId="15357" priority="1227" operator="greaterThan">
      <formula>V18</formula>
    </cfRule>
    <cfRule type="cellIs" dxfId="15356" priority="1228" operator="equal">
      <formula>0</formula>
    </cfRule>
  </conditionalFormatting>
  <conditionalFormatting sqref="V18">
    <cfRule type="cellIs" dxfId="15355" priority="1225" operator="greaterThan">
      <formula>V17</formula>
    </cfRule>
    <cfRule type="cellIs" dxfId="15354" priority="1226" operator="equal">
      <formula>0</formula>
    </cfRule>
  </conditionalFormatting>
  <conditionalFormatting sqref="V19">
    <cfRule type="cellIs" dxfId="15353" priority="1223" operator="greaterThan">
      <formula>V18</formula>
    </cfRule>
    <cfRule type="cellIs" dxfId="15352" priority="1224" operator="equal">
      <formula>0</formula>
    </cfRule>
  </conditionalFormatting>
  <conditionalFormatting sqref="V18">
    <cfRule type="cellIs" dxfId="15351" priority="1221" operator="greaterThan">
      <formula>V17</formula>
    </cfRule>
    <cfRule type="cellIs" dxfId="15350" priority="1222" operator="equal">
      <formula>0</formula>
    </cfRule>
  </conditionalFormatting>
  <conditionalFormatting sqref="V19">
    <cfRule type="cellIs" dxfId="15349" priority="1219" operator="greaterThan">
      <formula>V18</formula>
    </cfRule>
    <cfRule type="cellIs" dxfId="15348" priority="1220" operator="equal">
      <formula>0</formula>
    </cfRule>
  </conditionalFormatting>
  <conditionalFormatting sqref="V18">
    <cfRule type="cellIs" dxfId="15347" priority="1217" operator="greaterThan">
      <formula>V17</formula>
    </cfRule>
    <cfRule type="cellIs" dxfId="15346" priority="1218" operator="equal">
      <formula>0</formula>
    </cfRule>
  </conditionalFormatting>
  <conditionalFormatting sqref="V22">
    <cfRule type="cellIs" dxfId="15345" priority="1215" operator="greaterThan">
      <formula>V21</formula>
    </cfRule>
    <cfRule type="cellIs" dxfId="15344" priority="1216" operator="equal">
      <formula>0</formula>
    </cfRule>
  </conditionalFormatting>
  <conditionalFormatting sqref="V21">
    <cfRule type="cellIs" dxfId="15343" priority="1213" operator="greaterThan">
      <formula>V20</formula>
    </cfRule>
    <cfRule type="cellIs" dxfId="15342" priority="1214" operator="equal">
      <formula>0</formula>
    </cfRule>
  </conditionalFormatting>
  <conditionalFormatting sqref="V22">
    <cfRule type="cellIs" dxfId="15341" priority="1211" operator="greaterThan">
      <formula>V21</formula>
    </cfRule>
    <cfRule type="cellIs" dxfId="15340" priority="1212" operator="equal">
      <formula>0</formula>
    </cfRule>
  </conditionalFormatting>
  <conditionalFormatting sqref="V21">
    <cfRule type="cellIs" dxfId="15339" priority="1209" operator="greaterThan">
      <formula>V20</formula>
    </cfRule>
    <cfRule type="cellIs" dxfId="15338" priority="1210" operator="equal">
      <formula>0</formula>
    </cfRule>
  </conditionalFormatting>
  <conditionalFormatting sqref="V22">
    <cfRule type="cellIs" dxfId="15337" priority="1207" operator="greaterThan">
      <formula>V21</formula>
    </cfRule>
    <cfRule type="cellIs" dxfId="15336" priority="1208" operator="equal">
      <formula>0</formula>
    </cfRule>
  </conditionalFormatting>
  <conditionalFormatting sqref="V21">
    <cfRule type="cellIs" dxfId="15335" priority="1205" operator="greaterThan">
      <formula>V20</formula>
    </cfRule>
    <cfRule type="cellIs" dxfId="15334" priority="1206" operator="equal">
      <formula>0</formula>
    </cfRule>
  </conditionalFormatting>
  <conditionalFormatting sqref="V22">
    <cfRule type="cellIs" dxfId="15333" priority="1203" operator="greaterThan">
      <formula>V21</formula>
    </cfRule>
    <cfRule type="cellIs" dxfId="15332" priority="1204" operator="equal">
      <formula>0</formula>
    </cfRule>
  </conditionalFormatting>
  <conditionalFormatting sqref="V21">
    <cfRule type="cellIs" dxfId="15331" priority="1201" operator="greaterThan">
      <formula>V20</formula>
    </cfRule>
    <cfRule type="cellIs" dxfId="15330" priority="1202" operator="equal">
      <formula>0</formula>
    </cfRule>
  </conditionalFormatting>
  <conditionalFormatting sqref="V22">
    <cfRule type="cellIs" dxfId="15329" priority="1199" operator="greaterThan">
      <formula>V21</formula>
    </cfRule>
    <cfRule type="cellIs" dxfId="15328" priority="1200" operator="equal">
      <formula>0</formula>
    </cfRule>
  </conditionalFormatting>
  <conditionalFormatting sqref="V21">
    <cfRule type="cellIs" dxfId="15327" priority="1197" operator="greaterThan">
      <formula>V20</formula>
    </cfRule>
    <cfRule type="cellIs" dxfId="15326" priority="1198" operator="equal">
      <formula>0</formula>
    </cfRule>
  </conditionalFormatting>
  <conditionalFormatting sqref="V22">
    <cfRule type="cellIs" dxfId="15325" priority="1195" operator="greaterThan">
      <formula>V21</formula>
    </cfRule>
    <cfRule type="cellIs" dxfId="15324" priority="1196" operator="equal">
      <formula>0</formula>
    </cfRule>
  </conditionalFormatting>
  <conditionalFormatting sqref="V21">
    <cfRule type="cellIs" dxfId="15323" priority="1193" operator="greaterThan">
      <formula>V20</formula>
    </cfRule>
    <cfRule type="cellIs" dxfId="15322" priority="1194" operator="equal">
      <formula>0</formula>
    </cfRule>
  </conditionalFormatting>
  <conditionalFormatting sqref="V24">
    <cfRule type="cellIs" dxfId="15321" priority="1191" operator="greaterThan">
      <formula>V23</formula>
    </cfRule>
    <cfRule type="cellIs" dxfId="15320" priority="1192" operator="equal">
      <formula>0</formula>
    </cfRule>
  </conditionalFormatting>
  <conditionalFormatting sqref="V25">
    <cfRule type="cellIs" dxfId="15319" priority="1189" operator="greaterThan">
      <formula>V24</formula>
    </cfRule>
    <cfRule type="cellIs" dxfId="15318" priority="1190" operator="equal">
      <formula>0</formula>
    </cfRule>
  </conditionalFormatting>
  <conditionalFormatting sqref="V24">
    <cfRule type="cellIs" dxfId="15317" priority="1187" operator="greaterThan">
      <formula>V23</formula>
    </cfRule>
    <cfRule type="cellIs" dxfId="15316" priority="1188" operator="equal">
      <formula>0</formula>
    </cfRule>
  </conditionalFormatting>
  <conditionalFormatting sqref="V25">
    <cfRule type="cellIs" dxfId="15315" priority="1185" operator="greaterThan">
      <formula>V24</formula>
    </cfRule>
    <cfRule type="cellIs" dxfId="15314" priority="1186" operator="equal">
      <formula>0</formula>
    </cfRule>
  </conditionalFormatting>
  <conditionalFormatting sqref="V24">
    <cfRule type="cellIs" dxfId="15313" priority="1183" operator="greaterThan">
      <formula>V23</formula>
    </cfRule>
    <cfRule type="cellIs" dxfId="15312" priority="1184" operator="equal">
      <formula>0</formula>
    </cfRule>
  </conditionalFormatting>
  <conditionalFormatting sqref="V25">
    <cfRule type="cellIs" dxfId="15311" priority="1181" operator="greaterThan">
      <formula>V24</formula>
    </cfRule>
    <cfRule type="cellIs" dxfId="15310" priority="1182" operator="equal">
      <formula>0</formula>
    </cfRule>
  </conditionalFormatting>
  <conditionalFormatting sqref="V24">
    <cfRule type="cellIs" dxfId="15309" priority="1179" operator="greaterThan">
      <formula>V23</formula>
    </cfRule>
    <cfRule type="cellIs" dxfId="15308" priority="1180" operator="equal">
      <formula>0</formula>
    </cfRule>
  </conditionalFormatting>
  <conditionalFormatting sqref="V25">
    <cfRule type="cellIs" dxfId="15307" priority="1177" operator="greaterThan">
      <formula>V24</formula>
    </cfRule>
    <cfRule type="cellIs" dxfId="15306" priority="1178" operator="equal">
      <formula>0</formula>
    </cfRule>
  </conditionalFormatting>
  <conditionalFormatting sqref="V24">
    <cfRule type="cellIs" dxfId="15305" priority="1175" operator="greaterThan">
      <formula>V23</formula>
    </cfRule>
    <cfRule type="cellIs" dxfId="15304" priority="1176" operator="equal">
      <formula>0</formula>
    </cfRule>
  </conditionalFormatting>
  <conditionalFormatting sqref="V25">
    <cfRule type="cellIs" dxfId="15303" priority="1173" operator="greaterThan">
      <formula>V24</formula>
    </cfRule>
    <cfRule type="cellIs" dxfId="15302" priority="1174" operator="equal">
      <formula>0</formula>
    </cfRule>
  </conditionalFormatting>
  <conditionalFormatting sqref="V24">
    <cfRule type="cellIs" dxfId="15301" priority="1171" operator="greaterThan">
      <formula>V23</formula>
    </cfRule>
    <cfRule type="cellIs" dxfId="15300" priority="1172" operator="equal">
      <formula>0</formula>
    </cfRule>
  </conditionalFormatting>
  <conditionalFormatting sqref="V25">
    <cfRule type="cellIs" dxfId="15299" priority="1169" operator="greaterThan">
      <formula>V24</formula>
    </cfRule>
    <cfRule type="cellIs" dxfId="15298" priority="1170" operator="equal">
      <formula>0</formula>
    </cfRule>
  </conditionalFormatting>
  <conditionalFormatting sqref="V24">
    <cfRule type="cellIs" dxfId="15297" priority="1167" operator="greaterThan">
      <formula>V23</formula>
    </cfRule>
    <cfRule type="cellIs" dxfId="15296" priority="1168" operator="equal">
      <formula>0</formula>
    </cfRule>
  </conditionalFormatting>
  <conditionalFormatting sqref="V25">
    <cfRule type="cellIs" dxfId="15295" priority="1165" operator="greaterThan">
      <formula>V24</formula>
    </cfRule>
    <cfRule type="cellIs" dxfId="15294" priority="1166" operator="equal">
      <formula>0</formula>
    </cfRule>
  </conditionalFormatting>
  <conditionalFormatting sqref="V24">
    <cfRule type="cellIs" dxfId="15293" priority="1163" operator="greaterThan">
      <formula>V23</formula>
    </cfRule>
    <cfRule type="cellIs" dxfId="15292" priority="1164" operator="equal">
      <formula>0</formula>
    </cfRule>
  </conditionalFormatting>
  <conditionalFormatting sqref="V27:V28">
    <cfRule type="cellIs" dxfId="15291" priority="1161" operator="greaterThan">
      <formula>V26</formula>
    </cfRule>
    <cfRule type="cellIs" dxfId="15290" priority="1162" operator="equal">
      <formula>0</formula>
    </cfRule>
  </conditionalFormatting>
  <conditionalFormatting sqref="V27">
    <cfRule type="cellIs" dxfId="15289" priority="1159" operator="greaterThan">
      <formula>V26</formula>
    </cfRule>
    <cfRule type="cellIs" dxfId="15288" priority="1160" operator="equal">
      <formula>0</formula>
    </cfRule>
  </conditionalFormatting>
  <conditionalFormatting sqref="V28">
    <cfRule type="cellIs" dxfId="15287" priority="1157" operator="greaterThan">
      <formula>V27</formula>
    </cfRule>
    <cfRule type="cellIs" dxfId="15286" priority="1158" operator="equal">
      <formula>0</formula>
    </cfRule>
  </conditionalFormatting>
  <conditionalFormatting sqref="V27">
    <cfRule type="cellIs" dxfId="15285" priority="1155" operator="greaterThan">
      <formula>V26</formula>
    </cfRule>
    <cfRule type="cellIs" dxfId="15284" priority="1156" operator="equal">
      <formula>0</formula>
    </cfRule>
  </conditionalFormatting>
  <conditionalFormatting sqref="V27">
    <cfRule type="cellIs" dxfId="15283" priority="1153" operator="greaterThan">
      <formula>V26</formula>
    </cfRule>
    <cfRule type="cellIs" dxfId="15282" priority="1154" operator="equal">
      <formula>0</formula>
    </cfRule>
  </conditionalFormatting>
  <conditionalFormatting sqref="V28">
    <cfRule type="cellIs" dxfId="15281" priority="1151" operator="greaterThan">
      <formula>V27</formula>
    </cfRule>
    <cfRule type="cellIs" dxfId="15280" priority="1152" operator="equal">
      <formula>0</formula>
    </cfRule>
  </conditionalFormatting>
  <conditionalFormatting sqref="V27">
    <cfRule type="cellIs" dxfId="15279" priority="1149" operator="greaterThan">
      <formula>V26</formula>
    </cfRule>
    <cfRule type="cellIs" dxfId="15278" priority="1150" operator="equal">
      <formula>0</formula>
    </cfRule>
  </conditionalFormatting>
  <conditionalFormatting sqref="V28">
    <cfRule type="cellIs" dxfId="15277" priority="1147" operator="greaterThan">
      <formula>V27</formula>
    </cfRule>
    <cfRule type="cellIs" dxfId="15276" priority="1148" operator="equal">
      <formula>0</formula>
    </cfRule>
  </conditionalFormatting>
  <conditionalFormatting sqref="V27">
    <cfRule type="cellIs" dxfId="15275" priority="1145" operator="greaterThan">
      <formula>V26</formula>
    </cfRule>
    <cfRule type="cellIs" dxfId="15274" priority="1146" operator="equal">
      <formula>0</formula>
    </cfRule>
  </conditionalFormatting>
  <conditionalFormatting sqref="V28">
    <cfRule type="cellIs" dxfId="15273" priority="1143" operator="greaterThan">
      <formula>V27</formula>
    </cfRule>
    <cfRule type="cellIs" dxfId="15272" priority="1144" operator="equal">
      <formula>0</formula>
    </cfRule>
  </conditionalFormatting>
  <conditionalFormatting sqref="V27">
    <cfRule type="cellIs" dxfId="15271" priority="1141" operator="greaterThan">
      <formula>V26</formula>
    </cfRule>
    <cfRule type="cellIs" dxfId="15270" priority="1142" operator="equal">
      <formula>0</formula>
    </cfRule>
  </conditionalFormatting>
  <conditionalFormatting sqref="V28">
    <cfRule type="cellIs" dxfId="15269" priority="1139" operator="greaterThan">
      <formula>V27</formula>
    </cfRule>
    <cfRule type="cellIs" dxfId="15268" priority="1140" operator="equal">
      <formula>0</formula>
    </cfRule>
  </conditionalFormatting>
  <conditionalFormatting sqref="V27">
    <cfRule type="cellIs" dxfId="15267" priority="1137" operator="greaterThan">
      <formula>V26</formula>
    </cfRule>
    <cfRule type="cellIs" dxfId="15266" priority="1138" operator="equal">
      <formula>0</formula>
    </cfRule>
  </conditionalFormatting>
  <conditionalFormatting sqref="V28">
    <cfRule type="cellIs" dxfId="15265" priority="1135" operator="greaterThan">
      <formula>V27</formula>
    </cfRule>
    <cfRule type="cellIs" dxfId="15264" priority="1136" operator="equal">
      <formula>0</formula>
    </cfRule>
  </conditionalFormatting>
  <conditionalFormatting sqref="V27">
    <cfRule type="cellIs" dxfId="15263" priority="1133" operator="greaterThan">
      <formula>V26</formula>
    </cfRule>
    <cfRule type="cellIs" dxfId="15262" priority="1134" operator="equal">
      <formula>0</formula>
    </cfRule>
  </conditionalFormatting>
  <conditionalFormatting sqref="V28">
    <cfRule type="cellIs" dxfId="15261" priority="1131" operator="greaterThan">
      <formula>V27</formula>
    </cfRule>
    <cfRule type="cellIs" dxfId="15260" priority="1132" operator="equal">
      <formula>0</formula>
    </cfRule>
  </conditionalFormatting>
  <conditionalFormatting sqref="V27">
    <cfRule type="cellIs" dxfId="15259" priority="1129" operator="greaterThan">
      <formula>V26</formula>
    </cfRule>
    <cfRule type="cellIs" dxfId="15258" priority="1130" operator="equal">
      <formula>0</formula>
    </cfRule>
  </conditionalFormatting>
  <conditionalFormatting sqref="V28">
    <cfRule type="cellIs" dxfId="15257" priority="1127" operator="greaterThan">
      <formula>V27</formula>
    </cfRule>
    <cfRule type="cellIs" dxfId="15256" priority="1128" operator="equal">
      <formula>0</formula>
    </cfRule>
  </conditionalFormatting>
  <conditionalFormatting sqref="V27">
    <cfRule type="cellIs" dxfId="15255" priority="1125" operator="greaterThan">
      <formula>V26</formula>
    </cfRule>
    <cfRule type="cellIs" dxfId="15254" priority="1126" operator="equal">
      <formula>0</formula>
    </cfRule>
  </conditionalFormatting>
  <conditionalFormatting sqref="V19">
    <cfRule type="cellIs" dxfId="15253" priority="1123" operator="greaterThan">
      <formula>V18</formula>
    </cfRule>
    <cfRule type="cellIs" dxfId="15252" priority="1124" operator="equal">
      <formula>0</formula>
    </cfRule>
  </conditionalFormatting>
  <conditionalFormatting sqref="V18">
    <cfRule type="cellIs" dxfId="15251" priority="1121" operator="greaterThan">
      <formula>V17</formula>
    </cfRule>
    <cfRule type="cellIs" dxfId="15250" priority="1122" operator="equal">
      <formula>0</formula>
    </cfRule>
  </conditionalFormatting>
  <conditionalFormatting sqref="V19">
    <cfRule type="cellIs" dxfId="15249" priority="1119" operator="greaterThan">
      <formula>V18</formula>
    </cfRule>
    <cfRule type="cellIs" dxfId="15248" priority="1120" operator="equal">
      <formula>0</formula>
    </cfRule>
  </conditionalFormatting>
  <conditionalFormatting sqref="V18">
    <cfRule type="cellIs" dxfId="15247" priority="1117" operator="greaterThan">
      <formula>V17</formula>
    </cfRule>
    <cfRule type="cellIs" dxfId="15246" priority="1118" operator="equal">
      <formula>0</formula>
    </cfRule>
  </conditionalFormatting>
  <conditionalFormatting sqref="V19">
    <cfRule type="cellIs" dxfId="15245" priority="1115" operator="greaterThan">
      <formula>V18</formula>
    </cfRule>
    <cfRule type="cellIs" dxfId="15244" priority="1116" operator="equal">
      <formula>0</formula>
    </cfRule>
  </conditionalFormatting>
  <conditionalFormatting sqref="V18">
    <cfRule type="cellIs" dxfId="15243" priority="1113" operator="greaterThan">
      <formula>V17</formula>
    </cfRule>
    <cfRule type="cellIs" dxfId="15242" priority="1114" operator="equal">
      <formula>0</formula>
    </cfRule>
  </conditionalFormatting>
  <conditionalFormatting sqref="V19">
    <cfRule type="cellIs" dxfId="15241" priority="1111" operator="greaterThan">
      <formula>V18</formula>
    </cfRule>
    <cfRule type="cellIs" dxfId="15240" priority="1112" operator="equal">
      <formula>0</formula>
    </cfRule>
  </conditionalFormatting>
  <conditionalFormatting sqref="V18">
    <cfRule type="cellIs" dxfId="15239" priority="1109" operator="greaterThan">
      <formula>V17</formula>
    </cfRule>
    <cfRule type="cellIs" dxfId="15238" priority="1110" operator="equal">
      <formula>0</formula>
    </cfRule>
  </conditionalFormatting>
  <conditionalFormatting sqref="V16">
    <cfRule type="cellIs" dxfId="15237" priority="1107" operator="greaterThan">
      <formula>V15</formula>
    </cfRule>
    <cfRule type="cellIs" dxfId="15236" priority="1108" operator="equal">
      <formula>0</formula>
    </cfRule>
  </conditionalFormatting>
  <conditionalFormatting sqref="V16">
    <cfRule type="cellIs" dxfId="15235" priority="1105" operator="greaterThan">
      <formula>V15</formula>
    </cfRule>
    <cfRule type="cellIs" dxfId="15234" priority="1106" operator="equal">
      <formula>0</formula>
    </cfRule>
  </conditionalFormatting>
  <conditionalFormatting sqref="V16">
    <cfRule type="cellIs" dxfId="15233" priority="1103" operator="greaterThan">
      <formula>V15</formula>
    </cfRule>
    <cfRule type="cellIs" dxfId="15232" priority="1104" operator="equal">
      <formula>0</formula>
    </cfRule>
  </conditionalFormatting>
  <conditionalFormatting sqref="V16">
    <cfRule type="cellIs" dxfId="15231" priority="1101" operator="greaterThan">
      <formula>V15</formula>
    </cfRule>
    <cfRule type="cellIs" dxfId="15230" priority="1102" operator="equal">
      <formula>0</formula>
    </cfRule>
  </conditionalFormatting>
  <conditionalFormatting sqref="V19">
    <cfRule type="cellIs" dxfId="15229" priority="1099" operator="greaterThan">
      <formula>V18</formula>
    </cfRule>
    <cfRule type="cellIs" dxfId="15228" priority="1100" operator="equal">
      <formula>0</formula>
    </cfRule>
  </conditionalFormatting>
  <conditionalFormatting sqref="V19">
    <cfRule type="cellIs" dxfId="15227" priority="1097" operator="greaterThan">
      <formula>V18</formula>
    </cfRule>
    <cfRule type="cellIs" dxfId="15226" priority="1098" operator="equal">
      <formula>0</formula>
    </cfRule>
  </conditionalFormatting>
  <conditionalFormatting sqref="V19">
    <cfRule type="cellIs" dxfId="15225" priority="1095" operator="greaterThan">
      <formula>V18</formula>
    </cfRule>
    <cfRule type="cellIs" dxfId="15224" priority="1096" operator="equal">
      <formula>0</formula>
    </cfRule>
  </conditionalFormatting>
  <conditionalFormatting sqref="V19">
    <cfRule type="cellIs" dxfId="15223" priority="1093" operator="greaterThan">
      <formula>V18</formula>
    </cfRule>
    <cfRule type="cellIs" dxfId="15222" priority="1094" operator="equal">
      <formula>0</formula>
    </cfRule>
  </conditionalFormatting>
  <conditionalFormatting sqref="V19">
    <cfRule type="cellIs" dxfId="15221" priority="1091" operator="greaterThan">
      <formula>V18</formula>
    </cfRule>
    <cfRule type="cellIs" dxfId="15220" priority="1092" operator="equal">
      <formula>0</formula>
    </cfRule>
  </conditionalFormatting>
  <conditionalFormatting sqref="V19">
    <cfRule type="cellIs" dxfId="15219" priority="1089" operator="greaterThan">
      <formula>V18</formula>
    </cfRule>
    <cfRule type="cellIs" dxfId="15218" priority="1090" operator="equal">
      <formula>0</formula>
    </cfRule>
  </conditionalFormatting>
  <conditionalFormatting sqref="V19">
    <cfRule type="cellIs" dxfId="15217" priority="1087" operator="greaterThan">
      <formula>V18</formula>
    </cfRule>
    <cfRule type="cellIs" dxfId="15216" priority="1088" operator="equal">
      <formula>0</formula>
    </cfRule>
  </conditionalFormatting>
  <conditionalFormatting sqref="V19">
    <cfRule type="cellIs" dxfId="15215" priority="1085" operator="greaterThan">
      <formula>V18</formula>
    </cfRule>
    <cfRule type="cellIs" dxfId="15214" priority="1086" operator="equal">
      <formula>0</formula>
    </cfRule>
  </conditionalFormatting>
  <conditionalFormatting sqref="V19">
    <cfRule type="cellIs" dxfId="15213" priority="1083" operator="greaterThan">
      <formula>V18</formula>
    </cfRule>
    <cfRule type="cellIs" dxfId="15212" priority="1084" operator="equal">
      <formula>0</formula>
    </cfRule>
  </conditionalFormatting>
  <conditionalFormatting sqref="V19">
    <cfRule type="cellIs" dxfId="15211" priority="1081" operator="greaterThan">
      <formula>V18</formula>
    </cfRule>
    <cfRule type="cellIs" dxfId="15210" priority="1082" operator="equal">
      <formula>0</formula>
    </cfRule>
  </conditionalFormatting>
  <conditionalFormatting sqref="V22">
    <cfRule type="cellIs" dxfId="15209" priority="1079" operator="greaterThan">
      <formula>V21</formula>
    </cfRule>
    <cfRule type="cellIs" dxfId="15208" priority="1080" operator="equal">
      <formula>0</formula>
    </cfRule>
  </conditionalFormatting>
  <conditionalFormatting sqref="V21">
    <cfRule type="cellIs" dxfId="15207" priority="1077" operator="greaterThan">
      <formula>V20</formula>
    </cfRule>
    <cfRule type="cellIs" dxfId="15206" priority="1078" operator="equal">
      <formula>0</formula>
    </cfRule>
  </conditionalFormatting>
  <conditionalFormatting sqref="V22">
    <cfRule type="cellIs" dxfId="15205" priority="1075" operator="greaterThan">
      <formula>V21</formula>
    </cfRule>
    <cfRule type="cellIs" dxfId="15204" priority="1076" operator="equal">
      <formula>0</formula>
    </cfRule>
  </conditionalFormatting>
  <conditionalFormatting sqref="V21">
    <cfRule type="cellIs" dxfId="15203" priority="1073" operator="greaterThan">
      <formula>V20</formula>
    </cfRule>
    <cfRule type="cellIs" dxfId="15202" priority="1074" operator="equal">
      <formula>0</formula>
    </cfRule>
  </conditionalFormatting>
  <conditionalFormatting sqref="V22">
    <cfRule type="cellIs" dxfId="15201" priority="1071" operator="greaterThan">
      <formula>V21</formula>
    </cfRule>
    <cfRule type="cellIs" dxfId="15200" priority="1072" operator="equal">
      <formula>0</formula>
    </cfRule>
  </conditionalFormatting>
  <conditionalFormatting sqref="V21">
    <cfRule type="cellIs" dxfId="15199" priority="1069" operator="greaterThan">
      <formula>V20</formula>
    </cfRule>
    <cfRule type="cellIs" dxfId="15198" priority="1070" operator="equal">
      <formula>0</formula>
    </cfRule>
  </conditionalFormatting>
  <conditionalFormatting sqref="V22">
    <cfRule type="cellIs" dxfId="15197" priority="1067" operator="greaterThan">
      <formula>V21</formula>
    </cfRule>
    <cfRule type="cellIs" dxfId="15196" priority="1068" operator="equal">
      <formula>0</formula>
    </cfRule>
  </conditionalFormatting>
  <conditionalFormatting sqref="V21">
    <cfRule type="cellIs" dxfId="15195" priority="1065" operator="greaterThan">
      <formula>V20</formula>
    </cfRule>
    <cfRule type="cellIs" dxfId="15194" priority="1066" operator="equal">
      <formula>0</formula>
    </cfRule>
  </conditionalFormatting>
  <conditionalFormatting sqref="V22">
    <cfRule type="cellIs" dxfId="15193" priority="1063" operator="greaterThan">
      <formula>V21</formula>
    </cfRule>
    <cfRule type="cellIs" dxfId="15192" priority="1064" operator="equal">
      <formula>0</formula>
    </cfRule>
  </conditionalFormatting>
  <conditionalFormatting sqref="V21">
    <cfRule type="cellIs" dxfId="15191" priority="1061" operator="greaterThan">
      <formula>V20</formula>
    </cfRule>
    <cfRule type="cellIs" dxfId="15190" priority="1062" operator="equal">
      <formula>0</formula>
    </cfRule>
  </conditionalFormatting>
  <conditionalFormatting sqref="V22">
    <cfRule type="cellIs" dxfId="15189" priority="1059" operator="greaterThan">
      <formula>V21</formula>
    </cfRule>
    <cfRule type="cellIs" dxfId="15188" priority="1060" operator="equal">
      <formula>0</formula>
    </cfRule>
  </conditionalFormatting>
  <conditionalFormatting sqref="V21">
    <cfRule type="cellIs" dxfId="15187" priority="1057" operator="greaterThan">
      <formula>V20</formula>
    </cfRule>
    <cfRule type="cellIs" dxfId="15186" priority="1058" operator="equal">
      <formula>0</formula>
    </cfRule>
  </conditionalFormatting>
  <conditionalFormatting sqref="V22">
    <cfRule type="cellIs" dxfId="15185" priority="1055" operator="greaterThan">
      <formula>V21</formula>
    </cfRule>
    <cfRule type="cellIs" dxfId="15184" priority="1056" operator="equal">
      <formula>0</formula>
    </cfRule>
  </conditionalFormatting>
  <conditionalFormatting sqref="V21">
    <cfRule type="cellIs" dxfId="15183" priority="1053" operator="greaterThan">
      <formula>V20</formula>
    </cfRule>
    <cfRule type="cellIs" dxfId="15182" priority="1054" operator="equal">
      <formula>0</formula>
    </cfRule>
  </conditionalFormatting>
  <conditionalFormatting sqref="V22">
    <cfRule type="cellIs" dxfId="15181" priority="1051" operator="greaterThan">
      <formula>V21</formula>
    </cfRule>
    <cfRule type="cellIs" dxfId="15180" priority="1052" operator="equal">
      <formula>0</formula>
    </cfRule>
  </conditionalFormatting>
  <conditionalFormatting sqref="V21">
    <cfRule type="cellIs" dxfId="15179" priority="1049" operator="greaterThan">
      <formula>V20</formula>
    </cfRule>
    <cfRule type="cellIs" dxfId="15178" priority="1050" operator="equal">
      <formula>0</formula>
    </cfRule>
  </conditionalFormatting>
  <conditionalFormatting sqref="V22">
    <cfRule type="cellIs" dxfId="15177" priority="1047" operator="greaterThan">
      <formula>V21</formula>
    </cfRule>
    <cfRule type="cellIs" dxfId="15176" priority="1048" operator="equal">
      <formula>0</formula>
    </cfRule>
  </conditionalFormatting>
  <conditionalFormatting sqref="V21">
    <cfRule type="cellIs" dxfId="15175" priority="1045" operator="greaterThan">
      <formula>V20</formula>
    </cfRule>
    <cfRule type="cellIs" dxfId="15174" priority="1046" operator="equal">
      <formula>0</formula>
    </cfRule>
  </conditionalFormatting>
  <conditionalFormatting sqref="V22">
    <cfRule type="cellIs" dxfId="15173" priority="1043" operator="greaterThan">
      <formula>V21</formula>
    </cfRule>
    <cfRule type="cellIs" dxfId="15172" priority="1044" operator="equal">
      <formula>0</formula>
    </cfRule>
  </conditionalFormatting>
  <conditionalFormatting sqref="V21">
    <cfRule type="cellIs" dxfId="15171" priority="1041" operator="greaterThan">
      <formula>V20</formula>
    </cfRule>
    <cfRule type="cellIs" dxfId="15170" priority="1042" operator="equal">
      <formula>0</formula>
    </cfRule>
  </conditionalFormatting>
  <conditionalFormatting sqref="V22">
    <cfRule type="cellIs" dxfId="15169" priority="1039" operator="greaterThan">
      <formula>V21</formula>
    </cfRule>
    <cfRule type="cellIs" dxfId="15168" priority="1040" operator="equal">
      <formula>0</formula>
    </cfRule>
  </conditionalFormatting>
  <conditionalFormatting sqref="V22">
    <cfRule type="cellIs" dxfId="15167" priority="1037" operator="greaterThan">
      <formula>V21</formula>
    </cfRule>
    <cfRule type="cellIs" dxfId="15166" priority="1038" operator="equal">
      <formula>0</formula>
    </cfRule>
  </conditionalFormatting>
  <conditionalFormatting sqref="V22">
    <cfRule type="cellIs" dxfId="15165" priority="1035" operator="greaterThan">
      <formula>V21</formula>
    </cfRule>
    <cfRule type="cellIs" dxfId="15164" priority="1036" operator="equal">
      <formula>0</formula>
    </cfRule>
  </conditionalFormatting>
  <conditionalFormatting sqref="V22">
    <cfRule type="cellIs" dxfId="15163" priority="1033" operator="greaterThan">
      <formula>V21</formula>
    </cfRule>
    <cfRule type="cellIs" dxfId="15162" priority="1034" operator="equal">
      <formula>0</formula>
    </cfRule>
  </conditionalFormatting>
  <conditionalFormatting sqref="V22">
    <cfRule type="cellIs" dxfId="15161" priority="1031" operator="greaterThan">
      <formula>V21</formula>
    </cfRule>
    <cfRule type="cellIs" dxfId="15160" priority="1032" operator="equal">
      <formula>0</formula>
    </cfRule>
  </conditionalFormatting>
  <conditionalFormatting sqref="V22">
    <cfRule type="cellIs" dxfId="15159" priority="1029" operator="greaterThan">
      <formula>V21</formula>
    </cfRule>
    <cfRule type="cellIs" dxfId="15158" priority="1030" operator="equal">
      <formula>0</formula>
    </cfRule>
  </conditionalFormatting>
  <conditionalFormatting sqref="V22">
    <cfRule type="cellIs" dxfId="15157" priority="1027" operator="greaterThan">
      <formula>V21</formula>
    </cfRule>
    <cfRule type="cellIs" dxfId="15156" priority="1028" operator="equal">
      <formula>0</formula>
    </cfRule>
  </conditionalFormatting>
  <conditionalFormatting sqref="V22">
    <cfRule type="cellIs" dxfId="15155" priority="1025" operator="greaterThan">
      <formula>V21</formula>
    </cfRule>
    <cfRule type="cellIs" dxfId="15154" priority="1026" operator="equal">
      <formula>0</formula>
    </cfRule>
  </conditionalFormatting>
  <conditionalFormatting sqref="V22">
    <cfRule type="cellIs" dxfId="15153" priority="1023" operator="greaterThan">
      <formula>V21</formula>
    </cfRule>
    <cfRule type="cellIs" dxfId="15152" priority="1024" operator="equal">
      <formula>0</formula>
    </cfRule>
  </conditionalFormatting>
  <conditionalFormatting sqref="V22">
    <cfRule type="cellIs" dxfId="15151" priority="1021" operator="greaterThan">
      <formula>V21</formula>
    </cfRule>
    <cfRule type="cellIs" dxfId="15150" priority="1022" operator="equal">
      <formula>0</formula>
    </cfRule>
  </conditionalFormatting>
  <conditionalFormatting sqref="V22">
    <cfRule type="cellIs" dxfId="15149" priority="1019" operator="greaterThan">
      <formula>V21</formula>
    </cfRule>
    <cfRule type="cellIs" dxfId="15148" priority="1020" operator="equal">
      <formula>0</formula>
    </cfRule>
  </conditionalFormatting>
  <conditionalFormatting sqref="V22">
    <cfRule type="cellIs" dxfId="15147" priority="1017" operator="greaterThan">
      <formula>V21</formula>
    </cfRule>
    <cfRule type="cellIs" dxfId="15146" priority="1018" operator="equal">
      <formula>0</formula>
    </cfRule>
  </conditionalFormatting>
  <conditionalFormatting sqref="V22">
    <cfRule type="cellIs" dxfId="15145" priority="1015" operator="greaterThan">
      <formula>V21</formula>
    </cfRule>
    <cfRule type="cellIs" dxfId="15144" priority="1016" operator="equal">
      <formula>0</formula>
    </cfRule>
  </conditionalFormatting>
  <conditionalFormatting sqref="V22">
    <cfRule type="cellIs" dxfId="15143" priority="1013" operator="greaterThan">
      <formula>V21</formula>
    </cfRule>
    <cfRule type="cellIs" dxfId="15142" priority="1014" operator="equal">
      <formula>0</formula>
    </cfRule>
  </conditionalFormatting>
  <conditionalFormatting sqref="V22">
    <cfRule type="cellIs" dxfId="15141" priority="1011" operator="greaterThan">
      <formula>V21</formula>
    </cfRule>
    <cfRule type="cellIs" dxfId="15140" priority="1012" operator="equal">
      <formula>0</formula>
    </cfRule>
  </conditionalFormatting>
  <conditionalFormatting sqref="V22">
    <cfRule type="cellIs" dxfId="15139" priority="1009" operator="greaterThan">
      <formula>V21</formula>
    </cfRule>
    <cfRule type="cellIs" dxfId="15138" priority="1010" operator="equal">
      <formula>0</formula>
    </cfRule>
  </conditionalFormatting>
  <conditionalFormatting sqref="V22">
    <cfRule type="cellIs" dxfId="15137" priority="1007" operator="greaterThan">
      <formula>V21</formula>
    </cfRule>
    <cfRule type="cellIs" dxfId="15136" priority="1008" operator="equal">
      <formula>0</formula>
    </cfRule>
  </conditionalFormatting>
  <conditionalFormatting sqref="V22">
    <cfRule type="cellIs" dxfId="15135" priority="1005" operator="greaterThan">
      <formula>V21</formula>
    </cfRule>
    <cfRule type="cellIs" dxfId="15134" priority="1006" operator="equal">
      <formula>0</formula>
    </cfRule>
  </conditionalFormatting>
  <conditionalFormatting sqref="V22">
    <cfRule type="cellIs" dxfId="15133" priority="1003" operator="greaterThan">
      <formula>V21</formula>
    </cfRule>
    <cfRule type="cellIs" dxfId="15132" priority="1004" operator="equal">
      <formula>0</formula>
    </cfRule>
  </conditionalFormatting>
  <conditionalFormatting sqref="V22">
    <cfRule type="cellIs" dxfId="15131" priority="1001" operator="greaterThan">
      <formula>V21</formula>
    </cfRule>
    <cfRule type="cellIs" dxfId="15130" priority="1002" operator="equal">
      <formula>0</formula>
    </cfRule>
  </conditionalFormatting>
  <conditionalFormatting sqref="V22">
    <cfRule type="cellIs" dxfId="15129" priority="999" operator="greaterThan">
      <formula>V21</formula>
    </cfRule>
    <cfRule type="cellIs" dxfId="15128" priority="1000" operator="equal">
      <formula>0</formula>
    </cfRule>
  </conditionalFormatting>
  <conditionalFormatting sqref="V22">
    <cfRule type="cellIs" dxfId="15127" priority="997" operator="greaterThan">
      <formula>V21</formula>
    </cfRule>
    <cfRule type="cellIs" dxfId="15126" priority="998" operator="equal">
      <formula>0</formula>
    </cfRule>
  </conditionalFormatting>
  <conditionalFormatting sqref="V22">
    <cfRule type="cellIs" dxfId="15125" priority="995" operator="greaterThan">
      <formula>V21</formula>
    </cfRule>
    <cfRule type="cellIs" dxfId="15124" priority="996" operator="equal">
      <formula>0</formula>
    </cfRule>
  </conditionalFormatting>
  <conditionalFormatting sqref="V22">
    <cfRule type="cellIs" dxfId="15123" priority="993" operator="greaterThan">
      <formula>V21</formula>
    </cfRule>
    <cfRule type="cellIs" dxfId="15122" priority="994" operator="equal">
      <formula>0</formula>
    </cfRule>
  </conditionalFormatting>
  <conditionalFormatting sqref="V22">
    <cfRule type="cellIs" dxfId="15121" priority="991" operator="greaterThan">
      <formula>V21</formula>
    </cfRule>
    <cfRule type="cellIs" dxfId="15120" priority="992" operator="equal">
      <formula>0</formula>
    </cfRule>
  </conditionalFormatting>
  <conditionalFormatting sqref="V22">
    <cfRule type="cellIs" dxfId="15119" priority="989" operator="greaterThan">
      <formula>V21</formula>
    </cfRule>
    <cfRule type="cellIs" dxfId="15118" priority="990" operator="equal">
      <formula>0</formula>
    </cfRule>
  </conditionalFormatting>
  <conditionalFormatting sqref="V22">
    <cfRule type="cellIs" dxfId="15117" priority="987" operator="greaterThan">
      <formula>V21</formula>
    </cfRule>
    <cfRule type="cellIs" dxfId="15116" priority="988" operator="equal">
      <formula>0</formula>
    </cfRule>
  </conditionalFormatting>
  <conditionalFormatting sqref="V22">
    <cfRule type="cellIs" dxfId="15115" priority="985" operator="greaterThan">
      <formula>V21</formula>
    </cfRule>
    <cfRule type="cellIs" dxfId="15114" priority="986" operator="equal">
      <formula>0</formula>
    </cfRule>
  </conditionalFormatting>
  <conditionalFormatting sqref="V24">
    <cfRule type="cellIs" dxfId="15113" priority="983" operator="greaterThan">
      <formula>V23</formula>
    </cfRule>
    <cfRule type="cellIs" dxfId="15112" priority="984" operator="equal">
      <formula>0</formula>
    </cfRule>
  </conditionalFormatting>
  <conditionalFormatting sqref="V24">
    <cfRule type="cellIs" dxfId="15111" priority="981" operator="greaterThan">
      <formula>V23</formula>
    </cfRule>
    <cfRule type="cellIs" dxfId="15110" priority="982" operator="equal">
      <formula>0</formula>
    </cfRule>
  </conditionalFormatting>
  <conditionalFormatting sqref="V24">
    <cfRule type="cellIs" dxfId="15109" priority="979" operator="greaterThan">
      <formula>V23</formula>
    </cfRule>
    <cfRule type="cellIs" dxfId="15108" priority="980" operator="equal">
      <formula>0</formula>
    </cfRule>
  </conditionalFormatting>
  <conditionalFormatting sqref="V24">
    <cfRule type="cellIs" dxfId="15107" priority="977" operator="greaterThan">
      <formula>V23</formula>
    </cfRule>
    <cfRule type="cellIs" dxfId="15106" priority="978" operator="equal">
      <formula>0</formula>
    </cfRule>
  </conditionalFormatting>
  <conditionalFormatting sqref="V24">
    <cfRule type="cellIs" dxfId="15105" priority="975" operator="greaterThan">
      <formula>V23</formula>
    </cfRule>
    <cfRule type="cellIs" dxfId="15104" priority="976" operator="equal">
      <formula>0</formula>
    </cfRule>
  </conditionalFormatting>
  <conditionalFormatting sqref="V24">
    <cfRule type="cellIs" dxfId="15103" priority="973" operator="greaterThan">
      <formula>V23</formula>
    </cfRule>
    <cfRule type="cellIs" dxfId="15102" priority="974" operator="equal">
      <formula>0</formula>
    </cfRule>
  </conditionalFormatting>
  <conditionalFormatting sqref="V24">
    <cfRule type="cellIs" dxfId="15101" priority="971" operator="greaterThan">
      <formula>V23</formula>
    </cfRule>
    <cfRule type="cellIs" dxfId="15100" priority="972" operator="equal">
      <formula>0</formula>
    </cfRule>
  </conditionalFormatting>
  <conditionalFormatting sqref="V24">
    <cfRule type="cellIs" dxfId="15099" priority="969" operator="greaterThan">
      <formula>V23</formula>
    </cfRule>
    <cfRule type="cellIs" dxfId="15098" priority="970" operator="equal">
      <formula>0</formula>
    </cfRule>
  </conditionalFormatting>
  <conditionalFormatting sqref="V24">
    <cfRule type="cellIs" dxfId="15097" priority="967" operator="greaterThan">
      <formula>V23</formula>
    </cfRule>
    <cfRule type="cellIs" dxfId="15096" priority="968" operator="equal">
      <formula>0</formula>
    </cfRule>
  </conditionalFormatting>
  <conditionalFormatting sqref="V24">
    <cfRule type="cellIs" dxfId="15095" priority="965" operator="greaterThan">
      <formula>V23</formula>
    </cfRule>
    <cfRule type="cellIs" dxfId="15094" priority="966" operator="equal">
      <formula>0</formula>
    </cfRule>
  </conditionalFormatting>
  <conditionalFormatting sqref="V24">
    <cfRule type="cellIs" dxfId="15093" priority="963" operator="greaterThan">
      <formula>V23</formula>
    </cfRule>
    <cfRule type="cellIs" dxfId="15092" priority="964" operator="equal">
      <formula>0</formula>
    </cfRule>
  </conditionalFormatting>
  <conditionalFormatting sqref="V24">
    <cfRule type="cellIs" dxfId="15091" priority="961" operator="greaterThan">
      <formula>V23</formula>
    </cfRule>
    <cfRule type="cellIs" dxfId="15090" priority="962" operator="equal">
      <formula>0</formula>
    </cfRule>
  </conditionalFormatting>
  <conditionalFormatting sqref="V24">
    <cfRule type="cellIs" dxfId="15089" priority="959" operator="greaterThan">
      <formula>V23</formula>
    </cfRule>
    <cfRule type="cellIs" dxfId="15088" priority="960" operator="equal">
      <formula>0</formula>
    </cfRule>
  </conditionalFormatting>
  <conditionalFormatting sqref="V24">
    <cfRule type="cellIs" dxfId="15087" priority="957" operator="greaterThan">
      <formula>V23</formula>
    </cfRule>
    <cfRule type="cellIs" dxfId="15086" priority="958" operator="equal">
      <formula>0</formula>
    </cfRule>
  </conditionalFormatting>
  <conditionalFormatting sqref="V24">
    <cfRule type="cellIs" dxfId="15085" priority="955" operator="greaterThan">
      <formula>V23</formula>
    </cfRule>
    <cfRule type="cellIs" dxfId="15084" priority="956" operator="equal">
      <formula>0</formula>
    </cfRule>
  </conditionalFormatting>
  <conditionalFormatting sqref="V24">
    <cfRule type="cellIs" dxfId="15083" priority="953" operator="greaterThan">
      <formula>V23</formula>
    </cfRule>
    <cfRule type="cellIs" dxfId="15082" priority="954" operator="equal">
      <formula>0</formula>
    </cfRule>
  </conditionalFormatting>
  <conditionalFormatting sqref="V24">
    <cfRule type="cellIs" dxfId="15081" priority="951" operator="greaterThan">
      <formula>V23</formula>
    </cfRule>
    <cfRule type="cellIs" dxfId="15080" priority="952" operator="equal">
      <formula>0</formula>
    </cfRule>
  </conditionalFormatting>
  <conditionalFormatting sqref="V24">
    <cfRule type="cellIs" dxfId="15079" priority="949" operator="greaterThan">
      <formula>V23</formula>
    </cfRule>
    <cfRule type="cellIs" dxfId="15078" priority="950" operator="equal">
      <formula>0</formula>
    </cfRule>
  </conditionalFormatting>
  <conditionalFormatting sqref="V25">
    <cfRule type="cellIs" dxfId="15077" priority="947" operator="greaterThan">
      <formula>V24</formula>
    </cfRule>
    <cfRule type="cellIs" dxfId="15076" priority="948" operator="equal">
      <formula>0</formula>
    </cfRule>
  </conditionalFormatting>
  <conditionalFormatting sqref="V25">
    <cfRule type="cellIs" dxfId="15075" priority="945" operator="greaterThan">
      <formula>V24</formula>
    </cfRule>
    <cfRule type="cellIs" dxfId="15074" priority="946" operator="equal">
      <formula>0</formula>
    </cfRule>
  </conditionalFormatting>
  <conditionalFormatting sqref="V25">
    <cfRule type="cellIs" dxfId="15073" priority="943" operator="greaterThan">
      <formula>V24</formula>
    </cfRule>
    <cfRule type="cellIs" dxfId="15072" priority="944" operator="equal">
      <formula>0</formula>
    </cfRule>
  </conditionalFormatting>
  <conditionalFormatting sqref="V25">
    <cfRule type="cellIs" dxfId="15071" priority="941" operator="greaterThan">
      <formula>V24</formula>
    </cfRule>
    <cfRule type="cellIs" dxfId="15070" priority="942" operator="equal">
      <formula>0</formula>
    </cfRule>
  </conditionalFormatting>
  <conditionalFormatting sqref="V25">
    <cfRule type="cellIs" dxfId="15069" priority="939" operator="greaterThan">
      <formula>V24</formula>
    </cfRule>
    <cfRule type="cellIs" dxfId="15068" priority="940" operator="equal">
      <formula>0</formula>
    </cfRule>
  </conditionalFormatting>
  <conditionalFormatting sqref="V25">
    <cfRule type="cellIs" dxfId="15067" priority="937" operator="greaterThan">
      <formula>V24</formula>
    </cfRule>
    <cfRule type="cellIs" dxfId="15066" priority="938" operator="equal">
      <formula>0</formula>
    </cfRule>
  </conditionalFormatting>
  <conditionalFormatting sqref="V25">
    <cfRule type="cellIs" dxfId="15065" priority="935" operator="greaterThan">
      <formula>V24</formula>
    </cfRule>
    <cfRule type="cellIs" dxfId="15064" priority="936" operator="equal">
      <formula>0</formula>
    </cfRule>
  </conditionalFormatting>
  <conditionalFormatting sqref="V25">
    <cfRule type="cellIs" dxfId="15063" priority="933" operator="greaterThan">
      <formula>V24</formula>
    </cfRule>
    <cfRule type="cellIs" dxfId="15062" priority="934" operator="equal">
      <formula>0</formula>
    </cfRule>
  </conditionalFormatting>
  <conditionalFormatting sqref="V25">
    <cfRule type="cellIs" dxfId="15061" priority="931" operator="greaterThan">
      <formula>V24</formula>
    </cfRule>
    <cfRule type="cellIs" dxfId="15060" priority="932" operator="equal">
      <formula>0</formula>
    </cfRule>
  </conditionalFormatting>
  <conditionalFormatting sqref="V25">
    <cfRule type="cellIs" dxfId="15059" priority="929" operator="greaterThan">
      <formula>V24</formula>
    </cfRule>
    <cfRule type="cellIs" dxfId="15058" priority="930" operator="equal">
      <formula>0</formula>
    </cfRule>
  </conditionalFormatting>
  <conditionalFormatting sqref="V25">
    <cfRule type="cellIs" dxfId="15057" priority="927" operator="greaterThan">
      <formula>V24</formula>
    </cfRule>
    <cfRule type="cellIs" dxfId="15056" priority="928" operator="equal">
      <formula>0</formula>
    </cfRule>
  </conditionalFormatting>
  <conditionalFormatting sqref="V25">
    <cfRule type="cellIs" dxfId="15055" priority="925" operator="greaterThan">
      <formula>V24</formula>
    </cfRule>
    <cfRule type="cellIs" dxfId="15054" priority="926" operator="equal">
      <formula>0</formula>
    </cfRule>
  </conditionalFormatting>
  <conditionalFormatting sqref="V25">
    <cfRule type="cellIs" dxfId="15053" priority="923" operator="greaterThan">
      <formula>V24</formula>
    </cfRule>
    <cfRule type="cellIs" dxfId="15052" priority="924" operator="equal">
      <formula>0</formula>
    </cfRule>
  </conditionalFormatting>
  <conditionalFormatting sqref="V25">
    <cfRule type="cellIs" dxfId="15051" priority="921" operator="greaterThan">
      <formula>V24</formula>
    </cfRule>
    <cfRule type="cellIs" dxfId="15050" priority="922" operator="equal">
      <formula>0</formula>
    </cfRule>
  </conditionalFormatting>
  <conditionalFormatting sqref="V25">
    <cfRule type="cellIs" dxfId="15049" priority="919" operator="greaterThan">
      <formula>V24</formula>
    </cfRule>
    <cfRule type="cellIs" dxfId="15048" priority="920" operator="equal">
      <formula>0</formula>
    </cfRule>
  </conditionalFormatting>
  <conditionalFormatting sqref="V25">
    <cfRule type="cellIs" dxfId="15047" priority="917" operator="greaterThan">
      <formula>V24</formula>
    </cfRule>
    <cfRule type="cellIs" dxfId="15046" priority="918" operator="equal">
      <formula>0</formula>
    </cfRule>
  </conditionalFormatting>
  <conditionalFormatting sqref="V25">
    <cfRule type="cellIs" dxfId="15045" priority="915" operator="greaterThan">
      <formula>V24</formula>
    </cfRule>
    <cfRule type="cellIs" dxfId="15044" priority="916" operator="equal">
      <formula>0</formula>
    </cfRule>
  </conditionalFormatting>
  <conditionalFormatting sqref="V25">
    <cfRule type="cellIs" dxfId="15043" priority="913" operator="greaterThan">
      <formula>V24</formula>
    </cfRule>
    <cfRule type="cellIs" dxfId="15042" priority="914" operator="equal">
      <formula>0</formula>
    </cfRule>
  </conditionalFormatting>
  <conditionalFormatting sqref="V25">
    <cfRule type="cellIs" dxfId="15041" priority="911" operator="greaterThan">
      <formula>V24</formula>
    </cfRule>
    <cfRule type="cellIs" dxfId="15040" priority="912" operator="equal">
      <formula>0</formula>
    </cfRule>
  </conditionalFormatting>
  <conditionalFormatting sqref="V25">
    <cfRule type="cellIs" dxfId="15039" priority="909" operator="greaterThan">
      <formula>V24</formula>
    </cfRule>
    <cfRule type="cellIs" dxfId="15038" priority="910" operator="equal">
      <formula>0</formula>
    </cfRule>
  </conditionalFormatting>
  <conditionalFormatting sqref="V25">
    <cfRule type="cellIs" dxfId="15037" priority="907" operator="greaterThan">
      <formula>V24</formula>
    </cfRule>
    <cfRule type="cellIs" dxfId="15036" priority="908" operator="equal">
      <formula>0</formula>
    </cfRule>
  </conditionalFormatting>
  <conditionalFormatting sqref="V25">
    <cfRule type="cellIs" dxfId="15035" priority="905" operator="greaterThan">
      <formula>V24</formula>
    </cfRule>
    <cfRule type="cellIs" dxfId="15034" priority="906" operator="equal">
      <formula>0</formula>
    </cfRule>
  </conditionalFormatting>
  <conditionalFormatting sqref="V25">
    <cfRule type="cellIs" dxfId="15033" priority="903" operator="greaterThan">
      <formula>V24</formula>
    </cfRule>
    <cfRule type="cellIs" dxfId="15032" priority="904" operator="equal">
      <formula>0</formula>
    </cfRule>
  </conditionalFormatting>
  <conditionalFormatting sqref="V25">
    <cfRule type="cellIs" dxfId="15031" priority="901" operator="greaterThan">
      <formula>V24</formula>
    </cfRule>
    <cfRule type="cellIs" dxfId="15030" priority="902" operator="equal">
      <formula>0</formula>
    </cfRule>
  </conditionalFormatting>
  <conditionalFormatting sqref="V25">
    <cfRule type="cellIs" dxfId="15029" priority="899" operator="greaterThan">
      <formula>V24</formula>
    </cfRule>
    <cfRule type="cellIs" dxfId="15028" priority="900" operator="equal">
      <formula>0</formula>
    </cfRule>
  </conditionalFormatting>
  <conditionalFormatting sqref="V25">
    <cfRule type="cellIs" dxfId="15027" priority="897" operator="greaterThan">
      <formula>V24</formula>
    </cfRule>
    <cfRule type="cellIs" dxfId="15026" priority="898" operator="equal">
      <formula>0</formula>
    </cfRule>
  </conditionalFormatting>
  <conditionalFormatting sqref="V25">
    <cfRule type="cellIs" dxfId="15025" priority="895" operator="greaterThan">
      <formula>V24</formula>
    </cfRule>
    <cfRule type="cellIs" dxfId="15024" priority="896" operator="equal">
      <formula>0</formula>
    </cfRule>
  </conditionalFormatting>
  <conditionalFormatting sqref="V25">
    <cfRule type="cellIs" dxfId="15023" priority="893" operator="greaterThan">
      <formula>V24</formula>
    </cfRule>
    <cfRule type="cellIs" dxfId="15022" priority="894" operator="equal">
      <formula>0</formula>
    </cfRule>
  </conditionalFormatting>
  <conditionalFormatting sqref="V27">
    <cfRule type="cellIs" dxfId="15021" priority="891" operator="greaterThan">
      <formula>V26</formula>
    </cfRule>
    <cfRule type="cellIs" dxfId="15020" priority="892" operator="equal">
      <formula>0</formula>
    </cfRule>
  </conditionalFormatting>
  <conditionalFormatting sqref="V27">
    <cfRule type="cellIs" dxfId="15019" priority="889" operator="greaterThan">
      <formula>V26</formula>
    </cfRule>
    <cfRule type="cellIs" dxfId="15018" priority="890" operator="equal">
      <formula>0</formula>
    </cfRule>
  </conditionalFormatting>
  <conditionalFormatting sqref="V27">
    <cfRule type="cellIs" dxfId="15017" priority="887" operator="greaterThan">
      <formula>V26</formula>
    </cfRule>
    <cfRule type="cellIs" dxfId="15016" priority="888" operator="equal">
      <formula>0</formula>
    </cfRule>
  </conditionalFormatting>
  <conditionalFormatting sqref="V27">
    <cfRule type="cellIs" dxfId="15015" priority="885" operator="greaterThan">
      <formula>V26</formula>
    </cfRule>
    <cfRule type="cellIs" dxfId="15014" priority="886" operator="equal">
      <formula>0</formula>
    </cfRule>
  </conditionalFormatting>
  <conditionalFormatting sqref="V27">
    <cfRule type="cellIs" dxfId="15013" priority="883" operator="greaterThan">
      <formula>V26</formula>
    </cfRule>
    <cfRule type="cellIs" dxfId="15012" priority="884" operator="equal">
      <formula>0</formula>
    </cfRule>
  </conditionalFormatting>
  <conditionalFormatting sqref="V27">
    <cfRule type="cellIs" dxfId="15011" priority="881" operator="greaterThan">
      <formula>V26</formula>
    </cfRule>
    <cfRule type="cellIs" dxfId="15010" priority="882" operator="equal">
      <formula>0</formula>
    </cfRule>
  </conditionalFormatting>
  <conditionalFormatting sqref="V27">
    <cfRule type="cellIs" dxfId="15009" priority="879" operator="greaterThan">
      <formula>V26</formula>
    </cfRule>
    <cfRule type="cellIs" dxfId="15008" priority="880" operator="equal">
      <formula>0</formula>
    </cfRule>
  </conditionalFormatting>
  <conditionalFormatting sqref="V27">
    <cfRule type="cellIs" dxfId="15007" priority="877" operator="greaterThan">
      <formula>V26</formula>
    </cfRule>
    <cfRule type="cellIs" dxfId="15006" priority="878" operator="equal">
      <formula>0</formula>
    </cfRule>
  </conditionalFormatting>
  <conditionalFormatting sqref="V27">
    <cfRule type="cellIs" dxfId="15005" priority="875" operator="greaterThan">
      <formula>V26</formula>
    </cfRule>
    <cfRule type="cellIs" dxfId="15004" priority="876" operator="equal">
      <formula>0</formula>
    </cfRule>
  </conditionalFormatting>
  <conditionalFormatting sqref="V27">
    <cfRule type="cellIs" dxfId="15003" priority="873" operator="greaterThan">
      <formula>V26</formula>
    </cfRule>
    <cfRule type="cellIs" dxfId="15002" priority="874" operator="equal">
      <formula>0</formula>
    </cfRule>
  </conditionalFormatting>
  <conditionalFormatting sqref="V27">
    <cfRule type="cellIs" dxfId="15001" priority="871" operator="greaterThan">
      <formula>V26</formula>
    </cfRule>
    <cfRule type="cellIs" dxfId="15000" priority="872" operator="equal">
      <formula>0</formula>
    </cfRule>
  </conditionalFormatting>
  <conditionalFormatting sqref="V27">
    <cfRule type="cellIs" dxfId="14999" priority="869" operator="greaterThan">
      <formula>V26</formula>
    </cfRule>
    <cfRule type="cellIs" dxfId="14998" priority="870" operator="equal">
      <formula>0</formula>
    </cfRule>
  </conditionalFormatting>
  <conditionalFormatting sqref="V27">
    <cfRule type="cellIs" dxfId="14997" priority="867" operator="greaterThan">
      <formula>V26</formula>
    </cfRule>
    <cfRule type="cellIs" dxfId="14996" priority="868" operator="equal">
      <formula>0</formula>
    </cfRule>
  </conditionalFormatting>
  <conditionalFormatting sqref="V27">
    <cfRule type="cellIs" dxfId="14995" priority="865" operator="greaterThan">
      <formula>V26</formula>
    </cfRule>
    <cfRule type="cellIs" dxfId="14994" priority="866" operator="equal">
      <formula>0</formula>
    </cfRule>
  </conditionalFormatting>
  <conditionalFormatting sqref="V27">
    <cfRule type="cellIs" dxfId="14993" priority="863" operator="greaterThan">
      <formula>V26</formula>
    </cfRule>
    <cfRule type="cellIs" dxfId="14992" priority="864" operator="equal">
      <formula>0</formula>
    </cfRule>
  </conditionalFormatting>
  <conditionalFormatting sqref="V27">
    <cfRule type="cellIs" dxfId="14991" priority="861" operator="greaterThan">
      <formula>V26</formula>
    </cfRule>
    <cfRule type="cellIs" dxfId="14990" priority="862" operator="equal">
      <formula>0</formula>
    </cfRule>
  </conditionalFormatting>
  <conditionalFormatting sqref="V27">
    <cfRule type="cellIs" dxfId="14989" priority="859" operator="greaterThan">
      <formula>V26</formula>
    </cfRule>
    <cfRule type="cellIs" dxfId="14988" priority="860" operator="equal">
      <formula>0</formula>
    </cfRule>
  </conditionalFormatting>
  <conditionalFormatting sqref="V27">
    <cfRule type="cellIs" dxfId="14987" priority="857" operator="greaterThan">
      <formula>V26</formula>
    </cfRule>
    <cfRule type="cellIs" dxfId="14986" priority="858" operator="equal">
      <formula>0</formula>
    </cfRule>
  </conditionalFormatting>
  <conditionalFormatting sqref="V27">
    <cfRule type="cellIs" dxfId="14985" priority="855" operator="greaterThan">
      <formula>V26</formula>
    </cfRule>
    <cfRule type="cellIs" dxfId="14984" priority="856" operator="equal">
      <formula>0</formula>
    </cfRule>
  </conditionalFormatting>
  <conditionalFormatting sqref="V27">
    <cfRule type="cellIs" dxfId="14983" priority="853" operator="greaterThan">
      <formula>V26</formula>
    </cfRule>
    <cfRule type="cellIs" dxfId="14982" priority="854" operator="equal">
      <formula>0</formula>
    </cfRule>
  </conditionalFormatting>
  <conditionalFormatting sqref="V27">
    <cfRule type="cellIs" dxfId="14981" priority="851" operator="greaterThan">
      <formula>V26</formula>
    </cfRule>
    <cfRule type="cellIs" dxfId="14980" priority="852" operator="equal">
      <formula>0</formula>
    </cfRule>
  </conditionalFormatting>
  <conditionalFormatting sqref="V27">
    <cfRule type="cellIs" dxfId="14979" priority="849" operator="greaterThan">
      <formula>V26</formula>
    </cfRule>
    <cfRule type="cellIs" dxfId="14978" priority="850" operator="equal">
      <formula>0</formula>
    </cfRule>
  </conditionalFormatting>
  <conditionalFormatting sqref="V27">
    <cfRule type="cellIs" dxfId="14977" priority="847" operator="greaterThan">
      <formula>V26</formula>
    </cfRule>
    <cfRule type="cellIs" dxfId="14976" priority="848" operator="equal">
      <formula>0</formula>
    </cfRule>
  </conditionalFormatting>
  <conditionalFormatting sqref="V27">
    <cfRule type="cellIs" dxfId="14975" priority="845" operator="greaterThan">
      <formula>V26</formula>
    </cfRule>
    <cfRule type="cellIs" dxfId="14974" priority="846" operator="equal">
      <formula>0</formula>
    </cfRule>
  </conditionalFormatting>
  <conditionalFormatting sqref="V27">
    <cfRule type="cellIs" dxfId="14973" priority="843" operator="greaterThan">
      <formula>V26</formula>
    </cfRule>
    <cfRule type="cellIs" dxfId="14972" priority="844" operator="equal">
      <formula>0</formula>
    </cfRule>
  </conditionalFormatting>
  <conditionalFormatting sqref="V27">
    <cfRule type="cellIs" dxfId="14971" priority="841" operator="greaterThan">
      <formula>V26</formula>
    </cfRule>
    <cfRule type="cellIs" dxfId="14970" priority="842" operator="equal">
      <formula>0</formula>
    </cfRule>
  </conditionalFormatting>
  <conditionalFormatting sqref="V27">
    <cfRule type="cellIs" dxfId="14969" priority="839" operator="greaterThan">
      <formula>V26</formula>
    </cfRule>
    <cfRule type="cellIs" dxfId="14968" priority="840" operator="equal">
      <formula>0</formula>
    </cfRule>
  </conditionalFormatting>
  <conditionalFormatting sqref="V27">
    <cfRule type="cellIs" dxfId="14967" priority="837" operator="greaterThan">
      <formula>V26</formula>
    </cfRule>
    <cfRule type="cellIs" dxfId="14966" priority="838" operator="equal">
      <formula>0</formula>
    </cfRule>
  </conditionalFormatting>
  <conditionalFormatting sqref="V27">
    <cfRule type="cellIs" dxfId="14965" priority="835" operator="greaterThan">
      <formula>V26</formula>
    </cfRule>
    <cfRule type="cellIs" dxfId="14964" priority="836" operator="equal">
      <formula>0</formula>
    </cfRule>
  </conditionalFormatting>
  <conditionalFormatting sqref="V28">
    <cfRule type="cellIs" dxfId="14963" priority="833" operator="greaterThan">
      <formula>V27</formula>
    </cfRule>
    <cfRule type="cellIs" dxfId="14962" priority="834" operator="equal">
      <formula>0</formula>
    </cfRule>
  </conditionalFormatting>
  <conditionalFormatting sqref="V28">
    <cfRule type="cellIs" dxfId="14961" priority="831" operator="greaterThan">
      <formula>V27</formula>
    </cfRule>
    <cfRule type="cellIs" dxfId="14960" priority="832" operator="equal">
      <formula>0</formula>
    </cfRule>
  </conditionalFormatting>
  <conditionalFormatting sqref="V28">
    <cfRule type="cellIs" dxfId="14959" priority="829" operator="greaterThan">
      <formula>V27</formula>
    </cfRule>
    <cfRule type="cellIs" dxfId="14958" priority="830" operator="equal">
      <formula>0</formula>
    </cfRule>
  </conditionalFormatting>
  <conditionalFormatting sqref="V28">
    <cfRule type="cellIs" dxfId="14957" priority="827" operator="greaterThan">
      <formula>V27</formula>
    </cfRule>
    <cfRule type="cellIs" dxfId="14956" priority="828" operator="equal">
      <formula>0</formula>
    </cfRule>
  </conditionalFormatting>
  <conditionalFormatting sqref="V28">
    <cfRule type="cellIs" dxfId="14955" priority="825" operator="greaterThan">
      <formula>V27</formula>
    </cfRule>
    <cfRule type="cellIs" dxfId="14954" priority="826" operator="equal">
      <formula>0</formula>
    </cfRule>
  </conditionalFormatting>
  <conditionalFormatting sqref="V28">
    <cfRule type="cellIs" dxfId="14953" priority="823" operator="greaterThan">
      <formula>V27</formula>
    </cfRule>
    <cfRule type="cellIs" dxfId="14952" priority="824" operator="equal">
      <formula>0</formula>
    </cfRule>
  </conditionalFormatting>
  <conditionalFormatting sqref="V28">
    <cfRule type="cellIs" dxfId="14951" priority="821" operator="greaterThan">
      <formula>V27</formula>
    </cfRule>
    <cfRule type="cellIs" dxfId="14950" priority="822" operator="equal">
      <formula>0</formula>
    </cfRule>
  </conditionalFormatting>
  <conditionalFormatting sqref="V28">
    <cfRule type="cellIs" dxfId="14949" priority="819" operator="greaterThan">
      <formula>V27</formula>
    </cfRule>
    <cfRule type="cellIs" dxfId="14948" priority="820" operator="equal">
      <formula>0</formula>
    </cfRule>
  </conditionalFormatting>
  <conditionalFormatting sqref="V28">
    <cfRule type="cellIs" dxfId="14947" priority="817" operator="greaterThan">
      <formula>V27</formula>
    </cfRule>
    <cfRule type="cellIs" dxfId="14946" priority="818" operator="equal">
      <formula>0</formula>
    </cfRule>
  </conditionalFormatting>
  <conditionalFormatting sqref="V28">
    <cfRule type="cellIs" dxfId="14945" priority="815" operator="greaterThan">
      <formula>V27</formula>
    </cfRule>
    <cfRule type="cellIs" dxfId="14944" priority="816" operator="equal">
      <formula>0</formula>
    </cfRule>
  </conditionalFormatting>
  <conditionalFormatting sqref="V28">
    <cfRule type="cellIs" dxfId="14943" priority="813" operator="greaterThan">
      <formula>V27</formula>
    </cfRule>
    <cfRule type="cellIs" dxfId="14942" priority="814" operator="equal">
      <formula>0</formula>
    </cfRule>
  </conditionalFormatting>
  <conditionalFormatting sqref="V28">
    <cfRule type="cellIs" dxfId="14941" priority="811" operator="greaterThan">
      <formula>V27</formula>
    </cfRule>
    <cfRule type="cellIs" dxfId="14940" priority="812" operator="equal">
      <formula>0</formula>
    </cfRule>
  </conditionalFormatting>
  <conditionalFormatting sqref="V28">
    <cfRule type="cellIs" dxfId="14939" priority="809" operator="greaterThan">
      <formula>V27</formula>
    </cfRule>
    <cfRule type="cellIs" dxfId="14938" priority="810" operator="equal">
      <formula>0</formula>
    </cfRule>
  </conditionalFormatting>
  <conditionalFormatting sqref="V28">
    <cfRule type="cellIs" dxfId="14937" priority="807" operator="greaterThan">
      <formula>V27</formula>
    </cfRule>
    <cfRule type="cellIs" dxfId="14936" priority="808" operator="equal">
      <formula>0</formula>
    </cfRule>
  </conditionalFormatting>
  <conditionalFormatting sqref="V28">
    <cfRule type="cellIs" dxfId="14935" priority="805" operator="greaterThan">
      <formula>V27</formula>
    </cfRule>
    <cfRule type="cellIs" dxfId="14934" priority="806" operator="equal">
      <formula>0</formula>
    </cfRule>
  </conditionalFormatting>
  <conditionalFormatting sqref="V28">
    <cfRule type="cellIs" dxfId="14933" priority="803" operator="greaterThan">
      <formula>V27</formula>
    </cfRule>
    <cfRule type="cellIs" dxfId="14932" priority="804" operator="equal">
      <formula>0</formula>
    </cfRule>
  </conditionalFormatting>
  <conditionalFormatting sqref="V28">
    <cfRule type="cellIs" dxfId="14931" priority="801" operator="greaterThan">
      <formula>V27</formula>
    </cfRule>
    <cfRule type="cellIs" dxfId="14930" priority="802" operator="equal">
      <formula>0</formula>
    </cfRule>
  </conditionalFormatting>
  <conditionalFormatting sqref="V28">
    <cfRule type="cellIs" dxfId="14929" priority="799" operator="greaterThan">
      <formula>V27</formula>
    </cfRule>
    <cfRule type="cellIs" dxfId="14928" priority="800" operator="equal">
      <formula>0</formula>
    </cfRule>
  </conditionalFormatting>
  <conditionalFormatting sqref="V28">
    <cfRule type="cellIs" dxfId="14927" priority="797" operator="greaterThan">
      <formula>V27</formula>
    </cfRule>
    <cfRule type="cellIs" dxfId="14926" priority="798" operator="equal">
      <formula>0</formula>
    </cfRule>
  </conditionalFormatting>
  <conditionalFormatting sqref="V28">
    <cfRule type="cellIs" dxfId="14925" priority="795" operator="greaterThan">
      <formula>V27</formula>
    </cfRule>
    <cfRule type="cellIs" dxfId="14924" priority="796" operator="equal">
      <formula>0</formula>
    </cfRule>
  </conditionalFormatting>
  <conditionalFormatting sqref="V28">
    <cfRule type="cellIs" dxfId="14923" priority="793" operator="greaterThan">
      <formula>V27</formula>
    </cfRule>
    <cfRule type="cellIs" dxfId="14922" priority="794" operator="equal">
      <formula>0</formula>
    </cfRule>
  </conditionalFormatting>
  <conditionalFormatting sqref="V28">
    <cfRule type="cellIs" dxfId="14921" priority="791" operator="greaterThan">
      <formula>V27</formula>
    </cfRule>
    <cfRule type="cellIs" dxfId="14920" priority="792" operator="equal">
      <formula>0</formula>
    </cfRule>
  </conditionalFormatting>
  <conditionalFormatting sqref="V28">
    <cfRule type="cellIs" dxfId="14919" priority="789" operator="greaterThan">
      <formula>V27</formula>
    </cfRule>
    <cfRule type="cellIs" dxfId="14918" priority="790" operator="equal">
      <formula>0</formula>
    </cfRule>
  </conditionalFormatting>
  <conditionalFormatting sqref="V28">
    <cfRule type="cellIs" dxfId="14917" priority="787" operator="greaterThan">
      <formula>V27</formula>
    </cfRule>
    <cfRule type="cellIs" dxfId="14916" priority="788" operator="equal">
      <formula>0</formula>
    </cfRule>
  </conditionalFormatting>
  <conditionalFormatting sqref="V28">
    <cfRule type="cellIs" dxfId="14915" priority="785" operator="greaterThan">
      <formula>V27</formula>
    </cfRule>
    <cfRule type="cellIs" dxfId="14914" priority="786" operator="equal">
      <formula>0</formula>
    </cfRule>
  </conditionalFormatting>
  <conditionalFormatting sqref="V28">
    <cfRule type="cellIs" dxfId="14913" priority="783" operator="greaterThan">
      <formula>V27</formula>
    </cfRule>
    <cfRule type="cellIs" dxfId="14912" priority="784" operator="equal">
      <formula>0</formula>
    </cfRule>
  </conditionalFormatting>
  <conditionalFormatting sqref="V28">
    <cfRule type="cellIs" dxfId="14911" priority="781" operator="greaterThan">
      <formula>V27</formula>
    </cfRule>
    <cfRule type="cellIs" dxfId="14910" priority="782" operator="equal">
      <formula>0</formula>
    </cfRule>
  </conditionalFormatting>
  <conditionalFormatting sqref="V28">
    <cfRule type="cellIs" dxfId="14909" priority="779" operator="greaterThan">
      <formula>V27</formula>
    </cfRule>
    <cfRule type="cellIs" dxfId="14908" priority="780" operator="equal">
      <formula>0</formula>
    </cfRule>
  </conditionalFormatting>
  <conditionalFormatting sqref="V28">
    <cfRule type="cellIs" dxfId="14907" priority="777" operator="greaterThan">
      <formula>V27</formula>
    </cfRule>
    <cfRule type="cellIs" dxfId="14906" priority="778" operator="equal">
      <formula>0</formula>
    </cfRule>
  </conditionalFormatting>
  <conditionalFormatting sqref="V28">
    <cfRule type="cellIs" dxfId="14905" priority="775" operator="greaterThan">
      <formula>V27</formula>
    </cfRule>
    <cfRule type="cellIs" dxfId="14904" priority="776" operator="equal">
      <formula>0</formula>
    </cfRule>
  </conditionalFormatting>
  <conditionalFormatting sqref="V28">
    <cfRule type="cellIs" dxfId="14903" priority="773" operator="greaterThan">
      <formula>V27</formula>
    </cfRule>
    <cfRule type="cellIs" dxfId="14902" priority="774" operator="equal">
      <formula>0</formula>
    </cfRule>
  </conditionalFormatting>
  <conditionalFormatting sqref="V28">
    <cfRule type="cellIs" dxfId="14901" priority="771" operator="greaterThan">
      <formula>V27</formula>
    </cfRule>
    <cfRule type="cellIs" dxfId="14900" priority="772" operator="equal">
      <formula>0</formula>
    </cfRule>
  </conditionalFormatting>
  <conditionalFormatting sqref="V28">
    <cfRule type="cellIs" dxfId="14899" priority="769" operator="greaterThan">
      <formula>V27</formula>
    </cfRule>
    <cfRule type="cellIs" dxfId="14898" priority="770" operator="equal">
      <formula>0</formula>
    </cfRule>
  </conditionalFormatting>
  <conditionalFormatting sqref="V28">
    <cfRule type="cellIs" dxfId="14897" priority="767" operator="greaterThan">
      <formula>V27</formula>
    </cfRule>
    <cfRule type="cellIs" dxfId="14896" priority="768" operator="equal">
      <formula>0</formula>
    </cfRule>
  </conditionalFormatting>
  <conditionalFormatting sqref="V28">
    <cfRule type="cellIs" dxfId="14895" priority="765" operator="greaterThan">
      <formula>V27</formula>
    </cfRule>
    <cfRule type="cellIs" dxfId="14894" priority="766" operator="equal">
      <formula>0</formula>
    </cfRule>
  </conditionalFormatting>
  <conditionalFormatting sqref="V28">
    <cfRule type="cellIs" dxfId="14893" priority="763" operator="greaterThan">
      <formula>V27</formula>
    </cfRule>
    <cfRule type="cellIs" dxfId="14892" priority="764" operator="equal">
      <formula>0</formula>
    </cfRule>
  </conditionalFormatting>
  <conditionalFormatting sqref="V28">
    <cfRule type="cellIs" dxfId="14891" priority="761" operator="greaterThan">
      <formula>V27</formula>
    </cfRule>
    <cfRule type="cellIs" dxfId="14890" priority="762" operator="equal">
      <formula>0</formula>
    </cfRule>
  </conditionalFormatting>
  <conditionalFormatting sqref="V28">
    <cfRule type="cellIs" dxfId="14889" priority="759" operator="greaterThan">
      <formula>V27</formula>
    </cfRule>
    <cfRule type="cellIs" dxfId="14888" priority="760" operator="equal">
      <formula>0</formula>
    </cfRule>
  </conditionalFormatting>
  <conditionalFormatting sqref="V28">
    <cfRule type="cellIs" dxfId="14887" priority="757" operator="greaterThan">
      <formula>V27</formula>
    </cfRule>
    <cfRule type="cellIs" dxfId="14886" priority="758" operator="equal">
      <formula>0</formula>
    </cfRule>
  </conditionalFormatting>
  <conditionalFormatting sqref="V28">
    <cfRule type="cellIs" dxfId="14885" priority="755" operator="greaterThan">
      <formula>V27</formula>
    </cfRule>
    <cfRule type="cellIs" dxfId="14884" priority="756" operator="equal">
      <formula>0</formula>
    </cfRule>
  </conditionalFormatting>
  <conditionalFormatting sqref="V28">
    <cfRule type="cellIs" dxfId="14883" priority="753" operator="greaterThan">
      <formula>V27</formula>
    </cfRule>
    <cfRule type="cellIs" dxfId="14882" priority="754" operator="equal">
      <formula>0</formula>
    </cfRule>
  </conditionalFormatting>
  <conditionalFormatting sqref="V28">
    <cfRule type="cellIs" dxfId="14881" priority="751" operator="greaterThan">
      <formula>V27</formula>
    </cfRule>
    <cfRule type="cellIs" dxfId="14880" priority="752" operator="equal">
      <formula>0</formula>
    </cfRule>
  </conditionalFormatting>
  <conditionalFormatting sqref="V28">
    <cfRule type="cellIs" dxfId="14879" priority="749" operator="greaterThan">
      <formula>V27</formula>
    </cfRule>
    <cfRule type="cellIs" dxfId="14878" priority="750" operator="equal">
      <formula>0</formula>
    </cfRule>
  </conditionalFormatting>
  <conditionalFormatting sqref="V28">
    <cfRule type="cellIs" dxfId="14877" priority="747" operator="greaterThan">
      <formula>V27</formula>
    </cfRule>
    <cfRule type="cellIs" dxfId="14876" priority="748" operator="equal">
      <formula>0</formula>
    </cfRule>
  </conditionalFormatting>
  <conditionalFormatting sqref="V28">
    <cfRule type="cellIs" dxfId="14875" priority="745" operator="greaterThan">
      <formula>V27</formula>
    </cfRule>
    <cfRule type="cellIs" dxfId="14874" priority="746" operator="equal">
      <formula>0</formula>
    </cfRule>
  </conditionalFormatting>
  <conditionalFormatting sqref="V28">
    <cfRule type="cellIs" dxfId="14873" priority="743" operator="greaterThan">
      <formula>V27</formula>
    </cfRule>
    <cfRule type="cellIs" dxfId="14872" priority="744" operator="equal">
      <formula>0</formula>
    </cfRule>
  </conditionalFormatting>
  <conditionalFormatting sqref="V28">
    <cfRule type="cellIs" dxfId="14871" priority="741" operator="greaterThan">
      <formula>V27</formula>
    </cfRule>
    <cfRule type="cellIs" dxfId="14870" priority="742" operator="equal">
      <formula>0</formula>
    </cfRule>
  </conditionalFormatting>
  <conditionalFormatting sqref="V28">
    <cfRule type="cellIs" dxfId="14869" priority="739" operator="greaterThan">
      <formula>V27</formula>
    </cfRule>
    <cfRule type="cellIs" dxfId="14868" priority="740" operator="equal">
      <formula>0</formula>
    </cfRule>
  </conditionalFormatting>
  <conditionalFormatting sqref="V28">
    <cfRule type="cellIs" dxfId="14867" priority="737" operator="greaterThan">
      <formula>V27</formula>
    </cfRule>
    <cfRule type="cellIs" dxfId="14866" priority="738" operator="equal">
      <formula>0</formula>
    </cfRule>
  </conditionalFormatting>
  <conditionalFormatting sqref="V28">
    <cfRule type="cellIs" dxfId="14865" priority="735" operator="greaterThan">
      <formula>V27</formula>
    </cfRule>
    <cfRule type="cellIs" dxfId="14864" priority="736" operator="equal">
      <formula>0</formula>
    </cfRule>
  </conditionalFormatting>
  <conditionalFormatting sqref="V28">
    <cfRule type="cellIs" dxfId="14863" priority="733" operator="greaterThan">
      <formula>V27</formula>
    </cfRule>
    <cfRule type="cellIs" dxfId="14862" priority="734" operator="equal">
      <formula>0</formula>
    </cfRule>
  </conditionalFormatting>
  <conditionalFormatting sqref="V28">
    <cfRule type="cellIs" dxfId="14861" priority="731" operator="greaterThan">
      <formula>V27</formula>
    </cfRule>
    <cfRule type="cellIs" dxfId="14860" priority="732" operator="equal">
      <formula>0</formula>
    </cfRule>
  </conditionalFormatting>
  <conditionalFormatting sqref="V28">
    <cfRule type="cellIs" dxfId="14859" priority="729" operator="greaterThan">
      <formula>V27</formula>
    </cfRule>
    <cfRule type="cellIs" dxfId="14858" priority="730" operator="equal">
      <formula>0</formula>
    </cfRule>
  </conditionalFormatting>
  <conditionalFormatting sqref="V28">
    <cfRule type="cellIs" dxfId="14857" priority="727" operator="greaterThan">
      <formula>V27</formula>
    </cfRule>
    <cfRule type="cellIs" dxfId="14856" priority="728" operator="equal">
      <formula>0</formula>
    </cfRule>
  </conditionalFormatting>
  <conditionalFormatting sqref="V28">
    <cfRule type="cellIs" dxfId="14855" priority="725" operator="greaterThan">
      <formula>V27</formula>
    </cfRule>
    <cfRule type="cellIs" dxfId="14854" priority="726" operator="equal">
      <formula>0</formula>
    </cfRule>
  </conditionalFormatting>
  <conditionalFormatting sqref="V28">
    <cfRule type="cellIs" dxfId="14853" priority="723" operator="greaterThan">
      <formula>V27</formula>
    </cfRule>
    <cfRule type="cellIs" dxfId="14852" priority="724" operator="equal">
      <formula>0</formula>
    </cfRule>
  </conditionalFormatting>
  <conditionalFormatting sqref="V28">
    <cfRule type="cellIs" dxfId="14851" priority="721" operator="greaterThan">
      <formula>V27</formula>
    </cfRule>
    <cfRule type="cellIs" dxfId="14850" priority="722" operator="equal">
      <formula>0</formula>
    </cfRule>
  </conditionalFormatting>
  <conditionalFormatting sqref="V28">
    <cfRule type="cellIs" dxfId="14849" priority="719" operator="greaterThan">
      <formula>V27</formula>
    </cfRule>
    <cfRule type="cellIs" dxfId="14848" priority="720" operator="equal">
      <formula>0</formula>
    </cfRule>
  </conditionalFormatting>
  <conditionalFormatting sqref="V28">
    <cfRule type="cellIs" dxfId="14847" priority="717" operator="greaterThan">
      <formula>V27</formula>
    </cfRule>
    <cfRule type="cellIs" dxfId="14846" priority="718" operator="equal">
      <formula>0</formula>
    </cfRule>
  </conditionalFormatting>
  <conditionalFormatting sqref="V28">
    <cfRule type="cellIs" dxfId="14845" priority="715" operator="greaterThan">
      <formula>V27</formula>
    </cfRule>
    <cfRule type="cellIs" dxfId="14844" priority="716" operator="equal">
      <formula>0</formula>
    </cfRule>
  </conditionalFormatting>
  <conditionalFormatting sqref="V28">
    <cfRule type="cellIs" dxfId="14843" priority="713" operator="greaterThan">
      <formula>V27</formula>
    </cfRule>
    <cfRule type="cellIs" dxfId="14842" priority="714" operator="equal">
      <formula>0</formula>
    </cfRule>
  </conditionalFormatting>
  <conditionalFormatting sqref="V28">
    <cfRule type="cellIs" dxfId="14841" priority="711" operator="greaterThan">
      <formula>V27</formula>
    </cfRule>
    <cfRule type="cellIs" dxfId="14840" priority="712" operator="equal">
      <formula>0</formula>
    </cfRule>
  </conditionalFormatting>
  <conditionalFormatting sqref="V28">
    <cfRule type="cellIs" dxfId="14839" priority="709" operator="greaterThan">
      <formula>V27</formula>
    </cfRule>
    <cfRule type="cellIs" dxfId="14838" priority="710" operator="equal">
      <formula>0</formula>
    </cfRule>
  </conditionalFormatting>
  <conditionalFormatting sqref="V28">
    <cfRule type="cellIs" dxfId="14837" priority="707" operator="greaterThan">
      <formula>V27</formula>
    </cfRule>
    <cfRule type="cellIs" dxfId="14836" priority="708" operator="equal">
      <formula>0</formula>
    </cfRule>
  </conditionalFormatting>
  <conditionalFormatting sqref="V28">
    <cfRule type="cellIs" dxfId="14835" priority="705" operator="greaterThan">
      <formula>V27</formula>
    </cfRule>
    <cfRule type="cellIs" dxfId="14834" priority="706" operator="equal">
      <formula>0</formula>
    </cfRule>
  </conditionalFormatting>
  <conditionalFormatting sqref="V28">
    <cfRule type="cellIs" dxfId="14833" priority="703" operator="greaterThan">
      <formula>V27</formula>
    </cfRule>
    <cfRule type="cellIs" dxfId="14832" priority="704" operator="equal">
      <formula>0</formula>
    </cfRule>
  </conditionalFormatting>
  <conditionalFormatting sqref="V28">
    <cfRule type="cellIs" dxfId="14831" priority="701" operator="greaterThan">
      <formula>V27</formula>
    </cfRule>
    <cfRule type="cellIs" dxfId="14830" priority="702" operator="equal">
      <formula>0</formula>
    </cfRule>
  </conditionalFormatting>
  <conditionalFormatting sqref="V28">
    <cfRule type="cellIs" dxfId="14829" priority="699" operator="greaterThan">
      <formula>V27</formula>
    </cfRule>
    <cfRule type="cellIs" dxfId="14828" priority="700" operator="equal">
      <formula>0</formula>
    </cfRule>
  </conditionalFormatting>
  <conditionalFormatting sqref="V28">
    <cfRule type="cellIs" dxfId="14827" priority="697" operator="greaterThan">
      <formula>V27</formula>
    </cfRule>
    <cfRule type="cellIs" dxfId="14826" priority="698" operator="equal">
      <formula>0</formula>
    </cfRule>
  </conditionalFormatting>
  <conditionalFormatting sqref="V28">
    <cfRule type="cellIs" dxfId="14825" priority="695" operator="greaterThan">
      <formula>V27</formula>
    </cfRule>
    <cfRule type="cellIs" dxfId="14824" priority="696" operator="equal">
      <formula>0</formula>
    </cfRule>
  </conditionalFormatting>
  <conditionalFormatting sqref="V28">
    <cfRule type="cellIs" dxfId="14823" priority="693" operator="greaterThan">
      <formula>V27</formula>
    </cfRule>
    <cfRule type="cellIs" dxfId="14822" priority="694" operator="equal">
      <formula>0</formula>
    </cfRule>
  </conditionalFormatting>
  <conditionalFormatting sqref="V28">
    <cfRule type="cellIs" dxfId="14821" priority="691" operator="greaterThan">
      <formula>V27</formula>
    </cfRule>
    <cfRule type="cellIs" dxfId="14820" priority="692" operator="equal">
      <formula>0</formula>
    </cfRule>
  </conditionalFormatting>
  <conditionalFormatting sqref="V28">
    <cfRule type="cellIs" dxfId="14819" priority="689" operator="greaterThan">
      <formula>V27</formula>
    </cfRule>
    <cfRule type="cellIs" dxfId="14818" priority="690" operator="equal">
      <formula>0</formula>
    </cfRule>
  </conditionalFormatting>
  <conditionalFormatting sqref="V28">
    <cfRule type="cellIs" dxfId="14817" priority="687" operator="greaterThan">
      <formula>V27</formula>
    </cfRule>
    <cfRule type="cellIs" dxfId="14816" priority="688" operator="equal">
      <formula>0</formula>
    </cfRule>
  </conditionalFormatting>
  <conditionalFormatting sqref="V28">
    <cfRule type="cellIs" dxfId="14815" priority="685" operator="greaterThan">
      <formula>V27</formula>
    </cfRule>
    <cfRule type="cellIs" dxfId="14814" priority="686" operator="equal">
      <formula>0</formula>
    </cfRule>
  </conditionalFormatting>
  <conditionalFormatting sqref="V28">
    <cfRule type="cellIs" dxfId="14813" priority="683" operator="greaterThan">
      <formula>V27</formula>
    </cfRule>
    <cfRule type="cellIs" dxfId="14812" priority="684" operator="equal">
      <formula>0</formula>
    </cfRule>
  </conditionalFormatting>
  <conditionalFormatting sqref="V28">
    <cfRule type="cellIs" dxfId="14811" priority="681" operator="greaterThan">
      <formula>V27</formula>
    </cfRule>
    <cfRule type="cellIs" dxfId="14810" priority="682" operator="equal">
      <formula>0</formula>
    </cfRule>
  </conditionalFormatting>
  <conditionalFormatting sqref="V28">
    <cfRule type="cellIs" dxfId="14809" priority="679" operator="greaterThan">
      <formula>V27</formula>
    </cfRule>
    <cfRule type="cellIs" dxfId="14808" priority="680" operator="equal">
      <formula>0</formula>
    </cfRule>
  </conditionalFormatting>
  <conditionalFormatting sqref="V28">
    <cfRule type="cellIs" dxfId="14807" priority="677" operator="greaterThan">
      <formula>V27</formula>
    </cfRule>
    <cfRule type="cellIs" dxfId="14806" priority="678" operator="equal">
      <formula>0</formula>
    </cfRule>
  </conditionalFormatting>
  <conditionalFormatting sqref="V28">
    <cfRule type="cellIs" dxfId="14805" priority="675" operator="greaterThan">
      <formula>V27</formula>
    </cfRule>
    <cfRule type="cellIs" dxfId="14804" priority="676" operator="equal">
      <formula>0</formula>
    </cfRule>
  </conditionalFormatting>
  <conditionalFormatting sqref="V28">
    <cfRule type="cellIs" dxfId="14803" priority="673" operator="greaterThan">
      <formula>V27</formula>
    </cfRule>
    <cfRule type="cellIs" dxfId="14802" priority="674" operator="equal">
      <formula>0</formula>
    </cfRule>
  </conditionalFormatting>
  <conditionalFormatting sqref="V28">
    <cfRule type="cellIs" dxfId="14801" priority="671" operator="greaterThan">
      <formula>V27</formula>
    </cfRule>
    <cfRule type="cellIs" dxfId="14800" priority="672" operator="equal">
      <formula>0</formula>
    </cfRule>
  </conditionalFormatting>
  <conditionalFormatting sqref="V28">
    <cfRule type="cellIs" dxfId="14799" priority="669" operator="greaterThan">
      <formula>V27</formula>
    </cfRule>
    <cfRule type="cellIs" dxfId="14798" priority="670" operator="equal">
      <formula>0</formula>
    </cfRule>
  </conditionalFormatting>
  <conditionalFormatting sqref="V28">
    <cfRule type="cellIs" dxfId="14797" priority="667" operator="greaterThan">
      <formula>V27</formula>
    </cfRule>
    <cfRule type="cellIs" dxfId="14796" priority="668" operator="equal">
      <formula>0</formula>
    </cfRule>
  </conditionalFormatting>
  <conditionalFormatting sqref="V12:V13 X12:X13 X15:X16 X18:X19 X21:X25 X27:X28 V15:V16 V18:V19 V21:V22 V24:V25 V27:V28">
    <cfRule type="cellIs" dxfId="14795" priority="666" operator="equal">
      <formula>0</formula>
    </cfRule>
  </conditionalFormatting>
  <conditionalFormatting sqref="V28">
    <cfRule type="cellIs" dxfId="14794" priority="664" operator="greaterThan">
      <formula>V27</formula>
    </cfRule>
    <cfRule type="cellIs" dxfId="14793" priority="665" operator="equal">
      <formula>0</formula>
    </cfRule>
  </conditionalFormatting>
  <conditionalFormatting sqref="V27">
    <cfRule type="cellIs" dxfId="14792" priority="662" operator="greaterThan">
      <formula>V26</formula>
    </cfRule>
    <cfRule type="cellIs" dxfId="14791" priority="663" operator="equal">
      <formula>0</formula>
    </cfRule>
  </conditionalFormatting>
  <conditionalFormatting sqref="V13">
    <cfRule type="cellIs" dxfId="14790" priority="660" operator="greaterThan">
      <formula>V12</formula>
    </cfRule>
    <cfRule type="cellIs" dxfId="14789" priority="661" operator="equal">
      <formula>0</formula>
    </cfRule>
  </conditionalFormatting>
  <conditionalFormatting sqref="V12">
    <cfRule type="cellIs" dxfId="14788" priority="658" operator="greaterThan">
      <formula>V11</formula>
    </cfRule>
    <cfRule type="cellIs" dxfId="14787" priority="659" operator="equal">
      <formula>0</formula>
    </cfRule>
  </conditionalFormatting>
  <conditionalFormatting sqref="V16">
    <cfRule type="cellIs" dxfId="14786" priority="656" operator="greaterThan">
      <formula>V15</formula>
    </cfRule>
    <cfRule type="cellIs" dxfId="14785" priority="657" operator="equal">
      <formula>0</formula>
    </cfRule>
  </conditionalFormatting>
  <conditionalFormatting sqref="V15">
    <cfRule type="cellIs" dxfId="14784" priority="654" operator="greaterThan">
      <formula>V14</formula>
    </cfRule>
    <cfRule type="cellIs" dxfId="14783" priority="655" operator="equal">
      <formula>0</formula>
    </cfRule>
  </conditionalFormatting>
  <conditionalFormatting sqref="V19">
    <cfRule type="cellIs" dxfId="14782" priority="652" operator="greaterThan">
      <formula>V18</formula>
    </cfRule>
    <cfRule type="cellIs" dxfId="14781" priority="653" operator="equal">
      <formula>0</formula>
    </cfRule>
  </conditionalFormatting>
  <conditionalFormatting sqref="V18">
    <cfRule type="cellIs" dxfId="14780" priority="650" operator="greaterThan">
      <formula>V17</formula>
    </cfRule>
    <cfRule type="cellIs" dxfId="14779" priority="651" operator="equal">
      <formula>0</formula>
    </cfRule>
  </conditionalFormatting>
  <conditionalFormatting sqref="V22 V24:V25">
    <cfRule type="cellIs" dxfId="14778" priority="648" operator="greaterThan">
      <formula>V21</formula>
    </cfRule>
    <cfRule type="cellIs" dxfId="14777" priority="649" operator="equal">
      <formula>0</formula>
    </cfRule>
  </conditionalFormatting>
  <conditionalFormatting sqref="V21">
    <cfRule type="cellIs" dxfId="14776" priority="646" operator="greaterThan">
      <formula>V20</formula>
    </cfRule>
    <cfRule type="cellIs" dxfId="14775" priority="647" operator="equal">
      <formula>0</formula>
    </cfRule>
  </conditionalFormatting>
  <conditionalFormatting sqref="V24">
    <cfRule type="cellIs" dxfId="14774" priority="644" operator="greaterThan">
      <formula>V23</formula>
    </cfRule>
    <cfRule type="cellIs" dxfId="14773" priority="645" operator="equal">
      <formula>0</formula>
    </cfRule>
  </conditionalFormatting>
  <conditionalFormatting sqref="V27:V28">
    <cfRule type="cellIs" dxfId="14772" priority="642" operator="greaterThan">
      <formula>V26</formula>
    </cfRule>
    <cfRule type="cellIs" dxfId="14771" priority="643" operator="equal">
      <formula>0</formula>
    </cfRule>
  </conditionalFormatting>
  <conditionalFormatting sqref="V27">
    <cfRule type="cellIs" dxfId="14770" priority="640" operator="greaterThan">
      <formula>V26</formula>
    </cfRule>
    <cfRule type="cellIs" dxfId="14769" priority="641" operator="equal">
      <formula>0</formula>
    </cfRule>
  </conditionalFormatting>
  <conditionalFormatting sqref="V16">
    <cfRule type="cellIs" dxfId="14768" priority="638" operator="greaterThan">
      <formula>V15</formula>
    </cfRule>
    <cfRule type="cellIs" dxfId="14767" priority="639" operator="equal">
      <formula>0</formula>
    </cfRule>
  </conditionalFormatting>
  <conditionalFormatting sqref="V15">
    <cfRule type="cellIs" dxfId="14766" priority="636" operator="greaterThan">
      <formula>V14</formula>
    </cfRule>
    <cfRule type="cellIs" dxfId="14765" priority="637" operator="equal">
      <formula>0</formula>
    </cfRule>
  </conditionalFormatting>
  <conditionalFormatting sqref="V19">
    <cfRule type="cellIs" dxfId="14764" priority="634" operator="greaterThan">
      <formula>V18</formula>
    </cfRule>
    <cfRule type="cellIs" dxfId="14763" priority="635" operator="equal">
      <formula>0</formula>
    </cfRule>
  </conditionalFormatting>
  <conditionalFormatting sqref="V18">
    <cfRule type="cellIs" dxfId="14762" priority="632" operator="greaterThan">
      <formula>V17</formula>
    </cfRule>
    <cfRule type="cellIs" dxfId="14761" priority="633" operator="equal">
      <formula>0</formula>
    </cfRule>
  </conditionalFormatting>
  <conditionalFormatting sqref="V22">
    <cfRule type="cellIs" dxfId="14760" priority="630" operator="greaterThan">
      <formula>V21</formula>
    </cfRule>
    <cfRule type="cellIs" dxfId="14759" priority="631" operator="equal">
      <formula>0</formula>
    </cfRule>
  </conditionalFormatting>
  <conditionalFormatting sqref="V21">
    <cfRule type="cellIs" dxfId="14758" priority="628" operator="greaterThan">
      <formula>V20</formula>
    </cfRule>
    <cfRule type="cellIs" dxfId="14757" priority="629" operator="equal">
      <formula>0</formula>
    </cfRule>
  </conditionalFormatting>
  <conditionalFormatting sqref="V25">
    <cfRule type="cellIs" dxfId="14756" priority="626" operator="greaterThan">
      <formula>V24</formula>
    </cfRule>
    <cfRule type="cellIs" dxfId="14755" priority="627" operator="equal">
      <formula>0</formula>
    </cfRule>
  </conditionalFormatting>
  <conditionalFormatting sqref="V24">
    <cfRule type="cellIs" dxfId="14754" priority="624" operator="greaterThan">
      <formula>V23</formula>
    </cfRule>
    <cfRule type="cellIs" dxfId="14753" priority="625" operator="equal">
      <formula>0</formula>
    </cfRule>
  </conditionalFormatting>
  <conditionalFormatting sqref="V28">
    <cfRule type="cellIs" dxfId="14752" priority="622" operator="greaterThan">
      <formula>V27</formula>
    </cfRule>
    <cfRule type="cellIs" dxfId="14751" priority="623" operator="equal">
      <formula>0</formula>
    </cfRule>
  </conditionalFormatting>
  <conditionalFormatting sqref="V27">
    <cfRule type="cellIs" dxfId="14750" priority="620" operator="greaterThan">
      <formula>V26</formula>
    </cfRule>
    <cfRule type="cellIs" dxfId="14749" priority="621" operator="equal">
      <formula>0</formula>
    </cfRule>
  </conditionalFormatting>
  <conditionalFormatting sqref="V30:V31 X30:X31">
    <cfRule type="cellIs" dxfId="14748" priority="619" operator="equal">
      <formula>0</formula>
    </cfRule>
  </conditionalFormatting>
  <conditionalFormatting sqref="V31">
    <cfRule type="cellIs" dxfId="14747" priority="617" operator="greaterThan">
      <formula>V30</formula>
    </cfRule>
    <cfRule type="cellIs" dxfId="14746" priority="618" operator="equal">
      <formula>0</formula>
    </cfRule>
  </conditionalFormatting>
  <conditionalFormatting sqref="V30">
    <cfRule type="cellIs" dxfId="14745" priority="615" operator="greaterThan">
      <formula>V29</formula>
    </cfRule>
    <cfRule type="cellIs" dxfId="14744" priority="616" operator="equal">
      <formula>0</formula>
    </cfRule>
  </conditionalFormatting>
  <conditionalFormatting sqref="V33:V34 X33:X34">
    <cfRule type="cellIs" dxfId="14743" priority="614" operator="equal">
      <formula>0</formula>
    </cfRule>
  </conditionalFormatting>
  <conditionalFormatting sqref="V34">
    <cfRule type="cellIs" dxfId="14742" priority="612" operator="greaterThan">
      <formula>V33</formula>
    </cfRule>
    <cfRule type="cellIs" dxfId="14741" priority="613" operator="equal">
      <formula>0</formula>
    </cfRule>
  </conditionalFormatting>
  <conditionalFormatting sqref="V33">
    <cfRule type="cellIs" dxfId="14740" priority="610" operator="greaterThan">
      <formula>V32</formula>
    </cfRule>
    <cfRule type="cellIs" dxfId="14739" priority="611" operator="equal">
      <formula>0</formula>
    </cfRule>
  </conditionalFormatting>
  <conditionalFormatting sqref="V36:V37 X36:X37">
    <cfRule type="cellIs" dxfId="14738" priority="609" operator="equal">
      <formula>0</formula>
    </cfRule>
  </conditionalFormatting>
  <conditionalFormatting sqref="V37">
    <cfRule type="cellIs" dxfId="14737" priority="607" operator="greaterThan">
      <formula>V36</formula>
    </cfRule>
    <cfRule type="cellIs" dxfId="14736" priority="608" operator="equal">
      <formula>0</formula>
    </cfRule>
  </conditionalFormatting>
  <conditionalFormatting sqref="V36">
    <cfRule type="cellIs" dxfId="14735" priority="605" operator="greaterThan">
      <formula>V35</formula>
    </cfRule>
    <cfRule type="cellIs" dxfId="14734" priority="606" operator="equal">
      <formula>0</formula>
    </cfRule>
  </conditionalFormatting>
  <conditionalFormatting sqref="V16">
    <cfRule type="cellIs" dxfId="14733" priority="603" operator="greaterThan">
      <formula>V15</formula>
    </cfRule>
    <cfRule type="cellIs" dxfId="14732" priority="604" operator="equal">
      <formula>0</formula>
    </cfRule>
  </conditionalFormatting>
  <conditionalFormatting sqref="V15">
    <cfRule type="cellIs" dxfId="14731" priority="601" operator="greaterThan">
      <formula>V14</formula>
    </cfRule>
    <cfRule type="cellIs" dxfId="14730" priority="602" operator="equal">
      <formula>0</formula>
    </cfRule>
  </conditionalFormatting>
  <conditionalFormatting sqref="V16">
    <cfRule type="cellIs" dxfId="14729" priority="599" operator="greaterThan">
      <formula>V15</formula>
    </cfRule>
    <cfRule type="cellIs" dxfId="14728" priority="600" operator="equal">
      <formula>0</formula>
    </cfRule>
  </conditionalFormatting>
  <conditionalFormatting sqref="V15">
    <cfRule type="cellIs" dxfId="14727" priority="597" operator="greaterThan">
      <formula>V14</formula>
    </cfRule>
    <cfRule type="cellIs" dxfId="14726" priority="598" operator="equal">
      <formula>0</formula>
    </cfRule>
  </conditionalFormatting>
  <conditionalFormatting sqref="V19">
    <cfRule type="cellIs" dxfId="14725" priority="595" operator="greaterThan">
      <formula>V18</formula>
    </cfRule>
    <cfRule type="cellIs" dxfId="14724" priority="596" operator="equal">
      <formula>0</formula>
    </cfRule>
  </conditionalFormatting>
  <conditionalFormatting sqref="V18">
    <cfRule type="cellIs" dxfId="14723" priority="593" operator="greaterThan">
      <formula>V17</formula>
    </cfRule>
    <cfRule type="cellIs" dxfId="14722" priority="594" operator="equal">
      <formula>0</formula>
    </cfRule>
  </conditionalFormatting>
  <conditionalFormatting sqref="V19">
    <cfRule type="cellIs" dxfId="14721" priority="591" operator="greaterThan">
      <formula>V18</formula>
    </cfRule>
    <cfRule type="cellIs" dxfId="14720" priority="592" operator="equal">
      <formula>0</formula>
    </cfRule>
  </conditionalFormatting>
  <conditionalFormatting sqref="V18">
    <cfRule type="cellIs" dxfId="14719" priority="589" operator="greaterThan">
      <formula>V17</formula>
    </cfRule>
    <cfRule type="cellIs" dxfId="14718" priority="590" operator="equal">
      <formula>0</formula>
    </cfRule>
  </conditionalFormatting>
  <conditionalFormatting sqref="V19">
    <cfRule type="cellIs" dxfId="14717" priority="587" operator="greaterThan">
      <formula>V18</formula>
    </cfRule>
    <cfRule type="cellIs" dxfId="14716" priority="588" operator="equal">
      <formula>0</formula>
    </cfRule>
  </conditionalFormatting>
  <conditionalFormatting sqref="V18">
    <cfRule type="cellIs" dxfId="14715" priority="585" operator="greaterThan">
      <formula>V17</formula>
    </cfRule>
    <cfRule type="cellIs" dxfId="14714" priority="586" operator="equal">
      <formula>0</formula>
    </cfRule>
  </conditionalFormatting>
  <conditionalFormatting sqref="V19">
    <cfRule type="cellIs" dxfId="14713" priority="583" operator="greaterThan">
      <formula>V18</formula>
    </cfRule>
    <cfRule type="cellIs" dxfId="14712" priority="584" operator="equal">
      <formula>0</formula>
    </cfRule>
  </conditionalFormatting>
  <conditionalFormatting sqref="V18">
    <cfRule type="cellIs" dxfId="14711" priority="581" operator="greaterThan">
      <formula>V17</formula>
    </cfRule>
    <cfRule type="cellIs" dxfId="14710" priority="582" operator="equal">
      <formula>0</formula>
    </cfRule>
  </conditionalFormatting>
  <conditionalFormatting sqref="V22">
    <cfRule type="cellIs" dxfId="14709" priority="579" operator="greaterThan">
      <formula>V21</formula>
    </cfRule>
    <cfRule type="cellIs" dxfId="14708" priority="580" operator="equal">
      <formula>0</formula>
    </cfRule>
  </conditionalFormatting>
  <conditionalFormatting sqref="V21">
    <cfRule type="cellIs" dxfId="14707" priority="577" operator="greaterThan">
      <formula>V20</formula>
    </cfRule>
    <cfRule type="cellIs" dxfId="14706" priority="578" operator="equal">
      <formula>0</formula>
    </cfRule>
  </conditionalFormatting>
  <conditionalFormatting sqref="V22">
    <cfRule type="cellIs" dxfId="14705" priority="575" operator="greaterThan">
      <formula>V21</formula>
    </cfRule>
    <cfRule type="cellIs" dxfId="14704" priority="576" operator="equal">
      <formula>0</formula>
    </cfRule>
  </conditionalFormatting>
  <conditionalFormatting sqref="V21">
    <cfRule type="cellIs" dxfId="14703" priority="573" operator="greaterThan">
      <formula>V20</formula>
    </cfRule>
    <cfRule type="cellIs" dxfId="14702" priority="574" operator="equal">
      <formula>0</formula>
    </cfRule>
  </conditionalFormatting>
  <conditionalFormatting sqref="V22">
    <cfRule type="cellIs" dxfId="14701" priority="571" operator="greaterThan">
      <formula>V21</formula>
    </cfRule>
    <cfRule type="cellIs" dxfId="14700" priority="572" operator="equal">
      <formula>0</formula>
    </cfRule>
  </conditionalFormatting>
  <conditionalFormatting sqref="V21">
    <cfRule type="cellIs" dxfId="14699" priority="569" operator="greaterThan">
      <formula>V20</formula>
    </cfRule>
    <cfRule type="cellIs" dxfId="14698" priority="570" operator="equal">
      <formula>0</formula>
    </cfRule>
  </conditionalFormatting>
  <conditionalFormatting sqref="V22">
    <cfRule type="cellIs" dxfId="14697" priority="567" operator="greaterThan">
      <formula>V21</formula>
    </cfRule>
    <cfRule type="cellIs" dxfId="14696" priority="568" operator="equal">
      <formula>0</formula>
    </cfRule>
  </conditionalFormatting>
  <conditionalFormatting sqref="V21">
    <cfRule type="cellIs" dxfId="14695" priority="565" operator="greaterThan">
      <formula>V20</formula>
    </cfRule>
    <cfRule type="cellIs" dxfId="14694" priority="566" operator="equal">
      <formula>0</formula>
    </cfRule>
  </conditionalFormatting>
  <conditionalFormatting sqref="V22">
    <cfRule type="cellIs" dxfId="14693" priority="563" operator="greaterThan">
      <formula>V21</formula>
    </cfRule>
    <cfRule type="cellIs" dxfId="14692" priority="564" operator="equal">
      <formula>0</formula>
    </cfRule>
  </conditionalFormatting>
  <conditionalFormatting sqref="V21">
    <cfRule type="cellIs" dxfId="14691" priority="561" operator="greaterThan">
      <formula>V20</formula>
    </cfRule>
    <cfRule type="cellIs" dxfId="14690" priority="562" operator="equal">
      <formula>0</formula>
    </cfRule>
  </conditionalFormatting>
  <conditionalFormatting sqref="V22">
    <cfRule type="cellIs" dxfId="14689" priority="559" operator="greaterThan">
      <formula>V21</formula>
    </cfRule>
    <cfRule type="cellIs" dxfId="14688" priority="560" operator="equal">
      <formula>0</formula>
    </cfRule>
  </conditionalFormatting>
  <conditionalFormatting sqref="V21">
    <cfRule type="cellIs" dxfId="14687" priority="557" operator="greaterThan">
      <formula>V20</formula>
    </cfRule>
    <cfRule type="cellIs" dxfId="14686" priority="558" operator="equal">
      <formula>0</formula>
    </cfRule>
  </conditionalFormatting>
  <conditionalFormatting sqref="V24">
    <cfRule type="cellIs" dxfId="14685" priority="555" operator="greaterThan">
      <formula>V23</formula>
    </cfRule>
    <cfRule type="cellIs" dxfId="14684" priority="556" operator="equal">
      <formula>0</formula>
    </cfRule>
  </conditionalFormatting>
  <conditionalFormatting sqref="V25">
    <cfRule type="cellIs" dxfId="14683" priority="553" operator="greaterThan">
      <formula>V24</formula>
    </cfRule>
    <cfRule type="cellIs" dxfId="14682" priority="554" operator="equal">
      <formula>0</formula>
    </cfRule>
  </conditionalFormatting>
  <conditionalFormatting sqref="V24">
    <cfRule type="cellIs" dxfId="14681" priority="551" operator="greaterThan">
      <formula>V23</formula>
    </cfRule>
    <cfRule type="cellIs" dxfId="14680" priority="552" operator="equal">
      <formula>0</formula>
    </cfRule>
  </conditionalFormatting>
  <conditionalFormatting sqref="V25">
    <cfRule type="cellIs" dxfId="14679" priority="549" operator="greaterThan">
      <formula>V24</formula>
    </cfRule>
    <cfRule type="cellIs" dxfId="14678" priority="550" operator="equal">
      <formula>0</formula>
    </cfRule>
  </conditionalFormatting>
  <conditionalFormatting sqref="V24">
    <cfRule type="cellIs" dxfId="14677" priority="547" operator="greaterThan">
      <formula>V23</formula>
    </cfRule>
    <cfRule type="cellIs" dxfId="14676" priority="548" operator="equal">
      <formula>0</formula>
    </cfRule>
  </conditionalFormatting>
  <conditionalFormatting sqref="V25">
    <cfRule type="cellIs" dxfId="14675" priority="545" operator="greaterThan">
      <formula>V24</formula>
    </cfRule>
    <cfRule type="cellIs" dxfId="14674" priority="546" operator="equal">
      <formula>0</formula>
    </cfRule>
  </conditionalFormatting>
  <conditionalFormatting sqref="V24">
    <cfRule type="cellIs" dxfId="14673" priority="543" operator="greaterThan">
      <formula>V23</formula>
    </cfRule>
    <cfRule type="cellIs" dxfId="14672" priority="544" operator="equal">
      <formula>0</formula>
    </cfRule>
  </conditionalFormatting>
  <conditionalFormatting sqref="V25">
    <cfRule type="cellIs" dxfId="14671" priority="541" operator="greaterThan">
      <formula>V24</formula>
    </cfRule>
    <cfRule type="cellIs" dxfId="14670" priority="542" operator="equal">
      <formula>0</formula>
    </cfRule>
  </conditionalFormatting>
  <conditionalFormatting sqref="V24">
    <cfRule type="cellIs" dxfId="14669" priority="539" operator="greaterThan">
      <formula>V23</formula>
    </cfRule>
    <cfRule type="cellIs" dxfId="14668" priority="540" operator="equal">
      <formula>0</formula>
    </cfRule>
  </conditionalFormatting>
  <conditionalFormatting sqref="V25">
    <cfRule type="cellIs" dxfId="14667" priority="537" operator="greaterThan">
      <formula>V24</formula>
    </cfRule>
    <cfRule type="cellIs" dxfId="14666" priority="538" operator="equal">
      <formula>0</formula>
    </cfRule>
  </conditionalFormatting>
  <conditionalFormatting sqref="V24">
    <cfRule type="cellIs" dxfId="14665" priority="535" operator="greaterThan">
      <formula>V23</formula>
    </cfRule>
    <cfRule type="cellIs" dxfId="14664" priority="536" operator="equal">
      <formula>0</formula>
    </cfRule>
  </conditionalFormatting>
  <conditionalFormatting sqref="V25">
    <cfRule type="cellIs" dxfId="14663" priority="533" operator="greaterThan">
      <formula>V24</formula>
    </cfRule>
    <cfRule type="cellIs" dxfId="14662" priority="534" operator="equal">
      <formula>0</formula>
    </cfRule>
  </conditionalFormatting>
  <conditionalFormatting sqref="V24">
    <cfRule type="cellIs" dxfId="14661" priority="531" operator="greaterThan">
      <formula>V23</formula>
    </cfRule>
    <cfRule type="cellIs" dxfId="14660" priority="532" operator="equal">
      <formula>0</formula>
    </cfRule>
  </conditionalFormatting>
  <conditionalFormatting sqref="V25">
    <cfRule type="cellIs" dxfId="14659" priority="529" operator="greaterThan">
      <formula>V24</formula>
    </cfRule>
    <cfRule type="cellIs" dxfId="14658" priority="530" operator="equal">
      <formula>0</formula>
    </cfRule>
  </conditionalFormatting>
  <conditionalFormatting sqref="V24">
    <cfRule type="cellIs" dxfId="14657" priority="527" operator="greaterThan">
      <formula>V23</formula>
    </cfRule>
    <cfRule type="cellIs" dxfId="14656" priority="528" operator="equal">
      <formula>0</formula>
    </cfRule>
  </conditionalFormatting>
  <conditionalFormatting sqref="V27:V28">
    <cfRule type="cellIs" dxfId="14655" priority="525" operator="greaterThan">
      <formula>V26</formula>
    </cfRule>
    <cfRule type="cellIs" dxfId="14654" priority="526" operator="equal">
      <formula>0</formula>
    </cfRule>
  </conditionalFormatting>
  <conditionalFormatting sqref="V27">
    <cfRule type="cellIs" dxfId="14653" priority="523" operator="greaterThan">
      <formula>V26</formula>
    </cfRule>
    <cfRule type="cellIs" dxfId="14652" priority="524" operator="equal">
      <formula>0</formula>
    </cfRule>
  </conditionalFormatting>
  <conditionalFormatting sqref="V28">
    <cfRule type="cellIs" dxfId="14651" priority="521" operator="greaterThan">
      <formula>V27</formula>
    </cfRule>
    <cfRule type="cellIs" dxfId="14650" priority="522" operator="equal">
      <formula>0</formula>
    </cfRule>
  </conditionalFormatting>
  <conditionalFormatting sqref="V27">
    <cfRule type="cellIs" dxfId="14649" priority="519" operator="greaterThan">
      <formula>V26</formula>
    </cfRule>
    <cfRule type="cellIs" dxfId="14648" priority="520" operator="equal">
      <formula>0</formula>
    </cfRule>
  </conditionalFormatting>
  <conditionalFormatting sqref="V27">
    <cfRule type="cellIs" dxfId="14647" priority="517" operator="greaterThan">
      <formula>V26</formula>
    </cfRule>
    <cfRule type="cellIs" dxfId="14646" priority="518" operator="equal">
      <formula>0</formula>
    </cfRule>
  </conditionalFormatting>
  <conditionalFormatting sqref="V28">
    <cfRule type="cellIs" dxfId="14645" priority="515" operator="greaterThan">
      <formula>V27</formula>
    </cfRule>
    <cfRule type="cellIs" dxfId="14644" priority="516" operator="equal">
      <formula>0</formula>
    </cfRule>
  </conditionalFormatting>
  <conditionalFormatting sqref="V27">
    <cfRule type="cellIs" dxfId="14643" priority="513" operator="greaterThan">
      <formula>V26</formula>
    </cfRule>
    <cfRule type="cellIs" dxfId="14642" priority="514" operator="equal">
      <formula>0</formula>
    </cfRule>
  </conditionalFormatting>
  <conditionalFormatting sqref="V28">
    <cfRule type="cellIs" dxfId="14641" priority="511" operator="greaterThan">
      <formula>V27</formula>
    </cfRule>
    <cfRule type="cellIs" dxfId="14640" priority="512" operator="equal">
      <formula>0</formula>
    </cfRule>
  </conditionalFormatting>
  <conditionalFormatting sqref="V27">
    <cfRule type="cellIs" dxfId="14639" priority="509" operator="greaterThan">
      <formula>V26</formula>
    </cfRule>
    <cfRule type="cellIs" dxfId="14638" priority="510" operator="equal">
      <formula>0</formula>
    </cfRule>
  </conditionalFormatting>
  <conditionalFormatting sqref="V28">
    <cfRule type="cellIs" dxfId="14637" priority="507" operator="greaterThan">
      <formula>V27</formula>
    </cfRule>
    <cfRule type="cellIs" dxfId="14636" priority="508" operator="equal">
      <formula>0</formula>
    </cfRule>
  </conditionalFormatting>
  <conditionalFormatting sqref="V27">
    <cfRule type="cellIs" dxfId="14635" priority="505" operator="greaterThan">
      <formula>V26</formula>
    </cfRule>
    <cfRule type="cellIs" dxfId="14634" priority="506" operator="equal">
      <formula>0</formula>
    </cfRule>
  </conditionalFormatting>
  <conditionalFormatting sqref="V28">
    <cfRule type="cellIs" dxfId="14633" priority="503" operator="greaterThan">
      <formula>V27</formula>
    </cfRule>
    <cfRule type="cellIs" dxfId="14632" priority="504" operator="equal">
      <formula>0</formula>
    </cfRule>
  </conditionalFormatting>
  <conditionalFormatting sqref="V27">
    <cfRule type="cellIs" dxfId="14631" priority="501" operator="greaterThan">
      <formula>V26</formula>
    </cfRule>
    <cfRule type="cellIs" dxfId="14630" priority="502" operator="equal">
      <formula>0</formula>
    </cfRule>
  </conditionalFormatting>
  <conditionalFormatting sqref="V28">
    <cfRule type="cellIs" dxfId="14629" priority="499" operator="greaterThan">
      <formula>V27</formula>
    </cfRule>
    <cfRule type="cellIs" dxfId="14628" priority="500" operator="equal">
      <formula>0</formula>
    </cfRule>
  </conditionalFormatting>
  <conditionalFormatting sqref="V27">
    <cfRule type="cellIs" dxfId="14627" priority="497" operator="greaterThan">
      <formula>V26</formula>
    </cfRule>
    <cfRule type="cellIs" dxfId="14626" priority="498" operator="equal">
      <formula>0</formula>
    </cfRule>
  </conditionalFormatting>
  <conditionalFormatting sqref="V28">
    <cfRule type="cellIs" dxfId="14625" priority="495" operator="greaterThan">
      <formula>V27</formula>
    </cfRule>
    <cfRule type="cellIs" dxfId="14624" priority="496" operator="equal">
      <formula>0</formula>
    </cfRule>
  </conditionalFormatting>
  <conditionalFormatting sqref="V27">
    <cfRule type="cellIs" dxfId="14623" priority="493" operator="greaterThan">
      <formula>V26</formula>
    </cfRule>
    <cfRule type="cellIs" dxfId="14622" priority="494" operator="equal">
      <formula>0</formula>
    </cfRule>
  </conditionalFormatting>
  <conditionalFormatting sqref="V28">
    <cfRule type="cellIs" dxfId="14621" priority="491" operator="greaterThan">
      <formula>V27</formula>
    </cfRule>
    <cfRule type="cellIs" dxfId="14620" priority="492" operator="equal">
      <formula>0</formula>
    </cfRule>
  </conditionalFormatting>
  <conditionalFormatting sqref="V27">
    <cfRule type="cellIs" dxfId="14619" priority="489" operator="greaterThan">
      <formula>V26</formula>
    </cfRule>
    <cfRule type="cellIs" dxfId="14618" priority="490" operator="equal">
      <formula>0</formula>
    </cfRule>
  </conditionalFormatting>
  <conditionalFormatting sqref="V19">
    <cfRule type="cellIs" dxfId="14617" priority="487" operator="greaterThan">
      <formula>V18</formula>
    </cfRule>
    <cfRule type="cellIs" dxfId="14616" priority="488" operator="equal">
      <formula>0</formula>
    </cfRule>
  </conditionalFormatting>
  <conditionalFormatting sqref="V18">
    <cfRule type="cellIs" dxfId="14615" priority="485" operator="greaterThan">
      <formula>V17</formula>
    </cfRule>
    <cfRule type="cellIs" dxfId="14614" priority="486" operator="equal">
      <formula>0</formula>
    </cfRule>
  </conditionalFormatting>
  <conditionalFormatting sqref="V19">
    <cfRule type="cellIs" dxfId="14613" priority="483" operator="greaterThan">
      <formula>V18</formula>
    </cfRule>
    <cfRule type="cellIs" dxfId="14612" priority="484" operator="equal">
      <formula>0</formula>
    </cfRule>
  </conditionalFormatting>
  <conditionalFormatting sqref="V18">
    <cfRule type="cellIs" dxfId="14611" priority="481" operator="greaterThan">
      <formula>V17</formula>
    </cfRule>
    <cfRule type="cellIs" dxfId="14610" priority="482" operator="equal">
      <formula>0</formula>
    </cfRule>
  </conditionalFormatting>
  <conditionalFormatting sqref="V19">
    <cfRule type="cellIs" dxfId="14609" priority="479" operator="greaterThan">
      <formula>V18</formula>
    </cfRule>
    <cfRule type="cellIs" dxfId="14608" priority="480" operator="equal">
      <formula>0</formula>
    </cfRule>
  </conditionalFormatting>
  <conditionalFormatting sqref="V18">
    <cfRule type="cellIs" dxfId="14607" priority="477" operator="greaterThan">
      <formula>V17</formula>
    </cfRule>
    <cfRule type="cellIs" dxfId="14606" priority="478" operator="equal">
      <formula>0</formula>
    </cfRule>
  </conditionalFormatting>
  <conditionalFormatting sqref="V19">
    <cfRule type="cellIs" dxfId="14605" priority="475" operator="greaterThan">
      <formula>V18</formula>
    </cfRule>
    <cfRule type="cellIs" dxfId="14604" priority="476" operator="equal">
      <formula>0</formula>
    </cfRule>
  </conditionalFormatting>
  <conditionalFormatting sqref="V18">
    <cfRule type="cellIs" dxfId="14603" priority="473" operator="greaterThan">
      <formula>V17</formula>
    </cfRule>
    <cfRule type="cellIs" dxfId="14602" priority="474" operator="equal">
      <formula>0</formula>
    </cfRule>
  </conditionalFormatting>
  <conditionalFormatting sqref="V16">
    <cfRule type="cellIs" dxfId="14601" priority="471" operator="greaterThan">
      <formula>V15</formula>
    </cfRule>
    <cfRule type="cellIs" dxfId="14600" priority="472" operator="equal">
      <formula>0</formula>
    </cfRule>
  </conditionalFormatting>
  <conditionalFormatting sqref="V16">
    <cfRule type="cellIs" dxfId="14599" priority="469" operator="greaterThan">
      <formula>V15</formula>
    </cfRule>
    <cfRule type="cellIs" dxfId="14598" priority="470" operator="equal">
      <formula>0</formula>
    </cfRule>
  </conditionalFormatting>
  <conditionalFormatting sqref="V16">
    <cfRule type="cellIs" dxfId="14597" priority="467" operator="greaterThan">
      <formula>V15</formula>
    </cfRule>
    <cfRule type="cellIs" dxfId="14596" priority="468" operator="equal">
      <formula>0</formula>
    </cfRule>
  </conditionalFormatting>
  <conditionalFormatting sqref="V16">
    <cfRule type="cellIs" dxfId="14595" priority="465" operator="greaterThan">
      <formula>V15</formula>
    </cfRule>
    <cfRule type="cellIs" dxfId="14594" priority="466" operator="equal">
      <formula>0</formula>
    </cfRule>
  </conditionalFormatting>
  <conditionalFormatting sqref="V19">
    <cfRule type="cellIs" dxfId="14593" priority="463" operator="greaterThan">
      <formula>V18</formula>
    </cfRule>
    <cfRule type="cellIs" dxfId="14592" priority="464" operator="equal">
      <formula>0</formula>
    </cfRule>
  </conditionalFormatting>
  <conditionalFormatting sqref="V19">
    <cfRule type="cellIs" dxfId="14591" priority="461" operator="greaterThan">
      <formula>V18</formula>
    </cfRule>
    <cfRule type="cellIs" dxfId="14590" priority="462" operator="equal">
      <formula>0</formula>
    </cfRule>
  </conditionalFormatting>
  <conditionalFormatting sqref="V19">
    <cfRule type="cellIs" dxfId="14589" priority="459" operator="greaterThan">
      <formula>V18</formula>
    </cfRule>
    <cfRule type="cellIs" dxfId="14588" priority="460" operator="equal">
      <formula>0</formula>
    </cfRule>
  </conditionalFormatting>
  <conditionalFormatting sqref="V19">
    <cfRule type="cellIs" dxfId="14587" priority="457" operator="greaterThan">
      <formula>V18</formula>
    </cfRule>
    <cfRule type="cellIs" dxfId="14586" priority="458" operator="equal">
      <formula>0</formula>
    </cfRule>
  </conditionalFormatting>
  <conditionalFormatting sqref="V19">
    <cfRule type="cellIs" dxfId="14585" priority="455" operator="greaterThan">
      <formula>V18</formula>
    </cfRule>
    <cfRule type="cellIs" dxfId="14584" priority="456" operator="equal">
      <formula>0</formula>
    </cfRule>
  </conditionalFormatting>
  <conditionalFormatting sqref="V19">
    <cfRule type="cellIs" dxfId="14583" priority="453" operator="greaterThan">
      <formula>V18</formula>
    </cfRule>
    <cfRule type="cellIs" dxfId="14582" priority="454" operator="equal">
      <formula>0</formula>
    </cfRule>
  </conditionalFormatting>
  <conditionalFormatting sqref="V19">
    <cfRule type="cellIs" dxfId="14581" priority="451" operator="greaterThan">
      <formula>V18</formula>
    </cfRule>
    <cfRule type="cellIs" dxfId="14580" priority="452" operator="equal">
      <formula>0</formula>
    </cfRule>
  </conditionalFormatting>
  <conditionalFormatting sqref="V19">
    <cfRule type="cellIs" dxfId="14579" priority="449" operator="greaterThan">
      <formula>V18</formula>
    </cfRule>
    <cfRule type="cellIs" dxfId="14578" priority="450" operator="equal">
      <formula>0</formula>
    </cfRule>
  </conditionalFormatting>
  <conditionalFormatting sqref="V19">
    <cfRule type="cellIs" dxfId="14577" priority="447" operator="greaterThan">
      <formula>V18</formula>
    </cfRule>
    <cfRule type="cellIs" dxfId="14576" priority="448" operator="equal">
      <formula>0</formula>
    </cfRule>
  </conditionalFormatting>
  <conditionalFormatting sqref="V19">
    <cfRule type="cellIs" dxfId="14575" priority="445" operator="greaterThan">
      <formula>V18</formula>
    </cfRule>
    <cfRule type="cellIs" dxfId="14574" priority="446" operator="equal">
      <formula>0</formula>
    </cfRule>
  </conditionalFormatting>
  <conditionalFormatting sqref="V22">
    <cfRule type="cellIs" dxfId="14573" priority="443" operator="greaterThan">
      <formula>V21</formula>
    </cfRule>
    <cfRule type="cellIs" dxfId="14572" priority="444" operator="equal">
      <formula>0</formula>
    </cfRule>
  </conditionalFormatting>
  <conditionalFormatting sqref="V21">
    <cfRule type="cellIs" dxfId="14571" priority="441" operator="greaterThan">
      <formula>V20</formula>
    </cfRule>
    <cfRule type="cellIs" dxfId="14570" priority="442" operator="equal">
      <formula>0</formula>
    </cfRule>
  </conditionalFormatting>
  <conditionalFormatting sqref="V22">
    <cfRule type="cellIs" dxfId="14569" priority="439" operator="greaterThan">
      <formula>V21</formula>
    </cfRule>
    <cfRule type="cellIs" dxfId="14568" priority="440" operator="equal">
      <formula>0</formula>
    </cfRule>
  </conditionalFormatting>
  <conditionalFormatting sqref="V21">
    <cfRule type="cellIs" dxfId="14567" priority="437" operator="greaterThan">
      <formula>V20</formula>
    </cfRule>
    <cfRule type="cellIs" dxfId="14566" priority="438" operator="equal">
      <formula>0</formula>
    </cfRule>
  </conditionalFormatting>
  <conditionalFormatting sqref="V22">
    <cfRule type="cellIs" dxfId="14565" priority="435" operator="greaterThan">
      <formula>V21</formula>
    </cfRule>
    <cfRule type="cellIs" dxfId="14564" priority="436" operator="equal">
      <formula>0</formula>
    </cfRule>
  </conditionalFormatting>
  <conditionalFormatting sqref="V21">
    <cfRule type="cellIs" dxfId="14563" priority="433" operator="greaterThan">
      <formula>V20</formula>
    </cfRule>
    <cfRule type="cellIs" dxfId="14562" priority="434" operator="equal">
      <formula>0</formula>
    </cfRule>
  </conditionalFormatting>
  <conditionalFormatting sqref="V22">
    <cfRule type="cellIs" dxfId="14561" priority="431" operator="greaterThan">
      <formula>V21</formula>
    </cfRule>
    <cfRule type="cellIs" dxfId="14560" priority="432" operator="equal">
      <formula>0</formula>
    </cfRule>
  </conditionalFormatting>
  <conditionalFormatting sqref="V21">
    <cfRule type="cellIs" dxfId="14559" priority="429" operator="greaterThan">
      <formula>V20</formula>
    </cfRule>
    <cfRule type="cellIs" dxfId="14558" priority="430" operator="equal">
      <formula>0</formula>
    </cfRule>
  </conditionalFormatting>
  <conditionalFormatting sqref="V22">
    <cfRule type="cellIs" dxfId="14557" priority="427" operator="greaterThan">
      <formula>V21</formula>
    </cfRule>
    <cfRule type="cellIs" dxfId="14556" priority="428" operator="equal">
      <formula>0</formula>
    </cfRule>
  </conditionalFormatting>
  <conditionalFormatting sqref="V21">
    <cfRule type="cellIs" dxfId="14555" priority="425" operator="greaterThan">
      <formula>V20</formula>
    </cfRule>
    <cfRule type="cellIs" dxfId="14554" priority="426" operator="equal">
      <formula>0</formula>
    </cfRule>
  </conditionalFormatting>
  <conditionalFormatting sqref="V22">
    <cfRule type="cellIs" dxfId="14553" priority="423" operator="greaterThan">
      <formula>V21</formula>
    </cfRule>
    <cfRule type="cellIs" dxfId="14552" priority="424" operator="equal">
      <formula>0</formula>
    </cfRule>
  </conditionalFormatting>
  <conditionalFormatting sqref="V21">
    <cfRule type="cellIs" dxfId="14551" priority="421" operator="greaterThan">
      <formula>V20</formula>
    </cfRule>
    <cfRule type="cellIs" dxfId="14550" priority="422" operator="equal">
      <formula>0</formula>
    </cfRule>
  </conditionalFormatting>
  <conditionalFormatting sqref="V22">
    <cfRule type="cellIs" dxfId="14549" priority="419" operator="greaterThan">
      <formula>V21</formula>
    </cfRule>
    <cfRule type="cellIs" dxfId="14548" priority="420" operator="equal">
      <formula>0</formula>
    </cfRule>
  </conditionalFormatting>
  <conditionalFormatting sqref="V21">
    <cfRule type="cellIs" dxfId="14547" priority="417" operator="greaterThan">
      <formula>V20</formula>
    </cfRule>
    <cfRule type="cellIs" dxfId="14546" priority="418" operator="equal">
      <formula>0</formula>
    </cfRule>
  </conditionalFormatting>
  <conditionalFormatting sqref="V22">
    <cfRule type="cellIs" dxfId="14545" priority="415" operator="greaterThan">
      <formula>V21</formula>
    </cfRule>
    <cfRule type="cellIs" dxfId="14544" priority="416" operator="equal">
      <formula>0</formula>
    </cfRule>
  </conditionalFormatting>
  <conditionalFormatting sqref="V21">
    <cfRule type="cellIs" dxfId="14543" priority="413" operator="greaterThan">
      <formula>V20</formula>
    </cfRule>
    <cfRule type="cellIs" dxfId="14542" priority="414" operator="equal">
      <formula>0</formula>
    </cfRule>
  </conditionalFormatting>
  <conditionalFormatting sqref="V22">
    <cfRule type="cellIs" dxfId="14541" priority="411" operator="greaterThan">
      <formula>V21</formula>
    </cfRule>
    <cfRule type="cellIs" dxfId="14540" priority="412" operator="equal">
      <formula>0</formula>
    </cfRule>
  </conditionalFormatting>
  <conditionalFormatting sqref="V21">
    <cfRule type="cellIs" dxfId="14539" priority="409" operator="greaterThan">
      <formula>V20</formula>
    </cfRule>
    <cfRule type="cellIs" dxfId="14538" priority="410" operator="equal">
      <formula>0</formula>
    </cfRule>
  </conditionalFormatting>
  <conditionalFormatting sqref="V22">
    <cfRule type="cellIs" dxfId="14537" priority="407" operator="greaterThan">
      <formula>V21</formula>
    </cfRule>
    <cfRule type="cellIs" dxfId="14536" priority="408" operator="equal">
      <formula>0</formula>
    </cfRule>
  </conditionalFormatting>
  <conditionalFormatting sqref="V21">
    <cfRule type="cellIs" dxfId="14535" priority="405" operator="greaterThan">
      <formula>V20</formula>
    </cfRule>
    <cfRule type="cellIs" dxfId="14534" priority="406" operator="equal">
      <formula>0</formula>
    </cfRule>
  </conditionalFormatting>
  <conditionalFormatting sqref="V22">
    <cfRule type="cellIs" dxfId="14533" priority="403" operator="greaterThan">
      <formula>V21</formula>
    </cfRule>
    <cfRule type="cellIs" dxfId="14532" priority="404" operator="equal">
      <formula>0</formula>
    </cfRule>
  </conditionalFormatting>
  <conditionalFormatting sqref="V22">
    <cfRule type="cellIs" dxfId="14531" priority="401" operator="greaterThan">
      <formula>V21</formula>
    </cfRule>
    <cfRule type="cellIs" dxfId="14530" priority="402" operator="equal">
      <formula>0</formula>
    </cfRule>
  </conditionalFormatting>
  <conditionalFormatting sqref="V22">
    <cfRule type="cellIs" dxfId="14529" priority="399" operator="greaterThan">
      <formula>V21</formula>
    </cfRule>
    <cfRule type="cellIs" dxfId="14528" priority="400" operator="equal">
      <formula>0</formula>
    </cfRule>
  </conditionalFormatting>
  <conditionalFormatting sqref="V22">
    <cfRule type="cellIs" dxfId="14527" priority="397" operator="greaterThan">
      <formula>V21</formula>
    </cfRule>
    <cfRule type="cellIs" dxfId="14526" priority="398" operator="equal">
      <formula>0</formula>
    </cfRule>
  </conditionalFormatting>
  <conditionalFormatting sqref="V22">
    <cfRule type="cellIs" dxfId="14525" priority="395" operator="greaterThan">
      <formula>V21</formula>
    </cfRule>
    <cfRule type="cellIs" dxfId="14524" priority="396" operator="equal">
      <formula>0</formula>
    </cfRule>
  </conditionalFormatting>
  <conditionalFormatting sqref="V22">
    <cfRule type="cellIs" dxfId="14523" priority="393" operator="greaterThan">
      <formula>V21</formula>
    </cfRule>
    <cfRule type="cellIs" dxfId="14522" priority="394" operator="equal">
      <formula>0</formula>
    </cfRule>
  </conditionalFormatting>
  <conditionalFormatting sqref="V22">
    <cfRule type="cellIs" dxfId="14521" priority="391" operator="greaterThan">
      <formula>V21</formula>
    </cfRule>
    <cfRule type="cellIs" dxfId="14520" priority="392" operator="equal">
      <formula>0</formula>
    </cfRule>
  </conditionalFormatting>
  <conditionalFormatting sqref="V22">
    <cfRule type="cellIs" dxfId="14519" priority="389" operator="greaterThan">
      <formula>V21</formula>
    </cfRule>
    <cfRule type="cellIs" dxfId="14518" priority="390" operator="equal">
      <formula>0</formula>
    </cfRule>
  </conditionalFormatting>
  <conditionalFormatting sqref="V22">
    <cfRule type="cellIs" dxfId="14517" priority="387" operator="greaterThan">
      <formula>V21</formula>
    </cfRule>
    <cfRule type="cellIs" dxfId="14516" priority="388" operator="equal">
      <formula>0</formula>
    </cfRule>
  </conditionalFormatting>
  <conditionalFormatting sqref="V22">
    <cfRule type="cellIs" dxfId="14515" priority="385" operator="greaterThan">
      <formula>V21</formula>
    </cfRule>
    <cfRule type="cellIs" dxfId="14514" priority="386" operator="equal">
      <formula>0</formula>
    </cfRule>
  </conditionalFormatting>
  <conditionalFormatting sqref="V22">
    <cfRule type="cellIs" dxfId="14513" priority="383" operator="greaterThan">
      <formula>V21</formula>
    </cfRule>
    <cfRule type="cellIs" dxfId="14512" priority="384" operator="equal">
      <formula>0</formula>
    </cfRule>
  </conditionalFormatting>
  <conditionalFormatting sqref="V22">
    <cfRule type="cellIs" dxfId="14511" priority="381" operator="greaterThan">
      <formula>V21</formula>
    </cfRule>
    <cfRule type="cellIs" dxfId="14510" priority="382" operator="equal">
      <formula>0</formula>
    </cfRule>
  </conditionalFormatting>
  <conditionalFormatting sqref="V22">
    <cfRule type="cellIs" dxfId="14509" priority="379" operator="greaterThan">
      <formula>V21</formula>
    </cfRule>
    <cfRule type="cellIs" dxfId="14508" priority="380" operator="equal">
      <formula>0</formula>
    </cfRule>
  </conditionalFormatting>
  <conditionalFormatting sqref="V22">
    <cfRule type="cellIs" dxfId="14507" priority="377" operator="greaterThan">
      <formula>V21</formula>
    </cfRule>
    <cfRule type="cellIs" dxfId="14506" priority="378" operator="equal">
      <formula>0</formula>
    </cfRule>
  </conditionalFormatting>
  <conditionalFormatting sqref="V22">
    <cfRule type="cellIs" dxfId="14505" priority="375" operator="greaterThan">
      <formula>V21</formula>
    </cfRule>
    <cfRule type="cellIs" dxfId="14504" priority="376" operator="equal">
      <formula>0</formula>
    </cfRule>
  </conditionalFormatting>
  <conditionalFormatting sqref="V22">
    <cfRule type="cellIs" dxfId="14503" priority="373" operator="greaterThan">
      <formula>V21</formula>
    </cfRule>
    <cfRule type="cellIs" dxfId="14502" priority="374" operator="equal">
      <formula>0</formula>
    </cfRule>
  </conditionalFormatting>
  <conditionalFormatting sqref="V22">
    <cfRule type="cellIs" dxfId="14501" priority="371" operator="greaterThan">
      <formula>V21</formula>
    </cfRule>
    <cfRule type="cellIs" dxfId="14500" priority="372" operator="equal">
      <formula>0</formula>
    </cfRule>
  </conditionalFormatting>
  <conditionalFormatting sqref="V22">
    <cfRule type="cellIs" dxfId="14499" priority="369" operator="greaterThan">
      <formula>V21</formula>
    </cfRule>
    <cfRule type="cellIs" dxfId="14498" priority="370" operator="equal">
      <formula>0</formula>
    </cfRule>
  </conditionalFormatting>
  <conditionalFormatting sqref="V22">
    <cfRule type="cellIs" dxfId="14497" priority="367" operator="greaterThan">
      <formula>V21</formula>
    </cfRule>
    <cfRule type="cellIs" dxfId="14496" priority="368" operator="equal">
      <formula>0</formula>
    </cfRule>
  </conditionalFormatting>
  <conditionalFormatting sqref="V22">
    <cfRule type="cellIs" dxfId="14495" priority="365" operator="greaterThan">
      <formula>V21</formula>
    </cfRule>
    <cfRule type="cellIs" dxfId="14494" priority="366" operator="equal">
      <formula>0</formula>
    </cfRule>
  </conditionalFormatting>
  <conditionalFormatting sqref="V22">
    <cfRule type="cellIs" dxfId="14493" priority="363" operator="greaterThan">
      <formula>V21</formula>
    </cfRule>
    <cfRule type="cellIs" dxfId="14492" priority="364" operator="equal">
      <formula>0</formula>
    </cfRule>
  </conditionalFormatting>
  <conditionalFormatting sqref="V22">
    <cfRule type="cellIs" dxfId="14491" priority="361" operator="greaterThan">
      <formula>V21</formula>
    </cfRule>
    <cfRule type="cellIs" dxfId="14490" priority="362" operator="equal">
      <formula>0</formula>
    </cfRule>
  </conditionalFormatting>
  <conditionalFormatting sqref="V22">
    <cfRule type="cellIs" dxfId="14489" priority="359" operator="greaterThan">
      <formula>V21</formula>
    </cfRule>
    <cfRule type="cellIs" dxfId="14488" priority="360" operator="equal">
      <formula>0</formula>
    </cfRule>
  </conditionalFormatting>
  <conditionalFormatting sqref="V22">
    <cfRule type="cellIs" dxfId="14487" priority="357" operator="greaterThan">
      <formula>V21</formula>
    </cfRule>
    <cfRule type="cellIs" dxfId="14486" priority="358" operator="equal">
      <formula>0</formula>
    </cfRule>
  </conditionalFormatting>
  <conditionalFormatting sqref="V22">
    <cfRule type="cellIs" dxfId="14485" priority="355" operator="greaterThan">
      <formula>V21</formula>
    </cfRule>
    <cfRule type="cellIs" dxfId="14484" priority="356" operator="equal">
      <formula>0</formula>
    </cfRule>
  </conditionalFormatting>
  <conditionalFormatting sqref="V22">
    <cfRule type="cellIs" dxfId="14483" priority="353" operator="greaterThan">
      <formula>V21</formula>
    </cfRule>
    <cfRule type="cellIs" dxfId="14482" priority="354" operator="equal">
      <formula>0</formula>
    </cfRule>
  </conditionalFormatting>
  <conditionalFormatting sqref="V22">
    <cfRule type="cellIs" dxfId="14481" priority="351" operator="greaterThan">
      <formula>V21</formula>
    </cfRule>
    <cfRule type="cellIs" dxfId="14480" priority="352" operator="equal">
      <formula>0</formula>
    </cfRule>
  </conditionalFormatting>
  <conditionalFormatting sqref="V22">
    <cfRule type="cellIs" dxfId="14479" priority="349" operator="greaterThan">
      <formula>V21</formula>
    </cfRule>
    <cfRule type="cellIs" dxfId="14478" priority="350" operator="equal">
      <formula>0</formula>
    </cfRule>
  </conditionalFormatting>
  <conditionalFormatting sqref="V24">
    <cfRule type="cellIs" dxfId="14477" priority="347" operator="greaterThan">
      <formula>V23</formula>
    </cfRule>
    <cfRule type="cellIs" dxfId="14476" priority="348" operator="equal">
      <formula>0</formula>
    </cfRule>
  </conditionalFormatting>
  <conditionalFormatting sqref="V24">
    <cfRule type="cellIs" dxfId="14475" priority="345" operator="greaterThan">
      <formula>V23</formula>
    </cfRule>
    <cfRule type="cellIs" dxfId="14474" priority="346" operator="equal">
      <formula>0</formula>
    </cfRule>
  </conditionalFormatting>
  <conditionalFormatting sqref="V24">
    <cfRule type="cellIs" dxfId="14473" priority="343" operator="greaterThan">
      <formula>V23</formula>
    </cfRule>
    <cfRule type="cellIs" dxfId="14472" priority="344" operator="equal">
      <formula>0</formula>
    </cfRule>
  </conditionalFormatting>
  <conditionalFormatting sqref="V24">
    <cfRule type="cellIs" dxfId="14471" priority="341" operator="greaterThan">
      <formula>V23</formula>
    </cfRule>
    <cfRule type="cellIs" dxfId="14470" priority="342" operator="equal">
      <formula>0</formula>
    </cfRule>
  </conditionalFormatting>
  <conditionalFormatting sqref="V24">
    <cfRule type="cellIs" dxfId="14469" priority="339" operator="greaterThan">
      <formula>V23</formula>
    </cfRule>
    <cfRule type="cellIs" dxfId="14468" priority="340" operator="equal">
      <formula>0</formula>
    </cfRule>
  </conditionalFormatting>
  <conditionalFormatting sqref="V24">
    <cfRule type="cellIs" dxfId="14467" priority="337" operator="greaterThan">
      <formula>V23</formula>
    </cfRule>
    <cfRule type="cellIs" dxfId="14466" priority="338" operator="equal">
      <formula>0</formula>
    </cfRule>
  </conditionalFormatting>
  <conditionalFormatting sqref="V24">
    <cfRule type="cellIs" dxfId="14465" priority="335" operator="greaterThan">
      <formula>V23</formula>
    </cfRule>
    <cfRule type="cellIs" dxfId="14464" priority="336" operator="equal">
      <formula>0</formula>
    </cfRule>
  </conditionalFormatting>
  <conditionalFormatting sqref="V24">
    <cfRule type="cellIs" dxfId="14463" priority="333" operator="greaterThan">
      <formula>V23</formula>
    </cfRule>
    <cfRule type="cellIs" dxfId="14462" priority="334" operator="equal">
      <formula>0</formula>
    </cfRule>
  </conditionalFormatting>
  <conditionalFormatting sqref="V24">
    <cfRule type="cellIs" dxfId="14461" priority="331" operator="greaterThan">
      <formula>V23</formula>
    </cfRule>
    <cfRule type="cellIs" dxfId="14460" priority="332" operator="equal">
      <formula>0</formula>
    </cfRule>
  </conditionalFormatting>
  <conditionalFormatting sqref="V24">
    <cfRule type="cellIs" dxfId="14459" priority="329" operator="greaterThan">
      <formula>V23</formula>
    </cfRule>
    <cfRule type="cellIs" dxfId="14458" priority="330" operator="equal">
      <formula>0</formula>
    </cfRule>
  </conditionalFormatting>
  <conditionalFormatting sqref="V24">
    <cfRule type="cellIs" dxfId="14457" priority="327" operator="greaterThan">
      <formula>V23</formula>
    </cfRule>
    <cfRule type="cellIs" dxfId="14456" priority="328" operator="equal">
      <formula>0</formula>
    </cfRule>
  </conditionalFormatting>
  <conditionalFormatting sqref="V24">
    <cfRule type="cellIs" dxfId="14455" priority="325" operator="greaterThan">
      <formula>V23</formula>
    </cfRule>
    <cfRule type="cellIs" dxfId="14454" priority="326" operator="equal">
      <formula>0</formula>
    </cfRule>
  </conditionalFormatting>
  <conditionalFormatting sqref="V24">
    <cfRule type="cellIs" dxfId="14453" priority="323" operator="greaterThan">
      <formula>V23</formula>
    </cfRule>
    <cfRule type="cellIs" dxfId="14452" priority="324" operator="equal">
      <formula>0</formula>
    </cfRule>
  </conditionalFormatting>
  <conditionalFormatting sqref="V24">
    <cfRule type="cellIs" dxfId="14451" priority="321" operator="greaterThan">
      <formula>V23</formula>
    </cfRule>
    <cfRule type="cellIs" dxfId="14450" priority="322" operator="equal">
      <formula>0</formula>
    </cfRule>
  </conditionalFormatting>
  <conditionalFormatting sqref="V24">
    <cfRule type="cellIs" dxfId="14449" priority="319" operator="greaterThan">
      <formula>V23</formula>
    </cfRule>
    <cfRule type="cellIs" dxfId="14448" priority="320" operator="equal">
      <formula>0</formula>
    </cfRule>
  </conditionalFormatting>
  <conditionalFormatting sqref="V24">
    <cfRule type="cellIs" dxfId="14447" priority="317" operator="greaterThan">
      <formula>V23</formula>
    </cfRule>
    <cfRule type="cellIs" dxfId="14446" priority="318" operator="equal">
      <formula>0</formula>
    </cfRule>
  </conditionalFormatting>
  <conditionalFormatting sqref="V24">
    <cfRule type="cellIs" dxfId="14445" priority="315" operator="greaterThan">
      <formula>V23</formula>
    </cfRule>
    <cfRule type="cellIs" dxfId="14444" priority="316" operator="equal">
      <formula>0</formula>
    </cfRule>
  </conditionalFormatting>
  <conditionalFormatting sqref="V24">
    <cfRule type="cellIs" dxfId="14443" priority="313" operator="greaterThan">
      <formula>V23</formula>
    </cfRule>
    <cfRule type="cellIs" dxfId="14442" priority="314" operator="equal">
      <formula>0</formula>
    </cfRule>
  </conditionalFormatting>
  <conditionalFormatting sqref="V25">
    <cfRule type="cellIs" dxfId="14441" priority="311" operator="greaterThan">
      <formula>V24</formula>
    </cfRule>
    <cfRule type="cellIs" dxfId="14440" priority="312" operator="equal">
      <formula>0</formula>
    </cfRule>
  </conditionalFormatting>
  <conditionalFormatting sqref="V25">
    <cfRule type="cellIs" dxfId="14439" priority="309" operator="greaterThan">
      <formula>V24</formula>
    </cfRule>
    <cfRule type="cellIs" dxfId="14438" priority="310" operator="equal">
      <formula>0</formula>
    </cfRule>
  </conditionalFormatting>
  <conditionalFormatting sqref="V25">
    <cfRule type="cellIs" dxfId="14437" priority="307" operator="greaterThan">
      <formula>V24</formula>
    </cfRule>
    <cfRule type="cellIs" dxfId="14436" priority="308" operator="equal">
      <formula>0</formula>
    </cfRule>
  </conditionalFormatting>
  <conditionalFormatting sqref="V25">
    <cfRule type="cellIs" dxfId="14435" priority="305" operator="greaterThan">
      <formula>V24</formula>
    </cfRule>
    <cfRule type="cellIs" dxfId="14434" priority="306" operator="equal">
      <formula>0</formula>
    </cfRule>
  </conditionalFormatting>
  <conditionalFormatting sqref="V25">
    <cfRule type="cellIs" dxfId="14433" priority="303" operator="greaterThan">
      <formula>V24</formula>
    </cfRule>
    <cfRule type="cellIs" dxfId="14432" priority="304" operator="equal">
      <formula>0</formula>
    </cfRule>
  </conditionalFormatting>
  <conditionalFormatting sqref="V25">
    <cfRule type="cellIs" dxfId="14431" priority="301" operator="greaterThan">
      <formula>V24</formula>
    </cfRule>
    <cfRule type="cellIs" dxfId="14430" priority="302" operator="equal">
      <formula>0</formula>
    </cfRule>
  </conditionalFormatting>
  <conditionalFormatting sqref="V25">
    <cfRule type="cellIs" dxfId="14429" priority="299" operator="greaterThan">
      <formula>V24</formula>
    </cfRule>
    <cfRule type="cellIs" dxfId="14428" priority="300" operator="equal">
      <formula>0</formula>
    </cfRule>
  </conditionalFormatting>
  <conditionalFormatting sqref="V25">
    <cfRule type="cellIs" dxfId="14427" priority="297" operator="greaterThan">
      <formula>V24</formula>
    </cfRule>
    <cfRule type="cellIs" dxfId="14426" priority="298" operator="equal">
      <formula>0</formula>
    </cfRule>
  </conditionalFormatting>
  <conditionalFormatting sqref="V25">
    <cfRule type="cellIs" dxfId="14425" priority="295" operator="greaterThan">
      <formula>V24</formula>
    </cfRule>
    <cfRule type="cellIs" dxfId="14424" priority="296" operator="equal">
      <formula>0</formula>
    </cfRule>
  </conditionalFormatting>
  <conditionalFormatting sqref="V25">
    <cfRule type="cellIs" dxfId="14423" priority="293" operator="greaterThan">
      <formula>V24</formula>
    </cfRule>
    <cfRule type="cellIs" dxfId="14422" priority="294" operator="equal">
      <formula>0</formula>
    </cfRule>
  </conditionalFormatting>
  <conditionalFormatting sqref="V25">
    <cfRule type="cellIs" dxfId="14421" priority="291" operator="greaterThan">
      <formula>V24</formula>
    </cfRule>
    <cfRule type="cellIs" dxfId="14420" priority="292" operator="equal">
      <formula>0</formula>
    </cfRule>
  </conditionalFormatting>
  <conditionalFormatting sqref="V25">
    <cfRule type="cellIs" dxfId="14419" priority="289" operator="greaterThan">
      <formula>V24</formula>
    </cfRule>
    <cfRule type="cellIs" dxfId="14418" priority="290" operator="equal">
      <formula>0</formula>
    </cfRule>
  </conditionalFormatting>
  <conditionalFormatting sqref="V25">
    <cfRule type="cellIs" dxfId="14417" priority="287" operator="greaterThan">
      <formula>V24</formula>
    </cfRule>
    <cfRule type="cellIs" dxfId="14416" priority="288" operator="equal">
      <formula>0</formula>
    </cfRule>
  </conditionalFormatting>
  <conditionalFormatting sqref="V25">
    <cfRule type="cellIs" dxfId="14415" priority="285" operator="greaterThan">
      <formula>V24</formula>
    </cfRule>
    <cfRule type="cellIs" dxfId="14414" priority="286" operator="equal">
      <formula>0</formula>
    </cfRule>
  </conditionalFormatting>
  <conditionalFormatting sqref="V25">
    <cfRule type="cellIs" dxfId="14413" priority="283" operator="greaterThan">
      <formula>V24</formula>
    </cfRule>
    <cfRule type="cellIs" dxfId="14412" priority="284" operator="equal">
      <formula>0</formula>
    </cfRule>
  </conditionalFormatting>
  <conditionalFormatting sqref="V25">
    <cfRule type="cellIs" dxfId="14411" priority="281" operator="greaterThan">
      <formula>V24</formula>
    </cfRule>
    <cfRule type="cellIs" dxfId="14410" priority="282" operator="equal">
      <formula>0</formula>
    </cfRule>
  </conditionalFormatting>
  <conditionalFormatting sqref="V25">
    <cfRule type="cellIs" dxfId="14409" priority="279" operator="greaterThan">
      <formula>V24</formula>
    </cfRule>
    <cfRule type="cellIs" dxfId="14408" priority="280" operator="equal">
      <formula>0</formula>
    </cfRule>
  </conditionalFormatting>
  <conditionalFormatting sqref="V25">
    <cfRule type="cellIs" dxfId="14407" priority="277" operator="greaterThan">
      <formula>V24</formula>
    </cfRule>
    <cfRule type="cellIs" dxfId="14406" priority="278" operator="equal">
      <formula>0</formula>
    </cfRule>
  </conditionalFormatting>
  <conditionalFormatting sqref="V25">
    <cfRule type="cellIs" dxfId="14405" priority="275" operator="greaterThan">
      <formula>V24</formula>
    </cfRule>
    <cfRule type="cellIs" dxfId="14404" priority="276" operator="equal">
      <formula>0</formula>
    </cfRule>
  </conditionalFormatting>
  <conditionalFormatting sqref="V25">
    <cfRule type="cellIs" dxfId="14403" priority="273" operator="greaterThan">
      <formula>V24</formula>
    </cfRule>
    <cfRule type="cellIs" dxfId="14402" priority="274" operator="equal">
      <formula>0</formula>
    </cfRule>
  </conditionalFormatting>
  <conditionalFormatting sqref="V25">
    <cfRule type="cellIs" dxfId="14401" priority="271" operator="greaterThan">
      <formula>V24</formula>
    </cfRule>
    <cfRule type="cellIs" dxfId="14400" priority="272" operator="equal">
      <formula>0</formula>
    </cfRule>
  </conditionalFormatting>
  <conditionalFormatting sqref="V25">
    <cfRule type="cellIs" dxfId="14399" priority="269" operator="greaterThan">
      <formula>V24</formula>
    </cfRule>
    <cfRule type="cellIs" dxfId="14398" priority="270" operator="equal">
      <formula>0</formula>
    </cfRule>
  </conditionalFormatting>
  <conditionalFormatting sqref="V25">
    <cfRule type="cellIs" dxfId="14397" priority="267" operator="greaterThan">
      <formula>V24</formula>
    </cfRule>
    <cfRule type="cellIs" dxfId="14396" priority="268" operator="equal">
      <formula>0</formula>
    </cfRule>
  </conditionalFormatting>
  <conditionalFormatting sqref="V25">
    <cfRule type="cellIs" dxfId="14395" priority="265" operator="greaterThan">
      <formula>V24</formula>
    </cfRule>
    <cfRule type="cellIs" dxfId="14394" priority="266" operator="equal">
      <formula>0</formula>
    </cfRule>
  </conditionalFormatting>
  <conditionalFormatting sqref="V25">
    <cfRule type="cellIs" dxfId="14393" priority="263" operator="greaterThan">
      <formula>V24</formula>
    </cfRule>
    <cfRule type="cellIs" dxfId="14392" priority="264" operator="equal">
      <formula>0</formula>
    </cfRule>
  </conditionalFormatting>
  <conditionalFormatting sqref="V25">
    <cfRule type="cellIs" dxfId="14391" priority="261" operator="greaterThan">
      <formula>V24</formula>
    </cfRule>
    <cfRule type="cellIs" dxfId="14390" priority="262" operator="equal">
      <formula>0</formula>
    </cfRule>
  </conditionalFormatting>
  <conditionalFormatting sqref="V25">
    <cfRule type="cellIs" dxfId="14389" priority="259" operator="greaterThan">
      <formula>V24</formula>
    </cfRule>
    <cfRule type="cellIs" dxfId="14388" priority="260" operator="equal">
      <formula>0</formula>
    </cfRule>
  </conditionalFormatting>
  <conditionalFormatting sqref="V25">
    <cfRule type="cellIs" dxfId="14387" priority="257" operator="greaterThan">
      <formula>V24</formula>
    </cfRule>
    <cfRule type="cellIs" dxfId="14386" priority="258" operator="equal">
      <formula>0</formula>
    </cfRule>
  </conditionalFormatting>
  <conditionalFormatting sqref="V27">
    <cfRule type="cellIs" dxfId="14385" priority="255" operator="greaterThan">
      <formula>V26</formula>
    </cfRule>
    <cfRule type="cellIs" dxfId="14384" priority="256" operator="equal">
      <formula>0</formula>
    </cfRule>
  </conditionalFormatting>
  <conditionalFormatting sqref="V27">
    <cfRule type="cellIs" dxfId="14383" priority="253" operator="greaterThan">
      <formula>V26</formula>
    </cfRule>
    <cfRule type="cellIs" dxfId="14382" priority="254" operator="equal">
      <formula>0</formula>
    </cfRule>
  </conditionalFormatting>
  <conditionalFormatting sqref="V27">
    <cfRule type="cellIs" dxfId="14381" priority="251" operator="greaterThan">
      <formula>V26</formula>
    </cfRule>
    <cfRule type="cellIs" dxfId="14380" priority="252" operator="equal">
      <formula>0</formula>
    </cfRule>
  </conditionalFormatting>
  <conditionalFormatting sqref="V27">
    <cfRule type="cellIs" dxfId="14379" priority="249" operator="greaterThan">
      <formula>V26</formula>
    </cfRule>
    <cfRule type="cellIs" dxfId="14378" priority="250" operator="equal">
      <formula>0</formula>
    </cfRule>
  </conditionalFormatting>
  <conditionalFormatting sqref="V27">
    <cfRule type="cellIs" dxfId="14377" priority="247" operator="greaterThan">
      <formula>V26</formula>
    </cfRule>
    <cfRule type="cellIs" dxfId="14376" priority="248" operator="equal">
      <formula>0</formula>
    </cfRule>
  </conditionalFormatting>
  <conditionalFormatting sqref="V27">
    <cfRule type="cellIs" dxfId="14375" priority="245" operator="greaterThan">
      <formula>V26</formula>
    </cfRule>
    <cfRule type="cellIs" dxfId="14374" priority="246" operator="equal">
      <formula>0</formula>
    </cfRule>
  </conditionalFormatting>
  <conditionalFormatting sqref="V27">
    <cfRule type="cellIs" dxfId="14373" priority="243" operator="greaterThan">
      <formula>V26</formula>
    </cfRule>
    <cfRule type="cellIs" dxfId="14372" priority="244" operator="equal">
      <formula>0</formula>
    </cfRule>
  </conditionalFormatting>
  <conditionalFormatting sqref="V27">
    <cfRule type="cellIs" dxfId="14371" priority="241" operator="greaterThan">
      <formula>V26</formula>
    </cfRule>
    <cfRule type="cellIs" dxfId="14370" priority="242" operator="equal">
      <formula>0</formula>
    </cfRule>
  </conditionalFormatting>
  <conditionalFormatting sqref="V27">
    <cfRule type="cellIs" dxfId="14369" priority="239" operator="greaterThan">
      <formula>V26</formula>
    </cfRule>
    <cfRule type="cellIs" dxfId="14368" priority="240" operator="equal">
      <formula>0</formula>
    </cfRule>
  </conditionalFormatting>
  <conditionalFormatting sqref="V27">
    <cfRule type="cellIs" dxfId="14367" priority="237" operator="greaterThan">
      <formula>V26</formula>
    </cfRule>
    <cfRule type="cellIs" dxfId="14366" priority="238" operator="equal">
      <formula>0</formula>
    </cfRule>
  </conditionalFormatting>
  <conditionalFormatting sqref="V27">
    <cfRule type="cellIs" dxfId="14365" priority="235" operator="greaterThan">
      <formula>V26</formula>
    </cfRule>
    <cfRule type="cellIs" dxfId="14364" priority="236" operator="equal">
      <formula>0</formula>
    </cfRule>
  </conditionalFormatting>
  <conditionalFormatting sqref="V27">
    <cfRule type="cellIs" dxfId="14363" priority="233" operator="greaterThan">
      <formula>V26</formula>
    </cfRule>
    <cfRule type="cellIs" dxfId="14362" priority="234" operator="equal">
      <formula>0</formula>
    </cfRule>
  </conditionalFormatting>
  <conditionalFormatting sqref="V27">
    <cfRule type="cellIs" dxfId="14361" priority="231" operator="greaterThan">
      <formula>V26</formula>
    </cfRule>
    <cfRule type="cellIs" dxfId="14360" priority="232" operator="equal">
      <formula>0</formula>
    </cfRule>
  </conditionalFormatting>
  <conditionalFormatting sqref="V27">
    <cfRule type="cellIs" dxfId="14359" priority="229" operator="greaterThan">
      <formula>V26</formula>
    </cfRule>
    <cfRule type="cellIs" dxfId="14358" priority="230" operator="equal">
      <formula>0</formula>
    </cfRule>
  </conditionalFormatting>
  <conditionalFormatting sqref="V27">
    <cfRule type="cellIs" dxfId="14357" priority="227" operator="greaterThan">
      <formula>V26</formula>
    </cfRule>
    <cfRule type="cellIs" dxfId="14356" priority="228" operator="equal">
      <formula>0</formula>
    </cfRule>
  </conditionalFormatting>
  <conditionalFormatting sqref="V27">
    <cfRule type="cellIs" dxfId="14355" priority="225" operator="greaterThan">
      <formula>V26</formula>
    </cfRule>
    <cfRule type="cellIs" dxfId="14354" priority="226" operator="equal">
      <formula>0</formula>
    </cfRule>
  </conditionalFormatting>
  <conditionalFormatting sqref="V27">
    <cfRule type="cellIs" dxfId="14353" priority="223" operator="greaterThan">
      <formula>V26</formula>
    </cfRule>
    <cfRule type="cellIs" dxfId="14352" priority="224" operator="equal">
      <formula>0</formula>
    </cfRule>
  </conditionalFormatting>
  <conditionalFormatting sqref="V27">
    <cfRule type="cellIs" dxfId="14351" priority="221" operator="greaterThan">
      <formula>V26</formula>
    </cfRule>
    <cfRule type="cellIs" dxfId="14350" priority="222" operator="equal">
      <formula>0</formula>
    </cfRule>
  </conditionalFormatting>
  <conditionalFormatting sqref="V27">
    <cfRule type="cellIs" dxfId="14349" priority="219" operator="greaterThan">
      <formula>V26</formula>
    </cfRule>
    <cfRule type="cellIs" dxfId="14348" priority="220" operator="equal">
      <formula>0</formula>
    </cfRule>
  </conditionalFormatting>
  <conditionalFormatting sqref="V27">
    <cfRule type="cellIs" dxfId="14347" priority="217" operator="greaterThan">
      <formula>V26</formula>
    </cfRule>
    <cfRule type="cellIs" dxfId="14346" priority="218" operator="equal">
      <formula>0</formula>
    </cfRule>
  </conditionalFormatting>
  <conditionalFormatting sqref="V27">
    <cfRule type="cellIs" dxfId="14345" priority="215" operator="greaterThan">
      <formula>V26</formula>
    </cfRule>
    <cfRule type="cellIs" dxfId="14344" priority="216" operator="equal">
      <formula>0</formula>
    </cfRule>
  </conditionalFormatting>
  <conditionalFormatting sqref="V27">
    <cfRule type="cellIs" dxfId="14343" priority="213" operator="greaterThan">
      <formula>V26</formula>
    </cfRule>
    <cfRule type="cellIs" dxfId="14342" priority="214" operator="equal">
      <formula>0</formula>
    </cfRule>
  </conditionalFormatting>
  <conditionalFormatting sqref="V27">
    <cfRule type="cellIs" dxfId="14341" priority="211" operator="greaterThan">
      <formula>V26</formula>
    </cfRule>
    <cfRule type="cellIs" dxfId="14340" priority="212" operator="equal">
      <formula>0</formula>
    </cfRule>
  </conditionalFormatting>
  <conditionalFormatting sqref="V27">
    <cfRule type="cellIs" dxfId="14339" priority="209" operator="greaterThan">
      <formula>V26</formula>
    </cfRule>
    <cfRule type="cellIs" dxfId="14338" priority="210" operator="equal">
      <formula>0</formula>
    </cfRule>
  </conditionalFormatting>
  <conditionalFormatting sqref="V27">
    <cfRule type="cellIs" dxfId="14337" priority="207" operator="greaterThan">
      <formula>V26</formula>
    </cfRule>
    <cfRule type="cellIs" dxfId="14336" priority="208" operator="equal">
      <formula>0</formula>
    </cfRule>
  </conditionalFormatting>
  <conditionalFormatting sqref="V27">
    <cfRule type="cellIs" dxfId="14335" priority="205" operator="greaterThan">
      <formula>V26</formula>
    </cfRule>
    <cfRule type="cellIs" dxfId="14334" priority="206" operator="equal">
      <formula>0</formula>
    </cfRule>
  </conditionalFormatting>
  <conditionalFormatting sqref="V27">
    <cfRule type="cellIs" dxfId="14333" priority="203" operator="greaterThan">
      <formula>V26</formula>
    </cfRule>
    <cfRule type="cellIs" dxfId="14332" priority="204" operator="equal">
      <formula>0</formula>
    </cfRule>
  </conditionalFormatting>
  <conditionalFormatting sqref="V27">
    <cfRule type="cellIs" dxfId="14331" priority="201" operator="greaterThan">
      <formula>V26</formula>
    </cfRule>
    <cfRule type="cellIs" dxfId="14330" priority="202" operator="equal">
      <formula>0</formula>
    </cfRule>
  </conditionalFormatting>
  <conditionalFormatting sqref="V27">
    <cfRule type="cellIs" dxfId="14329" priority="199" operator="greaterThan">
      <formula>V26</formula>
    </cfRule>
    <cfRule type="cellIs" dxfId="14328" priority="200" operator="equal">
      <formula>0</formula>
    </cfRule>
  </conditionalFormatting>
  <conditionalFormatting sqref="V28">
    <cfRule type="cellIs" dxfId="14327" priority="197" operator="greaterThan">
      <formula>V27</formula>
    </cfRule>
    <cfRule type="cellIs" dxfId="14326" priority="198" operator="equal">
      <formula>0</formula>
    </cfRule>
  </conditionalFormatting>
  <conditionalFormatting sqref="V28">
    <cfRule type="cellIs" dxfId="14325" priority="195" operator="greaterThan">
      <formula>V27</formula>
    </cfRule>
    <cfRule type="cellIs" dxfId="14324" priority="196" operator="equal">
      <formula>0</formula>
    </cfRule>
  </conditionalFormatting>
  <conditionalFormatting sqref="V28">
    <cfRule type="cellIs" dxfId="14323" priority="193" operator="greaterThan">
      <formula>V27</formula>
    </cfRule>
    <cfRule type="cellIs" dxfId="14322" priority="194" operator="equal">
      <formula>0</formula>
    </cfRule>
  </conditionalFormatting>
  <conditionalFormatting sqref="V28">
    <cfRule type="cellIs" dxfId="14321" priority="191" operator="greaterThan">
      <formula>V27</formula>
    </cfRule>
    <cfRule type="cellIs" dxfId="14320" priority="192" operator="equal">
      <formula>0</formula>
    </cfRule>
  </conditionalFormatting>
  <conditionalFormatting sqref="V28">
    <cfRule type="cellIs" dxfId="14319" priority="189" operator="greaterThan">
      <formula>V27</formula>
    </cfRule>
    <cfRule type="cellIs" dxfId="14318" priority="190" operator="equal">
      <formula>0</formula>
    </cfRule>
  </conditionalFormatting>
  <conditionalFormatting sqref="V28">
    <cfRule type="cellIs" dxfId="14317" priority="187" operator="greaterThan">
      <formula>V27</formula>
    </cfRule>
    <cfRule type="cellIs" dxfId="14316" priority="188" operator="equal">
      <formula>0</formula>
    </cfRule>
  </conditionalFormatting>
  <conditionalFormatting sqref="V28">
    <cfRule type="cellIs" dxfId="14315" priority="185" operator="greaterThan">
      <formula>V27</formula>
    </cfRule>
    <cfRule type="cellIs" dxfId="14314" priority="186" operator="equal">
      <formula>0</formula>
    </cfRule>
  </conditionalFormatting>
  <conditionalFormatting sqref="V28">
    <cfRule type="cellIs" dxfId="14313" priority="183" operator="greaterThan">
      <formula>V27</formula>
    </cfRule>
    <cfRule type="cellIs" dxfId="14312" priority="184" operator="equal">
      <formula>0</formula>
    </cfRule>
  </conditionalFormatting>
  <conditionalFormatting sqref="V28">
    <cfRule type="cellIs" dxfId="14311" priority="181" operator="greaterThan">
      <formula>V27</formula>
    </cfRule>
    <cfRule type="cellIs" dxfId="14310" priority="182" operator="equal">
      <formula>0</formula>
    </cfRule>
  </conditionalFormatting>
  <conditionalFormatting sqref="V28">
    <cfRule type="cellIs" dxfId="14309" priority="179" operator="greaterThan">
      <formula>V27</formula>
    </cfRule>
    <cfRule type="cellIs" dxfId="14308" priority="180" operator="equal">
      <formula>0</formula>
    </cfRule>
  </conditionalFormatting>
  <conditionalFormatting sqref="V28">
    <cfRule type="cellIs" dxfId="14307" priority="177" operator="greaterThan">
      <formula>V27</formula>
    </cfRule>
    <cfRule type="cellIs" dxfId="14306" priority="178" operator="equal">
      <formula>0</formula>
    </cfRule>
  </conditionalFormatting>
  <conditionalFormatting sqref="V28">
    <cfRule type="cellIs" dxfId="14305" priority="175" operator="greaterThan">
      <formula>V27</formula>
    </cfRule>
    <cfRule type="cellIs" dxfId="14304" priority="176" operator="equal">
      <formula>0</formula>
    </cfRule>
  </conditionalFormatting>
  <conditionalFormatting sqref="V28">
    <cfRule type="cellIs" dxfId="14303" priority="173" operator="greaterThan">
      <formula>V27</formula>
    </cfRule>
    <cfRule type="cellIs" dxfId="14302" priority="174" operator="equal">
      <formula>0</formula>
    </cfRule>
  </conditionalFormatting>
  <conditionalFormatting sqref="V28">
    <cfRule type="cellIs" dxfId="14301" priority="171" operator="greaterThan">
      <formula>V27</formula>
    </cfRule>
    <cfRule type="cellIs" dxfId="14300" priority="172" operator="equal">
      <formula>0</formula>
    </cfRule>
  </conditionalFormatting>
  <conditionalFormatting sqref="V28">
    <cfRule type="cellIs" dxfId="14299" priority="169" operator="greaterThan">
      <formula>V27</formula>
    </cfRule>
    <cfRule type="cellIs" dxfId="14298" priority="170" operator="equal">
      <formula>0</formula>
    </cfRule>
  </conditionalFormatting>
  <conditionalFormatting sqref="V28">
    <cfRule type="cellIs" dxfId="14297" priority="167" operator="greaterThan">
      <formula>V27</formula>
    </cfRule>
    <cfRule type="cellIs" dxfId="14296" priority="168" operator="equal">
      <formula>0</formula>
    </cfRule>
  </conditionalFormatting>
  <conditionalFormatting sqref="V28">
    <cfRule type="cellIs" dxfId="14295" priority="165" operator="greaterThan">
      <formula>V27</formula>
    </cfRule>
    <cfRule type="cellIs" dxfId="14294" priority="166" operator="equal">
      <formula>0</formula>
    </cfRule>
  </conditionalFormatting>
  <conditionalFormatting sqref="V28">
    <cfRule type="cellIs" dxfId="14293" priority="163" operator="greaterThan">
      <formula>V27</formula>
    </cfRule>
    <cfRule type="cellIs" dxfId="14292" priority="164" operator="equal">
      <formula>0</formula>
    </cfRule>
  </conditionalFormatting>
  <conditionalFormatting sqref="V28">
    <cfRule type="cellIs" dxfId="14291" priority="161" operator="greaterThan">
      <formula>V27</formula>
    </cfRule>
    <cfRule type="cellIs" dxfId="14290" priority="162" operator="equal">
      <formula>0</formula>
    </cfRule>
  </conditionalFormatting>
  <conditionalFormatting sqref="V28">
    <cfRule type="cellIs" dxfId="14289" priority="159" operator="greaterThan">
      <formula>V27</formula>
    </cfRule>
    <cfRule type="cellIs" dxfId="14288" priority="160" operator="equal">
      <formula>0</formula>
    </cfRule>
  </conditionalFormatting>
  <conditionalFormatting sqref="V28">
    <cfRule type="cellIs" dxfId="14287" priority="157" operator="greaterThan">
      <formula>V27</formula>
    </cfRule>
    <cfRule type="cellIs" dxfId="14286" priority="158" operator="equal">
      <formula>0</formula>
    </cfRule>
  </conditionalFormatting>
  <conditionalFormatting sqref="V28">
    <cfRule type="cellIs" dxfId="14285" priority="155" operator="greaterThan">
      <formula>V27</formula>
    </cfRule>
    <cfRule type="cellIs" dxfId="14284" priority="156" operator="equal">
      <formula>0</formula>
    </cfRule>
  </conditionalFormatting>
  <conditionalFormatting sqref="V28">
    <cfRule type="cellIs" dxfId="14283" priority="153" operator="greaterThan">
      <formula>V27</formula>
    </cfRule>
    <cfRule type="cellIs" dxfId="14282" priority="154" operator="equal">
      <formula>0</formula>
    </cfRule>
  </conditionalFormatting>
  <conditionalFormatting sqref="V28">
    <cfRule type="cellIs" dxfId="14281" priority="151" operator="greaterThan">
      <formula>V27</formula>
    </cfRule>
    <cfRule type="cellIs" dxfId="14280" priority="152" operator="equal">
      <formula>0</formula>
    </cfRule>
  </conditionalFormatting>
  <conditionalFormatting sqref="V28">
    <cfRule type="cellIs" dxfId="14279" priority="149" operator="greaterThan">
      <formula>V27</formula>
    </cfRule>
    <cfRule type="cellIs" dxfId="14278" priority="150" operator="equal">
      <formula>0</formula>
    </cfRule>
  </conditionalFormatting>
  <conditionalFormatting sqref="V28">
    <cfRule type="cellIs" dxfId="14277" priority="147" operator="greaterThan">
      <formula>V27</formula>
    </cfRule>
    <cfRule type="cellIs" dxfId="14276" priority="148" operator="equal">
      <formula>0</formula>
    </cfRule>
  </conditionalFormatting>
  <conditionalFormatting sqref="V28">
    <cfRule type="cellIs" dxfId="14275" priority="145" operator="greaterThan">
      <formula>V27</formula>
    </cfRule>
    <cfRule type="cellIs" dxfId="14274" priority="146" operator="equal">
      <formula>0</formula>
    </cfRule>
  </conditionalFormatting>
  <conditionalFormatting sqref="V28">
    <cfRule type="cellIs" dxfId="14273" priority="143" operator="greaterThan">
      <formula>V27</formula>
    </cfRule>
    <cfRule type="cellIs" dxfId="14272" priority="144" operator="equal">
      <formula>0</formula>
    </cfRule>
  </conditionalFormatting>
  <conditionalFormatting sqref="V28">
    <cfRule type="cellIs" dxfId="14271" priority="141" operator="greaterThan">
      <formula>V27</formula>
    </cfRule>
    <cfRule type="cellIs" dxfId="14270" priority="142" operator="equal">
      <formula>0</formula>
    </cfRule>
  </conditionalFormatting>
  <conditionalFormatting sqref="V28">
    <cfRule type="cellIs" dxfId="14269" priority="139" operator="greaterThan">
      <formula>V27</formula>
    </cfRule>
    <cfRule type="cellIs" dxfId="14268" priority="140" operator="equal">
      <formula>0</formula>
    </cfRule>
  </conditionalFormatting>
  <conditionalFormatting sqref="V28">
    <cfRule type="cellIs" dxfId="14267" priority="137" operator="greaterThan">
      <formula>V27</formula>
    </cfRule>
    <cfRule type="cellIs" dxfId="14266" priority="138" operator="equal">
      <formula>0</formula>
    </cfRule>
  </conditionalFormatting>
  <conditionalFormatting sqref="V28">
    <cfRule type="cellIs" dxfId="14265" priority="135" operator="greaterThan">
      <formula>V27</formula>
    </cfRule>
    <cfRule type="cellIs" dxfId="14264" priority="136" operator="equal">
      <formula>0</formula>
    </cfRule>
  </conditionalFormatting>
  <conditionalFormatting sqref="V28">
    <cfRule type="cellIs" dxfId="14263" priority="133" operator="greaterThan">
      <formula>V27</formula>
    </cfRule>
    <cfRule type="cellIs" dxfId="14262" priority="134" operator="equal">
      <formula>0</formula>
    </cfRule>
  </conditionalFormatting>
  <conditionalFormatting sqref="V28">
    <cfRule type="cellIs" dxfId="14261" priority="131" operator="greaterThan">
      <formula>V27</formula>
    </cfRule>
    <cfRule type="cellIs" dxfId="14260" priority="132" operator="equal">
      <formula>0</formula>
    </cfRule>
  </conditionalFormatting>
  <conditionalFormatting sqref="V28">
    <cfRule type="cellIs" dxfId="14259" priority="129" operator="greaterThan">
      <formula>V27</formula>
    </cfRule>
    <cfRule type="cellIs" dxfId="14258" priority="130" operator="equal">
      <formula>0</formula>
    </cfRule>
  </conditionalFormatting>
  <conditionalFormatting sqref="V28">
    <cfRule type="cellIs" dxfId="14257" priority="127" operator="greaterThan">
      <formula>V27</formula>
    </cfRule>
    <cfRule type="cellIs" dxfId="14256" priority="128" operator="equal">
      <formula>0</formula>
    </cfRule>
  </conditionalFormatting>
  <conditionalFormatting sqref="V28">
    <cfRule type="cellIs" dxfId="14255" priority="125" operator="greaterThan">
      <formula>V27</formula>
    </cfRule>
    <cfRule type="cellIs" dxfId="14254" priority="126" operator="equal">
      <formula>0</formula>
    </cfRule>
  </conditionalFormatting>
  <conditionalFormatting sqref="V28">
    <cfRule type="cellIs" dxfId="14253" priority="123" operator="greaterThan">
      <formula>V27</formula>
    </cfRule>
    <cfRule type="cellIs" dxfId="14252" priority="124" operator="equal">
      <formula>0</formula>
    </cfRule>
  </conditionalFormatting>
  <conditionalFormatting sqref="V28">
    <cfRule type="cellIs" dxfId="14251" priority="121" operator="greaterThan">
      <formula>V27</formula>
    </cfRule>
    <cfRule type="cellIs" dxfId="14250" priority="122" operator="equal">
      <formula>0</formula>
    </cfRule>
  </conditionalFormatting>
  <conditionalFormatting sqref="V28">
    <cfRule type="cellIs" dxfId="14249" priority="119" operator="greaterThan">
      <formula>V27</formula>
    </cfRule>
    <cfRule type="cellIs" dxfId="14248" priority="120" operator="equal">
      <formula>0</formula>
    </cfRule>
  </conditionalFormatting>
  <conditionalFormatting sqref="V28">
    <cfRule type="cellIs" dxfId="14247" priority="117" operator="greaterThan">
      <formula>V27</formula>
    </cfRule>
    <cfRule type="cellIs" dxfId="14246" priority="118" operator="equal">
      <formula>0</formula>
    </cfRule>
  </conditionalFormatting>
  <conditionalFormatting sqref="V28">
    <cfRule type="cellIs" dxfId="14245" priority="115" operator="greaterThan">
      <formula>V27</formula>
    </cfRule>
    <cfRule type="cellIs" dxfId="14244" priority="116" operator="equal">
      <formula>0</formula>
    </cfRule>
  </conditionalFormatting>
  <conditionalFormatting sqref="V28">
    <cfRule type="cellIs" dxfId="14243" priority="113" operator="greaterThan">
      <formula>V27</formula>
    </cfRule>
    <cfRule type="cellIs" dxfId="14242" priority="114" operator="equal">
      <formula>0</formula>
    </cfRule>
  </conditionalFormatting>
  <conditionalFormatting sqref="V28">
    <cfRule type="cellIs" dxfId="14241" priority="111" operator="greaterThan">
      <formula>V27</formula>
    </cfRule>
    <cfRule type="cellIs" dxfId="14240" priority="112" operator="equal">
      <formula>0</formula>
    </cfRule>
  </conditionalFormatting>
  <conditionalFormatting sqref="V28">
    <cfRule type="cellIs" dxfId="14239" priority="109" operator="greaterThan">
      <formula>V27</formula>
    </cfRule>
    <cfRule type="cellIs" dxfId="14238" priority="110" operator="equal">
      <formula>0</formula>
    </cfRule>
  </conditionalFormatting>
  <conditionalFormatting sqref="V28">
    <cfRule type="cellIs" dxfId="14237" priority="107" operator="greaterThan">
      <formula>V27</formula>
    </cfRule>
    <cfRule type="cellIs" dxfId="14236" priority="108" operator="equal">
      <formula>0</formula>
    </cfRule>
  </conditionalFormatting>
  <conditionalFormatting sqref="V28">
    <cfRule type="cellIs" dxfId="14235" priority="105" operator="greaterThan">
      <formula>V27</formula>
    </cfRule>
    <cfRule type="cellIs" dxfId="14234" priority="106" operator="equal">
      <formula>0</formula>
    </cfRule>
  </conditionalFormatting>
  <conditionalFormatting sqref="V28">
    <cfRule type="cellIs" dxfId="14233" priority="103" operator="greaterThan">
      <formula>V27</formula>
    </cfRule>
    <cfRule type="cellIs" dxfId="14232" priority="104" operator="equal">
      <formula>0</formula>
    </cfRule>
  </conditionalFormatting>
  <conditionalFormatting sqref="V28">
    <cfRule type="cellIs" dxfId="14231" priority="101" operator="greaterThan">
      <formula>V27</formula>
    </cfRule>
    <cfRule type="cellIs" dxfId="14230" priority="102" operator="equal">
      <formula>0</formula>
    </cfRule>
  </conditionalFormatting>
  <conditionalFormatting sqref="V28">
    <cfRule type="cellIs" dxfId="14229" priority="99" operator="greaterThan">
      <formula>V27</formula>
    </cfRule>
    <cfRule type="cellIs" dxfId="14228" priority="100" operator="equal">
      <formula>0</formula>
    </cfRule>
  </conditionalFormatting>
  <conditionalFormatting sqref="V28">
    <cfRule type="cellIs" dxfId="14227" priority="97" operator="greaterThan">
      <formula>V27</formula>
    </cfRule>
    <cfRule type="cellIs" dxfId="14226" priority="98" operator="equal">
      <formula>0</formula>
    </cfRule>
  </conditionalFormatting>
  <conditionalFormatting sqref="V28">
    <cfRule type="cellIs" dxfId="14225" priority="95" operator="greaterThan">
      <formula>V27</formula>
    </cfRule>
    <cfRule type="cellIs" dxfId="14224" priority="96" operator="equal">
      <formula>0</formula>
    </cfRule>
  </conditionalFormatting>
  <conditionalFormatting sqref="V28">
    <cfRule type="cellIs" dxfId="14223" priority="93" operator="greaterThan">
      <formula>V27</formula>
    </cfRule>
    <cfRule type="cellIs" dxfId="14222" priority="94" operator="equal">
      <formula>0</formula>
    </cfRule>
  </conditionalFormatting>
  <conditionalFormatting sqref="V28">
    <cfRule type="cellIs" dxfId="14221" priority="91" operator="greaterThan">
      <formula>V27</formula>
    </cfRule>
    <cfRule type="cellIs" dxfId="14220" priority="92" operator="equal">
      <formula>0</formula>
    </cfRule>
  </conditionalFormatting>
  <conditionalFormatting sqref="V28">
    <cfRule type="cellIs" dxfId="14219" priority="89" operator="greaterThan">
      <formula>V27</formula>
    </cfRule>
    <cfRule type="cellIs" dxfId="14218" priority="90" operator="equal">
      <formula>0</formula>
    </cfRule>
  </conditionalFormatting>
  <conditionalFormatting sqref="V28">
    <cfRule type="cellIs" dxfId="14217" priority="87" operator="greaterThan">
      <formula>V27</formula>
    </cfRule>
    <cfRule type="cellIs" dxfId="14216" priority="88" operator="equal">
      <formula>0</formula>
    </cfRule>
  </conditionalFormatting>
  <conditionalFormatting sqref="V28">
    <cfRule type="cellIs" dxfId="14215" priority="85" operator="greaterThan">
      <formula>V27</formula>
    </cfRule>
    <cfRule type="cellIs" dxfId="14214" priority="86" operator="equal">
      <formula>0</formula>
    </cfRule>
  </conditionalFormatting>
  <conditionalFormatting sqref="V28">
    <cfRule type="cellIs" dxfId="14213" priority="83" operator="greaterThan">
      <formula>V27</formula>
    </cfRule>
    <cfRule type="cellIs" dxfId="14212" priority="84" operator="equal">
      <formula>0</formula>
    </cfRule>
  </conditionalFormatting>
  <conditionalFormatting sqref="V28">
    <cfRule type="cellIs" dxfId="14211" priority="81" operator="greaterThan">
      <formula>V27</formula>
    </cfRule>
    <cfRule type="cellIs" dxfId="14210" priority="82" operator="equal">
      <formula>0</formula>
    </cfRule>
  </conditionalFormatting>
  <conditionalFormatting sqref="V28">
    <cfRule type="cellIs" dxfId="14209" priority="79" operator="greaterThan">
      <formula>V27</formula>
    </cfRule>
    <cfRule type="cellIs" dxfId="14208" priority="80" operator="equal">
      <formula>0</formula>
    </cfRule>
  </conditionalFormatting>
  <conditionalFormatting sqref="V28">
    <cfRule type="cellIs" dxfId="14207" priority="77" operator="greaterThan">
      <formula>V27</formula>
    </cfRule>
    <cfRule type="cellIs" dxfId="14206" priority="78" operator="equal">
      <formula>0</formula>
    </cfRule>
  </conditionalFormatting>
  <conditionalFormatting sqref="V28">
    <cfRule type="cellIs" dxfId="14205" priority="75" operator="greaterThan">
      <formula>V27</formula>
    </cfRule>
    <cfRule type="cellIs" dxfId="14204" priority="76" operator="equal">
      <formula>0</formula>
    </cfRule>
  </conditionalFormatting>
  <conditionalFormatting sqref="V28">
    <cfRule type="cellIs" dxfId="14203" priority="73" operator="greaterThan">
      <formula>V27</formula>
    </cfRule>
    <cfRule type="cellIs" dxfId="14202" priority="74" operator="equal">
      <formula>0</formula>
    </cfRule>
  </conditionalFormatting>
  <conditionalFormatting sqref="V28">
    <cfRule type="cellIs" dxfId="14201" priority="71" operator="greaterThan">
      <formula>V27</formula>
    </cfRule>
    <cfRule type="cellIs" dxfId="14200" priority="72" operator="equal">
      <formula>0</formula>
    </cfRule>
  </conditionalFormatting>
  <conditionalFormatting sqref="V28">
    <cfRule type="cellIs" dxfId="14199" priority="69" operator="greaterThan">
      <formula>V27</formula>
    </cfRule>
    <cfRule type="cellIs" dxfId="14198" priority="70" operator="equal">
      <formula>0</formula>
    </cfRule>
  </conditionalFormatting>
  <conditionalFormatting sqref="V28">
    <cfRule type="cellIs" dxfId="14197" priority="67" operator="greaterThan">
      <formula>V27</formula>
    </cfRule>
    <cfRule type="cellIs" dxfId="14196" priority="68" operator="equal">
      <formula>0</formula>
    </cfRule>
  </conditionalFormatting>
  <conditionalFormatting sqref="V28">
    <cfRule type="cellIs" dxfId="14195" priority="65" operator="greaterThan">
      <formula>V27</formula>
    </cfRule>
    <cfRule type="cellIs" dxfId="14194" priority="66" operator="equal">
      <formula>0</formula>
    </cfRule>
  </conditionalFormatting>
  <conditionalFormatting sqref="V28">
    <cfRule type="cellIs" dxfId="14193" priority="63" operator="greaterThan">
      <formula>V27</formula>
    </cfRule>
    <cfRule type="cellIs" dxfId="14192" priority="64" operator="equal">
      <formula>0</formula>
    </cfRule>
  </conditionalFormatting>
  <conditionalFormatting sqref="V28">
    <cfRule type="cellIs" dxfId="14191" priority="61" operator="greaterThan">
      <formula>V27</formula>
    </cfRule>
    <cfRule type="cellIs" dxfId="14190" priority="62" operator="equal">
      <formula>0</formula>
    </cfRule>
  </conditionalFormatting>
  <conditionalFormatting sqref="V28">
    <cfRule type="cellIs" dxfId="14189" priority="59" operator="greaterThan">
      <formula>V27</formula>
    </cfRule>
    <cfRule type="cellIs" dxfId="14188" priority="60" operator="equal">
      <formula>0</formula>
    </cfRule>
  </conditionalFormatting>
  <conditionalFormatting sqref="V28">
    <cfRule type="cellIs" dxfId="14187" priority="57" operator="greaterThan">
      <formula>V27</formula>
    </cfRule>
    <cfRule type="cellIs" dxfId="14186" priority="58" operator="equal">
      <formula>0</formula>
    </cfRule>
  </conditionalFormatting>
  <conditionalFormatting sqref="V28">
    <cfRule type="cellIs" dxfId="14185" priority="55" operator="greaterThan">
      <formula>V27</formula>
    </cfRule>
    <cfRule type="cellIs" dxfId="14184" priority="56" operator="equal">
      <formula>0</formula>
    </cfRule>
  </conditionalFormatting>
  <conditionalFormatting sqref="V28">
    <cfRule type="cellIs" dxfId="14183" priority="53" operator="greaterThan">
      <formula>V27</formula>
    </cfRule>
    <cfRule type="cellIs" dxfId="14182" priority="54" operator="equal">
      <formula>0</formula>
    </cfRule>
  </conditionalFormatting>
  <conditionalFormatting sqref="V28">
    <cfRule type="cellIs" dxfId="14181" priority="51" operator="greaterThan">
      <formula>V27</formula>
    </cfRule>
    <cfRule type="cellIs" dxfId="14180" priority="52" operator="equal">
      <formula>0</formula>
    </cfRule>
  </conditionalFormatting>
  <conditionalFormatting sqref="V28">
    <cfRule type="cellIs" dxfId="14179" priority="49" operator="greaterThan">
      <formula>V27</formula>
    </cfRule>
    <cfRule type="cellIs" dxfId="14178" priority="50" operator="equal">
      <formula>0</formula>
    </cfRule>
  </conditionalFormatting>
  <conditionalFormatting sqref="V28">
    <cfRule type="cellIs" dxfId="14177" priority="47" operator="greaterThan">
      <formula>V27</formula>
    </cfRule>
    <cfRule type="cellIs" dxfId="14176" priority="48" operator="equal">
      <formula>0</formula>
    </cfRule>
  </conditionalFormatting>
  <conditionalFormatting sqref="V28">
    <cfRule type="cellIs" dxfId="14175" priority="45" operator="greaterThan">
      <formula>V27</formula>
    </cfRule>
    <cfRule type="cellIs" dxfId="14174" priority="46" operator="equal">
      <formula>0</formula>
    </cfRule>
  </conditionalFormatting>
  <conditionalFormatting sqref="V28">
    <cfRule type="cellIs" dxfId="14173" priority="43" operator="greaterThan">
      <formula>V27</formula>
    </cfRule>
    <cfRule type="cellIs" dxfId="14172" priority="44" operator="equal">
      <formula>0</formula>
    </cfRule>
  </conditionalFormatting>
  <conditionalFormatting sqref="V28">
    <cfRule type="cellIs" dxfId="14171" priority="41" operator="greaterThan">
      <formula>V27</formula>
    </cfRule>
    <cfRule type="cellIs" dxfId="14170" priority="42" operator="equal">
      <formula>0</formula>
    </cfRule>
  </conditionalFormatting>
  <conditionalFormatting sqref="V28">
    <cfRule type="cellIs" dxfId="14169" priority="39" operator="greaterThan">
      <formula>V27</formula>
    </cfRule>
    <cfRule type="cellIs" dxfId="14168" priority="40" operator="equal">
      <formula>0</formula>
    </cfRule>
  </conditionalFormatting>
  <conditionalFormatting sqref="V28">
    <cfRule type="cellIs" dxfId="14167" priority="37" operator="greaterThan">
      <formula>V27</formula>
    </cfRule>
    <cfRule type="cellIs" dxfId="14166" priority="38" operator="equal">
      <formula>0</formula>
    </cfRule>
  </conditionalFormatting>
  <conditionalFormatting sqref="V28">
    <cfRule type="cellIs" dxfId="14165" priority="35" operator="greaterThan">
      <formula>V27</formula>
    </cfRule>
    <cfRule type="cellIs" dxfId="14164" priority="36" operator="equal">
      <formula>0</formula>
    </cfRule>
  </conditionalFormatting>
  <conditionalFormatting sqref="V28">
    <cfRule type="cellIs" dxfId="14163" priority="33" operator="greaterThan">
      <formula>V27</formula>
    </cfRule>
    <cfRule type="cellIs" dxfId="14162" priority="34" operator="equal">
      <formula>0</formula>
    </cfRule>
  </conditionalFormatting>
  <conditionalFormatting sqref="V28">
    <cfRule type="cellIs" dxfId="14161" priority="31" operator="greaterThan">
      <formula>V27</formula>
    </cfRule>
    <cfRule type="cellIs" dxfId="14160" priority="32" operator="equal">
      <formula>0</formula>
    </cfRule>
  </conditionalFormatting>
  <conditionalFormatting sqref="V13">
    <cfRule type="cellIs" dxfId="14159" priority="30" operator="equal">
      <formula>0</formula>
    </cfRule>
  </conditionalFormatting>
  <conditionalFormatting sqref="V13">
    <cfRule type="cellIs" dxfId="14158" priority="28" operator="greaterThan">
      <formula>V12</formula>
    </cfRule>
    <cfRule type="cellIs" dxfId="14157" priority="29" operator="equal">
      <formula>0</formula>
    </cfRule>
  </conditionalFormatting>
  <conditionalFormatting sqref="V13">
    <cfRule type="cellIs" dxfId="14156" priority="26" operator="greaterThan">
      <formula>V12</formula>
    </cfRule>
    <cfRule type="cellIs" dxfId="14155" priority="27" operator="equal">
      <formula>0</formula>
    </cfRule>
  </conditionalFormatting>
  <conditionalFormatting sqref="V16">
    <cfRule type="cellIs" dxfId="14154" priority="25" operator="equal">
      <formula>0</formula>
    </cfRule>
  </conditionalFormatting>
  <conditionalFormatting sqref="V16">
    <cfRule type="cellIs" dxfId="14153" priority="23" operator="greaterThan">
      <formula>V15</formula>
    </cfRule>
    <cfRule type="cellIs" dxfId="14152" priority="24" operator="equal">
      <formula>0</formula>
    </cfRule>
  </conditionalFormatting>
  <conditionalFormatting sqref="V16">
    <cfRule type="cellIs" dxfId="14151" priority="21" operator="greaterThan">
      <formula>V15</formula>
    </cfRule>
    <cfRule type="cellIs" dxfId="14150" priority="22" operator="equal">
      <formula>0</formula>
    </cfRule>
  </conditionalFormatting>
  <conditionalFormatting sqref="V19">
    <cfRule type="cellIs" dxfId="14149" priority="20" operator="equal">
      <formula>0</formula>
    </cfRule>
  </conditionalFormatting>
  <conditionalFormatting sqref="V19">
    <cfRule type="cellIs" dxfId="14148" priority="18" operator="greaterThan">
      <formula>V18</formula>
    </cfRule>
    <cfRule type="cellIs" dxfId="14147" priority="19" operator="equal">
      <formula>0</formula>
    </cfRule>
  </conditionalFormatting>
  <conditionalFormatting sqref="V19">
    <cfRule type="cellIs" dxfId="14146" priority="16" operator="greaterThan">
      <formula>V18</formula>
    </cfRule>
    <cfRule type="cellIs" dxfId="14145" priority="17" operator="equal">
      <formula>0</formula>
    </cfRule>
  </conditionalFormatting>
  <conditionalFormatting sqref="V22">
    <cfRule type="cellIs" dxfId="14144" priority="15" operator="equal">
      <formula>0</formula>
    </cfRule>
  </conditionalFormatting>
  <conditionalFormatting sqref="V22">
    <cfRule type="cellIs" dxfId="14143" priority="13" operator="greaterThan">
      <formula>V21</formula>
    </cfRule>
    <cfRule type="cellIs" dxfId="14142" priority="14" operator="equal">
      <formula>0</formula>
    </cfRule>
  </conditionalFormatting>
  <conditionalFormatting sqref="V22">
    <cfRule type="cellIs" dxfId="14141" priority="11" operator="greaterThan">
      <formula>V21</formula>
    </cfRule>
    <cfRule type="cellIs" dxfId="14140" priority="12" operator="equal">
      <formula>0</formula>
    </cfRule>
  </conditionalFormatting>
  <conditionalFormatting sqref="V25">
    <cfRule type="cellIs" dxfId="14139" priority="10" operator="equal">
      <formula>0</formula>
    </cfRule>
  </conditionalFormatting>
  <conditionalFormatting sqref="V25">
    <cfRule type="cellIs" dxfId="14138" priority="8" operator="greaterThan">
      <formula>V24</formula>
    </cfRule>
    <cfRule type="cellIs" dxfId="14137" priority="9" operator="equal">
      <formula>0</formula>
    </cfRule>
  </conditionalFormatting>
  <conditionalFormatting sqref="V25">
    <cfRule type="cellIs" dxfId="14136" priority="6" operator="greaterThan">
      <formula>V24</formula>
    </cfRule>
    <cfRule type="cellIs" dxfId="14135" priority="7" operator="equal">
      <formula>0</formula>
    </cfRule>
  </conditionalFormatting>
  <conditionalFormatting sqref="V28">
    <cfRule type="cellIs" dxfId="14134" priority="5" operator="equal">
      <formula>0</formula>
    </cfRule>
  </conditionalFormatting>
  <conditionalFormatting sqref="V28">
    <cfRule type="cellIs" dxfId="14133" priority="3" operator="greaterThan">
      <formula>V27</formula>
    </cfRule>
    <cfRule type="cellIs" dxfId="14132" priority="4" operator="equal">
      <formula>0</formula>
    </cfRule>
  </conditionalFormatting>
  <conditionalFormatting sqref="V28">
    <cfRule type="cellIs" dxfId="14131" priority="1" operator="greaterThan">
      <formula>V27</formula>
    </cfRule>
    <cfRule type="cellIs" dxfId="14130" priority="2" operator="equal">
      <formula>0</formula>
    </cfRule>
  </conditionalFormatting>
  <dataValidations count="25">
    <dataValidation type="whole" allowBlank="1" showInputMessage="1" showErrorMessage="1" sqref="X51 X44:X48 Y16:Y51 X38:X41 X17 X20 X23 X26 X29 X32 X35">
      <formula1>0</formula1>
      <formula2>5000</formula2>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operator="greaterThanOrEqual" allowBlank="1" showInputMessage="1" showErrorMessage="1" errorTitle="المجموع" error="العدد المناسب" sqref="O49 M42 P33 P30 P12 P15 P18 P21 P27 P24 P36">
      <formula1>0</formula1>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&amp;R&amp;"-,Gras"&amp;8&amp;K00-032Echamil V.08      &amp;F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3">
    <tabColor rgb="FF00B050"/>
  </sheetPr>
  <dimension ref="A1:Z54"/>
  <sheetViews>
    <sheetView showGridLines="0" rightToLeft="1" zoomScale="115" zoomScaleNormal="115" workbookViewId="0">
      <selection activeCell="G42" sqref="G42"/>
    </sheetView>
  </sheetViews>
  <sheetFormatPr baseColWidth="10" defaultColWidth="0" defaultRowHeight="14.4" zeroHeight="1"/>
  <cols>
    <col min="1" max="1" width="1"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s="1041" customFormat="1"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s="1041" customFormat="1"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9" t="s">
        <v>603</v>
      </c>
      <c r="W2" s="4459"/>
      <c r="X2" s="4459"/>
      <c r="Y2" s="1945"/>
      <c r="Z2" s="1420"/>
    </row>
    <row r="3" spans="1:26" s="1041" customFormat="1"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9"/>
      <c r="W3" s="4459"/>
      <c r="X3" s="4459"/>
      <c r="Y3" s="1945"/>
      <c r="Z3" s="1420"/>
    </row>
    <row r="4" spans="1:26" ht="20.100000000000001" customHeight="1">
      <c r="A4" s="1418"/>
      <c r="B4" s="1431"/>
      <c r="C4" s="1432"/>
      <c r="D4" s="1946" t="s">
        <v>1463</v>
      </c>
      <c r="E4" s="1434"/>
      <c r="F4" s="1434"/>
      <c r="M4" s="1947"/>
      <c r="N4" s="1438"/>
      <c r="O4" s="1438"/>
      <c r="P4" s="1948" t="s">
        <v>1464</v>
      </c>
      <c r="Q4" s="1948"/>
      <c r="R4" s="1441"/>
      <c r="S4" s="1430"/>
      <c r="T4" s="1424"/>
      <c r="U4" s="1944"/>
      <c r="V4" s="4459"/>
      <c r="W4" s="4459"/>
      <c r="X4" s="4459"/>
      <c r="Y4" s="1945"/>
      <c r="Z4" s="1420"/>
    </row>
    <row r="5" spans="1:26" ht="2.1" customHeight="1">
      <c r="A5" s="1418"/>
      <c r="B5" s="1431"/>
      <c r="C5" s="1442"/>
      <c r="D5" s="1434"/>
      <c r="E5" s="1434"/>
      <c r="F5" s="1434"/>
      <c r="G5" s="1434"/>
      <c r="H5" s="1444"/>
      <c r="I5" s="1445"/>
      <c r="J5" s="1445"/>
      <c r="K5" s="1445"/>
      <c r="L5" s="1446"/>
      <c r="M5" s="1438"/>
      <c r="N5" s="1438"/>
      <c r="O5" s="1438"/>
      <c r="P5" s="1443"/>
      <c r="Q5" s="1440"/>
      <c r="R5" s="1441"/>
      <c r="S5" s="1430"/>
      <c r="T5" s="1424"/>
      <c r="U5" s="1944"/>
      <c r="V5" s="4459"/>
      <c r="W5" s="4459"/>
      <c r="X5" s="4459"/>
      <c r="Y5" s="1945"/>
      <c r="Z5" s="1420"/>
    </row>
    <row r="6" spans="1:26" ht="15.9" customHeight="1">
      <c r="A6" s="1418"/>
      <c r="B6" s="1431"/>
      <c r="C6" s="1442"/>
      <c r="F6" s="1951"/>
      <c r="G6" s="1952" t="s">
        <v>936</v>
      </c>
      <c r="H6" s="1953" t="s">
        <v>1090</v>
      </c>
      <c r="I6" s="1954"/>
      <c r="K6" s="1955"/>
      <c r="L6" s="1956" t="s">
        <v>1091</v>
      </c>
      <c r="M6" s="1955"/>
      <c r="N6" s="1957"/>
      <c r="O6" s="1957" t="s">
        <v>937</v>
      </c>
      <c r="Q6" s="1440"/>
      <c r="R6" s="1441"/>
      <c r="S6" s="1430"/>
      <c r="T6" s="1424"/>
      <c r="U6" s="1944"/>
      <c r="V6" s="4459"/>
      <c r="W6" s="4459"/>
      <c r="X6" s="4459"/>
      <c r="Y6" s="1950"/>
      <c r="Z6" s="1420"/>
    </row>
    <row r="7" spans="1:26" ht="2.1" customHeight="1">
      <c r="A7" s="1418"/>
      <c r="B7" s="1431"/>
      <c r="C7" s="1442"/>
      <c r="D7" s="1493"/>
      <c r="E7" s="1949"/>
      <c r="F7" s="1949"/>
      <c r="G7" s="1949"/>
      <c r="H7" s="1949"/>
      <c r="I7" s="1949"/>
      <c r="J7" s="1949"/>
      <c r="K7" s="1949"/>
      <c r="L7" s="1949"/>
      <c r="M7" s="1949"/>
      <c r="N7" s="1949"/>
      <c r="O7" s="1949"/>
      <c r="P7" s="1949"/>
      <c r="Q7" s="1440"/>
      <c r="R7" s="1441"/>
      <c r="S7" s="1430"/>
      <c r="T7" s="1424"/>
      <c r="U7" s="1944"/>
      <c r="V7" s="1032"/>
      <c r="W7" s="1950"/>
      <c r="X7" s="1950"/>
      <c r="Y7" s="1950"/>
      <c r="Z7" s="1420"/>
    </row>
    <row r="8" spans="1:26" ht="14.1" customHeight="1">
      <c r="A8" s="1418"/>
      <c r="B8" s="1431"/>
      <c r="C8" s="1442"/>
      <c r="D8" s="2418" t="s">
        <v>1175</v>
      </c>
      <c r="E8" s="2419"/>
      <c r="F8" s="2419"/>
      <c r="G8" s="2419"/>
      <c r="H8" s="2420"/>
      <c r="I8" s="2420"/>
      <c r="J8" s="2420"/>
      <c r="K8" s="2420"/>
      <c r="L8" s="2419"/>
      <c r="M8" s="2419"/>
      <c r="N8" s="2419"/>
      <c r="O8" s="2419"/>
      <c r="P8" s="2396" t="s">
        <v>1174</v>
      </c>
      <c r="Q8" s="1440"/>
      <c r="R8" s="144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1440"/>
      <c r="R9" s="144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1440"/>
      <c r="R10" s="144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1440"/>
      <c r="R11" s="1441"/>
      <c r="S11" s="1430"/>
      <c r="T11" s="1424"/>
      <c r="U11" s="1944"/>
      <c r="V11" s="3100" t="s">
        <v>965</v>
      </c>
      <c r="W11" s="1966"/>
      <c r="X11" s="2036"/>
      <c r="Y11" s="2036"/>
      <c r="Z11" s="1420"/>
    </row>
    <row r="12" spans="1:26" ht="12" customHeight="1">
      <c r="A12" s="1418"/>
      <c r="B12" s="1431"/>
      <c r="C12" s="1442"/>
      <c r="D12" s="2430" t="s">
        <v>20</v>
      </c>
      <c r="E12" s="2265"/>
      <c r="F12" s="1462"/>
      <c r="G12" s="1462">
        <v>0</v>
      </c>
      <c r="H12" s="1462"/>
      <c r="I12" s="1462">
        <v>1</v>
      </c>
      <c r="J12" s="1462"/>
      <c r="K12" s="1462">
        <v>1</v>
      </c>
      <c r="L12" s="1462"/>
      <c r="M12" s="1462"/>
      <c r="N12" s="1462"/>
      <c r="O12" s="1462"/>
      <c r="P12" s="1998">
        <f>E12+F12+G12+H12+I12+J12+K12+L12+M12+N12+O12</f>
        <v>2</v>
      </c>
      <c r="Q12" s="1440"/>
      <c r="R12" s="1441"/>
      <c r="S12" s="1430"/>
      <c r="T12" s="1424"/>
      <c r="U12" s="1944"/>
      <c r="V12" s="4452" t="str">
        <f>IF(('الصفحة 1'!$Q$14&gt;0),((IF((P12&gt;'الصفحة 14'!$J$13),"العدد غيرمطابق",IF((P12&lt;='الصفحة 14'!$J$13)," ")))),"")</f>
        <v xml:space="preserve"> </v>
      </c>
      <c r="W12" s="4453"/>
      <c r="X12" s="3097"/>
      <c r="Y12" s="3096"/>
      <c r="Z12" s="1420"/>
    </row>
    <row r="13" spans="1:26" ht="12" customHeight="1">
      <c r="A13" s="1418"/>
      <c r="B13" s="1431"/>
      <c r="C13" s="1442"/>
      <c r="D13" s="2430" t="s">
        <v>672</v>
      </c>
      <c r="E13" s="2265"/>
      <c r="F13" s="2265"/>
      <c r="G13" s="2265"/>
      <c r="H13" s="2265"/>
      <c r="I13" s="2265"/>
      <c r="J13" s="2265"/>
      <c r="K13" s="2265"/>
      <c r="L13" s="2265"/>
      <c r="M13" s="2265"/>
      <c r="N13" s="2265"/>
      <c r="O13" s="2265"/>
      <c r="P13" s="1998">
        <f>E13+F13+G13+H13+I13+J13+K13+L13+M13+N13+O13</f>
        <v>0</v>
      </c>
      <c r="Q13" s="1440"/>
      <c r="R13" s="144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1440"/>
      <c r="R14" s="1441"/>
      <c r="S14" s="1430"/>
      <c r="T14" s="1424"/>
      <c r="U14" s="1944"/>
      <c r="V14" s="3100" t="s">
        <v>964</v>
      </c>
      <c r="W14" s="2036"/>
      <c r="X14" s="2036"/>
      <c r="Y14" s="2036"/>
      <c r="Z14" s="1420"/>
    </row>
    <row r="15" spans="1:26" ht="12" customHeight="1">
      <c r="A15" s="1418"/>
      <c r="B15" s="1431"/>
      <c r="C15" s="1442"/>
      <c r="D15" s="2430" t="s">
        <v>20</v>
      </c>
      <c r="E15" s="2265"/>
      <c r="F15" s="1462"/>
      <c r="G15" s="1462"/>
      <c r="H15" s="1462"/>
      <c r="I15" s="1462"/>
      <c r="J15" s="1462"/>
      <c r="K15" s="1462"/>
      <c r="L15" s="1462"/>
      <c r="M15" s="1462"/>
      <c r="N15" s="1462"/>
      <c r="O15" s="1462"/>
      <c r="P15" s="1998">
        <f>E15+F15+G15+H15+I15+J15+K15+L15+M15+N15+O15</f>
        <v>0</v>
      </c>
      <c r="Q15" s="1440"/>
      <c r="R15" s="1441"/>
      <c r="S15" s="1430"/>
      <c r="T15" s="1424"/>
      <c r="U15" s="1944"/>
      <c r="V15" s="4452" t="str">
        <f>IF(('الصفحة 1'!$Q$14&gt;0),((IF((P15&gt;'الصفحة 14'!$J$15),"العدد غيرمطابق",IF((P15&lt;='الصفحة 14'!$J$15)," ")))),"")</f>
        <v xml:space="preserve"> </v>
      </c>
      <c r="W15" s="4453"/>
      <c r="X15" s="3097"/>
      <c r="Y15" s="2036"/>
      <c r="Z15" s="1420"/>
    </row>
    <row r="16" spans="1:26" ht="12" customHeight="1">
      <c r="A16" s="1418"/>
      <c r="B16" s="1431"/>
      <c r="C16" s="1442"/>
      <c r="D16" s="2430" t="s">
        <v>672</v>
      </c>
      <c r="E16" s="2265"/>
      <c r="F16" s="2265"/>
      <c r="G16" s="2265"/>
      <c r="H16" s="2265"/>
      <c r="I16" s="2265"/>
      <c r="J16" s="2265"/>
      <c r="K16" s="2265"/>
      <c r="L16" s="2265"/>
      <c r="M16" s="2265"/>
      <c r="N16" s="2265"/>
      <c r="O16" s="2265"/>
      <c r="P16" s="1998">
        <f>E16+F16+G16+H16+I16+J16+K16+L16+M16+N16+O16</f>
        <v>0</v>
      </c>
      <c r="Q16" s="1440"/>
      <c r="R16" s="144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1440"/>
      <c r="R17" s="144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52" t="str">
        <f>IF(('الصفحة 1'!$Q$14&gt;0),((IF((P18&gt;'الصفحة 14'!$J$17),"العدد غيرمطابق",IF((P18&lt;='الصفحة 14'!$J$17),"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1440"/>
      <c r="R20" s="1441"/>
      <c r="S20" s="1430"/>
      <c r="T20" s="1424"/>
      <c r="U20" s="1944"/>
      <c r="V20" s="3100" t="s">
        <v>962</v>
      </c>
      <c r="W20" s="2039"/>
      <c r="X20" s="3052"/>
      <c r="Y20" s="3052"/>
      <c r="Z20" s="1420"/>
    </row>
    <row r="21" spans="1:26" ht="12" customHeight="1">
      <c r="A21" s="1418"/>
      <c r="B21" s="1431"/>
      <c r="C21" s="1442"/>
      <c r="D21" s="2430" t="s">
        <v>20</v>
      </c>
      <c r="E21" s="2265">
        <v>2</v>
      </c>
      <c r="F21" s="1462">
        <v>1</v>
      </c>
      <c r="G21" s="1462"/>
      <c r="H21" s="1462"/>
      <c r="I21" s="1462"/>
      <c r="J21" s="1462"/>
      <c r="K21" s="1462"/>
      <c r="L21" s="1462"/>
      <c r="M21" s="1462"/>
      <c r="N21" s="1462"/>
      <c r="O21" s="1462"/>
      <c r="P21" s="1998">
        <f>E21+F21+G21+H21+I21+J21+K21+L21+M21+N21+O21</f>
        <v>3</v>
      </c>
      <c r="Q21" s="1440"/>
      <c r="R21" s="1441"/>
      <c r="S21" s="1430"/>
      <c r="T21" s="1424"/>
      <c r="U21" s="1944"/>
      <c r="V21" s="4452" t="str">
        <f>IF(('الصفحة 1'!$Q$14&gt;0),((IF((P21&gt;'الصفحة 14'!$J$19),"العدد غيرمطابق",IF((P21&lt;='الصفحة 14'!$J$19)," ")))),"")</f>
        <v xml:space="preserve"> </v>
      </c>
      <c r="W21" s="4453"/>
      <c r="X21" s="3097"/>
      <c r="Y21" s="3052"/>
      <c r="Z21" s="1420"/>
    </row>
    <row r="22" spans="1:26" ht="12" customHeight="1">
      <c r="A22" s="1418"/>
      <c r="B22" s="1431"/>
      <c r="C22" s="1442"/>
      <c r="D22" s="2430" t="s">
        <v>672</v>
      </c>
      <c r="E22" s="2265">
        <v>2</v>
      </c>
      <c r="F22" s="2265">
        <v>1</v>
      </c>
      <c r="G22" s="2265"/>
      <c r="H22" s="2265"/>
      <c r="I22" s="2265"/>
      <c r="J22" s="2265"/>
      <c r="K22" s="2265"/>
      <c r="L22" s="2265"/>
      <c r="M22" s="2265"/>
      <c r="N22" s="2265"/>
      <c r="O22" s="2265"/>
      <c r="P22" s="1998">
        <f>E22+F22+G22+H22+I22+J22+K22+L22+M22+N22+O22</f>
        <v>3</v>
      </c>
      <c r="Q22" s="1440"/>
      <c r="R22" s="144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1440"/>
      <c r="R23" s="144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52" t="str">
        <f>IF(('الصفحة 1'!$Q$14&gt;0),((IF((P24&gt;'الصفحة 14'!$J$21),"العدد غيرمطابق",IF((P24&lt;='الصفحة 14'!$J$21),"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1440"/>
      <c r="R26" s="1441"/>
      <c r="S26" s="1430"/>
      <c r="T26" s="1424"/>
      <c r="U26" s="1944"/>
      <c r="V26" s="3109" t="s">
        <v>1083</v>
      </c>
      <c r="W26" s="1966"/>
      <c r="X26" s="3052"/>
      <c r="Y26" s="3052"/>
      <c r="Z26" s="1420"/>
    </row>
    <row r="27" spans="1:26" ht="12" customHeight="1">
      <c r="A27" s="1418"/>
      <c r="B27" s="1431"/>
      <c r="C27" s="1442"/>
      <c r="D27" s="2430" t="s">
        <v>20</v>
      </c>
      <c r="E27" s="1996">
        <f>(E12+E15+E18+E21+E24)</f>
        <v>2</v>
      </c>
      <c r="F27" s="1997">
        <f t="shared" ref="F27:O27" si="0">(F12+F15+F18+F21+F24)</f>
        <v>1</v>
      </c>
      <c r="G27" s="1997">
        <f t="shared" si="0"/>
        <v>0</v>
      </c>
      <c r="H27" s="1997">
        <f t="shared" si="0"/>
        <v>0</v>
      </c>
      <c r="I27" s="1997">
        <f t="shared" si="0"/>
        <v>1</v>
      </c>
      <c r="J27" s="1997">
        <f t="shared" si="0"/>
        <v>0</v>
      </c>
      <c r="K27" s="1997">
        <f t="shared" si="0"/>
        <v>1</v>
      </c>
      <c r="L27" s="1997">
        <f t="shared" si="0"/>
        <v>0</v>
      </c>
      <c r="M27" s="1997">
        <f t="shared" si="0"/>
        <v>0</v>
      </c>
      <c r="N27" s="1997">
        <f t="shared" si="0"/>
        <v>0</v>
      </c>
      <c r="O27" s="1997">
        <f t="shared" si="0"/>
        <v>0</v>
      </c>
      <c r="P27" s="1998">
        <f>E27+F27+G27+H27+I27+J27+K27+L27+M27+N27+O27</f>
        <v>5</v>
      </c>
      <c r="Q27" s="1440"/>
      <c r="R27" s="1441"/>
      <c r="S27" s="1430"/>
      <c r="T27" s="1424"/>
      <c r="U27" s="1944"/>
      <c r="V27" s="4452" t="str">
        <f>IF(('الصفحة 1'!$Q$14&gt;0),((IF((P27&gt;'الصفحة 14'!$J$23),"العدد غيرمطابق",IF((P27&lt;='الصفحة 14'!$J$23)," ")))),"")</f>
        <v xml:space="preserve"> </v>
      </c>
      <c r="W27" s="4453"/>
      <c r="X27" s="3097"/>
      <c r="Y27" s="3052"/>
      <c r="Z27" s="1420"/>
    </row>
    <row r="28" spans="1:26" ht="12" customHeight="1">
      <c r="A28" s="1418"/>
      <c r="B28" s="1431"/>
      <c r="C28" s="1442"/>
      <c r="D28" s="2430" t="s">
        <v>672</v>
      </c>
      <c r="E28" s="1996">
        <f t="shared" ref="E28:O28" si="1">(E13+E16+E19+E22+E25)</f>
        <v>2</v>
      </c>
      <c r="F28" s="1996">
        <f t="shared" si="1"/>
        <v>1</v>
      </c>
      <c r="G28" s="1996">
        <f t="shared" si="1"/>
        <v>0</v>
      </c>
      <c r="H28" s="1996">
        <f t="shared" si="1"/>
        <v>0</v>
      </c>
      <c r="I28" s="1996">
        <f t="shared" si="1"/>
        <v>0</v>
      </c>
      <c r="J28" s="1996">
        <f t="shared" si="1"/>
        <v>0</v>
      </c>
      <c r="K28" s="1996">
        <f t="shared" si="1"/>
        <v>0</v>
      </c>
      <c r="L28" s="1996">
        <f t="shared" si="1"/>
        <v>0</v>
      </c>
      <c r="M28" s="1996">
        <f t="shared" si="1"/>
        <v>0</v>
      </c>
      <c r="N28" s="1996">
        <f t="shared" si="1"/>
        <v>0</v>
      </c>
      <c r="O28" s="1996">
        <f t="shared" si="1"/>
        <v>0</v>
      </c>
      <c r="P28" s="1998">
        <f>E28+F28+G28+H28+I28+J28+K28+L28+M28+N28+O28</f>
        <v>3</v>
      </c>
      <c r="Q28" s="1440"/>
      <c r="R28" s="144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1440"/>
      <c r="R29" s="144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64"/>
      <c r="W31" s="4464"/>
      <c r="X31" s="3052"/>
      <c r="Y31" s="3052"/>
      <c r="Z31" s="1420"/>
    </row>
    <row r="32" spans="1:26" ht="11.1" customHeight="1">
      <c r="A32" s="1418"/>
      <c r="B32" s="1431"/>
      <c r="C32" s="1442"/>
      <c r="D32" s="2437" t="s">
        <v>1176</v>
      </c>
      <c r="E32" s="2000"/>
      <c r="F32" s="2000"/>
      <c r="G32" s="2000"/>
      <c r="H32" s="2000"/>
      <c r="I32" s="2000"/>
      <c r="J32" s="2000"/>
      <c r="K32" s="2000"/>
      <c r="L32" s="2000"/>
      <c r="M32" s="2000"/>
      <c r="N32" s="2000"/>
      <c r="O32" s="2000"/>
      <c r="P32" s="2403" t="s">
        <v>1177</v>
      </c>
      <c r="Q32" s="1440"/>
      <c r="R32" s="1441"/>
      <c r="S32" s="1430"/>
      <c r="T32" s="1424"/>
      <c r="U32" s="1944"/>
      <c r="V32" s="2177"/>
      <c r="W32" s="1966"/>
      <c r="X32" s="3052"/>
      <c r="Y32" s="3052"/>
      <c r="Z32" s="1420"/>
    </row>
    <row r="33" spans="1:26" ht="12.9" customHeight="1">
      <c r="A33" s="1418"/>
      <c r="B33" s="1431"/>
      <c r="C33" s="1442"/>
      <c r="D33" s="2430" t="s">
        <v>20</v>
      </c>
      <c r="E33" s="2265">
        <v>1</v>
      </c>
      <c r="F33" s="1462"/>
      <c r="G33" s="1462"/>
      <c r="H33" s="1462"/>
      <c r="I33" s="1462"/>
      <c r="J33" s="1462"/>
      <c r="K33" s="1462"/>
      <c r="L33" s="1462"/>
      <c r="M33" s="1462"/>
      <c r="N33" s="1462"/>
      <c r="O33" s="1462"/>
      <c r="P33" s="1998">
        <f>E33+F33+G33+H33+I33+J33+K33+L33+M33+N33+O33</f>
        <v>1</v>
      </c>
      <c r="Q33" s="1440"/>
      <c r="R33" s="1441"/>
      <c r="S33" s="1430"/>
      <c r="T33" s="1424"/>
      <c r="U33" s="1944"/>
      <c r="V33" s="4464"/>
      <c r="W33" s="4464"/>
      <c r="X33" s="3052"/>
      <c r="Y33" s="3052"/>
      <c r="Z33" s="1420"/>
    </row>
    <row r="34" spans="1:26" ht="12" customHeight="1">
      <c r="A34" s="1418"/>
      <c r="B34" s="1431"/>
      <c r="C34" s="1442"/>
      <c r="D34" s="2430" t="s">
        <v>672</v>
      </c>
      <c r="E34" s="2265">
        <v>1</v>
      </c>
      <c r="F34" s="2265"/>
      <c r="G34" s="2265"/>
      <c r="H34" s="2265"/>
      <c r="I34" s="2265"/>
      <c r="J34" s="2265"/>
      <c r="K34" s="2265"/>
      <c r="L34" s="2265"/>
      <c r="M34" s="2265"/>
      <c r="N34" s="2265"/>
      <c r="O34" s="2265"/>
      <c r="P34" s="1998">
        <f>E34+F34+G34+H34+I34+J34+K34+L34+M34+N34+O34</f>
        <v>1</v>
      </c>
      <c r="Q34" s="1440"/>
      <c r="R34" s="144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1440"/>
      <c r="R35" s="1441"/>
      <c r="S35" s="1430"/>
      <c r="T35" s="1424"/>
      <c r="U35" s="1944"/>
      <c r="V35" s="2176"/>
      <c r="W35" s="1966"/>
      <c r="X35" s="3052"/>
      <c r="Y35" s="3052"/>
      <c r="Z35" s="1420"/>
    </row>
    <row r="36" spans="1:26" ht="12.9" customHeight="1">
      <c r="A36" s="1418"/>
      <c r="B36" s="1431"/>
      <c r="C36" s="1442"/>
      <c r="D36" s="2430" t="s">
        <v>20</v>
      </c>
      <c r="E36" s="1996">
        <f>(E27+E33)</f>
        <v>3</v>
      </c>
      <c r="F36" s="1997">
        <f t="shared" ref="F36:O36" si="2">(F27+F33)</f>
        <v>1</v>
      </c>
      <c r="G36" s="1997">
        <f t="shared" si="2"/>
        <v>0</v>
      </c>
      <c r="H36" s="1997">
        <f t="shared" si="2"/>
        <v>0</v>
      </c>
      <c r="I36" s="1997">
        <f t="shared" si="2"/>
        <v>1</v>
      </c>
      <c r="J36" s="1997">
        <f t="shared" si="2"/>
        <v>0</v>
      </c>
      <c r="K36" s="1997">
        <f t="shared" si="2"/>
        <v>1</v>
      </c>
      <c r="L36" s="1997">
        <f t="shared" si="2"/>
        <v>0</v>
      </c>
      <c r="M36" s="1997">
        <f t="shared" si="2"/>
        <v>0</v>
      </c>
      <c r="N36" s="1997">
        <f t="shared" si="2"/>
        <v>0</v>
      </c>
      <c r="O36" s="1997">
        <f t="shared" si="2"/>
        <v>0</v>
      </c>
      <c r="P36" s="1998">
        <f>E36+F36+G36+H36+I36+J36+K36+L36+M36+N36+O36</f>
        <v>6</v>
      </c>
      <c r="Q36" s="1440"/>
      <c r="R36" s="1441"/>
      <c r="S36" s="1430"/>
      <c r="T36" s="1424"/>
      <c r="U36" s="1944"/>
      <c r="V36" s="4464"/>
      <c r="W36" s="4464"/>
      <c r="X36" s="3052"/>
      <c r="Y36" s="3052"/>
      <c r="Z36" s="1420"/>
    </row>
    <row r="37" spans="1:26" ht="12.9" customHeight="1">
      <c r="A37" s="1418"/>
      <c r="B37" s="1431"/>
      <c r="C37" s="1442"/>
      <c r="D37" s="2430" t="s">
        <v>672</v>
      </c>
      <c r="E37" s="1996">
        <f t="shared" ref="E37:O37" si="3">(E28+E34)</f>
        <v>3</v>
      </c>
      <c r="F37" s="1996">
        <f t="shared" si="3"/>
        <v>1</v>
      </c>
      <c r="G37" s="1996">
        <f t="shared" si="3"/>
        <v>0</v>
      </c>
      <c r="H37" s="1996">
        <f t="shared" si="3"/>
        <v>0</v>
      </c>
      <c r="I37" s="1996">
        <f t="shared" si="3"/>
        <v>0</v>
      </c>
      <c r="J37" s="1996">
        <f t="shared" si="3"/>
        <v>0</v>
      </c>
      <c r="K37" s="1996">
        <f t="shared" si="3"/>
        <v>0</v>
      </c>
      <c r="L37" s="1996">
        <f t="shared" si="3"/>
        <v>0</v>
      </c>
      <c r="M37" s="1996">
        <f t="shared" si="3"/>
        <v>0</v>
      </c>
      <c r="N37" s="1996">
        <f t="shared" si="3"/>
        <v>0</v>
      </c>
      <c r="O37" s="1996">
        <f t="shared" si="3"/>
        <v>0</v>
      </c>
      <c r="P37" s="1998">
        <f>E37+F37+G37+H37+I37+J37+K37+L37+M37+N37+O37</f>
        <v>4</v>
      </c>
      <c r="Q37" s="1440"/>
      <c r="R37" s="144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1440"/>
      <c r="R38" s="1441"/>
      <c r="S38" s="1430"/>
      <c r="T38" s="1424"/>
      <c r="U38" s="1944"/>
      <c r="V38" s="2038"/>
      <c r="W38" s="1966"/>
      <c r="X38" s="3052"/>
      <c r="Y38" s="3052"/>
      <c r="Z38" s="1420"/>
    </row>
    <row r="39" spans="1:26" ht="15" customHeight="1">
      <c r="A39" s="1418"/>
      <c r="B39" s="1431"/>
      <c r="C39" s="1442"/>
      <c r="D39" s="2441" t="s">
        <v>1136</v>
      </c>
      <c r="E39" s="2419"/>
      <c r="F39" s="2419"/>
      <c r="G39" s="2419"/>
      <c r="H39" s="2442" t="s">
        <v>1257</v>
      </c>
      <c r="I39" s="2420"/>
      <c r="J39" s="2420"/>
      <c r="K39" s="2420"/>
      <c r="L39" s="2419"/>
      <c r="M39" s="2419"/>
      <c r="N39" s="2419"/>
      <c r="O39" s="2419"/>
      <c r="P39" s="2443" t="s">
        <v>1178</v>
      </c>
      <c r="Q39" s="1440"/>
      <c r="R39" s="144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1440"/>
      <c r="R40" s="144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1440"/>
      <c r="R41" s="1441"/>
      <c r="S41" s="1430"/>
      <c r="T41" s="1424"/>
      <c r="U41" s="1944"/>
      <c r="V41" s="2179" t="s">
        <v>1085</v>
      </c>
      <c r="W41" s="1966"/>
      <c r="X41" s="2037"/>
      <c r="Y41" s="2037"/>
      <c r="Z41" s="1420"/>
    </row>
    <row r="42" spans="1:26" ht="14.1" customHeight="1">
      <c r="A42" s="1418"/>
      <c r="B42" s="1431"/>
      <c r="C42" s="1442"/>
      <c r="D42" s="2430" t="s">
        <v>20</v>
      </c>
      <c r="E42" s="2265">
        <v>1</v>
      </c>
      <c r="F42" s="1462">
        <v>5</v>
      </c>
      <c r="G42" s="1462"/>
      <c r="H42" s="1462"/>
      <c r="I42" s="1462"/>
      <c r="J42" s="1462"/>
      <c r="K42" s="1462"/>
      <c r="L42" s="1462"/>
      <c r="M42" s="2453">
        <f>E42+F42+G42+H42+I42+J42+K42+L42</f>
        <v>6</v>
      </c>
      <c r="N42" s="2452"/>
      <c r="O42" s="2452"/>
      <c r="P42" s="2452"/>
      <c r="Q42" s="1440"/>
      <c r="R42" s="1441"/>
      <c r="S42" s="1430"/>
      <c r="T42" s="1424"/>
      <c r="U42" s="1944"/>
      <c r="V42" s="4452" t="str">
        <f>IF(('الصفحة 1'!$Q$14&gt;0),((IF((M42&gt;'الصفحة 14'!$J$23),"العدد غيرمطابق",IF((M42&lt;='الصفحة 14'!$J$23)," ")))),"")</f>
        <v xml:space="preserve"> </v>
      </c>
      <c r="W42" s="4453"/>
      <c r="X42" s="1975" t="str">
        <f>IF(('الصفحة 1'!$Q$14&gt;0),((IF((M42&lt;&gt;P27),"العدد غيرمطابق",IF((M42=P27)," ")))),"")</f>
        <v>العدد غيرمطابق</v>
      </c>
      <c r="Y42" s="2037"/>
      <c r="Z42" s="1420"/>
    </row>
    <row r="43" spans="1:26" ht="14.1" customHeight="1">
      <c r="A43" s="1418"/>
      <c r="B43" s="1431"/>
      <c r="C43" s="1442"/>
      <c r="D43" s="2430" t="s">
        <v>672</v>
      </c>
      <c r="E43" s="2265">
        <v>1</v>
      </c>
      <c r="F43" s="2265">
        <v>3</v>
      </c>
      <c r="G43" s="2265"/>
      <c r="H43" s="2265"/>
      <c r="I43" s="2265"/>
      <c r="J43" s="2265"/>
      <c r="K43" s="2265"/>
      <c r="L43" s="2265"/>
      <c r="M43" s="2453">
        <f>E43+F43+G43+H43+I43+J43+K43+L43</f>
        <v>4</v>
      </c>
      <c r="N43" s="2452"/>
      <c r="O43" s="2452"/>
      <c r="P43" s="2452"/>
      <c r="Q43" s="1440"/>
      <c r="R43" s="1441"/>
      <c r="S43" s="1430"/>
      <c r="T43" s="1424"/>
      <c r="U43" s="1944"/>
      <c r="V43" s="4452" t="str">
        <f>IF(('الصفحة 1'!$Q$14&gt;0),((IF((M43&gt;'الصفحة 14'!$J$23),"العدد غيرمطابق",IF((M43&lt;='الصفحة 14'!$J$23)," ")))),"")</f>
        <v xml:space="preserve"> </v>
      </c>
      <c r="W43" s="4453"/>
      <c r="X43" s="1975" t="str">
        <f>IF(('الصفحة 1'!$Q$14&gt;0),((IF((M43&lt;&gt;P28),"العدد غيرمطابق",IF((M43=P28)," ")))),"")</f>
        <v>العدد غيرمطابق</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1440"/>
      <c r="R44" s="144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1440"/>
      <c r="R45" s="1441"/>
      <c r="S45" s="1430"/>
      <c r="T45" s="1424"/>
      <c r="U45" s="1944"/>
      <c r="V45" s="2038"/>
      <c r="W45" s="1966"/>
      <c r="X45" s="2037"/>
      <c r="Y45" s="2037"/>
      <c r="Z45" s="1420"/>
    </row>
    <row r="46" spans="1:26" ht="15" customHeight="1">
      <c r="A46" s="1418"/>
      <c r="B46" s="1431"/>
      <c r="C46" s="1442"/>
      <c r="D46" s="2441" t="s">
        <v>1137</v>
      </c>
      <c r="E46" s="2457"/>
      <c r="F46" s="2457"/>
      <c r="G46" s="2457"/>
      <c r="H46" s="2442" t="s">
        <v>1257</v>
      </c>
      <c r="I46" s="2458"/>
      <c r="J46" s="2458"/>
      <c r="K46" s="2458"/>
      <c r="L46" s="2457"/>
      <c r="M46" s="2457"/>
      <c r="N46" s="2457"/>
      <c r="O46" s="2457"/>
      <c r="P46" s="2459" t="s">
        <v>1138</v>
      </c>
      <c r="Q46" s="1440"/>
      <c r="R46" s="144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1440"/>
      <c r="R47" s="144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1440"/>
      <c r="R48" s="144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1440"/>
      <c r="R49" s="1441"/>
      <c r="S49" s="1430"/>
      <c r="T49" s="1424"/>
      <c r="U49" s="1944"/>
      <c r="V49" s="4452" t="str">
        <f>IF(('الصفحة 1'!$Q$14&gt;0),((IF((O49&gt;'الصفحة 14'!$J$23),"العدد غيرمطابق",IF((O49&lt;='الصفحة 14'!$J$23)," ")))),"")</f>
        <v xml:space="preserve"> </v>
      </c>
      <c r="W49" s="4453"/>
      <c r="X49" s="1975" t="str">
        <f>IF(('الصفحة 1'!$Q$14&gt;0),((IF((O49&lt;&gt;P27),"العدد غيرمطابق",IF((O49=P27)," ")))),"")</f>
        <v>العدد غيرمطابق</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1440"/>
      <c r="R50" s="1441"/>
      <c r="S50" s="1430"/>
      <c r="T50" s="1424"/>
      <c r="U50" s="1944"/>
      <c r="V50" s="4452" t="str">
        <f>IF(('الصفحة 1'!$Q$14&gt;0),((IF((O50&gt;'الصفحة 14'!$J$23),"العدد غيرمطابق",IF((O50&lt;='الصفحة 14'!$J$23)," ")))),"")</f>
        <v xml:space="preserve"> </v>
      </c>
      <c r="W50" s="4453"/>
      <c r="X50" s="1975" t="str">
        <f>IF(('الصفحة 1'!$Q$14&gt;0),((IF((O50&lt;&gt;P28),"العدد غيرمطابق",IF((O50=P28)," ")))),"")</f>
        <v>العدد غيرمطابق</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20</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5:W15"/>
    <mergeCell ref="V2:X6"/>
    <mergeCell ref="V10:W10"/>
    <mergeCell ref="V12:W12"/>
    <mergeCell ref="V13:W13"/>
    <mergeCell ref="V8:W8"/>
    <mergeCell ref="V33:W33"/>
    <mergeCell ref="V16:W16"/>
    <mergeCell ref="V18:W18"/>
    <mergeCell ref="V19:W19"/>
    <mergeCell ref="V21:W21"/>
    <mergeCell ref="V22:W22"/>
    <mergeCell ref="V24:W24"/>
    <mergeCell ref="V25:W25"/>
    <mergeCell ref="V27:W27"/>
    <mergeCell ref="V28:W28"/>
    <mergeCell ref="V30:W30"/>
    <mergeCell ref="V31:W31"/>
    <mergeCell ref="V34:W34"/>
    <mergeCell ref="V36:W36"/>
    <mergeCell ref="V37:W37"/>
    <mergeCell ref="V42:W42"/>
    <mergeCell ref="V43:W43"/>
    <mergeCell ref="O48:P48"/>
    <mergeCell ref="E49:F49"/>
    <mergeCell ref="G49:H49"/>
    <mergeCell ref="I49:J49"/>
    <mergeCell ref="K49:L49"/>
    <mergeCell ref="M49:N49"/>
    <mergeCell ref="O49:P49"/>
    <mergeCell ref="E48:F48"/>
    <mergeCell ref="G48:H48"/>
    <mergeCell ref="I48:J48"/>
    <mergeCell ref="K48:L48"/>
    <mergeCell ref="M48:N48"/>
    <mergeCell ref="C53:R53"/>
    <mergeCell ref="V49:W49"/>
    <mergeCell ref="E50:F50"/>
    <mergeCell ref="G50:H50"/>
    <mergeCell ref="I50:J50"/>
    <mergeCell ref="K50:L50"/>
    <mergeCell ref="M50:N50"/>
    <mergeCell ref="O50:P50"/>
    <mergeCell ref="V50:W50"/>
  </mergeCells>
  <conditionalFormatting sqref="G49 I49:I50 K49:K50 M49:M50 O49:O50 V49:V50 X49:X50 E49 X42:X43 E42:P42 V42:V43 E27:P27 E12:P12 E15:P15 E18:P18 E21:P21 V12:V13 V15:V16 V18:V19 E30:P30 X12:X13 X15:X16 X18:X19 E24:P24 X21:X25 V21:V22 V24:V25 X27:X28 V27:V28">
    <cfRule type="cellIs" dxfId="14129" priority="1781" operator="equal">
      <formula>0</formula>
    </cfRule>
  </conditionalFormatting>
  <conditionalFormatting sqref="E13 E43:P44 V50 X50">
    <cfRule type="cellIs" dxfId="14128" priority="1779" operator="greaterThan">
      <formula>E12</formula>
    </cfRule>
    <cfRule type="cellIs" dxfId="14127" priority="1780" operator="equal">
      <formula>0</formula>
    </cfRule>
  </conditionalFormatting>
  <conditionalFormatting sqref="F13">
    <cfRule type="cellIs" dxfId="14126" priority="1777" operator="greaterThan">
      <formula>F12</formula>
    </cfRule>
    <cfRule type="cellIs" dxfId="14125" priority="1778" operator="equal">
      <formula>0</formula>
    </cfRule>
  </conditionalFormatting>
  <conditionalFormatting sqref="G13">
    <cfRule type="cellIs" dxfId="14124" priority="1775" operator="greaterThan">
      <formula>G12</formula>
    </cfRule>
    <cfRule type="cellIs" dxfId="14123" priority="1776" operator="equal">
      <formula>0</formula>
    </cfRule>
  </conditionalFormatting>
  <conditionalFormatting sqref="H13">
    <cfRule type="cellIs" dxfId="14122" priority="1773" operator="greaterThan">
      <formula>H12</formula>
    </cfRule>
    <cfRule type="cellIs" dxfId="14121" priority="1774" operator="equal">
      <formula>0</formula>
    </cfRule>
  </conditionalFormatting>
  <conditionalFormatting sqref="I13">
    <cfRule type="cellIs" dxfId="14120" priority="1771" operator="greaterThan">
      <formula>I12</formula>
    </cfRule>
    <cfRule type="cellIs" dxfId="14119" priority="1772" operator="equal">
      <formula>0</formula>
    </cfRule>
  </conditionalFormatting>
  <conditionalFormatting sqref="J13">
    <cfRule type="cellIs" dxfId="14118" priority="1769" operator="greaterThan">
      <formula>J12</formula>
    </cfRule>
    <cfRule type="cellIs" dxfId="14117" priority="1770" operator="equal">
      <formula>0</formula>
    </cfRule>
  </conditionalFormatting>
  <conditionalFormatting sqref="K13">
    <cfRule type="cellIs" dxfId="14116" priority="1767" operator="greaterThan">
      <formula>K12</formula>
    </cfRule>
    <cfRule type="cellIs" dxfId="14115" priority="1768" operator="equal">
      <formula>0</formula>
    </cfRule>
  </conditionalFormatting>
  <conditionalFormatting sqref="L13">
    <cfRule type="cellIs" dxfId="14114" priority="1765" operator="greaterThan">
      <formula>L12</formula>
    </cfRule>
    <cfRule type="cellIs" dxfId="14113" priority="1766" operator="equal">
      <formula>0</formula>
    </cfRule>
  </conditionalFormatting>
  <conditionalFormatting sqref="M13">
    <cfRule type="cellIs" dxfId="14112" priority="1763" operator="greaterThan">
      <formula>M12</formula>
    </cfRule>
    <cfRule type="cellIs" dxfId="14111" priority="1764" operator="equal">
      <formula>0</formula>
    </cfRule>
  </conditionalFormatting>
  <conditionalFormatting sqref="N13">
    <cfRule type="cellIs" dxfId="14110" priority="1761" operator="greaterThan">
      <formula>N12</formula>
    </cfRule>
    <cfRule type="cellIs" dxfId="14109" priority="1762" operator="equal">
      <formula>0</formula>
    </cfRule>
  </conditionalFormatting>
  <conditionalFormatting sqref="O13">
    <cfRule type="cellIs" dxfId="14108" priority="1759" operator="greaterThan">
      <formula>O12</formula>
    </cfRule>
    <cfRule type="cellIs" dxfId="14107" priority="1760" operator="equal">
      <formula>0</formula>
    </cfRule>
  </conditionalFormatting>
  <conditionalFormatting sqref="P13">
    <cfRule type="cellIs" dxfId="14106" priority="1757" operator="greaterThan">
      <formula>P12</formula>
    </cfRule>
    <cfRule type="cellIs" dxfId="14105" priority="1758" operator="equal">
      <formula>0</formula>
    </cfRule>
  </conditionalFormatting>
  <conditionalFormatting sqref="E16">
    <cfRule type="cellIs" dxfId="14104" priority="1755" operator="greaterThan">
      <formula>E15</formula>
    </cfRule>
    <cfRule type="cellIs" dxfId="14103" priority="1756" operator="equal">
      <formula>0</formula>
    </cfRule>
  </conditionalFormatting>
  <conditionalFormatting sqref="F16">
    <cfRule type="cellIs" dxfId="14102" priority="1753" operator="greaterThan">
      <formula>F15</formula>
    </cfRule>
    <cfRule type="cellIs" dxfId="14101" priority="1754" operator="equal">
      <formula>0</formula>
    </cfRule>
  </conditionalFormatting>
  <conditionalFormatting sqref="G16">
    <cfRule type="cellIs" dxfId="14100" priority="1751" operator="greaterThan">
      <formula>G15</formula>
    </cfRule>
    <cfRule type="cellIs" dxfId="14099" priority="1752" operator="equal">
      <formula>0</formula>
    </cfRule>
  </conditionalFormatting>
  <conditionalFormatting sqref="H16">
    <cfRule type="cellIs" dxfId="14098" priority="1749" operator="greaterThan">
      <formula>H15</formula>
    </cfRule>
    <cfRule type="cellIs" dxfId="14097" priority="1750" operator="equal">
      <formula>0</formula>
    </cfRule>
  </conditionalFormatting>
  <conditionalFormatting sqref="I16">
    <cfRule type="cellIs" dxfId="14096" priority="1747" operator="greaterThan">
      <formula>I15</formula>
    </cfRule>
    <cfRule type="cellIs" dxfId="14095" priority="1748" operator="equal">
      <formula>0</formula>
    </cfRule>
  </conditionalFormatting>
  <conditionalFormatting sqref="J16">
    <cfRule type="cellIs" dxfId="14094" priority="1745" operator="greaterThan">
      <formula>J15</formula>
    </cfRule>
    <cfRule type="cellIs" dxfId="14093" priority="1746" operator="equal">
      <formula>0</formula>
    </cfRule>
  </conditionalFormatting>
  <conditionalFormatting sqref="K16">
    <cfRule type="cellIs" dxfId="14092" priority="1743" operator="greaterThan">
      <formula>K15</formula>
    </cfRule>
    <cfRule type="cellIs" dxfId="14091" priority="1744" operator="equal">
      <formula>0</formula>
    </cfRule>
  </conditionalFormatting>
  <conditionalFormatting sqref="L16">
    <cfRule type="cellIs" dxfId="14090" priority="1741" operator="greaterThan">
      <formula>L15</formula>
    </cfRule>
    <cfRule type="cellIs" dxfId="14089" priority="1742" operator="equal">
      <formula>0</formula>
    </cfRule>
  </conditionalFormatting>
  <conditionalFormatting sqref="M16">
    <cfRule type="cellIs" dxfId="14088" priority="1739" operator="greaterThan">
      <formula>M15</formula>
    </cfRule>
    <cfRule type="cellIs" dxfId="14087" priority="1740" operator="equal">
      <formula>0</formula>
    </cfRule>
  </conditionalFormatting>
  <conditionalFormatting sqref="N16">
    <cfRule type="cellIs" dxfId="14086" priority="1737" operator="greaterThan">
      <formula>N15</formula>
    </cfRule>
    <cfRule type="cellIs" dxfId="14085" priority="1738" operator="equal">
      <formula>0</formula>
    </cfRule>
  </conditionalFormatting>
  <conditionalFormatting sqref="O16">
    <cfRule type="cellIs" dxfId="14084" priority="1735" operator="greaterThan">
      <formula>O15</formula>
    </cfRule>
    <cfRule type="cellIs" dxfId="14083" priority="1736" operator="equal">
      <formula>0</formula>
    </cfRule>
  </conditionalFormatting>
  <conditionalFormatting sqref="P16">
    <cfRule type="cellIs" dxfId="14082" priority="1733" operator="greaterThan">
      <formula>P15</formula>
    </cfRule>
    <cfRule type="cellIs" dxfId="14081" priority="1734" operator="equal">
      <formula>0</formula>
    </cfRule>
  </conditionalFormatting>
  <conditionalFormatting sqref="E19">
    <cfRule type="cellIs" dxfId="14080" priority="1731" operator="greaterThan">
      <formula>E18</formula>
    </cfRule>
    <cfRule type="cellIs" dxfId="14079" priority="1732" operator="equal">
      <formula>0</formula>
    </cfRule>
  </conditionalFormatting>
  <conditionalFormatting sqref="F19">
    <cfRule type="cellIs" dxfId="14078" priority="1729" operator="greaterThan">
      <formula>F18</formula>
    </cfRule>
    <cfRule type="cellIs" dxfId="14077" priority="1730" operator="equal">
      <formula>0</formula>
    </cfRule>
  </conditionalFormatting>
  <conditionalFormatting sqref="G19">
    <cfRule type="cellIs" dxfId="14076" priority="1727" operator="greaterThan">
      <formula>G18</formula>
    </cfRule>
    <cfRule type="cellIs" dxfId="14075" priority="1728" operator="equal">
      <formula>0</formula>
    </cfRule>
  </conditionalFormatting>
  <conditionalFormatting sqref="H19">
    <cfRule type="cellIs" dxfId="14074" priority="1725" operator="greaterThan">
      <formula>H18</formula>
    </cfRule>
    <cfRule type="cellIs" dxfId="14073" priority="1726" operator="equal">
      <formula>0</formula>
    </cfRule>
  </conditionalFormatting>
  <conditionalFormatting sqref="I19">
    <cfRule type="cellIs" dxfId="14072" priority="1723" operator="greaterThan">
      <formula>I18</formula>
    </cfRule>
    <cfRule type="cellIs" dxfId="14071" priority="1724" operator="equal">
      <formula>0</formula>
    </cfRule>
  </conditionalFormatting>
  <conditionalFormatting sqref="J19">
    <cfRule type="cellIs" dxfId="14070" priority="1721" operator="greaterThan">
      <formula>J18</formula>
    </cfRule>
    <cfRule type="cellIs" dxfId="14069" priority="1722" operator="equal">
      <formula>0</formula>
    </cfRule>
  </conditionalFormatting>
  <conditionalFormatting sqref="K19">
    <cfRule type="cellIs" dxfId="14068" priority="1719" operator="greaterThan">
      <formula>K18</formula>
    </cfRule>
    <cfRule type="cellIs" dxfId="14067" priority="1720" operator="equal">
      <formula>0</formula>
    </cfRule>
  </conditionalFormatting>
  <conditionalFormatting sqref="L19">
    <cfRule type="cellIs" dxfId="14066" priority="1717" operator="greaterThan">
      <formula>L18</formula>
    </cfRule>
    <cfRule type="cellIs" dxfId="14065" priority="1718" operator="equal">
      <formula>0</formula>
    </cfRule>
  </conditionalFormatting>
  <conditionalFormatting sqref="M19">
    <cfRule type="cellIs" dxfId="14064" priority="1715" operator="greaterThan">
      <formula>M18</formula>
    </cfRule>
    <cfRule type="cellIs" dxfId="14063" priority="1716" operator="equal">
      <formula>0</formula>
    </cfRule>
  </conditionalFormatting>
  <conditionalFormatting sqref="N19">
    <cfRule type="cellIs" dxfId="14062" priority="1713" operator="greaterThan">
      <formula>N18</formula>
    </cfRule>
    <cfRule type="cellIs" dxfId="14061" priority="1714" operator="equal">
      <formula>0</formula>
    </cfRule>
  </conditionalFormatting>
  <conditionalFormatting sqref="O19">
    <cfRule type="cellIs" dxfId="14060" priority="1711" operator="greaterThan">
      <formula>O18</formula>
    </cfRule>
    <cfRule type="cellIs" dxfId="14059" priority="1712" operator="equal">
      <formula>0</formula>
    </cfRule>
  </conditionalFormatting>
  <conditionalFormatting sqref="P19">
    <cfRule type="cellIs" dxfId="14058" priority="1709" operator="greaterThan">
      <formula>P18</formula>
    </cfRule>
    <cfRule type="cellIs" dxfId="14057" priority="1710" operator="equal">
      <formula>0</formula>
    </cfRule>
  </conditionalFormatting>
  <conditionalFormatting sqref="E22">
    <cfRule type="cellIs" dxfId="14056" priority="1707" operator="greaterThan">
      <formula>E21</formula>
    </cfRule>
    <cfRule type="cellIs" dxfId="14055" priority="1708" operator="equal">
      <formula>0</formula>
    </cfRule>
  </conditionalFormatting>
  <conditionalFormatting sqref="F22">
    <cfRule type="cellIs" dxfId="14054" priority="1705" operator="greaterThan">
      <formula>F21</formula>
    </cfRule>
    <cfRule type="cellIs" dxfId="14053" priority="1706" operator="equal">
      <formula>0</formula>
    </cfRule>
  </conditionalFormatting>
  <conditionalFormatting sqref="G22">
    <cfRule type="cellIs" dxfId="14052" priority="1703" operator="greaterThan">
      <formula>G21</formula>
    </cfRule>
    <cfRule type="cellIs" dxfId="14051" priority="1704" operator="equal">
      <formula>0</formula>
    </cfRule>
  </conditionalFormatting>
  <conditionalFormatting sqref="H22">
    <cfRule type="cellIs" dxfId="14050" priority="1701" operator="greaterThan">
      <formula>H21</formula>
    </cfRule>
    <cfRule type="cellIs" dxfId="14049" priority="1702" operator="equal">
      <formula>0</formula>
    </cfRule>
  </conditionalFormatting>
  <conditionalFormatting sqref="I22">
    <cfRule type="cellIs" dxfId="14048" priority="1699" operator="greaterThan">
      <formula>I21</formula>
    </cfRule>
    <cfRule type="cellIs" dxfId="14047" priority="1700" operator="equal">
      <formula>0</formula>
    </cfRule>
  </conditionalFormatting>
  <conditionalFormatting sqref="J22">
    <cfRule type="cellIs" dxfId="14046" priority="1697" operator="greaterThan">
      <formula>J21</formula>
    </cfRule>
    <cfRule type="cellIs" dxfId="14045" priority="1698" operator="equal">
      <formula>0</formula>
    </cfRule>
  </conditionalFormatting>
  <conditionalFormatting sqref="K22">
    <cfRule type="cellIs" dxfId="14044" priority="1695" operator="greaterThan">
      <formula>K21</formula>
    </cfRule>
    <cfRule type="cellIs" dxfId="14043" priority="1696" operator="equal">
      <formula>0</formula>
    </cfRule>
  </conditionalFormatting>
  <conditionalFormatting sqref="L22">
    <cfRule type="cellIs" dxfId="14042" priority="1693" operator="greaterThan">
      <formula>L21</formula>
    </cfRule>
    <cfRule type="cellIs" dxfId="14041" priority="1694" operator="equal">
      <formula>0</formula>
    </cfRule>
  </conditionalFormatting>
  <conditionalFormatting sqref="M22">
    <cfRule type="cellIs" dxfId="14040" priority="1691" operator="greaterThan">
      <formula>M21</formula>
    </cfRule>
    <cfRule type="cellIs" dxfId="14039" priority="1692" operator="equal">
      <formula>0</formula>
    </cfRule>
  </conditionalFormatting>
  <conditionalFormatting sqref="N22">
    <cfRule type="cellIs" dxfId="14038" priority="1689" operator="greaterThan">
      <formula>N21</formula>
    </cfRule>
    <cfRule type="cellIs" dxfId="14037" priority="1690" operator="equal">
      <formula>0</formula>
    </cfRule>
  </conditionalFormatting>
  <conditionalFormatting sqref="O22">
    <cfRule type="cellIs" dxfId="14036" priority="1687" operator="greaterThan">
      <formula>O21</formula>
    </cfRule>
    <cfRule type="cellIs" dxfId="14035" priority="1688" operator="equal">
      <formula>0</formula>
    </cfRule>
  </conditionalFormatting>
  <conditionalFormatting sqref="P22">
    <cfRule type="cellIs" dxfId="14034" priority="1685" operator="greaterThan">
      <formula>P21</formula>
    </cfRule>
    <cfRule type="cellIs" dxfId="14033" priority="1686" operator="equal">
      <formula>0</formula>
    </cfRule>
  </conditionalFormatting>
  <conditionalFormatting sqref="E28">
    <cfRule type="cellIs" dxfId="14032" priority="1683" operator="greaterThan">
      <formula>E27</formula>
    </cfRule>
    <cfRule type="cellIs" dxfId="14031" priority="1684" operator="equal">
      <formula>0</formula>
    </cfRule>
  </conditionalFormatting>
  <conditionalFormatting sqref="F28">
    <cfRule type="cellIs" dxfId="14030" priority="1681" operator="greaterThan">
      <formula>F27</formula>
    </cfRule>
    <cfRule type="cellIs" dxfId="14029" priority="1682" operator="equal">
      <formula>0</formula>
    </cfRule>
  </conditionalFormatting>
  <conditionalFormatting sqref="G28">
    <cfRule type="cellIs" dxfId="14028" priority="1679" operator="greaterThan">
      <formula>G27</formula>
    </cfRule>
    <cfRule type="cellIs" dxfId="14027" priority="1680" operator="equal">
      <formula>0</formula>
    </cfRule>
  </conditionalFormatting>
  <conditionalFormatting sqref="H28">
    <cfRule type="cellIs" dxfId="14026" priority="1677" operator="greaterThan">
      <formula>H27</formula>
    </cfRule>
    <cfRule type="cellIs" dxfId="14025" priority="1678" operator="equal">
      <formula>0</formula>
    </cfRule>
  </conditionalFormatting>
  <conditionalFormatting sqref="I28">
    <cfRule type="cellIs" dxfId="14024" priority="1675" operator="greaterThan">
      <formula>I27</formula>
    </cfRule>
    <cfRule type="cellIs" dxfId="14023" priority="1676" operator="equal">
      <formula>0</formula>
    </cfRule>
  </conditionalFormatting>
  <conditionalFormatting sqref="J28">
    <cfRule type="cellIs" dxfId="14022" priority="1673" operator="greaterThan">
      <formula>J27</formula>
    </cfRule>
    <cfRule type="cellIs" dxfId="14021" priority="1674" operator="equal">
      <formula>0</formula>
    </cfRule>
  </conditionalFormatting>
  <conditionalFormatting sqref="K28">
    <cfRule type="cellIs" dxfId="14020" priority="1671" operator="greaterThan">
      <formula>K27</formula>
    </cfRule>
    <cfRule type="cellIs" dxfId="14019" priority="1672" operator="equal">
      <formula>0</formula>
    </cfRule>
  </conditionalFormatting>
  <conditionalFormatting sqref="L28">
    <cfRule type="cellIs" dxfId="14018" priority="1669" operator="greaterThan">
      <formula>L27</formula>
    </cfRule>
    <cfRule type="cellIs" dxfId="14017" priority="1670" operator="equal">
      <formula>0</formula>
    </cfRule>
  </conditionalFormatting>
  <conditionalFormatting sqref="M28">
    <cfRule type="cellIs" dxfId="14016" priority="1667" operator="greaterThan">
      <formula>M27</formula>
    </cfRule>
    <cfRule type="cellIs" dxfId="14015" priority="1668" operator="equal">
      <formula>0</formula>
    </cfRule>
  </conditionalFormatting>
  <conditionalFormatting sqref="N28">
    <cfRule type="cellIs" dxfId="14014" priority="1665" operator="greaterThan">
      <formula>N27</formula>
    </cfRule>
    <cfRule type="cellIs" dxfId="14013" priority="1666" operator="equal">
      <formula>0</formula>
    </cfRule>
  </conditionalFormatting>
  <conditionalFormatting sqref="O28">
    <cfRule type="cellIs" dxfId="14012" priority="1663" operator="greaterThan">
      <formula>O27</formula>
    </cfRule>
    <cfRule type="cellIs" dxfId="14011" priority="1664" operator="equal">
      <formula>0</formula>
    </cfRule>
  </conditionalFormatting>
  <conditionalFormatting sqref="P28">
    <cfRule type="cellIs" dxfId="14010" priority="1661" operator="greaterThan">
      <formula>P27</formula>
    </cfRule>
    <cfRule type="cellIs" dxfId="14009" priority="1662" operator="equal">
      <formula>0</formula>
    </cfRule>
  </conditionalFormatting>
  <conditionalFormatting sqref="E47:P47">
    <cfRule type="cellIs" dxfId="14008" priority="1659" operator="greaterThan">
      <formula>E45</formula>
    </cfRule>
    <cfRule type="cellIs" dxfId="14007" priority="1660" operator="equal">
      <formula>0</formula>
    </cfRule>
  </conditionalFormatting>
  <conditionalFormatting sqref="G50 I50 K50 M50 O50 E50">
    <cfRule type="cellIs" dxfId="14006" priority="1657" operator="greaterThan">
      <formula>E49</formula>
    </cfRule>
    <cfRule type="cellIs" dxfId="14005" priority="1658" operator="equal">
      <formula>0</formula>
    </cfRule>
  </conditionalFormatting>
  <conditionalFormatting sqref="E51:P51">
    <cfRule type="cellIs" dxfId="14004" priority="1655" operator="greaterThan">
      <formula>E45</formula>
    </cfRule>
    <cfRule type="cellIs" dxfId="14003" priority="1656" operator="equal">
      <formula>0</formula>
    </cfRule>
  </conditionalFormatting>
  <conditionalFormatting sqref="V28">
    <cfRule type="cellIs" dxfId="14002" priority="1653" operator="greaterThan">
      <formula>V27</formula>
    </cfRule>
    <cfRule type="cellIs" dxfId="14001" priority="1654" operator="equal">
      <formula>0</formula>
    </cfRule>
  </conditionalFormatting>
  <conditionalFormatting sqref="V43">
    <cfRule type="cellIs" dxfId="14000" priority="1651" operator="greaterThan">
      <formula>V42</formula>
    </cfRule>
    <cfRule type="cellIs" dxfId="13999" priority="1652" operator="equal">
      <formula>0</formula>
    </cfRule>
  </conditionalFormatting>
  <conditionalFormatting sqref="X43">
    <cfRule type="cellIs" dxfId="13998" priority="1649" operator="greaterThan">
      <formula>X42</formula>
    </cfRule>
    <cfRule type="cellIs" dxfId="13997" priority="1650" operator="equal">
      <formula>0</formula>
    </cfRule>
  </conditionalFormatting>
  <conditionalFormatting sqref="V27">
    <cfRule type="cellIs" dxfId="13996" priority="1647" operator="greaterThan">
      <formula>V26</formula>
    </cfRule>
    <cfRule type="cellIs" dxfId="13995" priority="1648" operator="equal">
      <formula>0</formula>
    </cfRule>
  </conditionalFormatting>
  <conditionalFormatting sqref="E51:N51">
    <cfRule type="cellIs" dxfId="13994" priority="1645" operator="greaterThan">
      <formula>G50</formula>
    </cfRule>
    <cfRule type="cellIs" dxfId="13993" priority="1646" operator="equal">
      <formula>0</formula>
    </cfRule>
  </conditionalFormatting>
  <conditionalFormatting sqref="O51:P51">
    <cfRule type="cellIs" dxfId="13992" priority="1643" operator="greaterThan">
      <formula>#REF!</formula>
    </cfRule>
    <cfRule type="cellIs" dxfId="13991" priority="1644" operator="equal">
      <formula>0</formula>
    </cfRule>
  </conditionalFormatting>
  <conditionalFormatting sqref="V13">
    <cfRule type="cellIs" dxfId="13990" priority="1641" operator="greaterThan">
      <formula>V12</formula>
    </cfRule>
    <cfRule type="cellIs" dxfId="13989" priority="1642" operator="equal">
      <formula>0</formula>
    </cfRule>
  </conditionalFormatting>
  <conditionalFormatting sqref="V12">
    <cfRule type="cellIs" dxfId="13988" priority="1639" operator="greaterThan">
      <formula>V11</formula>
    </cfRule>
    <cfRule type="cellIs" dxfId="13987" priority="1640" operator="equal">
      <formula>0</formula>
    </cfRule>
  </conditionalFormatting>
  <conditionalFormatting sqref="V16">
    <cfRule type="cellIs" dxfId="13986" priority="1637" operator="greaterThan">
      <formula>V15</formula>
    </cfRule>
    <cfRule type="cellIs" dxfId="13985" priority="1638" operator="equal">
      <formula>0</formula>
    </cfRule>
  </conditionalFormatting>
  <conditionalFormatting sqref="V15">
    <cfRule type="cellIs" dxfId="13984" priority="1635" operator="greaterThan">
      <formula>V14</formula>
    </cfRule>
    <cfRule type="cellIs" dxfId="13983" priority="1636" operator="equal">
      <formula>0</formula>
    </cfRule>
  </conditionalFormatting>
  <conditionalFormatting sqref="V19">
    <cfRule type="cellIs" dxfId="13982" priority="1633" operator="greaterThan">
      <formula>V18</formula>
    </cfRule>
    <cfRule type="cellIs" dxfId="13981" priority="1634" operator="equal">
      <formula>0</formula>
    </cfRule>
  </conditionalFormatting>
  <conditionalFormatting sqref="V18">
    <cfRule type="cellIs" dxfId="13980" priority="1631" operator="greaterThan">
      <formula>V17</formula>
    </cfRule>
    <cfRule type="cellIs" dxfId="13979" priority="1632" operator="equal">
      <formula>0</formula>
    </cfRule>
  </conditionalFormatting>
  <conditionalFormatting sqref="V22 V24:V25">
    <cfRule type="cellIs" dxfId="13978" priority="1629" operator="greaterThan">
      <formula>V21</formula>
    </cfRule>
    <cfRule type="cellIs" dxfId="13977" priority="1630" operator="equal">
      <formula>0</formula>
    </cfRule>
  </conditionalFormatting>
  <conditionalFormatting sqref="V21">
    <cfRule type="cellIs" dxfId="13976" priority="1627" operator="greaterThan">
      <formula>V20</formula>
    </cfRule>
    <cfRule type="cellIs" dxfId="13975" priority="1628" operator="equal">
      <formula>0</formula>
    </cfRule>
  </conditionalFormatting>
  <conditionalFormatting sqref="E31">
    <cfRule type="cellIs" dxfId="13974" priority="1625" operator="greaterThan">
      <formula>E30</formula>
    </cfRule>
    <cfRule type="cellIs" dxfId="13973" priority="1626" operator="equal">
      <formula>0</formula>
    </cfRule>
  </conditionalFormatting>
  <conditionalFormatting sqref="F31">
    <cfRule type="cellIs" dxfId="13972" priority="1623" operator="greaterThan">
      <formula>F30</formula>
    </cfRule>
    <cfRule type="cellIs" dxfId="13971" priority="1624" operator="equal">
      <formula>0</formula>
    </cfRule>
  </conditionalFormatting>
  <conditionalFormatting sqref="G31">
    <cfRule type="cellIs" dxfId="13970" priority="1621" operator="greaterThan">
      <formula>G30</formula>
    </cfRule>
    <cfRule type="cellIs" dxfId="13969" priority="1622" operator="equal">
      <formula>0</formula>
    </cfRule>
  </conditionalFormatting>
  <conditionalFormatting sqref="H31">
    <cfRule type="cellIs" dxfId="13968" priority="1619" operator="greaterThan">
      <formula>H30</formula>
    </cfRule>
    <cfRule type="cellIs" dxfId="13967" priority="1620" operator="equal">
      <formula>0</formula>
    </cfRule>
  </conditionalFormatting>
  <conditionalFormatting sqref="I31">
    <cfRule type="cellIs" dxfId="13966" priority="1617" operator="greaterThan">
      <formula>I30</formula>
    </cfRule>
    <cfRule type="cellIs" dxfId="13965" priority="1618" operator="equal">
      <formula>0</formula>
    </cfRule>
  </conditionalFormatting>
  <conditionalFormatting sqref="J31">
    <cfRule type="cellIs" dxfId="13964" priority="1615" operator="greaterThan">
      <formula>J30</formula>
    </cfRule>
    <cfRule type="cellIs" dxfId="13963" priority="1616" operator="equal">
      <formula>0</formula>
    </cfRule>
  </conditionalFormatting>
  <conditionalFormatting sqref="K31">
    <cfRule type="cellIs" dxfId="13962" priority="1613" operator="greaterThan">
      <formula>K30</formula>
    </cfRule>
    <cfRule type="cellIs" dxfId="13961" priority="1614" operator="equal">
      <formula>0</formula>
    </cfRule>
  </conditionalFormatting>
  <conditionalFormatting sqref="L31">
    <cfRule type="cellIs" dxfId="13960" priority="1611" operator="greaterThan">
      <formula>L30</formula>
    </cfRule>
    <cfRule type="cellIs" dxfId="13959" priority="1612" operator="equal">
      <formula>0</formula>
    </cfRule>
  </conditionalFormatting>
  <conditionalFormatting sqref="M31">
    <cfRule type="cellIs" dxfId="13958" priority="1609" operator="greaterThan">
      <formula>M30</formula>
    </cfRule>
    <cfRule type="cellIs" dxfId="13957" priority="1610" operator="equal">
      <formula>0</formula>
    </cfRule>
  </conditionalFormatting>
  <conditionalFormatting sqref="N31">
    <cfRule type="cellIs" dxfId="13956" priority="1607" operator="greaterThan">
      <formula>N30</formula>
    </cfRule>
    <cfRule type="cellIs" dxfId="13955" priority="1608" operator="equal">
      <formula>0</formula>
    </cfRule>
  </conditionalFormatting>
  <conditionalFormatting sqref="O31">
    <cfRule type="cellIs" dxfId="13954" priority="1605" operator="greaterThan">
      <formula>O30</formula>
    </cfRule>
    <cfRule type="cellIs" dxfId="13953" priority="1606" operator="equal">
      <formula>0</formula>
    </cfRule>
  </conditionalFormatting>
  <conditionalFormatting sqref="P31">
    <cfRule type="cellIs" dxfId="13952" priority="1603" operator="greaterThan">
      <formula>P30</formula>
    </cfRule>
    <cfRule type="cellIs" dxfId="13951" priority="1604" operator="equal">
      <formula>0</formula>
    </cfRule>
  </conditionalFormatting>
  <conditionalFormatting sqref="E25">
    <cfRule type="cellIs" dxfId="13950" priority="1601" operator="greaterThan">
      <formula>E24</formula>
    </cfRule>
    <cfRule type="cellIs" dxfId="13949" priority="1602" operator="equal">
      <formula>0</formula>
    </cfRule>
  </conditionalFormatting>
  <conditionalFormatting sqref="F25">
    <cfRule type="cellIs" dxfId="13948" priority="1599" operator="greaterThan">
      <formula>F24</formula>
    </cfRule>
    <cfRule type="cellIs" dxfId="13947" priority="1600" operator="equal">
      <formula>0</formula>
    </cfRule>
  </conditionalFormatting>
  <conditionalFormatting sqref="G25">
    <cfRule type="cellIs" dxfId="13946" priority="1597" operator="greaterThan">
      <formula>G24</formula>
    </cfRule>
    <cfRule type="cellIs" dxfId="13945" priority="1598" operator="equal">
      <formula>0</formula>
    </cfRule>
  </conditionalFormatting>
  <conditionalFormatting sqref="H25">
    <cfRule type="cellIs" dxfId="13944" priority="1595" operator="greaterThan">
      <formula>H24</formula>
    </cfRule>
    <cfRule type="cellIs" dxfId="13943" priority="1596" operator="equal">
      <formula>0</formula>
    </cfRule>
  </conditionalFormatting>
  <conditionalFormatting sqref="I25">
    <cfRule type="cellIs" dxfId="13942" priority="1593" operator="greaterThan">
      <formula>I24</formula>
    </cfRule>
    <cfRule type="cellIs" dxfId="13941" priority="1594" operator="equal">
      <formula>0</formula>
    </cfRule>
  </conditionalFormatting>
  <conditionalFormatting sqref="J25">
    <cfRule type="cellIs" dxfId="13940" priority="1591" operator="greaterThan">
      <formula>J24</formula>
    </cfRule>
    <cfRule type="cellIs" dxfId="13939" priority="1592" operator="equal">
      <formula>0</formula>
    </cfRule>
  </conditionalFormatting>
  <conditionalFormatting sqref="K25">
    <cfRule type="cellIs" dxfId="13938" priority="1589" operator="greaterThan">
      <formula>K24</formula>
    </cfRule>
    <cfRule type="cellIs" dxfId="13937" priority="1590" operator="equal">
      <formula>0</formula>
    </cfRule>
  </conditionalFormatting>
  <conditionalFormatting sqref="L25">
    <cfRule type="cellIs" dxfId="13936" priority="1587" operator="greaterThan">
      <formula>L24</formula>
    </cfRule>
    <cfRule type="cellIs" dxfId="13935" priority="1588" operator="equal">
      <formula>0</formula>
    </cfRule>
  </conditionalFormatting>
  <conditionalFormatting sqref="M25">
    <cfRule type="cellIs" dxfId="13934" priority="1585" operator="greaterThan">
      <formula>M24</formula>
    </cfRule>
    <cfRule type="cellIs" dxfId="13933" priority="1586" operator="equal">
      <formula>0</formula>
    </cfRule>
  </conditionalFormatting>
  <conditionalFormatting sqref="N25">
    <cfRule type="cellIs" dxfId="13932" priority="1583" operator="greaterThan">
      <formula>N24</formula>
    </cfRule>
    <cfRule type="cellIs" dxfId="13931" priority="1584" operator="equal">
      <formula>0</formula>
    </cfRule>
  </conditionalFormatting>
  <conditionalFormatting sqref="O25">
    <cfRule type="cellIs" dxfId="13930" priority="1581" operator="greaterThan">
      <formula>O24</formula>
    </cfRule>
    <cfRule type="cellIs" dxfId="13929" priority="1582" operator="equal">
      <formula>0</formula>
    </cfRule>
  </conditionalFormatting>
  <conditionalFormatting sqref="P25">
    <cfRule type="cellIs" dxfId="13928" priority="1579" operator="greaterThan">
      <formula>P24</formula>
    </cfRule>
    <cfRule type="cellIs" dxfId="13927" priority="1580" operator="equal">
      <formula>0</formula>
    </cfRule>
  </conditionalFormatting>
  <conditionalFormatting sqref="E45:P45 E46:O46">
    <cfRule type="cellIs" dxfId="13926" priority="1577" operator="greaterThan">
      <formula>#REF!</formula>
    </cfRule>
    <cfRule type="cellIs" dxfId="13925" priority="1578" operator="equal">
      <formula>0</formula>
    </cfRule>
  </conditionalFormatting>
  <conditionalFormatting sqref="E33:P33">
    <cfRule type="cellIs" dxfId="13924" priority="1576" operator="equal">
      <formula>0</formula>
    </cfRule>
  </conditionalFormatting>
  <conditionalFormatting sqref="E34">
    <cfRule type="cellIs" dxfId="13923" priority="1574" operator="greaterThan">
      <formula>E33</formula>
    </cfRule>
    <cfRule type="cellIs" dxfId="13922" priority="1575" operator="equal">
      <formula>0</formula>
    </cfRule>
  </conditionalFormatting>
  <conditionalFormatting sqref="F34">
    <cfRule type="cellIs" dxfId="13921" priority="1572" operator="greaterThan">
      <formula>F33</formula>
    </cfRule>
    <cfRule type="cellIs" dxfId="13920" priority="1573" operator="equal">
      <formula>0</formula>
    </cfRule>
  </conditionalFormatting>
  <conditionalFormatting sqref="G34">
    <cfRule type="cellIs" dxfId="13919" priority="1570" operator="greaterThan">
      <formula>G33</formula>
    </cfRule>
    <cfRule type="cellIs" dxfId="13918" priority="1571" operator="equal">
      <formula>0</formula>
    </cfRule>
  </conditionalFormatting>
  <conditionalFormatting sqref="H34">
    <cfRule type="cellIs" dxfId="13917" priority="1568" operator="greaterThan">
      <formula>H33</formula>
    </cfRule>
    <cfRule type="cellIs" dxfId="13916" priority="1569" operator="equal">
      <formula>0</formula>
    </cfRule>
  </conditionalFormatting>
  <conditionalFormatting sqref="I34">
    <cfRule type="cellIs" dxfId="13915" priority="1566" operator="greaterThan">
      <formula>I33</formula>
    </cfRule>
    <cfRule type="cellIs" dxfId="13914" priority="1567" operator="equal">
      <formula>0</formula>
    </cfRule>
  </conditionalFormatting>
  <conditionalFormatting sqref="J34">
    <cfRule type="cellIs" dxfId="13913" priority="1564" operator="greaterThan">
      <formula>J33</formula>
    </cfRule>
    <cfRule type="cellIs" dxfId="13912" priority="1565" operator="equal">
      <formula>0</formula>
    </cfRule>
  </conditionalFormatting>
  <conditionalFormatting sqref="K34">
    <cfRule type="cellIs" dxfId="13911" priority="1562" operator="greaterThan">
      <formula>K33</formula>
    </cfRule>
    <cfRule type="cellIs" dxfId="13910" priority="1563" operator="equal">
      <formula>0</formula>
    </cfRule>
  </conditionalFormatting>
  <conditionalFormatting sqref="L34">
    <cfRule type="cellIs" dxfId="13909" priority="1560" operator="greaterThan">
      <formula>L33</formula>
    </cfRule>
    <cfRule type="cellIs" dxfId="13908" priority="1561" operator="equal">
      <formula>0</formula>
    </cfRule>
  </conditionalFormatting>
  <conditionalFormatting sqref="M34">
    <cfRule type="cellIs" dxfId="13907" priority="1558" operator="greaterThan">
      <formula>M33</formula>
    </cfRule>
    <cfRule type="cellIs" dxfId="13906" priority="1559" operator="equal">
      <formula>0</formula>
    </cfRule>
  </conditionalFormatting>
  <conditionalFormatting sqref="N34">
    <cfRule type="cellIs" dxfId="13905" priority="1556" operator="greaterThan">
      <formula>N33</formula>
    </cfRule>
    <cfRule type="cellIs" dxfId="13904" priority="1557" operator="equal">
      <formula>0</formula>
    </cfRule>
  </conditionalFormatting>
  <conditionalFormatting sqref="O34">
    <cfRule type="cellIs" dxfId="13903" priority="1554" operator="greaterThan">
      <formula>O33</formula>
    </cfRule>
    <cfRule type="cellIs" dxfId="13902" priority="1555" operator="equal">
      <formula>0</formula>
    </cfRule>
  </conditionalFormatting>
  <conditionalFormatting sqref="P34">
    <cfRule type="cellIs" dxfId="13901" priority="1552" operator="greaterThan">
      <formula>P33</formula>
    </cfRule>
    <cfRule type="cellIs" dxfId="13900" priority="1553" operator="equal">
      <formula>0</formula>
    </cfRule>
  </conditionalFormatting>
  <conditionalFormatting sqref="E36:P36">
    <cfRule type="cellIs" dxfId="13899" priority="1551" operator="equal">
      <formula>0</formula>
    </cfRule>
  </conditionalFormatting>
  <conditionalFormatting sqref="E37">
    <cfRule type="cellIs" dxfId="13898" priority="1549" operator="greaterThan">
      <formula>E36</formula>
    </cfRule>
    <cfRule type="cellIs" dxfId="13897" priority="1550" operator="equal">
      <formula>0</formula>
    </cfRule>
  </conditionalFormatting>
  <conditionalFormatting sqref="F37">
    <cfRule type="cellIs" dxfId="13896" priority="1547" operator="greaterThan">
      <formula>F36</formula>
    </cfRule>
    <cfRule type="cellIs" dxfId="13895" priority="1548" operator="equal">
      <formula>0</formula>
    </cfRule>
  </conditionalFormatting>
  <conditionalFormatting sqref="G37">
    <cfRule type="cellIs" dxfId="13894" priority="1545" operator="greaterThan">
      <formula>G36</formula>
    </cfRule>
    <cfRule type="cellIs" dxfId="13893" priority="1546" operator="equal">
      <formula>0</formula>
    </cfRule>
  </conditionalFormatting>
  <conditionalFormatting sqref="H37">
    <cfRule type="cellIs" dxfId="13892" priority="1543" operator="greaterThan">
      <formula>H36</formula>
    </cfRule>
    <cfRule type="cellIs" dxfId="13891" priority="1544" operator="equal">
      <formula>0</formula>
    </cfRule>
  </conditionalFormatting>
  <conditionalFormatting sqref="I37">
    <cfRule type="cellIs" dxfId="13890" priority="1541" operator="greaterThan">
      <formula>I36</formula>
    </cfRule>
    <cfRule type="cellIs" dxfId="13889" priority="1542" operator="equal">
      <formula>0</formula>
    </cfRule>
  </conditionalFormatting>
  <conditionalFormatting sqref="J37">
    <cfRule type="cellIs" dxfId="13888" priority="1539" operator="greaterThan">
      <formula>J36</formula>
    </cfRule>
    <cfRule type="cellIs" dxfId="13887" priority="1540" operator="equal">
      <formula>0</formula>
    </cfRule>
  </conditionalFormatting>
  <conditionalFormatting sqref="K37">
    <cfRule type="cellIs" dxfId="13886" priority="1537" operator="greaterThan">
      <formula>K36</formula>
    </cfRule>
    <cfRule type="cellIs" dxfId="13885" priority="1538" operator="equal">
      <formula>0</formula>
    </cfRule>
  </conditionalFormatting>
  <conditionalFormatting sqref="L37">
    <cfRule type="cellIs" dxfId="13884" priority="1535" operator="greaterThan">
      <formula>L36</formula>
    </cfRule>
    <cfRule type="cellIs" dxfId="13883" priority="1536" operator="equal">
      <formula>0</formula>
    </cfRule>
  </conditionalFormatting>
  <conditionalFormatting sqref="M37">
    <cfRule type="cellIs" dxfId="13882" priority="1533" operator="greaterThan">
      <formula>M36</formula>
    </cfRule>
    <cfRule type="cellIs" dxfId="13881" priority="1534" operator="equal">
      <formula>0</formula>
    </cfRule>
  </conditionalFormatting>
  <conditionalFormatting sqref="N37">
    <cfRule type="cellIs" dxfId="13880" priority="1531" operator="greaterThan">
      <formula>N36</formula>
    </cfRule>
    <cfRule type="cellIs" dxfId="13879" priority="1532" operator="equal">
      <formula>0</formula>
    </cfRule>
  </conditionalFormatting>
  <conditionalFormatting sqref="O37">
    <cfRule type="cellIs" dxfId="13878" priority="1529" operator="greaterThan">
      <formula>O36</formula>
    </cfRule>
    <cfRule type="cellIs" dxfId="13877" priority="1530" operator="equal">
      <formula>0</formula>
    </cfRule>
  </conditionalFormatting>
  <conditionalFormatting sqref="P37">
    <cfRule type="cellIs" dxfId="13876" priority="1527" operator="greaterThan">
      <formula>P36</formula>
    </cfRule>
    <cfRule type="cellIs" dxfId="13875" priority="1528" operator="equal">
      <formula>0</formula>
    </cfRule>
  </conditionalFormatting>
  <conditionalFormatting sqref="V24">
    <cfRule type="cellIs" dxfId="13874" priority="1525" operator="greaterThan">
      <formula>V23</formula>
    </cfRule>
    <cfRule type="cellIs" dxfId="13873" priority="1526" operator="equal">
      <formula>0</formula>
    </cfRule>
  </conditionalFormatting>
  <conditionalFormatting sqref="V27:V28">
    <cfRule type="cellIs" dxfId="13872" priority="1523" operator="greaterThan">
      <formula>V26</formula>
    </cfRule>
    <cfRule type="cellIs" dxfId="13871" priority="1524" operator="equal">
      <formula>0</formula>
    </cfRule>
  </conditionalFormatting>
  <conditionalFormatting sqref="V27">
    <cfRule type="cellIs" dxfId="13870" priority="1521" operator="greaterThan">
      <formula>V26</formula>
    </cfRule>
    <cfRule type="cellIs" dxfId="13869" priority="1522" operator="equal">
      <formula>0</formula>
    </cfRule>
  </conditionalFormatting>
  <conditionalFormatting sqref="P42 P27 P12 P15 P18 P21 P30 P24">
    <cfRule type="cellIs" dxfId="13868" priority="1520" operator="equal">
      <formula>0</formula>
    </cfRule>
  </conditionalFormatting>
  <conditionalFormatting sqref="P43:P44">
    <cfRule type="cellIs" dxfId="13867" priority="1518" operator="greaterThan">
      <formula>P42</formula>
    </cfRule>
    <cfRule type="cellIs" dxfId="13866" priority="1519" operator="equal">
      <formula>0</formula>
    </cfRule>
  </conditionalFormatting>
  <conditionalFormatting sqref="P13">
    <cfRule type="cellIs" dxfId="13865" priority="1516" operator="greaterThan">
      <formula>P12</formula>
    </cfRule>
    <cfRule type="cellIs" dxfId="13864" priority="1517" operator="equal">
      <formula>0</formula>
    </cfRule>
  </conditionalFormatting>
  <conditionalFormatting sqref="P16">
    <cfRule type="cellIs" dxfId="13863" priority="1514" operator="greaterThan">
      <formula>P15</formula>
    </cfRule>
    <cfRule type="cellIs" dxfId="13862" priority="1515" operator="equal">
      <formula>0</formula>
    </cfRule>
  </conditionalFormatting>
  <conditionalFormatting sqref="P19">
    <cfRule type="cellIs" dxfId="13861" priority="1512" operator="greaterThan">
      <formula>P18</formula>
    </cfRule>
    <cfRule type="cellIs" dxfId="13860" priority="1513" operator="equal">
      <formula>0</formula>
    </cfRule>
  </conditionalFormatting>
  <conditionalFormatting sqref="P22">
    <cfRule type="cellIs" dxfId="13859" priority="1510" operator="greaterThan">
      <formula>P21</formula>
    </cfRule>
    <cfRule type="cellIs" dxfId="13858" priority="1511" operator="equal">
      <formula>0</formula>
    </cfRule>
  </conditionalFormatting>
  <conditionalFormatting sqref="P28">
    <cfRule type="cellIs" dxfId="13857" priority="1508" operator="greaterThan">
      <formula>P27</formula>
    </cfRule>
    <cfRule type="cellIs" dxfId="13856" priority="1509" operator="equal">
      <formula>0</formula>
    </cfRule>
  </conditionalFormatting>
  <conditionalFormatting sqref="P31">
    <cfRule type="cellIs" dxfId="13855" priority="1506" operator="greaterThan">
      <formula>P30</formula>
    </cfRule>
    <cfRule type="cellIs" dxfId="13854" priority="1507" operator="equal">
      <formula>0</formula>
    </cfRule>
  </conditionalFormatting>
  <conditionalFormatting sqref="P25">
    <cfRule type="cellIs" dxfId="13853" priority="1504" operator="greaterThan">
      <formula>P24</formula>
    </cfRule>
    <cfRule type="cellIs" dxfId="13852" priority="1505" operator="equal">
      <formula>0</formula>
    </cfRule>
  </conditionalFormatting>
  <conditionalFormatting sqref="P45">
    <cfRule type="cellIs" dxfId="13851" priority="1502" operator="greaterThan">
      <formula>#REF!</formula>
    </cfRule>
    <cfRule type="cellIs" dxfId="13850" priority="1503" operator="equal">
      <formula>0</formula>
    </cfRule>
  </conditionalFormatting>
  <conditionalFormatting sqref="P33">
    <cfRule type="cellIs" dxfId="13849" priority="1501" operator="equal">
      <formula>0</formula>
    </cfRule>
  </conditionalFormatting>
  <conditionalFormatting sqref="P34">
    <cfRule type="cellIs" dxfId="13848" priority="1499" operator="greaterThan">
      <formula>P33</formula>
    </cfRule>
    <cfRule type="cellIs" dxfId="13847" priority="1500" operator="equal">
      <formula>0</formula>
    </cfRule>
  </conditionalFormatting>
  <conditionalFormatting sqref="P36">
    <cfRule type="cellIs" dxfId="13846" priority="1498" operator="equal">
      <formula>0</formula>
    </cfRule>
  </conditionalFormatting>
  <conditionalFormatting sqref="P37">
    <cfRule type="cellIs" dxfId="13845" priority="1496" operator="greaterThan">
      <formula>P36</formula>
    </cfRule>
    <cfRule type="cellIs" dxfId="13844" priority="1497" operator="equal">
      <formula>0</formula>
    </cfRule>
  </conditionalFormatting>
  <conditionalFormatting sqref="E46:O46">
    <cfRule type="cellIs" dxfId="13843" priority="1494" operator="greaterThan">
      <formula>#REF!</formula>
    </cfRule>
    <cfRule type="cellIs" dxfId="13842" priority="1495" operator="equal">
      <formula>0</formula>
    </cfRule>
  </conditionalFormatting>
  <conditionalFormatting sqref="H42">
    <cfRule type="cellIs" dxfId="13841" priority="1493" operator="equal">
      <formula>0</formula>
    </cfRule>
  </conditionalFormatting>
  <conditionalFormatting sqref="H43:H44">
    <cfRule type="cellIs" dxfId="13840" priority="1491" operator="greaterThan">
      <formula>H42</formula>
    </cfRule>
    <cfRule type="cellIs" dxfId="13839" priority="1492" operator="equal">
      <formula>0</formula>
    </cfRule>
  </conditionalFormatting>
  <conditionalFormatting sqref="H45">
    <cfRule type="cellIs" dxfId="13838" priority="1489" operator="greaterThan">
      <formula>#REF!</formula>
    </cfRule>
    <cfRule type="cellIs" dxfId="13837" priority="1490" operator="equal">
      <formula>0</formula>
    </cfRule>
  </conditionalFormatting>
  <conditionalFormatting sqref="X49:X50 X42:X43 V42:V43 V12:V13 X12:X13 V15:V16 X15:X16 V18:V19 X18:X19 V21:V22 V24:V25 X21:X25 V27:V28 X27:X28 V49:V50">
    <cfRule type="cellIs" dxfId="13836" priority="1488" operator="equal">
      <formula>0</formula>
    </cfRule>
  </conditionalFormatting>
  <conditionalFormatting sqref="V50 X50">
    <cfRule type="cellIs" dxfId="13835" priority="1486" operator="greaterThan">
      <formula>V49</formula>
    </cfRule>
    <cfRule type="cellIs" dxfId="13834" priority="1487" operator="equal">
      <formula>0</formula>
    </cfRule>
  </conditionalFormatting>
  <conditionalFormatting sqref="V28">
    <cfRule type="cellIs" dxfId="13833" priority="1484" operator="greaterThan">
      <formula>V27</formula>
    </cfRule>
    <cfRule type="cellIs" dxfId="13832" priority="1485" operator="equal">
      <formula>0</formula>
    </cfRule>
  </conditionalFormatting>
  <conditionalFormatting sqref="V43">
    <cfRule type="cellIs" dxfId="13831" priority="1482" operator="greaterThan">
      <formula>V42</formula>
    </cfRule>
    <cfRule type="cellIs" dxfId="13830" priority="1483" operator="equal">
      <formula>0</formula>
    </cfRule>
  </conditionalFormatting>
  <conditionalFormatting sqref="X43">
    <cfRule type="cellIs" dxfId="13829" priority="1480" operator="greaterThan">
      <formula>X42</formula>
    </cfRule>
    <cfRule type="cellIs" dxfId="13828" priority="1481" operator="equal">
      <formula>0</formula>
    </cfRule>
  </conditionalFormatting>
  <conditionalFormatting sqref="V27">
    <cfRule type="cellIs" dxfId="13827" priority="1478" operator="greaterThan">
      <formula>V26</formula>
    </cfRule>
    <cfRule type="cellIs" dxfId="13826" priority="1479" operator="equal">
      <formula>0</formula>
    </cfRule>
  </conditionalFormatting>
  <conditionalFormatting sqref="V13">
    <cfRule type="cellIs" dxfId="13825" priority="1476" operator="greaterThan">
      <formula>V12</formula>
    </cfRule>
    <cfRule type="cellIs" dxfId="13824" priority="1477" operator="equal">
      <formula>0</formula>
    </cfRule>
  </conditionalFormatting>
  <conditionalFormatting sqref="V12">
    <cfRule type="cellIs" dxfId="13823" priority="1474" operator="greaterThan">
      <formula>V11</formula>
    </cfRule>
    <cfRule type="cellIs" dxfId="13822" priority="1475" operator="equal">
      <formula>0</formula>
    </cfRule>
  </conditionalFormatting>
  <conditionalFormatting sqref="V16">
    <cfRule type="cellIs" dxfId="13821" priority="1472" operator="greaterThan">
      <formula>V15</formula>
    </cfRule>
    <cfRule type="cellIs" dxfId="13820" priority="1473" operator="equal">
      <formula>0</formula>
    </cfRule>
  </conditionalFormatting>
  <conditionalFormatting sqref="V15">
    <cfRule type="cellIs" dxfId="13819" priority="1470" operator="greaterThan">
      <formula>V14</formula>
    </cfRule>
    <cfRule type="cellIs" dxfId="13818" priority="1471" operator="equal">
      <formula>0</formula>
    </cfRule>
  </conditionalFormatting>
  <conditionalFormatting sqref="V19">
    <cfRule type="cellIs" dxfId="13817" priority="1468" operator="greaterThan">
      <formula>V18</formula>
    </cfRule>
    <cfRule type="cellIs" dxfId="13816" priority="1469" operator="equal">
      <formula>0</formula>
    </cfRule>
  </conditionalFormatting>
  <conditionalFormatting sqref="V18">
    <cfRule type="cellIs" dxfId="13815" priority="1466" operator="greaterThan">
      <formula>V17</formula>
    </cfRule>
    <cfRule type="cellIs" dxfId="13814" priority="1467" operator="equal">
      <formula>0</formula>
    </cfRule>
  </conditionalFormatting>
  <conditionalFormatting sqref="V22 V24:V25">
    <cfRule type="cellIs" dxfId="13813" priority="1464" operator="greaterThan">
      <formula>V21</formula>
    </cfRule>
    <cfRule type="cellIs" dxfId="13812" priority="1465" operator="equal">
      <formula>0</formula>
    </cfRule>
  </conditionalFormatting>
  <conditionalFormatting sqref="V21">
    <cfRule type="cellIs" dxfId="13811" priority="1462" operator="greaterThan">
      <formula>V20</formula>
    </cfRule>
    <cfRule type="cellIs" dxfId="13810" priority="1463" operator="equal">
      <formula>0</formula>
    </cfRule>
  </conditionalFormatting>
  <conditionalFormatting sqref="V24">
    <cfRule type="cellIs" dxfId="13809" priority="1460" operator="greaterThan">
      <formula>V23</formula>
    </cfRule>
    <cfRule type="cellIs" dxfId="13808" priority="1461" operator="equal">
      <formula>0</formula>
    </cfRule>
  </conditionalFormatting>
  <conditionalFormatting sqref="V27:V28">
    <cfRule type="cellIs" dxfId="13807" priority="1458" operator="greaterThan">
      <formula>V26</formula>
    </cfRule>
    <cfRule type="cellIs" dxfId="13806" priority="1459" operator="equal">
      <formula>0</formula>
    </cfRule>
  </conditionalFormatting>
  <conditionalFormatting sqref="V27">
    <cfRule type="cellIs" dxfId="13805" priority="1456" operator="greaterThan">
      <formula>V26</formula>
    </cfRule>
    <cfRule type="cellIs" dxfId="13804" priority="1457" operator="equal">
      <formula>0</formula>
    </cfRule>
  </conditionalFormatting>
  <conditionalFormatting sqref="V16">
    <cfRule type="cellIs" dxfId="13803" priority="1454" operator="greaterThan">
      <formula>V15</formula>
    </cfRule>
    <cfRule type="cellIs" dxfId="13802" priority="1455" operator="equal">
      <formula>0</formula>
    </cfRule>
  </conditionalFormatting>
  <conditionalFormatting sqref="V15">
    <cfRule type="cellIs" dxfId="13801" priority="1452" operator="greaterThan">
      <formula>V14</formula>
    </cfRule>
    <cfRule type="cellIs" dxfId="13800" priority="1453" operator="equal">
      <formula>0</formula>
    </cfRule>
  </conditionalFormatting>
  <conditionalFormatting sqref="V19">
    <cfRule type="cellIs" dxfId="13799" priority="1450" operator="greaterThan">
      <formula>V18</formula>
    </cfRule>
    <cfRule type="cellIs" dxfId="13798" priority="1451" operator="equal">
      <formula>0</formula>
    </cfRule>
  </conditionalFormatting>
  <conditionalFormatting sqref="V18">
    <cfRule type="cellIs" dxfId="13797" priority="1448" operator="greaterThan">
      <formula>V17</formula>
    </cfRule>
    <cfRule type="cellIs" dxfId="13796" priority="1449" operator="equal">
      <formula>0</formula>
    </cfRule>
  </conditionalFormatting>
  <conditionalFormatting sqref="V22">
    <cfRule type="cellIs" dxfId="13795" priority="1446" operator="greaterThan">
      <formula>V21</formula>
    </cfRule>
    <cfRule type="cellIs" dxfId="13794" priority="1447" operator="equal">
      <formula>0</formula>
    </cfRule>
  </conditionalFormatting>
  <conditionalFormatting sqref="V21">
    <cfRule type="cellIs" dxfId="13793" priority="1444" operator="greaterThan">
      <formula>V20</formula>
    </cfRule>
    <cfRule type="cellIs" dxfId="13792" priority="1445" operator="equal">
      <formula>0</formula>
    </cfRule>
  </conditionalFormatting>
  <conditionalFormatting sqref="V25">
    <cfRule type="cellIs" dxfId="13791" priority="1442" operator="greaterThan">
      <formula>V24</formula>
    </cfRule>
    <cfRule type="cellIs" dxfId="13790" priority="1443" operator="equal">
      <formula>0</formula>
    </cfRule>
  </conditionalFormatting>
  <conditionalFormatting sqref="V24">
    <cfRule type="cellIs" dxfId="13789" priority="1440" operator="greaterThan">
      <formula>V23</formula>
    </cfRule>
    <cfRule type="cellIs" dxfId="13788" priority="1441" operator="equal">
      <formula>0</formula>
    </cfRule>
  </conditionalFormatting>
  <conditionalFormatting sqref="V28">
    <cfRule type="cellIs" dxfId="13787" priority="1438" operator="greaterThan">
      <formula>V27</formula>
    </cfRule>
    <cfRule type="cellIs" dxfId="13786" priority="1439" operator="equal">
      <formula>0</formula>
    </cfRule>
  </conditionalFormatting>
  <conditionalFormatting sqref="V27">
    <cfRule type="cellIs" dxfId="13785" priority="1436" operator="greaterThan">
      <formula>V26</formula>
    </cfRule>
    <cfRule type="cellIs" dxfId="13784" priority="1437" operator="equal">
      <formula>0</formula>
    </cfRule>
  </conditionalFormatting>
  <conditionalFormatting sqref="V30:V31 X30:X31">
    <cfRule type="cellIs" dxfId="13783" priority="1435" operator="equal">
      <formula>0</formula>
    </cfRule>
  </conditionalFormatting>
  <conditionalFormatting sqref="V31">
    <cfRule type="cellIs" dxfId="13782" priority="1433" operator="greaterThan">
      <formula>V30</formula>
    </cfRule>
    <cfRule type="cellIs" dxfId="13781" priority="1434" operator="equal">
      <formula>0</formula>
    </cfRule>
  </conditionalFormatting>
  <conditionalFormatting sqref="V30">
    <cfRule type="cellIs" dxfId="13780" priority="1431" operator="greaterThan">
      <formula>V29</formula>
    </cfRule>
    <cfRule type="cellIs" dxfId="13779" priority="1432" operator="equal">
      <formula>0</formula>
    </cfRule>
  </conditionalFormatting>
  <conditionalFormatting sqref="V33:V34 X33:X34">
    <cfRule type="cellIs" dxfId="13778" priority="1430" operator="equal">
      <formula>0</formula>
    </cfRule>
  </conditionalFormatting>
  <conditionalFormatting sqref="V34">
    <cfRule type="cellIs" dxfId="13777" priority="1428" operator="greaterThan">
      <formula>V33</formula>
    </cfRule>
    <cfRule type="cellIs" dxfId="13776" priority="1429" operator="equal">
      <formula>0</formula>
    </cfRule>
  </conditionalFormatting>
  <conditionalFormatting sqref="V33">
    <cfRule type="cellIs" dxfId="13775" priority="1426" operator="greaterThan">
      <formula>V32</formula>
    </cfRule>
    <cfRule type="cellIs" dxfId="13774" priority="1427" operator="equal">
      <formula>0</formula>
    </cfRule>
  </conditionalFormatting>
  <conditionalFormatting sqref="V36:V37 X36:X37">
    <cfRule type="cellIs" dxfId="13773" priority="1425" operator="equal">
      <formula>0</formula>
    </cfRule>
  </conditionalFormatting>
  <conditionalFormatting sqref="V37">
    <cfRule type="cellIs" dxfId="13772" priority="1423" operator="greaterThan">
      <formula>V36</formula>
    </cfRule>
    <cfRule type="cellIs" dxfId="13771" priority="1424" operator="equal">
      <formula>0</formula>
    </cfRule>
  </conditionalFormatting>
  <conditionalFormatting sqref="V36">
    <cfRule type="cellIs" dxfId="13770" priority="1421" operator="greaterThan">
      <formula>V35</formula>
    </cfRule>
    <cfRule type="cellIs" dxfId="13769" priority="1422" operator="equal">
      <formula>0</formula>
    </cfRule>
  </conditionalFormatting>
  <conditionalFormatting sqref="V16">
    <cfRule type="cellIs" dxfId="13768" priority="1419" operator="greaterThan">
      <formula>V15</formula>
    </cfRule>
    <cfRule type="cellIs" dxfId="13767" priority="1420" operator="equal">
      <formula>0</formula>
    </cfRule>
  </conditionalFormatting>
  <conditionalFormatting sqref="V15">
    <cfRule type="cellIs" dxfId="13766" priority="1417" operator="greaterThan">
      <formula>V14</formula>
    </cfRule>
    <cfRule type="cellIs" dxfId="13765" priority="1418" operator="equal">
      <formula>0</formula>
    </cfRule>
  </conditionalFormatting>
  <conditionalFormatting sqref="V16">
    <cfRule type="cellIs" dxfId="13764" priority="1415" operator="greaterThan">
      <formula>V15</formula>
    </cfRule>
    <cfRule type="cellIs" dxfId="13763" priority="1416" operator="equal">
      <formula>0</formula>
    </cfRule>
  </conditionalFormatting>
  <conditionalFormatting sqref="V15">
    <cfRule type="cellIs" dxfId="13762" priority="1413" operator="greaterThan">
      <formula>V14</formula>
    </cfRule>
    <cfRule type="cellIs" dxfId="13761" priority="1414" operator="equal">
      <formula>0</formula>
    </cfRule>
  </conditionalFormatting>
  <conditionalFormatting sqref="V19">
    <cfRule type="cellIs" dxfId="13760" priority="1411" operator="greaterThan">
      <formula>V18</formula>
    </cfRule>
    <cfRule type="cellIs" dxfId="13759" priority="1412" operator="equal">
      <formula>0</formula>
    </cfRule>
  </conditionalFormatting>
  <conditionalFormatting sqref="V18">
    <cfRule type="cellIs" dxfId="13758" priority="1409" operator="greaterThan">
      <formula>V17</formula>
    </cfRule>
    <cfRule type="cellIs" dxfId="13757" priority="1410" operator="equal">
      <formula>0</formula>
    </cfRule>
  </conditionalFormatting>
  <conditionalFormatting sqref="V19">
    <cfRule type="cellIs" dxfId="13756" priority="1407" operator="greaterThan">
      <formula>V18</formula>
    </cfRule>
    <cfRule type="cellIs" dxfId="13755" priority="1408" operator="equal">
      <formula>0</formula>
    </cfRule>
  </conditionalFormatting>
  <conditionalFormatting sqref="V18">
    <cfRule type="cellIs" dxfId="13754" priority="1405" operator="greaterThan">
      <formula>V17</formula>
    </cfRule>
    <cfRule type="cellIs" dxfId="13753" priority="1406" operator="equal">
      <formula>0</formula>
    </cfRule>
  </conditionalFormatting>
  <conditionalFormatting sqref="V19">
    <cfRule type="cellIs" dxfId="13752" priority="1403" operator="greaterThan">
      <formula>V18</formula>
    </cfRule>
    <cfRule type="cellIs" dxfId="13751" priority="1404" operator="equal">
      <formula>0</formula>
    </cfRule>
  </conditionalFormatting>
  <conditionalFormatting sqref="V18">
    <cfRule type="cellIs" dxfId="13750" priority="1401" operator="greaterThan">
      <formula>V17</formula>
    </cfRule>
    <cfRule type="cellIs" dxfId="13749" priority="1402" operator="equal">
      <formula>0</formula>
    </cfRule>
  </conditionalFormatting>
  <conditionalFormatting sqref="V19">
    <cfRule type="cellIs" dxfId="13748" priority="1399" operator="greaterThan">
      <formula>V18</formula>
    </cfRule>
    <cfRule type="cellIs" dxfId="13747" priority="1400" operator="equal">
      <formula>0</formula>
    </cfRule>
  </conditionalFormatting>
  <conditionalFormatting sqref="V18">
    <cfRule type="cellIs" dxfId="13746" priority="1397" operator="greaterThan">
      <formula>V17</formula>
    </cfRule>
    <cfRule type="cellIs" dxfId="13745" priority="1398" operator="equal">
      <formula>0</formula>
    </cfRule>
  </conditionalFormatting>
  <conditionalFormatting sqref="V22">
    <cfRule type="cellIs" dxfId="13744" priority="1395" operator="greaterThan">
      <formula>V21</formula>
    </cfRule>
    <cfRule type="cellIs" dxfId="13743" priority="1396" operator="equal">
      <formula>0</formula>
    </cfRule>
  </conditionalFormatting>
  <conditionalFormatting sqref="V21">
    <cfRule type="cellIs" dxfId="13742" priority="1393" operator="greaterThan">
      <formula>V20</formula>
    </cfRule>
    <cfRule type="cellIs" dxfId="13741" priority="1394" operator="equal">
      <formula>0</formula>
    </cfRule>
  </conditionalFormatting>
  <conditionalFormatting sqref="V22">
    <cfRule type="cellIs" dxfId="13740" priority="1391" operator="greaterThan">
      <formula>V21</formula>
    </cfRule>
    <cfRule type="cellIs" dxfId="13739" priority="1392" operator="equal">
      <formula>0</formula>
    </cfRule>
  </conditionalFormatting>
  <conditionalFormatting sqref="V21">
    <cfRule type="cellIs" dxfId="13738" priority="1389" operator="greaterThan">
      <formula>V20</formula>
    </cfRule>
    <cfRule type="cellIs" dxfId="13737" priority="1390" operator="equal">
      <formula>0</formula>
    </cfRule>
  </conditionalFormatting>
  <conditionalFormatting sqref="V22">
    <cfRule type="cellIs" dxfId="13736" priority="1387" operator="greaterThan">
      <formula>V21</formula>
    </cfRule>
    <cfRule type="cellIs" dxfId="13735" priority="1388" operator="equal">
      <formula>0</formula>
    </cfRule>
  </conditionalFormatting>
  <conditionalFormatting sqref="V21">
    <cfRule type="cellIs" dxfId="13734" priority="1385" operator="greaterThan">
      <formula>V20</formula>
    </cfRule>
    <cfRule type="cellIs" dxfId="13733" priority="1386" operator="equal">
      <formula>0</formula>
    </cfRule>
  </conditionalFormatting>
  <conditionalFormatting sqref="V22">
    <cfRule type="cellIs" dxfId="13732" priority="1383" operator="greaterThan">
      <formula>V21</formula>
    </cfRule>
    <cfRule type="cellIs" dxfId="13731" priority="1384" operator="equal">
      <formula>0</formula>
    </cfRule>
  </conditionalFormatting>
  <conditionalFormatting sqref="V21">
    <cfRule type="cellIs" dxfId="13730" priority="1381" operator="greaterThan">
      <formula>V20</formula>
    </cfRule>
    <cfRule type="cellIs" dxfId="13729" priority="1382" operator="equal">
      <formula>0</formula>
    </cfRule>
  </conditionalFormatting>
  <conditionalFormatting sqref="V22">
    <cfRule type="cellIs" dxfId="13728" priority="1379" operator="greaterThan">
      <formula>V21</formula>
    </cfRule>
    <cfRule type="cellIs" dxfId="13727" priority="1380" operator="equal">
      <formula>0</formula>
    </cfRule>
  </conditionalFormatting>
  <conditionalFormatting sqref="V21">
    <cfRule type="cellIs" dxfId="13726" priority="1377" operator="greaterThan">
      <formula>V20</formula>
    </cfRule>
    <cfRule type="cellIs" dxfId="13725" priority="1378" operator="equal">
      <formula>0</formula>
    </cfRule>
  </conditionalFormatting>
  <conditionalFormatting sqref="V22">
    <cfRule type="cellIs" dxfId="13724" priority="1375" operator="greaterThan">
      <formula>V21</formula>
    </cfRule>
    <cfRule type="cellIs" dxfId="13723" priority="1376" operator="equal">
      <formula>0</formula>
    </cfRule>
  </conditionalFormatting>
  <conditionalFormatting sqref="V21">
    <cfRule type="cellIs" dxfId="13722" priority="1373" operator="greaterThan">
      <formula>V20</formula>
    </cfRule>
    <cfRule type="cellIs" dxfId="13721" priority="1374" operator="equal">
      <formula>0</formula>
    </cfRule>
  </conditionalFormatting>
  <conditionalFormatting sqref="V24">
    <cfRule type="cellIs" dxfId="13720" priority="1371" operator="greaterThan">
      <formula>V23</formula>
    </cfRule>
    <cfRule type="cellIs" dxfId="13719" priority="1372" operator="equal">
      <formula>0</formula>
    </cfRule>
  </conditionalFormatting>
  <conditionalFormatting sqref="V25">
    <cfRule type="cellIs" dxfId="13718" priority="1369" operator="greaterThan">
      <formula>V24</formula>
    </cfRule>
    <cfRule type="cellIs" dxfId="13717" priority="1370" operator="equal">
      <formula>0</formula>
    </cfRule>
  </conditionalFormatting>
  <conditionalFormatting sqref="V24">
    <cfRule type="cellIs" dxfId="13716" priority="1367" operator="greaterThan">
      <formula>V23</formula>
    </cfRule>
    <cfRule type="cellIs" dxfId="13715" priority="1368" operator="equal">
      <formula>0</formula>
    </cfRule>
  </conditionalFormatting>
  <conditionalFormatting sqref="V25">
    <cfRule type="cellIs" dxfId="13714" priority="1365" operator="greaterThan">
      <formula>V24</formula>
    </cfRule>
    <cfRule type="cellIs" dxfId="13713" priority="1366" operator="equal">
      <formula>0</formula>
    </cfRule>
  </conditionalFormatting>
  <conditionalFormatting sqref="V24">
    <cfRule type="cellIs" dxfId="13712" priority="1363" operator="greaterThan">
      <formula>V23</formula>
    </cfRule>
    <cfRule type="cellIs" dxfId="13711" priority="1364" operator="equal">
      <formula>0</formula>
    </cfRule>
  </conditionalFormatting>
  <conditionalFormatting sqref="V25">
    <cfRule type="cellIs" dxfId="13710" priority="1361" operator="greaterThan">
      <formula>V24</formula>
    </cfRule>
    <cfRule type="cellIs" dxfId="13709" priority="1362" operator="equal">
      <formula>0</formula>
    </cfRule>
  </conditionalFormatting>
  <conditionalFormatting sqref="V24">
    <cfRule type="cellIs" dxfId="13708" priority="1359" operator="greaterThan">
      <formula>V23</formula>
    </cfRule>
    <cfRule type="cellIs" dxfId="13707" priority="1360" operator="equal">
      <formula>0</formula>
    </cfRule>
  </conditionalFormatting>
  <conditionalFormatting sqref="V25">
    <cfRule type="cellIs" dxfId="13706" priority="1357" operator="greaterThan">
      <formula>V24</formula>
    </cfRule>
    <cfRule type="cellIs" dxfId="13705" priority="1358" operator="equal">
      <formula>0</formula>
    </cfRule>
  </conditionalFormatting>
  <conditionalFormatting sqref="V24">
    <cfRule type="cellIs" dxfId="13704" priority="1355" operator="greaterThan">
      <formula>V23</formula>
    </cfRule>
    <cfRule type="cellIs" dxfId="13703" priority="1356" operator="equal">
      <formula>0</formula>
    </cfRule>
  </conditionalFormatting>
  <conditionalFormatting sqref="V25">
    <cfRule type="cellIs" dxfId="13702" priority="1353" operator="greaterThan">
      <formula>V24</formula>
    </cfRule>
    <cfRule type="cellIs" dxfId="13701" priority="1354" operator="equal">
      <formula>0</formula>
    </cfRule>
  </conditionalFormatting>
  <conditionalFormatting sqref="V24">
    <cfRule type="cellIs" dxfId="13700" priority="1351" operator="greaterThan">
      <formula>V23</formula>
    </cfRule>
    <cfRule type="cellIs" dxfId="13699" priority="1352" operator="equal">
      <formula>0</formula>
    </cfRule>
  </conditionalFormatting>
  <conditionalFormatting sqref="V25">
    <cfRule type="cellIs" dxfId="13698" priority="1349" operator="greaterThan">
      <formula>V24</formula>
    </cfRule>
    <cfRule type="cellIs" dxfId="13697" priority="1350" operator="equal">
      <formula>0</formula>
    </cfRule>
  </conditionalFormatting>
  <conditionalFormatting sqref="V24">
    <cfRule type="cellIs" dxfId="13696" priority="1347" operator="greaterThan">
      <formula>V23</formula>
    </cfRule>
    <cfRule type="cellIs" dxfId="13695" priority="1348" operator="equal">
      <formula>0</formula>
    </cfRule>
  </conditionalFormatting>
  <conditionalFormatting sqref="V25">
    <cfRule type="cellIs" dxfId="13694" priority="1345" operator="greaterThan">
      <formula>V24</formula>
    </cfRule>
    <cfRule type="cellIs" dxfId="13693" priority="1346" operator="equal">
      <formula>0</formula>
    </cfRule>
  </conditionalFormatting>
  <conditionalFormatting sqref="V24">
    <cfRule type="cellIs" dxfId="13692" priority="1343" operator="greaterThan">
      <formula>V23</formula>
    </cfRule>
    <cfRule type="cellIs" dxfId="13691" priority="1344" operator="equal">
      <formula>0</formula>
    </cfRule>
  </conditionalFormatting>
  <conditionalFormatting sqref="V27:V28">
    <cfRule type="cellIs" dxfId="13690" priority="1341" operator="greaterThan">
      <formula>V26</formula>
    </cfRule>
    <cfRule type="cellIs" dxfId="13689" priority="1342" operator="equal">
      <formula>0</formula>
    </cfRule>
  </conditionalFormatting>
  <conditionalFormatting sqref="V27">
    <cfRule type="cellIs" dxfId="13688" priority="1339" operator="greaterThan">
      <formula>V26</formula>
    </cfRule>
    <cfRule type="cellIs" dxfId="13687" priority="1340" operator="equal">
      <formula>0</formula>
    </cfRule>
  </conditionalFormatting>
  <conditionalFormatting sqref="V28">
    <cfRule type="cellIs" dxfId="13686" priority="1337" operator="greaterThan">
      <formula>V27</formula>
    </cfRule>
    <cfRule type="cellIs" dxfId="13685" priority="1338" operator="equal">
      <formula>0</formula>
    </cfRule>
  </conditionalFormatting>
  <conditionalFormatting sqref="V27">
    <cfRule type="cellIs" dxfId="13684" priority="1335" operator="greaterThan">
      <formula>V26</formula>
    </cfRule>
    <cfRule type="cellIs" dxfId="13683" priority="1336" operator="equal">
      <formula>0</formula>
    </cfRule>
  </conditionalFormatting>
  <conditionalFormatting sqref="V27">
    <cfRule type="cellIs" dxfId="13682" priority="1333" operator="greaterThan">
      <formula>V26</formula>
    </cfRule>
    <cfRule type="cellIs" dxfId="13681" priority="1334" operator="equal">
      <formula>0</formula>
    </cfRule>
  </conditionalFormatting>
  <conditionalFormatting sqref="V28">
    <cfRule type="cellIs" dxfId="13680" priority="1331" operator="greaterThan">
      <formula>V27</formula>
    </cfRule>
    <cfRule type="cellIs" dxfId="13679" priority="1332" operator="equal">
      <formula>0</formula>
    </cfRule>
  </conditionalFormatting>
  <conditionalFormatting sqref="V27">
    <cfRule type="cellIs" dxfId="13678" priority="1329" operator="greaterThan">
      <formula>V26</formula>
    </cfRule>
    <cfRule type="cellIs" dxfId="13677" priority="1330" operator="equal">
      <formula>0</formula>
    </cfRule>
  </conditionalFormatting>
  <conditionalFormatting sqref="V28">
    <cfRule type="cellIs" dxfId="13676" priority="1327" operator="greaterThan">
      <formula>V27</formula>
    </cfRule>
    <cfRule type="cellIs" dxfId="13675" priority="1328" operator="equal">
      <formula>0</formula>
    </cfRule>
  </conditionalFormatting>
  <conditionalFormatting sqref="V27">
    <cfRule type="cellIs" dxfId="13674" priority="1325" operator="greaterThan">
      <formula>V26</formula>
    </cfRule>
    <cfRule type="cellIs" dxfId="13673" priority="1326" operator="equal">
      <formula>0</formula>
    </cfRule>
  </conditionalFormatting>
  <conditionalFormatting sqref="V28">
    <cfRule type="cellIs" dxfId="13672" priority="1323" operator="greaterThan">
      <formula>V27</formula>
    </cfRule>
    <cfRule type="cellIs" dxfId="13671" priority="1324" operator="equal">
      <formula>0</formula>
    </cfRule>
  </conditionalFormatting>
  <conditionalFormatting sqref="V27">
    <cfRule type="cellIs" dxfId="13670" priority="1321" operator="greaterThan">
      <formula>V26</formula>
    </cfRule>
    <cfRule type="cellIs" dxfId="13669" priority="1322" operator="equal">
      <formula>0</formula>
    </cfRule>
  </conditionalFormatting>
  <conditionalFormatting sqref="V28">
    <cfRule type="cellIs" dxfId="13668" priority="1319" operator="greaterThan">
      <formula>V27</formula>
    </cfRule>
    <cfRule type="cellIs" dxfId="13667" priority="1320" operator="equal">
      <formula>0</formula>
    </cfRule>
  </conditionalFormatting>
  <conditionalFormatting sqref="V27">
    <cfRule type="cellIs" dxfId="13666" priority="1317" operator="greaterThan">
      <formula>V26</formula>
    </cfRule>
    <cfRule type="cellIs" dxfId="13665" priority="1318" operator="equal">
      <formula>0</formula>
    </cfRule>
  </conditionalFormatting>
  <conditionalFormatting sqref="V28">
    <cfRule type="cellIs" dxfId="13664" priority="1315" operator="greaterThan">
      <formula>V27</formula>
    </cfRule>
    <cfRule type="cellIs" dxfId="13663" priority="1316" operator="equal">
      <formula>0</formula>
    </cfRule>
  </conditionalFormatting>
  <conditionalFormatting sqref="V27">
    <cfRule type="cellIs" dxfId="13662" priority="1313" operator="greaterThan">
      <formula>V26</formula>
    </cfRule>
    <cfRule type="cellIs" dxfId="13661" priority="1314" operator="equal">
      <formula>0</formula>
    </cfRule>
  </conditionalFormatting>
  <conditionalFormatting sqref="V28">
    <cfRule type="cellIs" dxfId="13660" priority="1311" operator="greaterThan">
      <formula>V27</formula>
    </cfRule>
    <cfRule type="cellIs" dxfId="13659" priority="1312" operator="equal">
      <formula>0</formula>
    </cfRule>
  </conditionalFormatting>
  <conditionalFormatting sqref="V27">
    <cfRule type="cellIs" dxfId="13658" priority="1309" operator="greaterThan">
      <formula>V26</formula>
    </cfRule>
    <cfRule type="cellIs" dxfId="13657" priority="1310" operator="equal">
      <formula>0</formula>
    </cfRule>
  </conditionalFormatting>
  <conditionalFormatting sqref="V28">
    <cfRule type="cellIs" dxfId="13656" priority="1307" operator="greaterThan">
      <formula>V27</formula>
    </cfRule>
    <cfRule type="cellIs" dxfId="13655" priority="1308" operator="equal">
      <formula>0</formula>
    </cfRule>
  </conditionalFormatting>
  <conditionalFormatting sqref="V27">
    <cfRule type="cellIs" dxfId="13654" priority="1305" operator="greaterThan">
      <formula>V26</formula>
    </cfRule>
    <cfRule type="cellIs" dxfId="13653" priority="1306" operator="equal">
      <formula>0</formula>
    </cfRule>
  </conditionalFormatting>
  <conditionalFormatting sqref="V50">
    <cfRule type="cellIs" dxfId="13652" priority="1303" operator="greaterThan">
      <formula>V49</formula>
    </cfRule>
    <cfRule type="cellIs" dxfId="13651" priority="1304" operator="equal">
      <formula>0</formula>
    </cfRule>
  </conditionalFormatting>
  <conditionalFormatting sqref="V12:V13 X12:X13 X15:X16 X18:X19 X21:X25 X27:X28 V15:V16 V18:V19 V21:V22 V24:V25 V27:V28">
    <cfRule type="cellIs" dxfId="13650" priority="1302" operator="equal">
      <formula>0</formula>
    </cfRule>
  </conditionalFormatting>
  <conditionalFormatting sqref="V28">
    <cfRule type="cellIs" dxfId="13649" priority="1300" operator="greaterThan">
      <formula>V27</formula>
    </cfRule>
    <cfRule type="cellIs" dxfId="13648" priority="1301" operator="equal">
      <formula>0</formula>
    </cfRule>
  </conditionalFormatting>
  <conditionalFormatting sqref="V27">
    <cfRule type="cellIs" dxfId="13647" priority="1298" operator="greaterThan">
      <formula>V26</formula>
    </cfRule>
    <cfRule type="cellIs" dxfId="13646" priority="1299" operator="equal">
      <formula>0</formula>
    </cfRule>
  </conditionalFormatting>
  <conditionalFormatting sqref="V13">
    <cfRule type="cellIs" dxfId="13645" priority="1296" operator="greaterThan">
      <formula>V12</formula>
    </cfRule>
    <cfRule type="cellIs" dxfId="13644" priority="1297" operator="equal">
      <formula>0</formula>
    </cfRule>
  </conditionalFormatting>
  <conditionalFormatting sqref="V12">
    <cfRule type="cellIs" dxfId="13643" priority="1294" operator="greaterThan">
      <formula>V11</formula>
    </cfRule>
    <cfRule type="cellIs" dxfId="13642" priority="1295" operator="equal">
      <formula>0</formula>
    </cfRule>
  </conditionalFormatting>
  <conditionalFormatting sqref="V16">
    <cfRule type="cellIs" dxfId="13641" priority="1292" operator="greaterThan">
      <formula>V15</formula>
    </cfRule>
    <cfRule type="cellIs" dxfId="13640" priority="1293" operator="equal">
      <formula>0</formula>
    </cfRule>
  </conditionalFormatting>
  <conditionalFormatting sqref="V15">
    <cfRule type="cellIs" dxfId="13639" priority="1290" operator="greaterThan">
      <formula>V14</formula>
    </cfRule>
    <cfRule type="cellIs" dxfId="13638" priority="1291" operator="equal">
      <formula>0</formula>
    </cfRule>
  </conditionalFormatting>
  <conditionalFormatting sqref="V19">
    <cfRule type="cellIs" dxfId="13637" priority="1288" operator="greaterThan">
      <formula>V18</formula>
    </cfRule>
    <cfRule type="cellIs" dxfId="13636" priority="1289" operator="equal">
      <formula>0</formula>
    </cfRule>
  </conditionalFormatting>
  <conditionalFormatting sqref="V18">
    <cfRule type="cellIs" dxfId="13635" priority="1286" operator="greaterThan">
      <formula>V17</formula>
    </cfRule>
    <cfRule type="cellIs" dxfId="13634" priority="1287" operator="equal">
      <formula>0</formula>
    </cfRule>
  </conditionalFormatting>
  <conditionalFormatting sqref="V22 V24:V25">
    <cfRule type="cellIs" dxfId="13633" priority="1284" operator="greaterThan">
      <formula>V21</formula>
    </cfRule>
    <cfRule type="cellIs" dxfId="13632" priority="1285" operator="equal">
      <formula>0</formula>
    </cfRule>
  </conditionalFormatting>
  <conditionalFormatting sqref="V21">
    <cfRule type="cellIs" dxfId="13631" priority="1282" operator="greaterThan">
      <formula>V20</formula>
    </cfRule>
    <cfRule type="cellIs" dxfId="13630" priority="1283" operator="equal">
      <formula>0</formula>
    </cfRule>
  </conditionalFormatting>
  <conditionalFormatting sqref="V24">
    <cfRule type="cellIs" dxfId="13629" priority="1280" operator="greaterThan">
      <formula>V23</formula>
    </cfRule>
    <cfRule type="cellIs" dxfId="13628" priority="1281" operator="equal">
      <formula>0</formula>
    </cfRule>
  </conditionalFormatting>
  <conditionalFormatting sqref="V27:V28">
    <cfRule type="cellIs" dxfId="13627" priority="1278" operator="greaterThan">
      <formula>V26</formula>
    </cfRule>
    <cfRule type="cellIs" dxfId="13626" priority="1279" operator="equal">
      <formula>0</formula>
    </cfRule>
  </conditionalFormatting>
  <conditionalFormatting sqref="V27">
    <cfRule type="cellIs" dxfId="13625" priority="1276" operator="greaterThan">
      <formula>V26</formula>
    </cfRule>
    <cfRule type="cellIs" dxfId="13624" priority="1277" operator="equal">
      <formula>0</formula>
    </cfRule>
  </conditionalFormatting>
  <conditionalFormatting sqref="V16">
    <cfRule type="cellIs" dxfId="13623" priority="1274" operator="greaterThan">
      <formula>V15</formula>
    </cfRule>
    <cfRule type="cellIs" dxfId="13622" priority="1275" operator="equal">
      <formula>0</formula>
    </cfRule>
  </conditionalFormatting>
  <conditionalFormatting sqref="V15">
    <cfRule type="cellIs" dxfId="13621" priority="1272" operator="greaterThan">
      <formula>V14</formula>
    </cfRule>
    <cfRule type="cellIs" dxfId="13620" priority="1273" operator="equal">
      <formula>0</formula>
    </cfRule>
  </conditionalFormatting>
  <conditionalFormatting sqref="V19">
    <cfRule type="cellIs" dxfId="13619" priority="1270" operator="greaterThan">
      <formula>V18</formula>
    </cfRule>
    <cfRule type="cellIs" dxfId="13618" priority="1271" operator="equal">
      <formula>0</formula>
    </cfRule>
  </conditionalFormatting>
  <conditionalFormatting sqref="V18">
    <cfRule type="cellIs" dxfId="13617" priority="1268" operator="greaterThan">
      <formula>V17</formula>
    </cfRule>
    <cfRule type="cellIs" dxfId="13616" priority="1269" operator="equal">
      <formula>0</formula>
    </cfRule>
  </conditionalFormatting>
  <conditionalFormatting sqref="V22">
    <cfRule type="cellIs" dxfId="13615" priority="1266" operator="greaterThan">
      <formula>V21</formula>
    </cfRule>
    <cfRule type="cellIs" dxfId="13614" priority="1267" operator="equal">
      <formula>0</formula>
    </cfRule>
  </conditionalFormatting>
  <conditionalFormatting sqref="V21">
    <cfRule type="cellIs" dxfId="13613" priority="1264" operator="greaterThan">
      <formula>V20</formula>
    </cfRule>
    <cfRule type="cellIs" dxfId="13612" priority="1265" operator="equal">
      <formula>0</formula>
    </cfRule>
  </conditionalFormatting>
  <conditionalFormatting sqref="V25">
    <cfRule type="cellIs" dxfId="13611" priority="1262" operator="greaterThan">
      <formula>V24</formula>
    </cfRule>
    <cfRule type="cellIs" dxfId="13610" priority="1263" operator="equal">
      <formula>0</formula>
    </cfRule>
  </conditionalFormatting>
  <conditionalFormatting sqref="V24">
    <cfRule type="cellIs" dxfId="13609" priority="1260" operator="greaterThan">
      <formula>V23</formula>
    </cfRule>
    <cfRule type="cellIs" dxfId="13608" priority="1261" operator="equal">
      <formula>0</formula>
    </cfRule>
  </conditionalFormatting>
  <conditionalFormatting sqref="V28">
    <cfRule type="cellIs" dxfId="13607" priority="1258" operator="greaterThan">
      <formula>V27</formula>
    </cfRule>
    <cfRule type="cellIs" dxfId="13606" priority="1259" operator="equal">
      <formula>0</formula>
    </cfRule>
  </conditionalFormatting>
  <conditionalFormatting sqref="V27">
    <cfRule type="cellIs" dxfId="13605" priority="1256" operator="greaterThan">
      <formula>V26</formula>
    </cfRule>
    <cfRule type="cellIs" dxfId="13604" priority="1257" operator="equal">
      <formula>0</formula>
    </cfRule>
  </conditionalFormatting>
  <conditionalFormatting sqref="V30:V31 X30:X31">
    <cfRule type="cellIs" dxfId="13603" priority="1255" operator="equal">
      <formula>0</formula>
    </cfRule>
  </conditionalFormatting>
  <conditionalFormatting sqref="V31">
    <cfRule type="cellIs" dxfId="13602" priority="1253" operator="greaterThan">
      <formula>V30</formula>
    </cfRule>
    <cfRule type="cellIs" dxfId="13601" priority="1254" operator="equal">
      <formula>0</formula>
    </cfRule>
  </conditionalFormatting>
  <conditionalFormatting sqref="V30">
    <cfRule type="cellIs" dxfId="13600" priority="1251" operator="greaterThan">
      <formula>V29</formula>
    </cfRule>
    <cfRule type="cellIs" dxfId="13599" priority="1252" operator="equal">
      <formula>0</formula>
    </cfRule>
  </conditionalFormatting>
  <conditionalFormatting sqref="V33:V34 X33:X34">
    <cfRule type="cellIs" dxfId="13598" priority="1250" operator="equal">
      <formula>0</formula>
    </cfRule>
  </conditionalFormatting>
  <conditionalFormatting sqref="V34">
    <cfRule type="cellIs" dxfId="13597" priority="1248" operator="greaterThan">
      <formula>V33</formula>
    </cfRule>
    <cfRule type="cellIs" dxfId="13596" priority="1249" operator="equal">
      <formula>0</formula>
    </cfRule>
  </conditionalFormatting>
  <conditionalFormatting sqref="V33">
    <cfRule type="cellIs" dxfId="13595" priority="1246" operator="greaterThan">
      <formula>V32</formula>
    </cfRule>
    <cfRule type="cellIs" dxfId="13594" priority="1247" operator="equal">
      <formula>0</formula>
    </cfRule>
  </conditionalFormatting>
  <conditionalFormatting sqref="V36:V37 X36:X37">
    <cfRule type="cellIs" dxfId="13593" priority="1245" operator="equal">
      <formula>0</formula>
    </cfRule>
  </conditionalFormatting>
  <conditionalFormatting sqref="V37">
    <cfRule type="cellIs" dxfId="13592" priority="1243" operator="greaterThan">
      <formula>V36</formula>
    </cfRule>
    <cfRule type="cellIs" dxfId="13591" priority="1244" operator="equal">
      <formula>0</formula>
    </cfRule>
  </conditionalFormatting>
  <conditionalFormatting sqref="V36">
    <cfRule type="cellIs" dxfId="13590" priority="1241" operator="greaterThan">
      <formula>V35</formula>
    </cfRule>
    <cfRule type="cellIs" dxfId="13589" priority="1242" operator="equal">
      <formula>0</formula>
    </cfRule>
  </conditionalFormatting>
  <conditionalFormatting sqref="V16">
    <cfRule type="cellIs" dxfId="13588" priority="1239" operator="greaterThan">
      <formula>V15</formula>
    </cfRule>
    <cfRule type="cellIs" dxfId="13587" priority="1240" operator="equal">
      <formula>0</formula>
    </cfRule>
  </conditionalFormatting>
  <conditionalFormatting sqref="V15">
    <cfRule type="cellIs" dxfId="13586" priority="1237" operator="greaterThan">
      <formula>V14</formula>
    </cfRule>
    <cfRule type="cellIs" dxfId="13585" priority="1238" operator="equal">
      <formula>0</formula>
    </cfRule>
  </conditionalFormatting>
  <conditionalFormatting sqref="V16">
    <cfRule type="cellIs" dxfId="13584" priority="1235" operator="greaterThan">
      <formula>V15</formula>
    </cfRule>
    <cfRule type="cellIs" dxfId="13583" priority="1236" operator="equal">
      <formula>0</formula>
    </cfRule>
  </conditionalFormatting>
  <conditionalFormatting sqref="V15">
    <cfRule type="cellIs" dxfId="13582" priority="1233" operator="greaterThan">
      <formula>V14</formula>
    </cfRule>
    <cfRule type="cellIs" dxfId="13581" priority="1234" operator="equal">
      <formula>0</formula>
    </cfRule>
  </conditionalFormatting>
  <conditionalFormatting sqref="V19">
    <cfRule type="cellIs" dxfId="13580" priority="1231" operator="greaterThan">
      <formula>V18</formula>
    </cfRule>
    <cfRule type="cellIs" dxfId="13579" priority="1232" operator="equal">
      <formula>0</formula>
    </cfRule>
  </conditionalFormatting>
  <conditionalFormatting sqref="V18">
    <cfRule type="cellIs" dxfId="13578" priority="1229" operator="greaterThan">
      <formula>V17</formula>
    </cfRule>
    <cfRule type="cellIs" dxfId="13577" priority="1230" operator="equal">
      <formula>0</formula>
    </cfRule>
  </conditionalFormatting>
  <conditionalFormatting sqref="V19">
    <cfRule type="cellIs" dxfId="13576" priority="1227" operator="greaterThan">
      <formula>V18</formula>
    </cfRule>
    <cfRule type="cellIs" dxfId="13575" priority="1228" operator="equal">
      <formula>0</formula>
    </cfRule>
  </conditionalFormatting>
  <conditionalFormatting sqref="V18">
    <cfRule type="cellIs" dxfId="13574" priority="1225" operator="greaterThan">
      <formula>V17</formula>
    </cfRule>
    <cfRule type="cellIs" dxfId="13573" priority="1226" operator="equal">
      <formula>0</formula>
    </cfRule>
  </conditionalFormatting>
  <conditionalFormatting sqref="V19">
    <cfRule type="cellIs" dxfId="13572" priority="1223" operator="greaterThan">
      <formula>V18</formula>
    </cfRule>
    <cfRule type="cellIs" dxfId="13571" priority="1224" operator="equal">
      <formula>0</formula>
    </cfRule>
  </conditionalFormatting>
  <conditionalFormatting sqref="V18">
    <cfRule type="cellIs" dxfId="13570" priority="1221" operator="greaterThan">
      <formula>V17</formula>
    </cfRule>
    <cfRule type="cellIs" dxfId="13569" priority="1222" operator="equal">
      <formula>0</formula>
    </cfRule>
  </conditionalFormatting>
  <conditionalFormatting sqref="V19">
    <cfRule type="cellIs" dxfId="13568" priority="1219" operator="greaterThan">
      <formula>V18</formula>
    </cfRule>
    <cfRule type="cellIs" dxfId="13567" priority="1220" operator="equal">
      <formula>0</formula>
    </cfRule>
  </conditionalFormatting>
  <conditionalFormatting sqref="V18">
    <cfRule type="cellIs" dxfId="13566" priority="1217" operator="greaterThan">
      <formula>V17</formula>
    </cfRule>
    <cfRule type="cellIs" dxfId="13565" priority="1218" operator="equal">
      <formula>0</formula>
    </cfRule>
  </conditionalFormatting>
  <conditionalFormatting sqref="V22">
    <cfRule type="cellIs" dxfId="13564" priority="1215" operator="greaterThan">
      <formula>V21</formula>
    </cfRule>
    <cfRule type="cellIs" dxfId="13563" priority="1216" operator="equal">
      <formula>0</formula>
    </cfRule>
  </conditionalFormatting>
  <conditionalFormatting sqref="V21">
    <cfRule type="cellIs" dxfId="13562" priority="1213" operator="greaterThan">
      <formula>V20</formula>
    </cfRule>
    <cfRule type="cellIs" dxfId="13561" priority="1214" operator="equal">
      <formula>0</formula>
    </cfRule>
  </conditionalFormatting>
  <conditionalFormatting sqref="V22">
    <cfRule type="cellIs" dxfId="13560" priority="1211" operator="greaterThan">
      <formula>V21</formula>
    </cfRule>
    <cfRule type="cellIs" dxfId="13559" priority="1212" operator="equal">
      <formula>0</formula>
    </cfRule>
  </conditionalFormatting>
  <conditionalFormatting sqref="V21">
    <cfRule type="cellIs" dxfId="13558" priority="1209" operator="greaterThan">
      <formula>V20</formula>
    </cfRule>
    <cfRule type="cellIs" dxfId="13557" priority="1210" operator="equal">
      <formula>0</formula>
    </cfRule>
  </conditionalFormatting>
  <conditionalFormatting sqref="V22">
    <cfRule type="cellIs" dxfId="13556" priority="1207" operator="greaterThan">
      <formula>V21</formula>
    </cfRule>
    <cfRule type="cellIs" dxfId="13555" priority="1208" operator="equal">
      <formula>0</formula>
    </cfRule>
  </conditionalFormatting>
  <conditionalFormatting sqref="V21">
    <cfRule type="cellIs" dxfId="13554" priority="1205" operator="greaterThan">
      <formula>V20</formula>
    </cfRule>
    <cfRule type="cellIs" dxfId="13553" priority="1206" operator="equal">
      <formula>0</formula>
    </cfRule>
  </conditionalFormatting>
  <conditionalFormatting sqref="V22">
    <cfRule type="cellIs" dxfId="13552" priority="1203" operator="greaterThan">
      <formula>V21</formula>
    </cfRule>
    <cfRule type="cellIs" dxfId="13551" priority="1204" operator="equal">
      <formula>0</formula>
    </cfRule>
  </conditionalFormatting>
  <conditionalFormatting sqref="V21">
    <cfRule type="cellIs" dxfId="13550" priority="1201" operator="greaterThan">
      <formula>V20</formula>
    </cfRule>
    <cfRule type="cellIs" dxfId="13549" priority="1202" operator="equal">
      <formula>0</formula>
    </cfRule>
  </conditionalFormatting>
  <conditionalFormatting sqref="V22">
    <cfRule type="cellIs" dxfId="13548" priority="1199" operator="greaterThan">
      <formula>V21</formula>
    </cfRule>
    <cfRule type="cellIs" dxfId="13547" priority="1200" operator="equal">
      <formula>0</formula>
    </cfRule>
  </conditionalFormatting>
  <conditionalFormatting sqref="V21">
    <cfRule type="cellIs" dxfId="13546" priority="1197" operator="greaterThan">
      <formula>V20</formula>
    </cfRule>
    <cfRule type="cellIs" dxfId="13545" priority="1198" operator="equal">
      <formula>0</formula>
    </cfRule>
  </conditionalFormatting>
  <conditionalFormatting sqref="V22">
    <cfRule type="cellIs" dxfId="13544" priority="1195" operator="greaterThan">
      <formula>V21</formula>
    </cfRule>
    <cfRule type="cellIs" dxfId="13543" priority="1196" operator="equal">
      <formula>0</formula>
    </cfRule>
  </conditionalFormatting>
  <conditionalFormatting sqref="V21">
    <cfRule type="cellIs" dxfId="13542" priority="1193" operator="greaterThan">
      <formula>V20</formula>
    </cfRule>
    <cfRule type="cellIs" dxfId="13541" priority="1194" operator="equal">
      <formula>0</formula>
    </cfRule>
  </conditionalFormatting>
  <conditionalFormatting sqref="V24">
    <cfRule type="cellIs" dxfId="13540" priority="1191" operator="greaterThan">
      <formula>V23</formula>
    </cfRule>
    <cfRule type="cellIs" dxfId="13539" priority="1192" operator="equal">
      <formula>0</formula>
    </cfRule>
  </conditionalFormatting>
  <conditionalFormatting sqref="V25">
    <cfRule type="cellIs" dxfId="13538" priority="1189" operator="greaterThan">
      <formula>V24</formula>
    </cfRule>
    <cfRule type="cellIs" dxfId="13537" priority="1190" operator="equal">
      <formula>0</formula>
    </cfRule>
  </conditionalFormatting>
  <conditionalFormatting sqref="V24">
    <cfRule type="cellIs" dxfId="13536" priority="1187" operator="greaterThan">
      <formula>V23</formula>
    </cfRule>
    <cfRule type="cellIs" dxfId="13535" priority="1188" operator="equal">
      <formula>0</formula>
    </cfRule>
  </conditionalFormatting>
  <conditionalFormatting sqref="V25">
    <cfRule type="cellIs" dxfId="13534" priority="1185" operator="greaterThan">
      <formula>V24</formula>
    </cfRule>
    <cfRule type="cellIs" dxfId="13533" priority="1186" operator="equal">
      <formula>0</formula>
    </cfRule>
  </conditionalFormatting>
  <conditionalFormatting sqref="V24">
    <cfRule type="cellIs" dxfId="13532" priority="1183" operator="greaterThan">
      <formula>V23</formula>
    </cfRule>
    <cfRule type="cellIs" dxfId="13531" priority="1184" operator="equal">
      <formula>0</formula>
    </cfRule>
  </conditionalFormatting>
  <conditionalFormatting sqref="V25">
    <cfRule type="cellIs" dxfId="13530" priority="1181" operator="greaterThan">
      <formula>V24</formula>
    </cfRule>
    <cfRule type="cellIs" dxfId="13529" priority="1182" operator="equal">
      <formula>0</formula>
    </cfRule>
  </conditionalFormatting>
  <conditionalFormatting sqref="V24">
    <cfRule type="cellIs" dxfId="13528" priority="1179" operator="greaterThan">
      <formula>V23</formula>
    </cfRule>
    <cfRule type="cellIs" dxfId="13527" priority="1180" operator="equal">
      <formula>0</formula>
    </cfRule>
  </conditionalFormatting>
  <conditionalFormatting sqref="V25">
    <cfRule type="cellIs" dxfId="13526" priority="1177" operator="greaterThan">
      <formula>V24</formula>
    </cfRule>
    <cfRule type="cellIs" dxfId="13525" priority="1178" operator="equal">
      <formula>0</formula>
    </cfRule>
  </conditionalFormatting>
  <conditionalFormatting sqref="V24">
    <cfRule type="cellIs" dxfId="13524" priority="1175" operator="greaterThan">
      <formula>V23</formula>
    </cfRule>
    <cfRule type="cellIs" dxfId="13523" priority="1176" operator="equal">
      <formula>0</formula>
    </cfRule>
  </conditionalFormatting>
  <conditionalFormatting sqref="V25">
    <cfRule type="cellIs" dxfId="13522" priority="1173" operator="greaterThan">
      <formula>V24</formula>
    </cfRule>
    <cfRule type="cellIs" dxfId="13521" priority="1174" operator="equal">
      <formula>0</formula>
    </cfRule>
  </conditionalFormatting>
  <conditionalFormatting sqref="V24">
    <cfRule type="cellIs" dxfId="13520" priority="1171" operator="greaterThan">
      <formula>V23</formula>
    </cfRule>
    <cfRule type="cellIs" dxfId="13519" priority="1172" operator="equal">
      <formula>0</formula>
    </cfRule>
  </conditionalFormatting>
  <conditionalFormatting sqref="V25">
    <cfRule type="cellIs" dxfId="13518" priority="1169" operator="greaterThan">
      <formula>V24</formula>
    </cfRule>
    <cfRule type="cellIs" dxfId="13517" priority="1170" operator="equal">
      <formula>0</formula>
    </cfRule>
  </conditionalFormatting>
  <conditionalFormatting sqref="V24">
    <cfRule type="cellIs" dxfId="13516" priority="1167" operator="greaterThan">
      <formula>V23</formula>
    </cfRule>
    <cfRule type="cellIs" dxfId="13515" priority="1168" operator="equal">
      <formula>0</formula>
    </cfRule>
  </conditionalFormatting>
  <conditionalFormatting sqref="V25">
    <cfRule type="cellIs" dxfId="13514" priority="1165" operator="greaterThan">
      <formula>V24</formula>
    </cfRule>
    <cfRule type="cellIs" dxfId="13513" priority="1166" operator="equal">
      <formula>0</formula>
    </cfRule>
  </conditionalFormatting>
  <conditionalFormatting sqref="V24">
    <cfRule type="cellIs" dxfId="13512" priority="1163" operator="greaterThan">
      <formula>V23</formula>
    </cfRule>
    <cfRule type="cellIs" dxfId="13511" priority="1164" operator="equal">
      <formula>0</formula>
    </cfRule>
  </conditionalFormatting>
  <conditionalFormatting sqref="V27:V28">
    <cfRule type="cellIs" dxfId="13510" priority="1161" operator="greaterThan">
      <formula>V26</formula>
    </cfRule>
    <cfRule type="cellIs" dxfId="13509" priority="1162" operator="equal">
      <formula>0</formula>
    </cfRule>
  </conditionalFormatting>
  <conditionalFormatting sqref="V27">
    <cfRule type="cellIs" dxfId="13508" priority="1159" operator="greaterThan">
      <formula>V26</formula>
    </cfRule>
    <cfRule type="cellIs" dxfId="13507" priority="1160" operator="equal">
      <formula>0</formula>
    </cfRule>
  </conditionalFormatting>
  <conditionalFormatting sqref="V28">
    <cfRule type="cellIs" dxfId="13506" priority="1157" operator="greaterThan">
      <formula>V27</formula>
    </cfRule>
    <cfRule type="cellIs" dxfId="13505" priority="1158" operator="equal">
      <formula>0</formula>
    </cfRule>
  </conditionalFormatting>
  <conditionalFormatting sqref="V27">
    <cfRule type="cellIs" dxfId="13504" priority="1155" operator="greaterThan">
      <formula>V26</formula>
    </cfRule>
    <cfRule type="cellIs" dxfId="13503" priority="1156" operator="equal">
      <formula>0</formula>
    </cfRule>
  </conditionalFormatting>
  <conditionalFormatting sqref="V27">
    <cfRule type="cellIs" dxfId="13502" priority="1153" operator="greaterThan">
      <formula>V26</formula>
    </cfRule>
    <cfRule type="cellIs" dxfId="13501" priority="1154" operator="equal">
      <formula>0</formula>
    </cfRule>
  </conditionalFormatting>
  <conditionalFormatting sqref="V28">
    <cfRule type="cellIs" dxfId="13500" priority="1151" operator="greaterThan">
      <formula>V27</formula>
    </cfRule>
    <cfRule type="cellIs" dxfId="13499" priority="1152" operator="equal">
      <formula>0</formula>
    </cfRule>
  </conditionalFormatting>
  <conditionalFormatting sqref="V27">
    <cfRule type="cellIs" dxfId="13498" priority="1149" operator="greaterThan">
      <formula>V26</formula>
    </cfRule>
    <cfRule type="cellIs" dxfId="13497" priority="1150" operator="equal">
      <formula>0</formula>
    </cfRule>
  </conditionalFormatting>
  <conditionalFormatting sqref="V28">
    <cfRule type="cellIs" dxfId="13496" priority="1147" operator="greaterThan">
      <formula>V27</formula>
    </cfRule>
    <cfRule type="cellIs" dxfId="13495" priority="1148" operator="equal">
      <formula>0</formula>
    </cfRule>
  </conditionalFormatting>
  <conditionalFormatting sqref="V27">
    <cfRule type="cellIs" dxfId="13494" priority="1145" operator="greaterThan">
      <formula>V26</formula>
    </cfRule>
    <cfRule type="cellIs" dxfId="13493" priority="1146" operator="equal">
      <formula>0</formula>
    </cfRule>
  </conditionalFormatting>
  <conditionalFormatting sqref="V28">
    <cfRule type="cellIs" dxfId="13492" priority="1143" operator="greaterThan">
      <formula>V27</formula>
    </cfRule>
    <cfRule type="cellIs" dxfId="13491" priority="1144" operator="equal">
      <formula>0</formula>
    </cfRule>
  </conditionalFormatting>
  <conditionalFormatting sqref="V27">
    <cfRule type="cellIs" dxfId="13490" priority="1141" operator="greaterThan">
      <formula>V26</formula>
    </cfRule>
    <cfRule type="cellIs" dxfId="13489" priority="1142" operator="equal">
      <formula>0</formula>
    </cfRule>
  </conditionalFormatting>
  <conditionalFormatting sqref="V28">
    <cfRule type="cellIs" dxfId="13488" priority="1139" operator="greaterThan">
      <formula>V27</formula>
    </cfRule>
    <cfRule type="cellIs" dxfId="13487" priority="1140" operator="equal">
      <formula>0</formula>
    </cfRule>
  </conditionalFormatting>
  <conditionalFormatting sqref="V27">
    <cfRule type="cellIs" dxfId="13486" priority="1137" operator="greaterThan">
      <formula>V26</formula>
    </cfRule>
    <cfRule type="cellIs" dxfId="13485" priority="1138" operator="equal">
      <formula>0</formula>
    </cfRule>
  </conditionalFormatting>
  <conditionalFormatting sqref="V28">
    <cfRule type="cellIs" dxfId="13484" priority="1135" operator="greaterThan">
      <formula>V27</formula>
    </cfRule>
    <cfRule type="cellIs" dxfId="13483" priority="1136" operator="equal">
      <formula>0</formula>
    </cfRule>
  </conditionalFormatting>
  <conditionalFormatting sqref="V27">
    <cfRule type="cellIs" dxfId="13482" priority="1133" operator="greaterThan">
      <formula>V26</formula>
    </cfRule>
    <cfRule type="cellIs" dxfId="13481" priority="1134" operator="equal">
      <formula>0</formula>
    </cfRule>
  </conditionalFormatting>
  <conditionalFormatting sqref="V28">
    <cfRule type="cellIs" dxfId="13480" priority="1131" operator="greaterThan">
      <formula>V27</formula>
    </cfRule>
    <cfRule type="cellIs" dxfId="13479" priority="1132" operator="equal">
      <formula>0</formula>
    </cfRule>
  </conditionalFormatting>
  <conditionalFormatting sqref="V27">
    <cfRule type="cellIs" dxfId="13478" priority="1129" operator="greaterThan">
      <formula>V26</formula>
    </cfRule>
    <cfRule type="cellIs" dxfId="13477" priority="1130" operator="equal">
      <formula>0</formula>
    </cfRule>
  </conditionalFormatting>
  <conditionalFormatting sqref="V28">
    <cfRule type="cellIs" dxfId="13476" priority="1127" operator="greaterThan">
      <formula>V27</formula>
    </cfRule>
    <cfRule type="cellIs" dxfId="13475" priority="1128" operator="equal">
      <formula>0</formula>
    </cfRule>
  </conditionalFormatting>
  <conditionalFormatting sqref="V27">
    <cfRule type="cellIs" dxfId="13474" priority="1125" operator="greaterThan">
      <formula>V26</formula>
    </cfRule>
    <cfRule type="cellIs" dxfId="13473" priority="1126" operator="equal">
      <formula>0</formula>
    </cfRule>
  </conditionalFormatting>
  <conditionalFormatting sqref="V19">
    <cfRule type="cellIs" dxfId="13472" priority="1123" operator="greaterThan">
      <formula>V18</formula>
    </cfRule>
    <cfRule type="cellIs" dxfId="13471" priority="1124" operator="equal">
      <formula>0</formula>
    </cfRule>
  </conditionalFormatting>
  <conditionalFormatting sqref="V18">
    <cfRule type="cellIs" dxfId="13470" priority="1121" operator="greaterThan">
      <formula>V17</formula>
    </cfRule>
    <cfRule type="cellIs" dxfId="13469" priority="1122" operator="equal">
      <formula>0</formula>
    </cfRule>
  </conditionalFormatting>
  <conditionalFormatting sqref="V19">
    <cfRule type="cellIs" dxfId="13468" priority="1119" operator="greaterThan">
      <formula>V18</formula>
    </cfRule>
    <cfRule type="cellIs" dxfId="13467" priority="1120" operator="equal">
      <formula>0</formula>
    </cfRule>
  </conditionalFormatting>
  <conditionalFormatting sqref="V18">
    <cfRule type="cellIs" dxfId="13466" priority="1117" operator="greaterThan">
      <formula>V17</formula>
    </cfRule>
    <cfRule type="cellIs" dxfId="13465" priority="1118" operator="equal">
      <formula>0</formula>
    </cfRule>
  </conditionalFormatting>
  <conditionalFormatting sqref="V19">
    <cfRule type="cellIs" dxfId="13464" priority="1115" operator="greaterThan">
      <formula>V18</formula>
    </cfRule>
    <cfRule type="cellIs" dxfId="13463" priority="1116" operator="equal">
      <formula>0</formula>
    </cfRule>
  </conditionalFormatting>
  <conditionalFormatting sqref="V18">
    <cfRule type="cellIs" dxfId="13462" priority="1113" operator="greaterThan">
      <formula>V17</formula>
    </cfRule>
    <cfRule type="cellIs" dxfId="13461" priority="1114" operator="equal">
      <formula>0</formula>
    </cfRule>
  </conditionalFormatting>
  <conditionalFormatting sqref="V19">
    <cfRule type="cellIs" dxfId="13460" priority="1111" operator="greaterThan">
      <formula>V18</formula>
    </cfRule>
    <cfRule type="cellIs" dxfId="13459" priority="1112" operator="equal">
      <formula>0</formula>
    </cfRule>
  </conditionalFormatting>
  <conditionalFormatting sqref="V18">
    <cfRule type="cellIs" dxfId="13458" priority="1109" operator="greaterThan">
      <formula>V17</formula>
    </cfRule>
    <cfRule type="cellIs" dxfId="13457" priority="1110" operator="equal">
      <formula>0</formula>
    </cfRule>
  </conditionalFormatting>
  <conditionalFormatting sqref="V16">
    <cfRule type="cellIs" dxfId="13456" priority="1107" operator="greaterThan">
      <formula>V15</formula>
    </cfRule>
    <cfRule type="cellIs" dxfId="13455" priority="1108" operator="equal">
      <formula>0</formula>
    </cfRule>
  </conditionalFormatting>
  <conditionalFormatting sqref="V16">
    <cfRule type="cellIs" dxfId="13454" priority="1105" operator="greaterThan">
      <formula>V15</formula>
    </cfRule>
    <cfRule type="cellIs" dxfId="13453" priority="1106" operator="equal">
      <formula>0</formula>
    </cfRule>
  </conditionalFormatting>
  <conditionalFormatting sqref="V16">
    <cfRule type="cellIs" dxfId="13452" priority="1103" operator="greaterThan">
      <formula>V15</formula>
    </cfRule>
    <cfRule type="cellIs" dxfId="13451" priority="1104" operator="equal">
      <formula>0</formula>
    </cfRule>
  </conditionalFormatting>
  <conditionalFormatting sqref="V16">
    <cfRule type="cellIs" dxfId="13450" priority="1101" operator="greaterThan">
      <formula>V15</formula>
    </cfRule>
    <cfRule type="cellIs" dxfId="13449" priority="1102" operator="equal">
      <formula>0</formula>
    </cfRule>
  </conditionalFormatting>
  <conditionalFormatting sqref="V19">
    <cfRule type="cellIs" dxfId="13448" priority="1099" operator="greaterThan">
      <formula>V18</formula>
    </cfRule>
    <cfRule type="cellIs" dxfId="13447" priority="1100" operator="equal">
      <formula>0</formula>
    </cfRule>
  </conditionalFormatting>
  <conditionalFormatting sqref="V19">
    <cfRule type="cellIs" dxfId="13446" priority="1097" operator="greaterThan">
      <formula>V18</formula>
    </cfRule>
    <cfRule type="cellIs" dxfId="13445" priority="1098" operator="equal">
      <formula>0</formula>
    </cfRule>
  </conditionalFormatting>
  <conditionalFormatting sqref="V19">
    <cfRule type="cellIs" dxfId="13444" priority="1095" operator="greaterThan">
      <formula>V18</formula>
    </cfRule>
    <cfRule type="cellIs" dxfId="13443" priority="1096" operator="equal">
      <formula>0</formula>
    </cfRule>
  </conditionalFormatting>
  <conditionalFormatting sqref="V19">
    <cfRule type="cellIs" dxfId="13442" priority="1093" operator="greaterThan">
      <formula>V18</formula>
    </cfRule>
    <cfRule type="cellIs" dxfId="13441" priority="1094" operator="equal">
      <formula>0</formula>
    </cfRule>
  </conditionalFormatting>
  <conditionalFormatting sqref="V19">
    <cfRule type="cellIs" dxfId="13440" priority="1091" operator="greaterThan">
      <formula>V18</formula>
    </cfRule>
    <cfRule type="cellIs" dxfId="13439" priority="1092" operator="equal">
      <formula>0</formula>
    </cfRule>
  </conditionalFormatting>
  <conditionalFormatting sqref="V19">
    <cfRule type="cellIs" dxfId="13438" priority="1089" operator="greaterThan">
      <formula>V18</formula>
    </cfRule>
    <cfRule type="cellIs" dxfId="13437" priority="1090" operator="equal">
      <formula>0</formula>
    </cfRule>
  </conditionalFormatting>
  <conditionalFormatting sqref="V19">
    <cfRule type="cellIs" dxfId="13436" priority="1087" operator="greaterThan">
      <formula>V18</formula>
    </cfRule>
    <cfRule type="cellIs" dxfId="13435" priority="1088" operator="equal">
      <formula>0</formula>
    </cfRule>
  </conditionalFormatting>
  <conditionalFormatting sqref="V19">
    <cfRule type="cellIs" dxfId="13434" priority="1085" operator="greaterThan">
      <formula>V18</formula>
    </cfRule>
    <cfRule type="cellIs" dxfId="13433" priority="1086" operator="equal">
      <formula>0</formula>
    </cfRule>
  </conditionalFormatting>
  <conditionalFormatting sqref="V19">
    <cfRule type="cellIs" dxfId="13432" priority="1083" operator="greaterThan">
      <formula>V18</formula>
    </cfRule>
    <cfRule type="cellIs" dxfId="13431" priority="1084" operator="equal">
      <formula>0</formula>
    </cfRule>
  </conditionalFormatting>
  <conditionalFormatting sqref="V19">
    <cfRule type="cellIs" dxfId="13430" priority="1081" operator="greaterThan">
      <formula>V18</formula>
    </cfRule>
    <cfRule type="cellIs" dxfId="13429" priority="1082" operator="equal">
      <formula>0</formula>
    </cfRule>
  </conditionalFormatting>
  <conditionalFormatting sqref="V22">
    <cfRule type="cellIs" dxfId="13428" priority="1079" operator="greaterThan">
      <formula>V21</formula>
    </cfRule>
    <cfRule type="cellIs" dxfId="13427" priority="1080" operator="equal">
      <formula>0</formula>
    </cfRule>
  </conditionalFormatting>
  <conditionalFormatting sqref="V21">
    <cfRule type="cellIs" dxfId="13426" priority="1077" operator="greaterThan">
      <formula>V20</formula>
    </cfRule>
    <cfRule type="cellIs" dxfId="13425" priority="1078" operator="equal">
      <formula>0</formula>
    </cfRule>
  </conditionalFormatting>
  <conditionalFormatting sqref="V22">
    <cfRule type="cellIs" dxfId="13424" priority="1075" operator="greaterThan">
      <formula>V21</formula>
    </cfRule>
    <cfRule type="cellIs" dxfId="13423" priority="1076" operator="equal">
      <formula>0</formula>
    </cfRule>
  </conditionalFormatting>
  <conditionalFormatting sqref="V21">
    <cfRule type="cellIs" dxfId="13422" priority="1073" operator="greaterThan">
      <formula>V20</formula>
    </cfRule>
    <cfRule type="cellIs" dxfId="13421" priority="1074" operator="equal">
      <formula>0</formula>
    </cfRule>
  </conditionalFormatting>
  <conditionalFormatting sqref="V22">
    <cfRule type="cellIs" dxfId="13420" priority="1071" operator="greaterThan">
      <formula>V21</formula>
    </cfRule>
    <cfRule type="cellIs" dxfId="13419" priority="1072" operator="equal">
      <formula>0</formula>
    </cfRule>
  </conditionalFormatting>
  <conditionalFormatting sqref="V21">
    <cfRule type="cellIs" dxfId="13418" priority="1069" operator="greaterThan">
      <formula>V20</formula>
    </cfRule>
    <cfRule type="cellIs" dxfId="13417" priority="1070" operator="equal">
      <formula>0</formula>
    </cfRule>
  </conditionalFormatting>
  <conditionalFormatting sqref="V22">
    <cfRule type="cellIs" dxfId="13416" priority="1067" operator="greaterThan">
      <formula>V21</formula>
    </cfRule>
    <cfRule type="cellIs" dxfId="13415" priority="1068" operator="equal">
      <formula>0</formula>
    </cfRule>
  </conditionalFormatting>
  <conditionalFormatting sqref="V21">
    <cfRule type="cellIs" dxfId="13414" priority="1065" operator="greaterThan">
      <formula>V20</formula>
    </cfRule>
    <cfRule type="cellIs" dxfId="13413" priority="1066" operator="equal">
      <formula>0</formula>
    </cfRule>
  </conditionalFormatting>
  <conditionalFormatting sqref="V22">
    <cfRule type="cellIs" dxfId="13412" priority="1063" operator="greaterThan">
      <formula>V21</formula>
    </cfRule>
    <cfRule type="cellIs" dxfId="13411" priority="1064" operator="equal">
      <formula>0</formula>
    </cfRule>
  </conditionalFormatting>
  <conditionalFormatting sqref="V21">
    <cfRule type="cellIs" dxfId="13410" priority="1061" operator="greaterThan">
      <formula>V20</formula>
    </cfRule>
    <cfRule type="cellIs" dxfId="13409" priority="1062" operator="equal">
      <formula>0</formula>
    </cfRule>
  </conditionalFormatting>
  <conditionalFormatting sqref="V22">
    <cfRule type="cellIs" dxfId="13408" priority="1059" operator="greaterThan">
      <formula>V21</formula>
    </cfRule>
    <cfRule type="cellIs" dxfId="13407" priority="1060" operator="equal">
      <formula>0</formula>
    </cfRule>
  </conditionalFormatting>
  <conditionalFormatting sqref="V21">
    <cfRule type="cellIs" dxfId="13406" priority="1057" operator="greaterThan">
      <formula>V20</formula>
    </cfRule>
    <cfRule type="cellIs" dxfId="13405" priority="1058" operator="equal">
      <formula>0</formula>
    </cfRule>
  </conditionalFormatting>
  <conditionalFormatting sqref="V22">
    <cfRule type="cellIs" dxfId="13404" priority="1055" operator="greaterThan">
      <formula>V21</formula>
    </cfRule>
    <cfRule type="cellIs" dxfId="13403" priority="1056" operator="equal">
      <formula>0</formula>
    </cfRule>
  </conditionalFormatting>
  <conditionalFormatting sqref="V21">
    <cfRule type="cellIs" dxfId="13402" priority="1053" operator="greaterThan">
      <formula>V20</formula>
    </cfRule>
    <cfRule type="cellIs" dxfId="13401" priority="1054" operator="equal">
      <formula>0</formula>
    </cfRule>
  </conditionalFormatting>
  <conditionalFormatting sqref="V22">
    <cfRule type="cellIs" dxfId="13400" priority="1051" operator="greaterThan">
      <formula>V21</formula>
    </cfRule>
    <cfRule type="cellIs" dxfId="13399" priority="1052" operator="equal">
      <formula>0</formula>
    </cfRule>
  </conditionalFormatting>
  <conditionalFormatting sqref="V21">
    <cfRule type="cellIs" dxfId="13398" priority="1049" operator="greaterThan">
      <formula>V20</formula>
    </cfRule>
    <cfRule type="cellIs" dxfId="13397" priority="1050" operator="equal">
      <formula>0</formula>
    </cfRule>
  </conditionalFormatting>
  <conditionalFormatting sqref="V22">
    <cfRule type="cellIs" dxfId="13396" priority="1047" operator="greaterThan">
      <formula>V21</formula>
    </cfRule>
    <cfRule type="cellIs" dxfId="13395" priority="1048" operator="equal">
      <formula>0</formula>
    </cfRule>
  </conditionalFormatting>
  <conditionalFormatting sqref="V21">
    <cfRule type="cellIs" dxfId="13394" priority="1045" operator="greaterThan">
      <formula>V20</formula>
    </cfRule>
    <cfRule type="cellIs" dxfId="13393" priority="1046" operator="equal">
      <formula>0</formula>
    </cfRule>
  </conditionalFormatting>
  <conditionalFormatting sqref="V22">
    <cfRule type="cellIs" dxfId="13392" priority="1043" operator="greaterThan">
      <formula>V21</formula>
    </cfRule>
    <cfRule type="cellIs" dxfId="13391" priority="1044" operator="equal">
      <formula>0</formula>
    </cfRule>
  </conditionalFormatting>
  <conditionalFormatting sqref="V21">
    <cfRule type="cellIs" dxfId="13390" priority="1041" operator="greaterThan">
      <formula>V20</formula>
    </cfRule>
    <cfRule type="cellIs" dxfId="13389" priority="1042" operator="equal">
      <formula>0</formula>
    </cfRule>
  </conditionalFormatting>
  <conditionalFormatting sqref="V22">
    <cfRule type="cellIs" dxfId="13388" priority="1039" operator="greaterThan">
      <formula>V21</formula>
    </cfRule>
    <cfRule type="cellIs" dxfId="13387" priority="1040" operator="equal">
      <formula>0</formula>
    </cfRule>
  </conditionalFormatting>
  <conditionalFormatting sqref="V22">
    <cfRule type="cellIs" dxfId="13386" priority="1037" operator="greaterThan">
      <formula>V21</formula>
    </cfRule>
    <cfRule type="cellIs" dxfId="13385" priority="1038" operator="equal">
      <formula>0</formula>
    </cfRule>
  </conditionalFormatting>
  <conditionalFormatting sqref="V22">
    <cfRule type="cellIs" dxfId="13384" priority="1035" operator="greaterThan">
      <formula>V21</formula>
    </cfRule>
    <cfRule type="cellIs" dxfId="13383" priority="1036" operator="equal">
      <formula>0</formula>
    </cfRule>
  </conditionalFormatting>
  <conditionalFormatting sqref="V22">
    <cfRule type="cellIs" dxfId="13382" priority="1033" operator="greaterThan">
      <formula>V21</formula>
    </cfRule>
    <cfRule type="cellIs" dxfId="13381" priority="1034" operator="equal">
      <formula>0</formula>
    </cfRule>
  </conditionalFormatting>
  <conditionalFormatting sqref="V22">
    <cfRule type="cellIs" dxfId="13380" priority="1031" operator="greaterThan">
      <formula>V21</formula>
    </cfRule>
    <cfRule type="cellIs" dxfId="13379" priority="1032" operator="equal">
      <formula>0</formula>
    </cfRule>
  </conditionalFormatting>
  <conditionalFormatting sqref="V22">
    <cfRule type="cellIs" dxfId="13378" priority="1029" operator="greaterThan">
      <formula>V21</formula>
    </cfRule>
    <cfRule type="cellIs" dxfId="13377" priority="1030" operator="equal">
      <formula>0</formula>
    </cfRule>
  </conditionalFormatting>
  <conditionalFormatting sqref="V22">
    <cfRule type="cellIs" dxfId="13376" priority="1027" operator="greaterThan">
      <formula>V21</formula>
    </cfRule>
    <cfRule type="cellIs" dxfId="13375" priority="1028" operator="equal">
      <formula>0</formula>
    </cfRule>
  </conditionalFormatting>
  <conditionalFormatting sqref="V22">
    <cfRule type="cellIs" dxfId="13374" priority="1025" operator="greaterThan">
      <formula>V21</formula>
    </cfRule>
    <cfRule type="cellIs" dxfId="13373" priority="1026" operator="equal">
      <formula>0</formula>
    </cfRule>
  </conditionalFormatting>
  <conditionalFormatting sqref="V22">
    <cfRule type="cellIs" dxfId="13372" priority="1023" operator="greaterThan">
      <formula>V21</formula>
    </cfRule>
    <cfRule type="cellIs" dxfId="13371" priority="1024" operator="equal">
      <formula>0</formula>
    </cfRule>
  </conditionalFormatting>
  <conditionalFormatting sqref="V22">
    <cfRule type="cellIs" dxfId="13370" priority="1021" operator="greaterThan">
      <formula>V21</formula>
    </cfRule>
    <cfRule type="cellIs" dxfId="13369" priority="1022" operator="equal">
      <formula>0</formula>
    </cfRule>
  </conditionalFormatting>
  <conditionalFormatting sqref="V22">
    <cfRule type="cellIs" dxfId="13368" priority="1019" operator="greaterThan">
      <formula>V21</formula>
    </cfRule>
    <cfRule type="cellIs" dxfId="13367" priority="1020" operator="equal">
      <formula>0</formula>
    </cfRule>
  </conditionalFormatting>
  <conditionalFormatting sqref="V22">
    <cfRule type="cellIs" dxfId="13366" priority="1017" operator="greaterThan">
      <formula>V21</formula>
    </cfRule>
    <cfRule type="cellIs" dxfId="13365" priority="1018" operator="equal">
      <formula>0</formula>
    </cfRule>
  </conditionalFormatting>
  <conditionalFormatting sqref="V22">
    <cfRule type="cellIs" dxfId="13364" priority="1015" operator="greaterThan">
      <formula>V21</formula>
    </cfRule>
    <cfRule type="cellIs" dxfId="13363" priority="1016" operator="equal">
      <formula>0</formula>
    </cfRule>
  </conditionalFormatting>
  <conditionalFormatting sqref="V22">
    <cfRule type="cellIs" dxfId="13362" priority="1013" operator="greaterThan">
      <formula>V21</formula>
    </cfRule>
    <cfRule type="cellIs" dxfId="13361" priority="1014" operator="equal">
      <formula>0</formula>
    </cfRule>
  </conditionalFormatting>
  <conditionalFormatting sqref="V22">
    <cfRule type="cellIs" dxfId="13360" priority="1011" operator="greaterThan">
      <formula>V21</formula>
    </cfRule>
    <cfRule type="cellIs" dxfId="13359" priority="1012" operator="equal">
      <formula>0</formula>
    </cfRule>
  </conditionalFormatting>
  <conditionalFormatting sqref="V22">
    <cfRule type="cellIs" dxfId="13358" priority="1009" operator="greaterThan">
      <formula>V21</formula>
    </cfRule>
    <cfRule type="cellIs" dxfId="13357" priority="1010" operator="equal">
      <formula>0</formula>
    </cfRule>
  </conditionalFormatting>
  <conditionalFormatting sqref="V22">
    <cfRule type="cellIs" dxfId="13356" priority="1007" operator="greaterThan">
      <formula>V21</formula>
    </cfRule>
    <cfRule type="cellIs" dxfId="13355" priority="1008" operator="equal">
      <formula>0</formula>
    </cfRule>
  </conditionalFormatting>
  <conditionalFormatting sqref="V22">
    <cfRule type="cellIs" dxfId="13354" priority="1005" operator="greaterThan">
      <formula>V21</formula>
    </cfRule>
    <cfRule type="cellIs" dxfId="13353" priority="1006" operator="equal">
      <formula>0</formula>
    </cfRule>
  </conditionalFormatting>
  <conditionalFormatting sqref="V22">
    <cfRule type="cellIs" dxfId="13352" priority="1003" operator="greaterThan">
      <formula>V21</formula>
    </cfRule>
    <cfRule type="cellIs" dxfId="13351" priority="1004" operator="equal">
      <formula>0</formula>
    </cfRule>
  </conditionalFormatting>
  <conditionalFormatting sqref="V22">
    <cfRule type="cellIs" dxfId="13350" priority="1001" operator="greaterThan">
      <formula>V21</formula>
    </cfRule>
    <cfRule type="cellIs" dxfId="13349" priority="1002" operator="equal">
      <formula>0</formula>
    </cfRule>
  </conditionalFormatting>
  <conditionalFormatting sqref="V22">
    <cfRule type="cellIs" dxfId="13348" priority="999" operator="greaterThan">
      <formula>V21</formula>
    </cfRule>
    <cfRule type="cellIs" dxfId="13347" priority="1000" operator="equal">
      <formula>0</formula>
    </cfRule>
  </conditionalFormatting>
  <conditionalFormatting sqref="V22">
    <cfRule type="cellIs" dxfId="13346" priority="997" operator="greaterThan">
      <formula>V21</formula>
    </cfRule>
    <cfRule type="cellIs" dxfId="13345" priority="998" operator="equal">
      <formula>0</formula>
    </cfRule>
  </conditionalFormatting>
  <conditionalFormatting sqref="V22">
    <cfRule type="cellIs" dxfId="13344" priority="995" operator="greaterThan">
      <formula>V21</formula>
    </cfRule>
    <cfRule type="cellIs" dxfId="13343" priority="996" operator="equal">
      <formula>0</formula>
    </cfRule>
  </conditionalFormatting>
  <conditionalFormatting sqref="V22">
    <cfRule type="cellIs" dxfId="13342" priority="993" operator="greaterThan">
      <formula>V21</formula>
    </cfRule>
    <cfRule type="cellIs" dxfId="13341" priority="994" operator="equal">
      <formula>0</formula>
    </cfRule>
  </conditionalFormatting>
  <conditionalFormatting sqref="V22">
    <cfRule type="cellIs" dxfId="13340" priority="991" operator="greaterThan">
      <formula>V21</formula>
    </cfRule>
    <cfRule type="cellIs" dxfId="13339" priority="992" operator="equal">
      <formula>0</formula>
    </cfRule>
  </conditionalFormatting>
  <conditionalFormatting sqref="V22">
    <cfRule type="cellIs" dxfId="13338" priority="989" operator="greaterThan">
      <formula>V21</formula>
    </cfRule>
    <cfRule type="cellIs" dxfId="13337" priority="990" operator="equal">
      <formula>0</formula>
    </cfRule>
  </conditionalFormatting>
  <conditionalFormatting sqref="V22">
    <cfRule type="cellIs" dxfId="13336" priority="987" operator="greaterThan">
      <formula>V21</formula>
    </cfRule>
    <cfRule type="cellIs" dxfId="13335" priority="988" operator="equal">
      <formula>0</formula>
    </cfRule>
  </conditionalFormatting>
  <conditionalFormatting sqref="V22">
    <cfRule type="cellIs" dxfId="13334" priority="985" operator="greaterThan">
      <formula>V21</formula>
    </cfRule>
    <cfRule type="cellIs" dxfId="13333" priority="986" operator="equal">
      <formula>0</formula>
    </cfRule>
  </conditionalFormatting>
  <conditionalFormatting sqref="V24">
    <cfRule type="cellIs" dxfId="13332" priority="983" operator="greaterThan">
      <formula>V23</formula>
    </cfRule>
    <cfRule type="cellIs" dxfId="13331" priority="984" operator="equal">
      <formula>0</formula>
    </cfRule>
  </conditionalFormatting>
  <conditionalFormatting sqref="V24">
    <cfRule type="cellIs" dxfId="13330" priority="981" operator="greaterThan">
      <formula>V23</formula>
    </cfRule>
    <cfRule type="cellIs" dxfId="13329" priority="982" operator="equal">
      <formula>0</formula>
    </cfRule>
  </conditionalFormatting>
  <conditionalFormatting sqref="V24">
    <cfRule type="cellIs" dxfId="13328" priority="979" operator="greaterThan">
      <formula>V23</formula>
    </cfRule>
    <cfRule type="cellIs" dxfId="13327" priority="980" operator="equal">
      <formula>0</formula>
    </cfRule>
  </conditionalFormatting>
  <conditionalFormatting sqref="V24">
    <cfRule type="cellIs" dxfId="13326" priority="977" operator="greaterThan">
      <formula>V23</formula>
    </cfRule>
    <cfRule type="cellIs" dxfId="13325" priority="978" operator="equal">
      <formula>0</formula>
    </cfRule>
  </conditionalFormatting>
  <conditionalFormatting sqref="V24">
    <cfRule type="cellIs" dxfId="13324" priority="975" operator="greaterThan">
      <formula>V23</formula>
    </cfRule>
    <cfRule type="cellIs" dxfId="13323" priority="976" operator="equal">
      <formula>0</formula>
    </cfRule>
  </conditionalFormatting>
  <conditionalFormatting sqref="V24">
    <cfRule type="cellIs" dxfId="13322" priority="973" operator="greaterThan">
      <formula>V23</formula>
    </cfRule>
    <cfRule type="cellIs" dxfId="13321" priority="974" operator="equal">
      <formula>0</formula>
    </cfRule>
  </conditionalFormatting>
  <conditionalFormatting sqref="V24">
    <cfRule type="cellIs" dxfId="13320" priority="971" operator="greaterThan">
      <formula>V23</formula>
    </cfRule>
    <cfRule type="cellIs" dxfId="13319" priority="972" operator="equal">
      <formula>0</formula>
    </cfRule>
  </conditionalFormatting>
  <conditionalFormatting sqref="V24">
    <cfRule type="cellIs" dxfId="13318" priority="969" operator="greaterThan">
      <formula>V23</formula>
    </cfRule>
    <cfRule type="cellIs" dxfId="13317" priority="970" operator="equal">
      <formula>0</formula>
    </cfRule>
  </conditionalFormatting>
  <conditionalFormatting sqref="V24">
    <cfRule type="cellIs" dxfId="13316" priority="967" operator="greaterThan">
      <formula>V23</formula>
    </cfRule>
    <cfRule type="cellIs" dxfId="13315" priority="968" operator="equal">
      <formula>0</formula>
    </cfRule>
  </conditionalFormatting>
  <conditionalFormatting sqref="V24">
    <cfRule type="cellIs" dxfId="13314" priority="965" operator="greaterThan">
      <formula>V23</formula>
    </cfRule>
    <cfRule type="cellIs" dxfId="13313" priority="966" operator="equal">
      <formula>0</formula>
    </cfRule>
  </conditionalFormatting>
  <conditionalFormatting sqref="V24">
    <cfRule type="cellIs" dxfId="13312" priority="963" operator="greaterThan">
      <formula>V23</formula>
    </cfRule>
    <cfRule type="cellIs" dxfId="13311" priority="964" operator="equal">
      <formula>0</formula>
    </cfRule>
  </conditionalFormatting>
  <conditionalFormatting sqref="V24">
    <cfRule type="cellIs" dxfId="13310" priority="961" operator="greaterThan">
      <formula>V23</formula>
    </cfRule>
    <cfRule type="cellIs" dxfId="13309" priority="962" operator="equal">
      <formula>0</formula>
    </cfRule>
  </conditionalFormatting>
  <conditionalFormatting sqref="V24">
    <cfRule type="cellIs" dxfId="13308" priority="959" operator="greaterThan">
      <formula>V23</formula>
    </cfRule>
    <cfRule type="cellIs" dxfId="13307" priority="960" operator="equal">
      <formula>0</formula>
    </cfRule>
  </conditionalFormatting>
  <conditionalFormatting sqref="V24">
    <cfRule type="cellIs" dxfId="13306" priority="957" operator="greaterThan">
      <formula>V23</formula>
    </cfRule>
    <cfRule type="cellIs" dxfId="13305" priority="958" operator="equal">
      <formula>0</formula>
    </cfRule>
  </conditionalFormatting>
  <conditionalFormatting sqref="V24">
    <cfRule type="cellIs" dxfId="13304" priority="955" operator="greaterThan">
      <formula>V23</formula>
    </cfRule>
    <cfRule type="cellIs" dxfId="13303" priority="956" operator="equal">
      <formula>0</formula>
    </cfRule>
  </conditionalFormatting>
  <conditionalFormatting sqref="V24">
    <cfRule type="cellIs" dxfId="13302" priority="953" operator="greaterThan">
      <formula>V23</formula>
    </cfRule>
    <cfRule type="cellIs" dxfId="13301" priority="954" operator="equal">
      <formula>0</formula>
    </cfRule>
  </conditionalFormatting>
  <conditionalFormatting sqref="V24">
    <cfRule type="cellIs" dxfId="13300" priority="951" operator="greaterThan">
      <formula>V23</formula>
    </cfRule>
    <cfRule type="cellIs" dxfId="13299" priority="952" operator="equal">
      <formula>0</formula>
    </cfRule>
  </conditionalFormatting>
  <conditionalFormatting sqref="V24">
    <cfRule type="cellIs" dxfId="13298" priority="949" operator="greaterThan">
      <formula>V23</formula>
    </cfRule>
    <cfRule type="cellIs" dxfId="13297" priority="950" operator="equal">
      <formula>0</formula>
    </cfRule>
  </conditionalFormatting>
  <conditionalFormatting sqref="V25">
    <cfRule type="cellIs" dxfId="13296" priority="947" operator="greaterThan">
      <formula>V24</formula>
    </cfRule>
    <cfRule type="cellIs" dxfId="13295" priority="948" operator="equal">
      <formula>0</formula>
    </cfRule>
  </conditionalFormatting>
  <conditionalFormatting sqref="V25">
    <cfRule type="cellIs" dxfId="13294" priority="945" operator="greaterThan">
      <formula>V24</formula>
    </cfRule>
    <cfRule type="cellIs" dxfId="13293" priority="946" operator="equal">
      <formula>0</formula>
    </cfRule>
  </conditionalFormatting>
  <conditionalFormatting sqref="V25">
    <cfRule type="cellIs" dxfId="13292" priority="943" operator="greaterThan">
      <formula>V24</formula>
    </cfRule>
    <cfRule type="cellIs" dxfId="13291" priority="944" operator="equal">
      <formula>0</formula>
    </cfRule>
  </conditionalFormatting>
  <conditionalFormatting sqref="V25">
    <cfRule type="cellIs" dxfId="13290" priority="941" operator="greaterThan">
      <formula>V24</formula>
    </cfRule>
    <cfRule type="cellIs" dxfId="13289" priority="942" operator="equal">
      <formula>0</formula>
    </cfRule>
  </conditionalFormatting>
  <conditionalFormatting sqref="V25">
    <cfRule type="cellIs" dxfId="13288" priority="939" operator="greaterThan">
      <formula>V24</formula>
    </cfRule>
    <cfRule type="cellIs" dxfId="13287" priority="940" operator="equal">
      <formula>0</formula>
    </cfRule>
  </conditionalFormatting>
  <conditionalFormatting sqref="V25">
    <cfRule type="cellIs" dxfId="13286" priority="937" operator="greaterThan">
      <formula>V24</formula>
    </cfRule>
    <cfRule type="cellIs" dxfId="13285" priority="938" operator="equal">
      <formula>0</formula>
    </cfRule>
  </conditionalFormatting>
  <conditionalFormatting sqref="V25">
    <cfRule type="cellIs" dxfId="13284" priority="935" operator="greaterThan">
      <formula>V24</formula>
    </cfRule>
    <cfRule type="cellIs" dxfId="13283" priority="936" operator="equal">
      <formula>0</formula>
    </cfRule>
  </conditionalFormatting>
  <conditionalFormatting sqref="V25">
    <cfRule type="cellIs" dxfId="13282" priority="933" operator="greaterThan">
      <formula>V24</formula>
    </cfRule>
    <cfRule type="cellIs" dxfId="13281" priority="934" operator="equal">
      <formula>0</formula>
    </cfRule>
  </conditionalFormatting>
  <conditionalFormatting sqref="V25">
    <cfRule type="cellIs" dxfId="13280" priority="931" operator="greaterThan">
      <formula>V24</formula>
    </cfRule>
    <cfRule type="cellIs" dxfId="13279" priority="932" operator="equal">
      <formula>0</formula>
    </cfRule>
  </conditionalFormatting>
  <conditionalFormatting sqref="V25">
    <cfRule type="cellIs" dxfId="13278" priority="929" operator="greaterThan">
      <formula>V24</formula>
    </cfRule>
    <cfRule type="cellIs" dxfId="13277" priority="930" operator="equal">
      <formula>0</formula>
    </cfRule>
  </conditionalFormatting>
  <conditionalFormatting sqref="V25">
    <cfRule type="cellIs" dxfId="13276" priority="927" operator="greaterThan">
      <formula>V24</formula>
    </cfRule>
    <cfRule type="cellIs" dxfId="13275" priority="928" operator="equal">
      <formula>0</formula>
    </cfRule>
  </conditionalFormatting>
  <conditionalFormatting sqref="V25">
    <cfRule type="cellIs" dxfId="13274" priority="925" operator="greaterThan">
      <formula>V24</formula>
    </cfRule>
    <cfRule type="cellIs" dxfId="13273" priority="926" operator="equal">
      <formula>0</formula>
    </cfRule>
  </conditionalFormatting>
  <conditionalFormatting sqref="V25">
    <cfRule type="cellIs" dxfId="13272" priority="923" operator="greaterThan">
      <formula>V24</formula>
    </cfRule>
    <cfRule type="cellIs" dxfId="13271" priority="924" operator="equal">
      <formula>0</formula>
    </cfRule>
  </conditionalFormatting>
  <conditionalFormatting sqref="V25">
    <cfRule type="cellIs" dxfId="13270" priority="921" operator="greaterThan">
      <formula>V24</formula>
    </cfRule>
    <cfRule type="cellIs" dxfId="13269" priority="922" operator="equal">
      <formula>0</formula>
    </cfRule>
  </conditionalFormatting>
  <conditionalFormatting sqref="V25">
    <cfRule type="cellIs" dxfId="13268" priority="919" operator="greaterThan">
      <formula>V24</formula>
    </cfRule>
    <cfRule type="cellIs" dxfId="13267" priority="920" operator="equal">
      <formula>0</formula>
    </cfRule>
  </conditionalFormatting>
  <conditionalFormatting sqref="V25">
    <cfRule type="cellIs" dxfId="13266" priority="917" operator="greaterThan">
      <formula>V24</formula>
    </cfRule>
    <cfRule type="cellIs" dxfId="13265" priority="918" operator="equal">
      <formula>0</formula>
    </cfRule>
  </conditionalFormatting>
  <conditionalFormatting sqref="V25">
    <cfRule type="cellIs" dxfId="13264" priority="915" operator="greaterThan">
      <formula>V24</formula>
    </cfRule>
    <cfRule type="cellIs" dxfId="13263" priority="916" operator="equal">
      <formula>0</formula>
    </cfRule>
  </conditionalFormatting>
  <conditionalFormatting sqref="V25">
    <cfRule type="cellIs" dxfId="13262" priority="913" operator="greaterThan">
      <formula>V24</formula>
    </cfRule>
    <cfRule type="cellIs" dxfId="13261" priority="914" operator="equal">
      <formula>0</formula>
    </cfRule>
  </conditionalFormatting>
  <conditionalFormatting sqref="V25">
    <cfRule type="cellIs" dxfId="13260" priority="911" operator="greaterThan">
      <formula>V24</formula>
    </cfRule>
    <cfRule type="cellIs" dxfId="13259" priority="912" operator="equal">
      <formula>0</formula>
    </cfRule>
  </conditionalFormatting>
  <conditionalFormatting sqref="V25">
    <cfRule type="cellIs" dxfId="13258" priority="909" operator="greaterThan">
      <formula>V24</formula>
    </cfRule>
    <cfRule type="cellIs" dxfId="13257" priority="910" operator="equal">
      <formula>0</formula>
    </cfRule>
  </conditionalFormatting>
  <conditionalFormatting sqref="V25">
    <cfRule type="cellIs" dxfId="13256" priority="907" operator="greaterThan">
      <formula>V24</formula>
    </cfRule>
    <cfRule type="cellIs" dxfId="13255" priority="908" operator="equal">
      <formula>0</formula>
    </cfRule>
  </conditionalFormatting>
  <conditionalFormatting sqref="V25">
    <cfRule type="cellIs" dxfId="13254" priority="905" operator="greaterThan">
      <formula>V24</formula>
    </cfRule>
    <cfRule type="cellIs" dxfId="13253" priority="906" operator="equal">
      <formula>0</formula>
    </cfRule>
  </conditionalFormatting>
  <conditionalFormatting sqref="V25">
    <cfRule type="cellIs" dxfId="13252" priority="903" operator="greaterThan">
      <formula>V24</formula>
    </cfRule>
    <cfRule type="cellIs" dxfId="13251" priority="904" operator="equal">
      <formula>0</formula>
    </cfRule>
  </conditionalFormatting>
  <conditionalFormatting sqref="V25">
    <cfRule type="cellIs" dxfId="13250" priority="901" operator="greaterThan">
      <formula>V24</formula>
    </cfRule>
    <cfRule type="cellIs" dxfId="13249" priority="902" operator="equal">
      <formula>0</formula>
    </cfRule>
  </conditionalFormatting>
  <conditionalFormatting sqref="V25">
    <cfRule type="cellIs" dxfId="13248" priority="899" operator="greaterThan">
      <formula>V24</formula>
    </cfRule>
    <cfRule type="cellIs" dxfId="13247" priority="900" operator="equal">
      <formula>0</formula>
    </cfRule>
  </conditionalFormatting>
  <conditionalFormatting sqref="V25">
    <cfRule type="cellIs" dxfId="13246" priority="897" operator="greaterThan">
      <formula>V24</formula>
    </cfRule>
    <cfRule type="cellIs" dxfId="13245" priority="898" operator="equal">
      <formula>0</formula>
    </cfRule>
  </conditionalFormatting>
  <conditionalFormatting sqref="V25">
    <cfRule type="cellIs" dxfId="13244" priority="895" operator="greaterThan">
      <formula>V24</formula>
    </cfRule>
    <cfRule type="cellIs" dxfId="13243" priority="896" operator="equal">
      <formula>0</formula>
    </cfRule>
  </conditionalFormatting>
  <conditionalFormatting sqref="V25">
    <cfRule type="cellIs" dxfId="13242" priority="893" operator="greaterThan">
      <formula>V24</formula>
    </cfRule>
    <cfRule type="cellIs" dxfId="13241" priority="894" operator="equal">
      <formula>0</formula>
    </cfRule>
  </conditionalFormatting>
  <conditionalFormatting sqref="V27">
    <cfRule type="cellIs" dxfId="13240" priority="891" operator="greaterThan">
      <formula>V26</formula>
    </cfRule>
    <cfRule type="cellIs" dxfId="13239" priority="892" operator="equal">
      <formula>0</formula>
    </cfRule>
  </conditionalFormatting>
  <conditionalFormatting sqref="V27">
    <cfRule type="cellIs" dxfId="13238" priority="889" operator="greaterThan">
      <formula>V26</formula>
    </cfRule>
    <cfRule type="cellIs" dxfId="13237" priority="890" operator="equal">
      <formula>0</formula>
    </cfRule>
  </conditionalFormatting>
  <conditionalFormatting sqref="V27">
    <cfRule type="cellIs" dxfId="13236" priority="887" operator="greaterThan">
      <formula>V26</formula>
    </cfRule>
    <cfRule type="cellIs" dxfId="13235" priority="888" operator="equal">
      <formula>0</formula>
    </cfRule>
  </conditionalFormatting>
  <conditionalFormatting sqref="V27">
    <cfRule type="cellIs" dxfId="13234" priority="885" operator="greaterThan">
      <formula>V26</formula>
    </cfRule>
    <cfRule type="cellIs" dxfId="13233" priority="886" operator="equal">
      <formula>0</formula>
    </cfRule>
  </conditionalFormatting>
  <conditionalFormatting sqref="V27">
    <cfRule type="cellIs" dxfId="13232" priority="883" operator="greaterThan">
      <formula>V26</formula>
    </cfRule>
    <cfRule type="cellIs" dxfId="13231" priority="884" operator="equal">
      <formula>0</formula>
    </cfRule>
  </conditionalFormatting>
  <conditionalFormatting sqref="V27">
    <cfRule type="cellIs" dxfId="13230" priority="881" operator="greaterThan">
      <formula>V26</formula>
    </cfRule>
    <cfRule type="cellIs" dxfId="13229" priority="882" operator="equal">
      <formula>0</formula>
    </cfRule>
  </conditionalFormatting>
  <conditionalFormatting sqref="V27">
    <cfRule type="cellIs" dxfId="13228" priority="879" operator="greaterThan">
      <formula>V26</formula>
    </cfRule>
    <cfRule type="cellIs" dxfId="13227" priority="880" operator="equal">
      <formula>0</formula>
    </cfRule>
  </conditionalFormatting>
  <conditionalFormatting sqref="V27">
    <cfRule type="cellIs" dxfId="13226" priority="877" operator="greaterThan">
      <formula>V26</formula>
    </cfRule>
    <cfRule type="cellIs" dxfId="13225" priority="878" operator="equal">
      <formula>0</formula>
    </cfRule>
  </conditionalFormatting>
  <conditionalFormatting sqref="V27">
    <cfRule type="cellIs" dxfId="13224" priority="875" operator="greaterThan">
      <formula>V26</formula>
    </cfRule>
    <cfRule type="cellIs" dxfId="13223" priority="876" operator="equal">
      <formula>0</formula>
    </cfRule>
  </conditionalFormatting>
  <conditionalFormatting sqref="V27">
    <cfRule type="cellIs" dxfId="13222" priority="873" operator="greaterThan">
      <formula>V26</formula>
    </cfRule>
    <cfRule type="cellIs" dxfId="13221" priority="874" operator="equal">
      <formula>0</formula>
    </cfRule>
  </conditionalFormatting>
  <conditionalFormatting sqref="V27">
    <cfRule type="cellIs" dxfId="13220" priority="871" operator="greaterThan">
      <formula>V26</formula>
    </cfRule>
    <cfRule type="cellIs" dxfId="13219" priority="872" operator="equal">
      <formula>0</formula>
    </cfRule>
  </conditionalFormatting>
  <conditionalFormatting sqref="V27">
    <cfRule type="cellIs" dxfId="13218" priority="869" operator="greaterThan">
      <formula>V26</formula>
    </cfRule>
    <cfRule type="cellIs" dxfId="13217" priority="870" operator="equal">
      <formula>0</formula>
    </cfRule>
  </conditionalFormatting>
  <conditionalFormatting sqref="V27">
    <cfRule type="cellIs" dxfId="13216" priority="867" operator="greaterThan">
      <formula>V26</formula>
    </cfRule>
    <cfRule type="cellIs" dxfId="13215" priority="868" operator="equal">
      <formula>0</formula>
    </cfRule>
  </conditionalFormatting>
  <conditionalFormatting sqref="V27">
    <cfRule type="cellIs" dxfId="13214" priority="865" operator="greaterThan">
      <formula>V26</formula>
    </cfRule>
    <cfRule type="cellIs" dxfId="13213" priority="866" operator="equal">
      <formula>0</formula>
    </cfRule>
  </conditionalFormatting>
  <conditionalFormatting sqref="V27">
    <cfRule type="cellIs" dxfId="13212" priority="863" operator="greaterThan">
      <formula>V26</formula>
    </cfRule>
    <cfRule type="cellIs" dxfId="13211" priority="864" operator="equal">
      <formula>0</formula>
    </cfRule>
  </conditionalFormatting>
  <conditionalFormatting sqref="V27">
    <cfRule type="cellIs" dxfId="13210" priority="861" operator="greaterThan">
      <formula>V26</formula>
    </cfRule>
    <cfRule type="cellIs" dxfId="13209" priority="862" operator="equal">
      <formula>0</formula>
    </cfRule>
  </conditionalFormatting>
  <conditionalFormatting sqref="V27">
    <cfRule type="cellIs" dxfId="13208" priority="859" operator="greaterThan">
      <formula>V26</formula>
    </cfRule>
    <cfRule type="cellIs" dxfId="13207" priority="860" operator="equal">
      <formula>0</formula>
    </cfRule>
  </conditionalFormatting>
  <conditionalFormatting sqref="V27">
    <cfRule type="cellIs" dxfId="13206" priority="857" operator="greaterThan">
      <formula>V26</formula>
    </cfRule>
    <cfRule type="cellIs" dxfId="13205" priority="858" operator="equal">
      <formula>0</formula>
    </cfRule>
  </conditionalFormatting>
  <conditionalFormatting sqref="V27">
    <cfRule type="cellIs" dxfId="13204" priority="855" operator="greaterThan">
      <formula>V26</formula>
    </cfRule>
    <cfRule type="cellIs" dxfId="13203" priority="856" operator="equal">
      <formula>0</formula>
    </cfRule>
  </conditionalFormatting>
  <conditionalFormatting sqref="V27">
    <cfRule type="cellIs" dxfId="13202" priority="853" operator="greaterThan">
      <formula>V26</formula>
    </cfRule>
    <cfRule type="cellIs" dxfId="13201" priority="854" operator="equal">
      <formula>0</formula>
    </cfRule>
  </conditionalFormatting>
  <conditionalFormatting sqref="V27">
    <cfRule type="cellIs" dxfId="13200" priority="851" operator="greaterThan">
      <formula>V26</formula>
    </cfRule>
    <cfRule type="cellIs" dxfId="13199" priority="852" operator="equal">
      <formula>0</formula>
    </cfRule>
  </conditionalFormatting>
  <conditionalFormatting sqref="V27">
    <cfRule type="cellIs" dxfId="13198" priority="849" operator="greaterThan">
      <formula>V26</formula>
    </cfRule>
    <cfRule type="cellIs" dxfId="13197" priority="850" operator="equal">
      <formula>0</formula>
    </cfRule>
  </conditionalFormatting>
  <conditionalFormatting sqref="V27">
    <cfRule type="cellIs" dxfId="13196" priority="847" operator="greaterThan">
      <formula>V26</formula>
    </cfRule>
    <cfRule type="cellIs" dxfId="13195" priority="848" operator="equal">
      <formula>0</formula>
    </cfRule>
  </conditionalFormatting>
  <conditionalFormatting sqref="V27">
    <cfRule type="cellIs" dxfId="13194" priority="845" operator="greaterThan">
      <formula>V26</formula>
    </cfRule>
    <cfRule type="cellIs" dxfId="13193" priority="846" operator="equal">
      <formula>0</formula>
    </cfRule>
  </conditionalFormatting>
  <conditionalFormatting sqref="V27">
    <cfRule type="cellIs" dxfId="13192" priority="843" operator="greaterThan">
      <formula>V26</formula>
    </cfRule>
    <cfRule type="cellIs" dxfId="13191" priority="844" operator="equal">
      <formula>0</formula>
    </cfRule>
  </conditionalFormatting>
  <conditionalFormatting sqref="V27">
    <cfRule type="cellIs" dxfId="13190" priority="841" operator="greaterThan">
      <formula>V26</formula>
    </cfRule>
    <cfRule type="cellIs" dxfId="13189" priority="842" operator="equal">
      <formula>0</formula>
    </cfRule>
  </conditionalFormatting>
  <conditionalFormatting sqref="V27">
    <cfRule type="cellIs" dxfId="13188" priority="839" operator="greaterThan">
      <formula>V26</formula>
    </cfRule>
    <cfRule type="cellIs" dxfId="13187" priority="840" operator="equal">
      <formula>0</formula>
    </cfRule>
  </conditionalFormatting>
  <conditionalFormatting sqref="V27">
    <cfRule type="cellIs" dxfId="13186" priority="837" operator="greaterThan">
      <formula>V26</formula>
    </cfRule>
    <cfRule type="cellIs" dxfId="13185" priority="838" operator="equal">
      <formula>0</formula>
    </cfRule>
  </conditionalFormatting>
  <conditionalFormatting sqref="V27">
    <cfRule type="cellIs" dxfId="13184" priority="835" operator="greaterThan">
      <formula>V26</formula>
    </cfRule>
    <cfRule type="cellIs" dxfId="13183" priority="836" operator="equal">
      <formula>0</formula>
    </cfRule>
  </conditionalFormatting>
  <conditionalFormatting sqref="V28">
    <cfRule type="cellIs" dxfId="13182" priority="833" operator="greaterThan">
      <formula>V27</formula>
    </cfRule>
    <cfRule type="cellIs" dxfId="13181" priority="834" operator="equal">
      <formula>0</formula>
    </cfRule>
  </conditionalFormatting>
  <conditionalFormatting sqref="V28">
    <cfRule type="cellIs" dxfId="13180" priority="831" operator="greaterThan">
      <formula>V27</formula>
    </cfRule>
    <cfRule type="cellIs" dxfId="13179" priority="832" operator="equal">
      <formula>0</formula>
    </cfRule>
  </conditionalFormatting>
  <conditionalFormatting sqref="V28">
    <cfRule type="cellIs" dxfId="13178" priority="829" operator="greaterThan">
      <formula>V27</formula>
    </cfRule>
    <cfRule type="cellIs" dxfId="13177" priority="830" operator="equal">
      <formula>0</formula>
    </cfRule>
  </conditionalFormatting>
  <conditionalFormatting sqref="V28">
    <cfRule type="cellIs" dxfId="13176" priority="827" operator="greaterThan">
      <formula>V27</formula>
    </cfRule>
    <cfRule type="cellIs" dxfId="13175" priority="828" operator="equal">
      <formula>0</formula>
    </cfRule>
  </conditionalFormatting>
  <conditionalFormatting sqref="V28">
    <cfRule type="cellIs" dxfId="13174" priority="825" operator="greaterThan">
      <formula>V27</formula>
    </cfRule>
    <cfRule type="cellIs" dxfId="13173" priority="826" operator="equal">
      <formula>0</formula>
    </cfRule>
  </conditionalFormatting>
  <conditionalFormatting sqref="V28">
    <cfRule type="cellIs" dxfId="13172" priority="823" operator="greaterThan">
      <formula>V27</formula>
    </cfRule>
    <cfRule type="cellIs" dxfId="13171" priority="824" operator="equal">
      <formula>0</formula>
    </cfRule>
  </conditionalFormatting>
  <conditionalFormatting sqref="V28">
    <cfRule type="cellIs" dxfId="13170" priority="821" operator="greaterThan">
      <formula>V27</formula>
    </cfRule>
    <cfRule type="cellIs" dxfId="13169" priority="822" operator="equal">
      <formula>0</formula>
    </cfRule>
  </conditionalFormatting>
  <conditionalFormatting sqref="V28">
    <cfRule type="cellIs" dxfId="13168" priority="819" operator="greaterThan">
      <formula>V27</formula>
    </cfRule>
    <cfRule type="cellIs" dxfId="13167" priority="820" operator="equal">
      <formula>0</formula>
    </cfRule>
  </conditionalFormatting>
  <conditionalFormatting sqref="V28">
    <cfRule type="cellIs" dxfId="13166" priority="817" operator="greaterThan">
      <formula>V27</formula>
    </cfRule>
    <cfRule type="cellIs" dxfId="13165" priority="818" operator="equal">
      <formula>0</formula>
    </cfRule>
  </conditionalFormatting>
  <conditionalFormatting sqref="V28">
    <cfRule type="cellIs" dxfId="13164" priority="815" operator="greaterThan">
      <formula>V27</formula>
    </cfRule>
    <cfRule type="cellIs" dxfId="13163" priority="816" operator="equal">
      <formula>0</formula>
    </cfRule>
  </conditionalFormatting>
  <conditionalFormatting sqref="V28">
    <cfRule type="cellIs" dxfId="13162" priority="813" operator="greaterThan">
      <formula>V27</formula>
    </cfRule>
    <cfRule type="cellIs" dxfId="13161" priority="814" operator="equal">
      <formula>0</formula>
    </cfRule>
  </conditionalFormatting>
  <conditionalFormatting sqref="V28">
    <cfRule type="cellIs" dxfId="13160" priority="811" operator="greaterThan">
      <formula>V27</formula>
    </cfRule>
    <cfRule type="cellIs" dxfId="13159" priority="812" operator="equal">
      <formula>0</formula>
    </cfRule>
  </conditionalFormatting>
  <conditionalFormatting sqref="V28">
    <cfRule type="cellIs" dxfId="13158" priority="809" operator="greaterThan">
      <formula>V27</formula>
    </cfRule>
    <cfRule type="cellIs" dxfId="13157" priority="810" operator="equal">
      <formula>0</formula>
    </cfRule>
  </conditionalFormatting>
  <conditionalFormatting sqref="V28">
    <cfRule type="cellIs" dxfId="13156" priority="807" operator="greaterThan">
      <formula>V27</formula>
    </cfRule>
    <cfRule type="cellIs" dxfId="13155" priority="808" operator="equal">
      <formula>0</formula>
    </cfRule>
  </conditionalFormatting>
  <conditionalFormatting sqref="V28">
    <cfRule type="cellIs" dxfId="13154" priority="805" operator="greaterThan">
      <formula>V27</formula>
    </cfRule>
    <cfRule type="cellIs" dxfId="13153" priority="806" operator="equal">
      <formula>0</formula>
    </cfRule>
  </conditionalFormatting>
  <conditionalFormatting sqref="V28">
    <cfRule type="cellIs" dxfId="13152" priority="803" operator="greaterThan">
      <formula>V27</formula>
    </cfRule>
    <cfRule type="cellIs" dxfId="13151" priority="804" operator="equal">
      <formula>0</formula>
    </cfRule>
  </conditionalFormatting>
  <conditionalFormatting sqref="V28">
    <cfRule type="cellIs" dxfId="13150" priority="801" operator="greaterThan">
      <formula>V27</formula>
    </cfRule>
    <cfRule type="cellIs" dxfId="13149" priority="802" operator="equal">
      <formula>0</formula>
    </cfRule>
  </conditionalFormatting>
  <conditionalFormatting sqref="V28">
    <cfRule type="cellIs" dxfId="13148" priority="799" operator="greaterThan">
      <formula>V27</formula>
    </cfRule>
    <cfRule type="cellIs" dxfId="13147" priority="800" operator="equal">
      <formula>0</formula>
    </cfRule>
  </conditionalFormatting>
  <conditionalFormatting sqref="V28">
    <cfRule type="cellIs" dxfId="13146" priority="797" operator="greaterThan">
      <formula>V27</formula>
    </cfRule>
    <cfRule type="cellIs" dxfId="13145" priority="798" operator="equal">
      <formula>0</formula>
    </cfRule>
  </conditionalFormatting>
  <conditionalFormatting sqref="V28">
    <cfRule type="cellIs" dxfId="13144" priority="795" operator="greaterThan">
      <formula>V27</formula>
    </cfRule>
    <cfRule type="cellIs" dxfId="13143" priority="796" operator="equal">
      <formula>0</formula>
    </cfRule>
  </conditionalFormatting>
  <conditionalFormatting sqref="V28">
    <cfRule type="cellIs" dxfId="13142" priority="793" operator="greaterThan">
      <formula>V27</formula>
    </cfRule>
    <cfRule type="cellIs" dxfId="13141" priority="794" operator="equal">
      <formula>0</formula>
    </cfRule>
  </conditionalFormatting>
  <conditionalFormatting sqref="V28">
    <cfRule type="cellIs" dxfId="13140" priority="791" operator="greaterThan">
      <formula>V27</formula>
    </cfRule>
    <cfRule type="cellIs" dxfId="13139" priority="792" operator="equal">
      <formula>0</formula>
    </cfRule>
  </conditionalFormatting>
  <conditionalFormatting sqref="V28">
    <cfRule type="cellIs" dxfId="13138" priority="789" operator="greaterThan">
      <formula>V27</formula>
    </cfRule>
    <cfRule type="cellIs" dxfId="13137" priority="790" operator="equal">
      <formula>0</formula>
    </cfRule>
  </conditionalFormatting>
  <conditionalFormatting sqref="V28">
    <cfRule type="cellIs" dxfId="13136" priority="787" operator="greaterThan">
      <formula>V27</formula>
    </cfRule>
    <cfRule type="cellIs" dxfId="13135" priority="788" operator="equal">
      <formula>0</formula>
    </cfRule>
  </conditionalFormatting>
  <conditionalFormatting sqref="V28">
    <cfRule type="cellIs" dxfId="13134" priority="785" operator="greaterThan">
      <formula>V27</formula>
    </cfRule>
    <cfRule type="cellIs" dxfId="13133" priority="786" operator="equal">
      <formula>0</formula>
    </cfRule>
  </conditionalFormatting>
  <conditionalFormatting sqref="V28">
    <cfRule type="cellIs" dxfId="13132" priority="783" operator="greaterThan">
      <formula>V27</formula>
    </cfRule>
    <cfRule type="cellIs" dxfId="13131" priority="784" operator="equal">
      <formula>0</formula>
    </cfRule>
  </conditionalFormatting>
  <conditionalFormatting sqref="V28">
    <cfRule type="cellIs" dxfId="13130" priority="781" operator="greaterThan">
      <formula>V27</formula>
    </cfRule>
    <cfRule type="cellIs" dxfId="13129" priority="782" operator="equal">
      <formula>0</formula>
    </cfRule>
  </conditionalFormatting>
  <conditionalFormatting sqref="V28">
    <cfRule type="cellIs" dxfId="13128" priority="779" operator="greaterThan">
      <formula>V27</formula>
    </cfRule>
    <cfRule type="cellIs" dxfId="13127" priority="780" operator="equal">
      <formula>0</formula>
    </cfRule>
  </conditionalFormatting>
  <conditionalFormatting sqref="V28">
    <cfRule type="cellIs" dxfId="13126" priority="777" operator="greaterThan">
      <formula>V27</formula>
    </cfRule>
    <cfRule type="cellIs" dxfId="13125" priority="778" operator="equal">
      <formula>0</formula>
    </cfRule>
  </conditionalFormatting>
  <conditionalFormatting sqref="V28">
    <cfRule type="cellIs" dxfId="13124" priority="775" operator="greaterThan">
      <formula>V27</formula>
    </cfRule>
    <cfRule type="cellIs" dxfId="13123" priority="776" operator="equal">
      <formula>0</formula>
    </cfRule>
  </conditionalFormatting>
  <conditionalFormatting sqref="V28">
    <cfRule type="cellIs" dxfId="13122" priority="773" operator="greaterThan">
      <formula>V27</formula>
    </cfRule>
    <cfRule type="cellIs" dxfId="13121" priority="774" operator="equal">
      <formula>0</formula>
    </cfRule>
  </conditionalFormatting>
  <conditionalFormatting sqref="V28">
    <cfRule type="cellIs" dxfId="13120" priority="771" operator="greaterThan">
      <formula>V27</formula>
    </cfRule>
    <cfRule type="cellIs" dxfId="13119" priority="772" operator="equal">
      <formula>0</formula>
    </cfRule>
  </conditionalFormatting>
  <conditionalFormatting sqref="V28">
    <cfRule type="cellIs" dxfId="13118" priority="769" operator="greaterThan">
      <formula>V27</formula>
    </cfRule>
    <cfRule type="cellIs" dxfId="13117" priority="770" operator="equal">
      <formula>0</formula>
    </cfRule>
  </conditionalFormatting>
  <conditionalFormatting sqref="V28">
    <cfRule type="cellIs" dxfId="13116" priority="767" operator="greaterThan">
      <formula>V27</formula>
    </cfRule>
    <cfRule type="cellIs" dxfId="13115" priority="768" operator="equal">
      <formula>0</formula>
    </cfRule>
  </conditionalFormatting>
  <conditionalFormatting sqref="V28">
    <cfRule type="cellIs" dxfId="13114" priority="765" operator="greaterThan">
      <formula>V27</formula>
    </cfRule>
    <cfRule type="cellIs" dxfId="13113" priority="766" operator="equal">
      <formula>0</formula>
    </cfRule>
  </conditionalFormatting>
  <conditionalFormatting sqref="V28">
    <cfRule type="cellIs" dxfId="13112" priority="763" operator="greaterThan">
      <formula>V27</formula>
    </cfRule>
    <cfRule type="cellIs" dxfId="13111" priority="764" operator="equal">
      <formula>0</formula>
    </cfRule>
  </conditionalFormatting>
  <conditionalFormatting sqref="V28">
    <cfRule type="cellIs" dxfId="13110" priority="761" operator="greaterThan">
      <formula>V27</formula>
    </cfRule>
    <cfRule type="cellIs" dxfId="13109" priority="762" operator="equal">
      <formula>0</formula>
    </cfRule>
  </conditionalFormatting>
  <conditionalFormatting sqref="V28">
    <cfRule type="cellIs" dxfId="13108" priority="759" operator="greaterThan">
      <formula>V27</formula>
    </cfRule>
    <cfRule type="cellIs" dxfId="13107" priority="760" operator="equal">
      <formula>0</formula>
    </cfRule>
  </conditionalFormatting>
  <conditionalFormatting sqref="V28">
    <cfRule type="cellIs" dxfId="13106" priority="757" operator="greaterThan">
      <formula>V27</formula>
    </cfRule>
    <cfRule type="cellIs" dxfId="13105" priority="758" operator="equal">
      <formula>0</formula>
    </cfRule>
  </conditionalFormatting>
  <conditionalFormatting sqref="V28">
    <cfRule type="cellIs" dxfId="13104" priority="755" operator="greaterThan">
      <formula>V27</formula>
    </cfRule>
    <cfRule type="cellIs" dxfId="13103" priority="756" operator="equal">
      <formula>0</formula>
    </cfRule>
  </conditionalFormatting>
  <conditionalFormatting sqref="V28">
    <cfRule type="cellIs" dxfId="13102" priority="753" operator="greaterThan">
      <formula>V27</formula>
    </cfRule>
    <cfRule type="cellIs" dxfId="13101" priority="754" operator="equal">
      <formula>0</formula>
    </cfRule>
  </conditionalFormatting>
  <conditionalFormatting sqref="V28">
    <cfRule type="cellIs" dxfId="13100" priority="751" operator="greaterThan">
      <formula>V27</formula>
    </cfRule>
    <cfRule type="cellIs" dxfId="13099" priority="752" operator="equal">
      <formula>0</formula>
    </cfRule>
  </conditionalFormatting>
  <conditionalFormatting sqref="V28">
    <cfRule type="cellIs" dxfId="13098" priority="749" operator="greaterThan">
      <formula>V27</formula>
    </cfRule>
    <cfRule type="cellIs" dxfId="13097" priority="750" operator="equal">
      <formula>0</formula>
    </cfRule>
  </conditionalFormatting>
  <conditionalFormatting sqref="V28">
    <cfRule type="cellIs" dxfId="13096" priority="747" operator="greaterThan">
      <formula>V27</formula>
    </cfRule>
    <cfRule type="cellIs" dxfId="13095" priority="748" operator="equal">
      <formula>0</formula>
    </cfRule>
  </conditionalFormatting>
  <conditionalFormatting sqref="V28">
    <cfRule type="cellIs" dxfId="13094" priority="745" operator="greaterThan">
      <formula>V27</formula>
    </cfRule>
    <cfRule type="cellIs" dxfId="13093" priority="746" operator="equal">
      <formula>0</formula>
    </cfRule>
  </conditionalFormatting>
  <conditionalFormatting sqref="V28">
    <cfRule type="cellIs" dxfId="13092" priority="743" operator="greaterThan">
      <formula>V27</formula>
    </cfRule>
    <cfRule type="cellIs" dxfId="13091" priority="744" operator="equal">
      <formula>0</formula>
    </cfRule>
  </conditionalFormatting>
  <conditionalFormatting sqref="V28">
    <cfRule type="cellIs" dxfId="13090" priority="741" operator="greaterThan">
      <formula>V27</formula>
    </cfRule>
    <cfRule type="cellIs" dxfId="13089" priority="742" operator="equal">
      <formula>0</formula>
    </cfRule>
  </conditionalFormatting>
  <conditionalFormatting sqref="V28">
    <cfRule type="cellIs" dxfId="13088" priority="739" operator="greaterThan">
      <formula>V27</formula>
    </cfRule>
    <cfRule type="cellIs" dxfId="13087" priority="740" operator="equal">
      <formula>0</formula>
    </cfRule>
  </conditionalFormatting>
  <conditionalFormatting sqref="V28">
    <cfRule type="cellIs" dxfId="13086" priority="737" operator="greaterThan">
      <formula>V27</formula>
    </cfRule>
    <cfRule type="cellIs" dxfId="13085" priority="738" operator="equal">
      <formula>0</formula>
    </cfRule>
  </conditionalFormatting>
  <conditionalFormatting sqref="V28">
    <cfRule type="cellIs" dxfId="13084" priority="735" operator="greaterThan">
      <formula>V27</formula>
    </cfRule>
    <cfRule type="cellIs" dxfId="13083" priority="736" operator="equal">
      <formula>0</formula>
    </cfRule>
  </conditionalFormatting>
  <conditionalFormatting sqref="V28">
    <cfRule type="cellIs" dxfId="13082" priority="733" operator="greaterThan">
      <formula>V27</formula>
    </cfRule>
    <cfRule type="cellIs" dxfId="13081" priority="734" operator="equal">
      <formula>0</formula>
    </cfRule>
  </conditionalFormatting>
  <conditionalFormatting sqref="V28">
    <cfRule type="cellIs" dxfId="13080" priority="731" operator="greaterThan">
      <formula>V27</formula>
    </cfRule>
    <cfRule type="cellIs" dxfId="13079" priority="732" operator="equal">
      <formula>0</formula>
    </cfRule>
  </conditionalFormatting>
  <conditionalFormatting sqref="V28">
    <cfRule type="cellIs" dxfId="13078" priority="729" operator="greaterThan">
      <formula>V27</formula>
    </cfRule>
    <cfRule type="cellIs" dxfId="13077" priority="730" operator="equal">
      <formula>0</formula>
    </cfRule>
  </conditionalFormatting>
  <conditionalFormatting sqref="V28">
    <cfRule type="cellIs" dxfId="13076" priority="727" operator="greaterThan">
      <formula>V27</formula>
    </cfRule>
    <cfRule type="cellIs" dxfId="13075" priority="728" operator="equal">
      <formula>0</formula>
    </cfRule>
  </conditionalFormatting>
  <conditionalFormatting sqref="V28">
    <cfRule type="cellIs" dxfId="13074" priority="725" operator="greaterThan">
      <formula>V27</formula>
    </cfRule>
    <cfRule type="cellIs" dxfId="13073" priority="726" operator="equal">
      <formula>0</formula>
    </cfRule>
  </conditionalFormatting>
  <conditionalFormatting sqref="V28">
    <cfRule type="cellIs" dxfId="13072" priority="723" operator="greaterThan">
      <formula>V27</formula>
    </cfRule>
    <cfRule type="cellIs" dxfId="13071" priority="724" operator="equal">
      <formula>0</formula>
    </cfRule>
  </conditionalFormatting>
  <conditionalFormatting sqref="V28">
    <cfRule type="cellIs" dxfId="13070" priority="721" operator="greaterThan">
      <formula>V27</formula>
    </cfRule>
    <cfRule type="cellIs" dxfId="13069" priority="722" operator="equal">
      <formula>0</formula>
    </cfRule>
  </conditionalFormatting>
  <conditionalFormatting sqref="V28">
    <cfRule type="cellIs" dxfId="13068" priority="719" operator="greaterThan">
      <formula>V27</formula>
    </cfRule>
    <cfRule type="cellIs" dxfId="13067" priority="720" operator="equal">
      <formula>0</formula>
    </cfRule>
  </conditionalFormatting>
  <conditionalFormatting sqref="V28">
    <cfRule type="cellIs" dxfId="13066" priority="717" operator="greaterThan">
      <formula>V27</formula>
    </cfRule>
    <cfRule type="cellIs" dxfId="13065" priority="718" operator="equal">
      <formula>0</formula>
    </cfRule>
  </conditionalFormatting>
  <conditionalFormatting sqref="V28">
    <cfRule type="cellIs" dxfId="13064" priority="715" operator="greaterThan">
      <formula>V27</formula>
    </cfRule>
    <cfRule type="cellIs" dxfId="13063" priority="716" operator="equal">
      <formula>0</formula>
    </cfRule>
  </conditionalFormatting>
  <conditionalFormatting sqref="V28">
    <cfRule type="cellIs" dxfId="13062" priority="713" operator="greaterThan">
      <formula>V27</formula>
    </cfRule>
    <cfRule type="cellIs" dxfId="13061" priority="714" operator="equal">
      <formula>0</formula>
    </cfRule>
  </conditionalFormatting>
  <conditionalFormatting sqref="V28">
    <cfRule type="cellIs" dxfId="13060" priority="711" operator="greaterThan">
      <formula>V27</formula>
    </cfRule>
    <cfRule type="cellIs" dxfId="13059" priority="712" operator="equal">
      <formula>0</formula>
    </cfRule>
  </conditionalFormatting>
  <conditionalFormatting sqref="V28">
    <cfRule type="cellIs" dxfId="13058" priority="709" operator="greaterThan">
      <formula>V27</formula>
    </cfRule>
    <cfRule type="cellIs" dxfId="13057" priority="710" operator="equal">
      <formula>0</formula>
    </cfRule>
  </conditionalFormatting>
  <conditionalFormatting sqref="V28">
    <cfRule type="cellIs" dxfId="13056" priority="707" operator="greaterThan">
      <formula>V27</formula>
    </cfRule>
    <cfRule type="cellIs" dxfId="13055" priority="708" operator="equal">
      <formula>0</formula>
    </cfRule>
  </conditionalFormatting>
  <conditionalFormatting sqref="V28">
    <cfRule type="cellIs" dxfId="13054" priority="705" operator="greaterThan">
      <formula>V27</formula>
    </cfRule>
    <cfRule type="cellIs" dxfId="13053" priority="706" operator="equal">
      <formula>0</formula>
    </cfRule>
  </conditionalFormatting>
  <conditionalFormatting sqref="V28">
    <cfRule type="cellIs" dxfId="13052" priority="703" operator="greaterThan">
      <formula>V27</formula>
    </cfRule>
    <cfRule type="cellIs" dxfId="13051" priority="704" operator="equal">
      <formula>0</formula>
    </cfRule>
  </conditionalFormatting>
  <conditionalFormatting sqref="V28">
    <cfRule type="cellIs" dxfId="13050" priority="701" operator="greaterThan">
      <formula>V27</formula>
    </cfRule>
    <cfRule type="cellIs" dxfId="13049" priority="702" operator="equal">
      <formula>0</formula>
    </cfRule>
  </conditionalFormatting>
  <conditionalFormatting sqref="V28">
    <cfRule type="cellIs" dxfId="13048" priority="699" operator="greaterThan">
      <formula>V27</formula>
    </cfRule>
    <cfRule type="cellIs" dxfId="13047" priority="700" operator="equal">
      <formula>0</formula>
    </cfRule>
  </conditionalFormatting>
  <conditionalFormatting sqref="V28">
    <cfRule type="cellIs" dxfId="13046" priority="697" operator="greaterThan">
      <formula>V27</formula>
    </cfRule>
    <cfRule type="cellIs" dxfId="13045" priority="698" operator="equal">
      <formula>0</formula>
    </cfRule>
  </conditionalFormatting>
  <conditionalFormatting sqref="V28">
    <cfRule type="cellIs" dxfId="13044" priority="695" operator="greaterThan">
      <formula>V27</formula>
    </cfRule>
    <cfRule type="cellIs" dxfId="13043" priority="696" operator="equal">
      <formula>0</formula>
    </cfRule>
  </conditionalFormatting>
  <conditionalFormatting sqref="V28">
    <cfRule type="cellIs" dxfId="13042" priority="693" operator="greaterThan">
      <formula>V27</formula>
    </cfRule>
    <cfRule type="cellIs" dxfId="13041" priority="694" operator="equal">
      <formula>0</formula>
    </cfRule>
  </conditionalFormatting>
  <conditionalFormatting sqref="V28">
    <cfRule type="cellIs" dxfId="13040" priority="691" operator="greaterThan">
      <formula>V27</formula>
    </cfRule>
    <cfRule type="cellIs" dxfId="13039" priority="692" operator="equal">
      <formula>0</formula>
    </cfRule>
  </conditionalFormatting>
  <conditionalFormatting sqref="V28">
    <cfRule type="cellIs" dxfId="13038" priority="689" operator="greaterThan">
      <formula>V27</formula>
    </cfRule>
    <cfRule type="cellIs" dxfId="13037" priority="690" operator="equal">
      <formula>0</formula>
    </cfRule>
  </conditionalFormatting>
  <conditionalFormatting sqref="V28">
    <cfRule type="cellIs" dxfId="13036" priority="687" operator="greaterThan">
      <formula>V27</formula>
    </cfRule>
    <cfRule type="cellIs" dxfId="13035" priority="688" operator="equal">
      <formula>0</formula>
    </cfRule>
  </conditionalFormatting>
  <conditionalFormatting sqref="V28">
    <cfRule type="cellIs" dxfId="13034" priority="685" operator="greaterThan">
      <formula>V27</formula>
    </cfRule>
    <cfRule type="cellIs" dxfId="13033" priority="686" operator="equal">
      <formula>0</formula>
    </cfRule>
  </conditionalFormatting>
  <conditionalFormatting sqref="V28">
    <cfRule type="cellIs" dxfId="13032" priority="683" operator="greaterThan">
      <formula>V27</formula>
    </cfRule>
    <cfRule type="cellIs" dxfId="13031" priority="684" operator="equal">
      <formula>0</formula>
    </cfRule>
  </conditionalFormatting>
  <conditionalFormatting sqref="V28">
    <cfRule type="cellIs" dxfId="13030" priority="681" operator="greaterThan">
      <formula>V27</formula>
    </cfRule>
    <cfRule type="cellIs" dxfId="13029" priority="682" operator="equal">
      <formula>0</formula>
    </cfRule>
  </conditionalFormatting>
  <conditionalFormatting sqref="V28">
    <cfRule type="cellIs" dxfId="13028" priority="679" operator="greaterThan">
      <formula>V27</formula>
    </cfRule>
    <cfRule type="cellIs" dxfId="13027" priority="680" operator="equal">
      <formula>0</formula>
    </cfRule>
  </conditionalFormatting>
  <conditionalFormatting sqref="V28">
    <cfRule type="cellIs" dxfId="13026" priority="677" operator="greaterThan">
      <formula>V27</formula>
    </cfRule>
    <cfRule type="cellIs" dxfId="13025" priority="678" operator="equal">
      <formula>0</formula>
    </cfRule>
  </conditionalFormatting>
  <conditionalFormatting sqref="V28">
    <cfRule type="cellIs" dxfId="13024" priority="675" operator="greaterThan">
      <formula>V27</formula>
    </cfRule>
    <cfRule type="cellIs" dxfId="13023" priority="676" operator="equal">
      <formula>0</formula>
    </cfRule>
  </conditionalFormatting>
  <conditionalFormatting sqref="V28">
    <cfRule type="cellIs" dxfId="13022" priority="673" operator="greaterThan">
      <formula>V27</formula>
    </cfRule>
    <cfRule type="cellIs" dxfId="13021" priority="674" operator="equal">
      <formula>0</formula>
    </cfRule>
  </conditionalFormatting>
  <conditionalFormatting sqref="V28">
    <cfRule type="cellIs" dxfId="13020" priority="671" operator="greaterThan">
      <formula>V27</formula>
    </cfRule>
    <cfRule type="cellIs" dxfId="13019" priority="672" operator="equal">
      <formula>0</formula>
    </cfRule>
  </conditionalFormatting>
  <conditionalFormatting sqref="V28">
    <cfRule type="cellIs" dxfId="13018" priority="669" operator="greaterThan">
      <formula>V27</formula>
    </cfRule>
    <cfRule type="cellIs" dxfId="13017" priority="670" operator="equal">
      <formula>0</formula>
    </cfRule>
  </conditionalFormatting>
  <conditionalFormatting sqref="V28">
    <cfRule type="cellIs" dxfId="13016" priority="667" operator="greaterThan">
      <formula>V27</formula>
    </cfRule>
    <cfRule type="cellIs" dxfId="13015" priority="668" operator="equal">
      <formula>0</formula>
    </cfRule>
  </conditionalFormatting>
  <conditionalFormatting sqref="V12:V13 X12:X13 X15:X16 X18:X19 X21:X25 X27:X28 V15:V16 V18:V19 V21:V22 V24:V25 V27:V28">
    <cfRule type="cellIs" dxfId="13014" priority="666" operator="equal">
      <formula>0</formula>
    </cfRule>
  </conditionalFormatting>
  <conditionalFormatting sqref="V28">
    <cfRule type="cellIs" dxfId="13013" priority="664" operator="greaterThan">
      <formula>V27</formula>
    </cfRule>
    <cfRule type="cellIs" dxfId="13012" priority="665" operator="equal">
      <formula>0</formula>
    </cfRule>
  </conditionalFormatting>
  <conditionalFormatting sqref="V27">
    <cfRule type="cellIs" dxfId="13011" priority="662" operator="greaterThan">
      <formula>V26</formula>
    </cfRule>
    <cfRule type="cellIs" dxfId="13010" priority="663" operator="equal">
      <formula>0</formula>
    </cfRule>
  </conditionalFormatting>
  <conditionalFormatting sqref="V13">
    <cfRule type="cellIs" dxfId="13009" priority="660" operator="greaterThan">
      <formula>V12</formula>
    </cfRule>
    <cfRule type="cellIs" dxfId="13008" priority="661" operator="equal">
      <formula>0</formula>
    </cfRule>
  </conditionalFormatting>
  <conditionalFormatting sqref="V12">
    <cfRule type="cellIs" dxfId="13007" priority="658" operator="greaterThan">
      <formula>V11</formula>
    </cfRule>
    <cfRule type="cellIs" dxfId="13006" priority="659" operator="equal">
      <formula>0</formula>
    </cfRule>
  </conditionalFormatting>
  <conditionalFormatting sqref="V16">
    <cfRule type="cellIs" dxfId="13005" priority="656" operator="greaterThan">
      <formula>V15</formula>
    </cfRule>
    <cfRule type="cellIs" dxfId="13004" priority="657" operator="equal">
      <formula>0</formula>
    </cfRule>
  </conditionalFormatting>
  <conditionalFormatting sqref="V15">
    <cfRule type="cellIs" dxfId="13003" priority="654" operator="greaterThan">
      <formula>V14</formula>
    </cfRule>
    <cfRule type="cellIs" dxfId="13002" priority="655" operator="equal">
      <formula>0</formula>
    </cfRule>
  </conditionalFormatting>
  <conditionalFormatting sqref="V19">
    <cfRule type="cellIs" dxfId="13001" priority="652" operator="greaterThan">
      <formula>V18</formula>
    </cfRule>
    <cfRule type="cellIs" dxfId="13000" priority="653" operator="equal">
      <formula>0</formula>
    </cfRule>
  </conditionalFormatting>
  <conditionalFormatting sqref="V18">
    <cfRule type="cellIs" dxfId="12999" priority="650" operator="greaterThan">
      <formula>V17</formula>
    </cfRule>
    <cfRule type="cellIs" dxfId="12998" priority="651" operator="equal">
      <formula>0</formula>
    </cfRule>
  </conditionalFormatting>
  <conditionalFormatting sqref="V22 V24:V25">
    <cfRule type="cellIs" dxfId="12997" priority="648" operator="greaterThan">
      <formula>V21</formula>
    </cfRule>
    <cfRule type="cellIs" dxfId="12996" priority="649" operator="equal">
      <formula>0</formula>
    </cfRule>
  </conditionalFormatting>
  <conditionalFormatting sqref="V21">
    <cfRule type="cellIs" dxfId="12995" priority="646" operator="greaterThan">
      <formula>V20</formula>
    </cfRule>
    <cfRule type="cellIs" dxfId="12994" priority="647" operator="equal">
      <formula>0</formula>
    </cfRule>
  </conditionalFormatting>
  <conditionalFormatting sqref="V24">
    <cfRule type="cellIs" dxfId="12993" priority="644" operator="greaterThan">
      <formula>V23</formula>
    </cfRule>
    <cfRule type="cellIs" dxfId="12992" priority="645" operator="equal">
      <formula>0</formula>
    </cfRule>
  </conditionalFormatting>
  <conditionalFormatting sqref="V27:V28">
    <cfRule type="cellIs" dxfId="12991" priority="642" operator="greaterThan">
      <formula>V26</formula>
    </cfRule>
    <cfRule type="cellIs" dxfId="12990" priority="643" operator="equal">
      <formula>0</formula>
    </cfRule>
  </conditionalFormatting>
  <conditionalFormatting sqref="V27">
    <cfRule type="cellIs" dxfId="12989" priority="640" operator="greaterThan">
      <formula>V26</formula>
    </cfRule>
    <cfRule type="cellIs" dxfId="12988" priority="641" operator="equal">
      <formula>0</formula>
    </cfRule>
  </conditionalFormatting>
  <conditionalFormatting sqref="V16">
    <cfRule type="cellIs" dxfId="12987" priority="638" operator="greaterThan">
      <formula>V15</formula>
    </cfRule>
    <cfRule type="cellIs" dxfId="12986" priority="639" operator="equal">
      <formula>0</formula>
    </cfRule>
  </conditionalFormatting>
  <conditionalFormatting sqref="V15">
    <cfRule type="cellIs" dxfId="12985" priority="636" operator="greaterThan">
      <formula>V14</formula>
    </cfRule>
    <cfRule type="cellIs" dxfId="12984" priority="637" operator="equal">
      <formula>0</formula>
    </cfRule>
  </conditionalFormatting>
  <conditionalFormatting sqref="V19">
    <cfRule type="cellIs" dxfId="12983" priority="634" operator="greaterThan">
      <formula>V18</formula>
    </cfRule>
    <cfRule type="cellIs" dxfId="12982" priority="635" operator="equal">
      <formula>0</formula>
    </cfRule>
  </conditionalFormatting>
  <conditionalFormatting sqref="V18">
    <cfRule type="cellIs" dxfId="12981" priority="632" operator="greaterThan">
      <formula>V17</formula>
    </cfRule>
    <cfRule type="cellIs" dxfId="12980" priority="633" operator="equal">
      <formula>0</formula>
    </cfRule>
  </conditionalFormatting>
  <conditionalFormatting sqref="V22">
    <cfRule type="cellIs" dxfId="12979" priority="630" operator="greaterThan">
      <formula>V21</formula>
    </cfRule>
    <cfRule type="cellIs" dxfId="12978" priority="631" operator="equal">
      <formula>0</formula>
    </cfRule>
  </conditionalFormatting>
  <conditionalFormatting sqref="V21">
    <cfRule type="cellIs" dxfId="12977" priority="628" operator="greaterThan">
      <formula>V20</formula>
    </cfRule>
    <cfRule type="cellIs" dxfId="12976" priority="629" operator="equal">
      <formula>0</formula>
    </cfRule>
  </conditionalFormatting>
  <conditionalFormatting sqref="V25">
    <cfRule type="cellIs" dxfId="12975" priority="626" operator="greaterThan">
      <formula>V24</formula>
    </cfRule>
    <cfRule type="cellIs" dxfId="12974" priority="627" operator="equal">
      <formula>0</formula>
    </cfRule>
  </conditionalFormatting>
  <conditionalFormatting sqref="V24">
    <cfRule type="cellIs" dxfId="12973" priority="624" operator="greaterThan">
      <formula>V23</formula>
    </cfRule>
    <cfRule type="cellIs" dxfId="12972" priority="625" operator="equal">
      <formula>0</formula>
    </cfRule>
  </conditionalFormatting>
  <conditionalFormatting sqref="V28">
    <cfRule type="cellIs" dxfId="12971" priority="622" operator="greaterThan">
      <formula>V27</formula>
    </cfRule>
    <cfRule type="cellIs" dxfId="12970" priority="623" operator="equal">
      <formula>0</formula>
    </cfRule>
  </conditionalFormatting>
  <conditionalFormatting sqref="V27">
    <cfRule type="cellIs" dxfId="12969" priority="620" operator="greaterThan">
      <formula>V26</formula>
    </cfRule>
    <cfRule type="cellIs" dxfId="12968" priority="621" operator="equal">
      <formula>0</formula>
    </cfRule>
  </conditionalFormatting>
  <conditionalFormatting sqref="V30:V31 X30:X31">
    <cfRule type="cellIs" dxfId="12967" priority="619" operator="equal">
      <formula>0</formula>
    </cfRule>
  </conditionalFormatting>
  <conditionalFormatting sqref="V31">
    <cfRule type="cellIs" dxfId="12966" priority="617" operator="greaterThan">
      <formula>V30</formula>
    </cfRule>
    <cfRule type="cellIs" dxfId="12965" priority="618" operator="equal">
      <formula>0</formula>
    </cfRule>
  </conditionalFormatting>
  <conditionalFormatting sqref="V30">
    <cfRule type="cellIs" dxfId="12964" priority="615" operator="greaterThan">
      <formula>V29</formula>
    </cfRule>
    <cfRule type="cellIs" dxfId="12963" priority="616" operator="equal">
      <formula>0</formula>
    </cfRule>
  </conditionalFormatting>
  <conditionalFormatting sqref="V33:V34 X33:X34">
    <cfRule type="cellIs" dxfId="12962" priority="614" operator="equal">
      <formula>0</formula>
    </cfRule>
  </conditionalFormatting>
  <conditionalFormatting sqref="V34">
    <cfRule type="cellIs" dxfId="12961" priority="612" operator="greaterThan">
      <formula>V33</formula>
    </cfRule>
    <cfRule type="cellIs" dxfId="12960" priority="613" operator="equal">
      <formula>0</formula>
    </cfRule>
  </conditionalFormatting>
  <conditionalFormatting sqref="V33">
    <cfRule type="cellIs" dxfId="12959" priority="610" operator="greaterThan">
      <formula>V32</formula>
    </cfRule>
    <cfRule type="cellIs" dxfId="12958" priority="611" operator="equal">
      <formula>0</formula>
    </cfRule>
  </conditionalFormatting>
  <conditionalFormatting sqref="V36:V37 X36:X37">
    <cfRule type="cellIs" dxfId="12957" priority="609" operator="equal">
      <formula>0</formula>
    </cfRule>
  </conditionalFormatting>
  <conditionalFormatting sqref="V37">
    <cfRule type="cellIs" dxfId="12956" priority="607" operator="greaterThan">
      <formula>V36</formula>
    </cfRule>
    <cfRule type="cellIs" dxfId="12955" priority="608" operator="equal">
      <formula>0</formula>
    </cfRule>
  </conditionalFormatting>
  <conditionalFormatting sqref="V36">
    <cfRule type="cellIs" dxfId="12954" priority="605" operator="greaterThan">
      <formula>V35</formula>
    </cfRule>
    <cfRule type="cellIs" dxfId="12953" priority="606" operator="equal">
      <formula>0</formula>
    </cfRule>
  </conditionalFormatting>
  <conditionalFormatting sqref="V16">
    <cfRule type="cellIs" dxfId="12952" priority="603" operator="greaterThan">
      <formula>V15</formula>
    </cfRule>
    <cfRule type="cellIs" dxfId="12951" priority="604" operator="equal">
      <formula>0</formula>
    </cfRule>
  </conditionalFormatting>
  <conditionalFormatting sqref="V15">
    <cfRule type="cellIs" dxfId="12950" priority="601" operator="greaterThan">
      <formula>V14</formula>
    </cfRule>
    <cfRule type="cellIs" dxfId="12949" priority="602" operator="equal">
      <formula>0</formula>
    </cfRule>
  </conditionalFormatting>
  <conditionalFormatting sqref="V16">
    <cfRule type="cellIs" dxfId="12948" priority="599" operator="greaterThan">
      <formula>V15</formula>
    </cfRule>
    <cfRule type="cellIs" dxfId="12947" priority="600" operator="equal">
      <formula>0</formula>
    </cfRule>
  </conditionalFormatting>
  <conditionalFormatting sqref="V15">
    <cfRule type="cellIs" dxfId="12946" priority="597" operator="greaterThan">
      <formula>V14</formula>
    </cfRule>
    <cfRule type="cellIs" dxfId="12945" priority="598" operator="equal">
      <formula>0</formula>
    </cfRule>
  </conditionalFormatting>
  <conditionalFormatting sqref="V19">
    <cfRule type="cellIs" dxfId="12944" priority="595" operator="greaterThan">
      <formula>V18</formula>
    </cfRule>
    <cfRule type="cellIs" dxfId="12943" priority="596" operator="equal">
      <formula>0</formula>
    </cfRule>
  </conditionalFormatting>
  <conditionalFormatting sqref="V18">
    <cfRule type="cellIs" dxfId="12942" priority="593" operator="greaterThan">
      <formula>V17</formula>
    </cfRule>
    <cfRule type="cellIs" dxfId="12941" priority="594" operator="equal">
      <formula>0</formula>
    </cfRule>
  </conditionalFormatting>
  <conditionalFormatting sqref="V19">
    <cfRule type="cellIs" dxfId="12940" priority="591" operator="greaterThan">
      <formula>V18</formula>
    </cfRule>
    <cfRule type="cellIs" dxfId="12939" priority="592" operator="equal">
      <formula>0</formula>
    </cfRule>
  </conditionalFormatting>
  <conditionalFormatting sqref="V18">
    <cfRule type="cellIs" dxfId="12938" priority="589" operator="greaterThan">
      <formula>V17</formula>
    </cfRule>
    <cfRule type="cellIs" dxfId="12937" priority="590" operator="equal">
      <formula>0</formula>
    </cfRule>
  </conditionalFormatting>
  <conditionalFormatting sqref="V19">
    <cfRule type="cellIs" dxfId="12936" priority="587" operator="greaterThan">
      <formula>V18</formula>
    </cfRule>
    <cfRule type="cellIs" dxfId="12935" priority="588" operator="equal">
      <formula>0</formula>
    </cfRule>
  </conditionalFormatting>
  <conditionalFormatting sqref="V18">
    <cfRule type="cellIs" dxfId="12934" priority="585" operator="greaterThan">
      <formula>V17</formula>
    </cfRule>
    <cfRule type="cellIs" dxfId="12933" priority="586" operator="equal">
      <formula>0</formula>
    </cfRule>
  </conditionalFormatting>
  <conditionalFormatting sqref="V19">
    <cfRule type="cellIs" dxfId="12932" priority="583" operator="greaterThan">
      <formula>V18</formula>
    </cfRule>
    <cfRule type="cellIs" dxfId="12931" priority="584" operator="equal">
      <formula>0</formula>
    </cfRule>
  </conditionalFormatting>
  <conditionalFormatting sqref="V18">
    <cfRule type="cellIs" dxfId="12930" priority="581" operator="greaterThan">
      <formula>V17</formula>
    </cfRule>
    <cfRule type="cellIs" dxfId="12929" priority="582" operator="equal">
      <formula>0</formula>
    </cfRule>
  </conditionalFormatting>
  <conditionalFormatting sqref="V22">
    <cfRule type="cellIs" dxfId="12928" priority="579" operator="greaterThan">
      <formula>V21</formula>
    </cfRule>
    <cfRule type="cellIs" dxfId="12927" priority="580" operator="equal">
      <formula>0</formula>
    </cfRule>
  </conditionalFormatting>
  <conditionalFormatting sqref="V21">
    <cfRule type="cellIs" dxfId="12926" priority="577" operator="greaterThan">
      <formula>V20</formula>
    </cfRule>
    <cfRule type="cellIs" dxfId="12925" priority="578" operator="equal">
      <formula>0</formula>
    </cfRule>
  </conditionalFormatting>
  <conditionalFormatting sqref="V22">
    <cfRule type="cellIs" dxfId="12924" priority="575" operator="greaterThan">
      <formula>V21</formula>
    </cfRule>
    <cfRule type="cellIs" dxfId="12923" priority="576" operator="equal">
      <formula>0</formula>
    </cfRule>
  </conditionalFormatting>
  <conditionalFormatting sqref="V21">
    <cfRule type="cellIs" dxfId="12922" priority="573" operator="greaterThan">
      <formula>V20</formula>
    </cfRule>
    <cfRule type="cellIs" dxfId="12921" priority="574" operator="equal">
      <formula>0</formula>
    </cfRule>
  </conditionalFormatting>
  <conditionalFormatting sqref="V22">
    <cfRule type="cellIs" dxfId="12920" priority="571" operator="greaterThan">
      <formula>V21</formula>
    </cfRule>
    <cfRule type="cellIs" dxfId="12919" priority="572" operator="equal">
      <formula>0</formula>
    </cfRule>
  </conditionalFormatting>
  <conditionalFormatting sqref="V21">
    <cfRule type="cellIs" dxfId="12918" priority="569" operator="greaterThan">
      <formula>V20</formula>
    </cfRule>
    <cfRule type="cellIs" dxfId="12917" priority="570" operator="equal">
      <formula>0</formula>
    </cfRule>
  </conditionalFormatting>
  <conditionalFormatting sqref="V22">
    <cfRule type="cellIs" dxfId="12916" priority="567" operator="greaterThan">
      <formula>V21</formula>
    </cfRule>
    <cfRule type="cellIs" dxfId="12915" priority="568" operator="equal">
      <formula>0</formula>
    </cfRule>
  </conditionalFormatting>
  <conditionalFormatting sqref="V21">
    <cfRule type="cellIs" dxfId="12914" priority="565" operator="greaterThan">
      <formula>V20</formula>
    </cfRule>
    <cfRule type="cellIs" dxfId="12913" priority="566" operator="equal">
      <formula>0</formula>
    </cfRule>
  </conditionalFormatting>
  <conditionalFormatting sqref="V22">
    <cfRule type="cellIs" dxfId="12912" priority="563" operator="greaterThan">
      <formula>V21</formula>
    </cfRule>
    <cfRule type="cellIs" dxfId="12911" priority="564" operator="equal">
      <formula>0</formula>
    </cfRule>
  </conditionalFormatting>
  <conditionalFormatting sqref="V21">
    <cfRule type="cellIs" dxfId="12910" priority="561" operator="greaterThan">
      <formula>V20</formula>
    </cfRule>
    <cfRule type="cellIs" dxfId="12909" priority="562" operator="equal">
      <formula>0</formula>
    </cfRule>
  </conditionalFormatting>
  <conditionalFormatting sqref="V22">
    <cfRule type="cellIs" dxfId="12908" priority="559" operator="greaterThan">
      <formula>V21</formula>
    </cfRule>
    <cfRule type="cellIs" dxfId="12907" priority="560" operator="equal">
      <formula>0</formula>
    </cfRule>
  </conditionalFormatting>
  <conditionalFormatting sqref="V21">
    <cfRule type="cellIs" dxfId="12906" priority="557" operator="greaterThan">
      <formula>V20</formula>
    </cfRule>
    <cfRule type="cellIs" dxfId="12905" priority="558" operator="equal">
      <formula>0</formula>
    </cfRule>
  </conditionalFormatting>
  <conditionalFormatting sqref="V24">
    <cfRule type="cellIs" dxfId="12904" priority="555" operator="greaterThan">
      <formula>V23</formula>
    </cfRule>
    <cfRule type="cellIs" dxfId="12903" priority="556" operator="equal">
      <formula>0</formula>
    </cfRule>
  </conditionalFormatting>
  <conditionalFormatting sqref="V25">
    <cfRule type="cellIs" dxfId="12902" priority="553" operator="greaterThan">
      <formula>V24</formula>
    </cfRule>
    <cfRule type="cellIs" dxfId="12901" priority="554" operator="equal">
      <formula>0</formula>
    </cfRule>
  </conditionalFormatting>
  <conditionalFormatting sqref="V24">
    <cfRule type="cellIs" dxfId="12900" priority="551" operator="greaterThan">
      <formula>V23</formula>
    </cfRule>
    <cfRule type="cellIs" dxfId="12899" priority="552" operator="equal">
      <formula>0</formula>
    </cfRule>
  </conditionalFormatting>
  <conditionalFormatting sqref="V25">
    <cfRule type="cellIs" dxfId="12898" priority="549" operator="greaterThan">
      <formula>V24</formula>
    </cfRule>
    <cfRule type="cellIs" dxfId="12897" priority="550" operator="equal">
      <formula>0</formula>
    </cfRule>
  </conditionalFormatting>
  <conditionalFormatting sqref="V24">
    <cfRule type="cellIs" dxfId="12896" priority="547" operator="greaterThan">
      <formula>V23</formula>
    </cfRule>
    <cfRule type="cellIs" dxfId="12895" priority="548" operator="equal">
      <formula>0</formula>
    </cfRule>
  </conditionalFormatting>
  <conditionalFormatting sqref="V25">
    <cfRule type="cellIs" dxfId="12894" priority="545" operator="greaterThan">
      <formula>V24</formula>
    </cfRule>
    <cfRule type="cellIs" dxfId="12893" priority="546" operator="equal">
      <formula>0</formula>
    </cfRule>
  </conditionalFormatting>
  <conditionalFormatting sqref="V24">
    <cfRule type="cellIs" dxfId="12892" priority="543" operator="greaterThan">
      <formula>V23</formula>
    </cfRule>
    <cfRule type="cellIs" dxfId="12891" priority="544" operator="equal">
      <formula>0</formula>
    </cfRule>
  </conditionalFormatting>
  <conditionalFormatting sqref="V25">
    <cfRule type="cellIs" dxfId="12890" priority="541" operator="greaterThan">
      <formula>V24</formula>
    </cfRule>
    <cfRule type="cellIs" dxfId="12889" priority="542" operator="equal">
      <formula>0</formula>
    </cfRule>
  </conditionalFormatting>
  <conditionalFormatting sqref="V24">
    <cfRule type="cellIs" dxfId="12888" priority="539" operator="greaterThan">
      <formula>V23</formula>
    </cfRule>
    <cfRule type="cellIs" dxfId="12887" priority="540" operator="equal">
      <formula>0</formula>
    </cfRule>
  </conditionalFormatting>
  <conditionalFormatting sqref="V25">
    <cfRule type="cellIs" dxfId="12886" priority="537" operator="greaterThan">
      <formula>V24</formula>
    </cfRule>
    <cfRule type="cellIs" dxfId="12885" priority="538" operator="equal">
      <formula>0</formula>
    </cfRule>
  </conditionalFormatting>
  <conditionalFormatting sqref="V24">
    <cfRule type="cellIs" dxfId="12884" priority="535" operator="greaterThan">
      <formula>V23</formula>
    </cfRule>
    <cfRule type="cellIs" dxfId="12883" priority="536" operator="equal">
      <formula>0</formula>
    </cfRule>
  </conditionalFormatting>
  <conditionalFormatting sqref="V25">
    <cfRule type="cellIs" dxfId="12882" priority="533" operator="greaterThan">
      <formula>V24</formula>
    </cfRule>
    <cfRule type="cellIs" dxfId="12881" priority="534" operator="equal">
      <formula>0</formula>
    </cfRule>
  </conditionalFormatting>
  <conditionalFormatting sqref="V24">
    <cfRule type="cellIs" dxfId="12880" priority="531" operator="greaterThan">
      <formula>V23</formula>
    </cfRule>
    <cfRule type="cellIs" dxfId="12879" priority="532" operator="equal">
      <formula>0</formula>
    </cfRule>
  </conditionalFormatting>
  <conditionalFormatting sqref="V25">
    <cfRule type="cellIs" dxfId="12878" priority="529" operator="greaterThan">
      <formula>V24</formula>
    </cfRule>
    <cfRule type="cellIs" dxfId="12877" priority="530" operator="equal">
      <formula>0</formula>
    </cfRule>
  </conditionalFormatting>
  <conditionalFormatting sqref="V24">
    <cfRule type="cellIs" dxfId="12876" priority="527" operator="greaterThan">
      <formula>V23</formula>
    </cfRule>
    <cfRule type="cellIs" dxfId="12875" priority="528" operator="equal">
      <formula>0</formula>
    </cfRule>
  </conditionalFormatting>
  <conditionalFormatting sqref="V27:V28">
    <cfRule type="cellIs" dxfId="12874" priority="525" operator="greaterThan">
      <formula>V26</formula>
    </cfRule>
    <cfRule type="cellIs" dxfId="12873" priority="526" operator="equal">
      <formula>0</formula>
    </cfRule>
  </conditionalFormatting>
  <conditionalFormatting sqref="V27">
    <cfRule type="cellIs" dxfId="12872" priority="523" operator="greaterThan">
      <formula>V26</formula>
    </cfRule>
    <cfRule type="cellIs" dxfId="12871" priority="524" operator="equal">
      <formula>0</formula>
    </cfRule>
  </conditionalFormatting>
  <conditionalFormatting sqref="V28">
    <cfRule type="cellIs" dxfId="12870" priority="521" operator="greaterThan">
      <formula>V27</formula>
    </cfRule>
    <cfRule type="cellIs" dxfId="12869" priority="522" operator="equal">
      <formula>0</formula>
    </cfRule>
  </conditionalFormatting>
  <conditionalFormatting sqref="V27">
    <cfRule type="cellIs" dxfId="12868" priority="519" operator="greaterThan">
      <formula>V26</formula>
    </cfRule>
    <cfRule type="cellIs" dxfId="12867" priority="520" operator="equal">
      <formula>0</formula>
    </cfRule>
  </conditionalFormatting>
  <conditionalFormatting sqref="V27">
    <cfRule type="cellIs" dxfId="12866" priority="517" operator="greaterThan">
      <formula>V26</formula>
    </cfRule>
    <cfRule type="cellIs" dxfId="12865" priority="518" operator="equal">
      <formula>0</formula>
    </cfRule>
  </conditionalFormatting>
  <conditionalFormatting sqref="V28">
    <cfRule type="cellIs" dxfId="12864" priority="515" operator="greaterThan">
      <formula>V27</formula>
    </cfRule>
    <cfRule type="cellIs" dxfId="12863" priority="516" operator="equal">
      <formula>0</formula>
    </cfRule>
  </conditionalFormatting>
  <conditionalFormatting sqref="V27">
    <cfRule type="cellIs" dxfId="12862" priority="513" operator="greaterThan">
      <formula>V26</formula>
    </cfRule>
    <cfRule type="cellIs" dxfId="12861" priority="514" operator="equal">
      <formula>0</formula>
    </cfRule>
  </conditionalFormatting>
  <conditionalFormatting sqref="V28">
    <cfRule type="cellIs" dxfId="12860" priority="511" operator="greaterThan">
      <formula>V27</formula>
    </cfRule>
    <cfRule type="cellIs" dxfId="12859" priority="512" operator="equal">
      <formula>0</formula>
    </cfRule>
  </conditionalFormatting>
  <conditionalFormatting sqref="V27">
    <cfRule type="cellIs" dxfId="12858" priority="509" operator="greaterThan">
      <formula>V26</formula>
    </cfRule>
    <cfRule type="cellIs" dxfId="12857" priority="510" operator="equal">
      <formula>0</formula>
    </cfRule>
  </conditionalFormatting>
  <conditionalFormatting sqref="V28">
    <cfRule type="cellIs" dxfId="12856" priority="507" operator="greaterThan">
      <formula>V27</formula>
    </cfRule>
    <cfRule type="cellIs" dxfId="12855" priority="508" operator="equal">
      <formula>0</formula>
    </cfRule>
  </conditionalFormatting>
  <conditionalFormatting sqref="V27">
    <cfRule type="cellIs" dxfId="12854" priority="505" operator="greaterThan">
      <formula>V26</formula>
    </cfRule>
    <cfRule type="cellIs" dxfId="12853" priority="506" operator="equal">
      <formula>0</formula>
    </cfRule>
  </conditionalFormatting>
  <conditionalFormatting sqref="V28">
    <cfRule type="cellIs" dxfId="12852" priority="503" operator="greaterThan">
      <formula>V27</formula>
    </cfRule>
    <cfRule type="cellIs" dxfId="12851" priority="504" operator="equal">
      <formula>0</formula>
    </cfRule>
  </conditionalFormatting>
  <conditionalFormatting sqref="V27">
    <cfRule type="cellIs" dxfId="12850" priority="501" operator="greaterThan">
      <formula>V26</formula>
    </cfRule>
    <cfRule type="cellIs" dxfId="12849" priority="502" operator="equal">
      <formula>0</formula>
    </cfRule>
  </conditionalFormatting>
  <conditionalFormatting sqref="V28">
    <cfRule type="cellIs" dxfId="12848" priority="499" operator="greaterThan">
      <formula>V27</formula>
    </cfRule>
    <cfRule type="cellIs" dxfId="12847" priority="500" operator="equal">
      <formula>0</formula>
    </cfRule>
  </conditionalFormatting>
  <conditionalFormatting sqref="V27">
    <cfRule type="cellIs" dxfId="12846" priority="497" operator="greaterThan">
      <formula>V26</formula>
    </cfRule>
    <cfRule type="cellIs" dxfId="12845" priority="498" operator="equal">
      <formula>0</formula>
    </cfRule>
  </conditionalFormatting>
  <conditionalFormatting sqref="V28">
    <cfRule type="cellIs" dxfId="12844" priority="495" operator="greaterThan">
      <formula>V27</formula>
    </cfRule>
    <cfRule type="cellIs" dxfId="12843" priority="496" operator="equal">
      <formula>0</formula>
    </cfRule>
  </conditionalFormatting>
  <conditionalFormatting sqref="V27">
    <cfRule type="cellIs" dxfId="12842" priority="493" operator="greaterThan">
      <formula>V26</formula>
    </cfRule>
    <cfRule type="cellIs" dxfId="12841" priority="494" operator="equal">
      <formula>0</formula>
    </cfRule>
  </conditionalFormatting>
  <conditionalFormatting sqref="V28">
    <cfRule type="cellIs" dxfId="12840" priority="491" operator="greaterThan">
      <formula>V27</formula>
    </cfRule>
    <cfRule type="cellIs" dxfId="12839" priority="492" operator="equal">
      <formula>0</formula>
    </cfRule>
  </conditionalFormatting>
  <conditionalFormatting sqref="V27">
    <cfRule type="cellIs" dxfId="12838" priority="489" operator="greaterThan">
      <formula>V26</formula>
    </cfRule>
    <cfRule type="cellIs" dxfId="12837" priority="490" operator="equal">
      <formula>0</formula>
    </cfRule>
  </conditionalFormatting>
  <conditionalFormatting sqref="V19">
    <cfRule type="cellIs" dxfId="12836" priority="487" operator="greaterThan">
      <formula>V18</formula>
    </cfRule>
    <cfRule type="cellIs" dxfId="12835" priority="488" operator="equal">
      <formula>0</formula>
    </cfRule>
  </conditionalFormatting>
  <conditionalFormatting sqref="V18">
    <cfRule type="cellIs" dxfId="12834" priority="485" operator="greaterThan">
      <formula>V17</formula>
    </cfRule>
    <cfRule type="cellIs" dxfId="12833" priority="486" operator="equal">
      <formula>0</formula>
    </cfRule>
  </conditionalFormatting>
  <conditionalFormatting sqref="V19">
    <cfRule type="cellIs" dxfId="12832" priority="483" operator="greaterThan">
      <formula>V18</formula>
    </cfRule>
    <cfRule type="cellIs" dxfId="12831" priority="484" operator="equal">
      <formula>0</formula>
    </cfRule>
  </conditionalFormatting>
  <conditionalFormatting sqref="V18">
    <cfRule type="cellIs" dxfId="12830" priority="481" operator="greaterThan">
      <formula>V17</formula>
    </cfRule>
    <cfRule type="cellIs" dxfId="12829" priority="482" operator="equal">
      <formula>0</formula>
    </cfRule>
  </conditionalFormatting>
  <conditionalFormatting sqref="V19">
    <cfRule type="cellIs" dxfId="12828" priority="479" operator="greaterThan">
      <formula>V18</formula>
    </cfRule>
    <cfRule type="cellIs" dxfId="12827" priority="480" operator="equal">
      <formula>0</formula>
    </cfRule>
  </conditionalFormatting>
  <conditionalFormatting sqref="V18">
    <cfRule type="cellIs" dxfId="12826" priority="477" operator="greaterThan">
      <formula>V17</formula>
    </cfRule>
    <cfRule type="cellIs" dxfId="12825" priority="478" operator="equal">
      <formula>0</formula>
    </cfRule>
  </conditionalFormatting>
  <conditionalFormatting sqref="V19">
    <cfRule type="cellIs" dxfId="12824" priority="475" operator="greaterThan">
      <formula>V18</formula>
    </cfRule>
    <cfRule type="cellIs" dxfId="12823" priority="476" operator="equal">
      <formula>0</formula>
    </cfRule>
  </conditionalFormatting>
  <conditionalFormatting sqref="V18">
    <cfRule type="cellIs" dxfId="12822" priority="473" operator="greaterThan">
      <formula>V17</formula>
    </cfRule>
    <cfRule type="cellIs" dxfId="12821" priority="474" operator="equal">
      <formula>0</formula>
    </cfRule>
  </conditionalFormatting>
  <conditionalFormatting sqref="V16">
    <cfRule type="cellIs" dxfId="12820" priority="471" operator="greaterThan">
      <formula>V15</formula>
    </cfRule>
    <cfRule type="cellIs" dxfId="12819" priority="472" operator="equal">
      <formula>0</formula>
    </cfRule>
  </conditionalFormatting>
  <conditionalFormatting sqref="V16">
    <cfRule type="cellIs" dxfId="12818" priority="469" operator="greaterThan">
      <formula>V15</formula>
    </cfRule>
    <cfRule type="cellIs" dxfId="12817" priority="470" operator="equal">
      <formula>0</formula>
    </cfRule>
  </conditionalFormatting>
  <conditionalFormatting sqref="V16">
    <cfRule type="cellIs" dxfId="12816" priority="467" operator="greaterThan">
      <formula>V15</formula>
    </cfRule>
    <cfRule type="cellIs" dxfId="12815" priority="468" operator="equal">
      <formula>0</formula>
    </cfRule>
  </conditionalFormatting>
  <conditionalFormatting sqref="V16">
    <cfRule type="cellIs" dxfId="12814" priority="465" operator="greaterThan">
      <formula>V15</formula>
    </cfRule>
    <cfRule type="cellIs" dxfId="12813" priority="466" operator="equal">
      <formula>0</formula>
    </cfRule>
  </conditionalFormatting>
  <conditionalFormatting sqref="V19">
    <cfRule type="cellIs" dxfId="12812" priority="463" operator="greaterThan">
      <formula>V18</formula>
    </cfRule>
    <cfRule type="cellIs" dxfId="12811" priority="464" operator="equal">
      <formula>0</formula>
    </cfRule>
  </conditionalFormatting>
  <conditionalFormatting sqref="V19">
    <cfRule type="cellIs" dxfId="12810" priority="461" operator="greaterThan">
      <formula>V18</formula>
    </cfRule>
    <cfRule type="cellIs" dxfId="12809" priority="462" operator="equal">
      <formula>0</formula>
    </cfRule>
  </conditionalFormatting>
  <conditionalFormatting sqref="V19">
    <cfRule type="cellIs" dxfId="12808" priority="459" operator="greaterThan">
      <formula>V18</formula>
    </cfRule>
    <cfRule type="cellIs" dxfId="12807" priority="460" operator="equal">
      <formula>0</formula>
    </cfRule>
  </conditionalFormatting>
  <conditionalFormatting sqref="V19">
    <cfRule type="cellIs" dxfId="12806" priority="457" operator="greaterThan">
      <formula>V18</formula>
    </cfRule>
    <cfRule type="cellIs" dxfId="12805" priority="458" operator="equal">
      <formula>0</formula>
    </cfRule>
  </conditionalFormatting>
  <conditionalFormatting sqref="V19">
    <cfRule type="cellIs" dxfId="12804" priority="455" operator="greaterThan">
      <formula>V18</formula>
    </cfRule>
    <cfRule type="cellIs" dxfId="12803" priority="456" operator="equal">
      <formula>0</formula>
    </cfRule>
  </conditionalFormatting>
  <conditionalFormatting sqref="V19">
    <cfRule type="cellIs" dxfId="12802" priority="453" operator="greaterThan">
      <formula>V18</formula>
    </cfRule>
    <cfRule type="cellIs" dxfId="12801" priority="454" operator="equal">
      <formula>0</formula>
    </cfRule>
  </conditionalFormatting>
  <conditionalFormatting sqref="V19">
    <cfRule type="cellIs" dxfId="12800" priority="451" operator="greaterThan">
      <formula>V18</formula>
    </cfRule>
    <cfRule type="cellIs" dxfId="12799" priority="452" operator="equal">
      <formula>0</formula>
    </cfRule>
  </conditionalFormatting>
  <conditionalFormatting sqref="V19">
    <cfRule type="cellIs" dxfId="12798" priority="449" operator="greaterThan">
      <formula>V18</formula>
    </cfRule>
    <cfRule type="cellIs" dxfId="12797" priority="450" operator="equal">
      <formula>0</formula>
    </cfRule>
  </conditionalFormatting>
  <conditionalFormatting sqref="V19">
    <cfRule type="cellIs" dxfId="12796" priority="447" operator="greaterThan">
      <formula>V18</formula>
    </cfRule>
    <cfRule type="cellIs" dxfId="12795" priority="448" operator="equal">
      <formula>0</formula>
    </cfRule>
  </conditionalFormatting>
  <conditionalFormatting sqref="V19">
    <cfRule type="cellIs" dxfId="12794" priority="445" operator="greaterThan">
      <formula>V18</formula>
    </cfRule>
    <cfRule type="cellIs" dxfId="12793" priority="446" operator="equal">
      <formula>0</formula>
    </cfRule>
  </conditionalFormatting>
  <conditionalFormatting sqref="V22">
    <cfRule type="cellIs" dxfId="12792" priority="443" operator="greaterThan">
      <formula>V21</formula>
    </cfRule>
    <cfRule type="cellIs" dxfId="12791" priority="444" operator="equal">
      <formula>0</formula>
    </cfRule>
  </conditionalFormatting>
  <conditionalFormatting sqref="V21">
    <cfRule type="cellIs" dxfId="12790" priority="441" operator="greaterThan">
      <formula>V20</formula>
    </cfRule>
    <cfRule type="cellIs" dxfId="12789" priority="442" operator="equal">
      <formula>0</formula>
    </cfRule>
  </conditionalFormatting>
  <conditionalFormatting sqref="V22">
    <cfRule type="cellIs" dxfId="12788" priority="439" operator="greaterThan">
      <formula>V21</formula>
    </cfRule>
    <cfRule type="cellIs" dxfId="12787" priority="440" operator="equal">
      <formula>0</formula>
    </cfRule>
  </conditionalFormatting>
  <conditionalFormatting sqref="V21">
    <cfRule type="cellIs" dxfId="12786" priority="437" operator="greaterThan">
      <formula>V20</formula>
    </cfRule>
    <cfRule type="cellIs" dxfId="12785" priority="438" operator="equal">
      <formula>0</formula>
    </cfRule>
  </conditionalFormatting>
  <conditionalFormatting sqref="V22">
    <cfRule type="cellIs" dxfId="12784" priority="435" operator="greaterThan">
      <formula>V21</formula>
    </cfRule>
    <cfRule type="cellIs" dxfId="12783" priority="436" operator="equal">
      <formula>0</formula>
    </cfRule>
  </conditionalFormatting>
  <conditionalFormatting sqref="V21">
    <cfRule type="cellIs" dxfId="12782" priority="433" operator="greaterThan">
      <formula>V20</formula>
    </cfRule>
    <cfRule type="cellIs" dxfId="12781" priority="434" operator="equal">
      <formula>0</formula>
    </cfRule>
  </conditionalFormatting>
  <conditionalFormatting sqref="V22">
    <cfRule type="cellIs" dxfId="12780" priority="431" operator="greaterThan">
      <formula>V21</formula>
    </cfRule>
    <cfRule type="cellIs" dxfId="12779" priority="432" operator="equal">
      <formula>0</formula>
    </cfRule>
  </conditionalFormatting>
  <conditionalFormatting sqref="V21">
    <cfRule type="cellIs" dxfId="12778" priority="429" operator="greaterThan">
      <formula>V20</formula>
    </cfRule>
    <cfRule type="cellIs" dxfId="12777" priority="430" operator="equal">
      <formula>0</formula>
    </cfRule>
  </conditionalFormatting>
  <conditionalFormatting sqref="V22">
    <cfRule type="cellIs" dxfId="12776" priority="427" operator="greaterThan">
      <formula>V21</formula>
    </cfRule>
    <cfRule type="cellIs" dxfId="12775" priority="428" operator="equal">
      <formula>0</formula>
    </cfRule>
  </conditionalFormatting>
  <conditionalFormatting sqref="V21">
    <cfRule type="cellIs" dxfId="12774" priority="425" operator="greaterThan">
      <formula>V20</formula>
    </cfRule>
    <cfRule type="cellIs" dxfId="12773" priority="426" operator="equal">
      <formula>0</formula>
    </cfRule>
  </conditionalFormatting>
  <conditionalFormatting sqref="V22">
    <cfRule type="cellIs" dxfId="12772" priority="423" operator="greaterThan">
      <formula>V21</formula>
    </cfRule>
    <cfRule type="cellIs" dxfId="12771" priority="424" operator="equal">
      <formula>0</formula>
    </cfRule>
  </conditionalFormatting>
  <conditionalFormatting sqref="V21">
    <cfRule type="cellIs" dxfId="12770" priority="421" operator="greaterThan">
      <formula>V20</formula>
    </cfRule>
    <cfRule type="cellIs" dxfId="12769" priority="422" operator="equal">
      <formula>0</formula>
    </cfRule>
  </conditionalFormatting>
  <conditionalFormatting sqref="V22">
    <cfRule type="cellIs" dxfId="12768" priority="419" operator="greaterThan">
      <formula>V21</formula>
    </cfRule>
    <cfRule type="cellIs" dxfId="12767" priority="420" operator="equal">
      <formula>0</formula>
    </cfRule>
  </conditionalFormatting>
  <conditionalFormatting sqref="V21">
    <cfRule type="cellIs" dxfId="12766" priority="417" operator="greaterThan">
      <formula>V20</formula>
    </cfRule>
    <cfRule type="cellIs" dxfId="12765" priority="418" operator="equal">
      <formula>0</formula>
    </cfRule>
  </conditionalFormatting>
  <conditionalFormatting sqref="V22">
    <cfRule type="cellIs" dxfId="12764" priority="415" operator="greaterThan">
      <formula>V21</formula>
    </cfRule>
    <cfRule type="cellIs" dxfId="12763" priority="416" operator="equal">
      <formula>0</formula>
    </cfRule>
  </conditionalFormatting>
  <conditionalFormatting sqref="V21">
    <cfRule type="cellIs" dxfId="12762" priority="413" operator="greaterThan">
      <formula>V20</formula>
    </cfRule>
    <cfRule type="cellIs" dxfId="12761" priority="414" operator="equal">
      <formula>0</formula>
    </cfRule>
  </conditionalFormatting>
  <conditionalFormatting sqref="V22">
    <cfRule type="cellIs" dxfId="12760" priority="411" operator="greaterThan">
      <formula>V21</formula>
    </cfRule>
    <cfRule type="cellIs" dxfId="12759" priority="412" operator="equal">
      <formula>0</formula>
    </cfRule>
  </conditionalFormatting>
  <conditionalFormatting sqref="V21">
    <cfRule type="cellIs" dxfId="12758" priority="409" operator="greaterThan">
      <formula>V20</formula>
    </cfRule>
    <cfRule type="cellIs" dxfId="12757" priority="410" operator="equal">
      <formula>0</formula>
    </cfRule>
  </conditionalFormatting>
  <conditionalFormatting sqref="V22">
    <cfRule type="cellIs" dxfId="12756" priority="407" operator="greaterThan">
      <formula>V21</formula>
    </cfRule>
    <cfRule type="cellIs" dxfId="12755" priority="408" operator="equal">
      <formula>0</formula>
    </cfRule>
  </conditionalFormatting>
  <conditionalFormatting sqref="V21">
    <cfRule type="cellIs" dxfId="12754" priority="405" operator="greaterThan">
      <formula>V20</formula>
    </cfRule>
    <cfRule type="cellIs" dxfId="12753" priority="406" operator="equal">
      <formula>0</formula>
    </cfRule>
  </conditionalFormatting>
  <conditionalFormatting sqref="V22">
    <cfRule type="cellIs" dxfId="12752" priority="403" operator="greaterThan">
      <formula>V21</formula>
    </cfRule>
    <cfRule type="cellIs" dxfId="12751" priority="404" operator="equal">
      <formula>0</formula>
    </cfRule>
  </conditionalFormatting>
  <conditionalFormatting sqref="V22">
    <cfRule type="cellIs" dxfId="12750" priority="401" operator="greaterThan">
      <formula>V21</formula>
    </cfRule>
    <cfRule type="cellIs" dxfId="12749" priority="402" operator="equal">
      <formula>0</formula>
    </cfRule>
  </conditionalFormatting>
  <conditionalFormatting sqref="V22">
    <cfRule type="cellIs" dxfId="12748" priority="399" operator="greaterThan">
      <formula>V21</formula>
    </cfRule>
    <cfRule type="cellIs" dxfId="12747" priority="400" operator="equal">
      <formula>0</formula>
    </cfRule>
  </conditionalFormatting>
  <conditionalFormatting sqref="V22">
    <cfRule type="cellIs" dxfId="12746" priority="397" operator="greaterThan">
      <formula>V21</formula>
    </cfRule>
    <cfRule type="cellIs" dxfId="12745" priority="398" operator="equal">
      <formula>0</formula>
    </cfRule>
  </conditionalFormatting>
  <conditionalFormatting sqref="V22">
    <cfRule type="cellIs" dxfId="12744" priority="395" operator="greaterThan">
      <formula>V21</formula>
    </cfRule>
    <cfRule type="cellIs" dxfId="12743" priority="396" operator="equal">
      <formula>0</formula>
    </cfRule>
  </conditionalFormatting>
  <conditionalFormatting sqref="V22">
    <cfRule type="cellIs" dxfId="12742" priority="393" operator="greaterThan">
      <formula>V21</formula>
    </cfRule>
    <cfRule type="cellIs" dxfId="12741" priority="394" operator="equal">
      <formula>0</formula>
    </cfRule>
  </conditionalFormatting>
  <conditionalFormatting sqref="V22">
    <cfRule type="cellIs" dxfId="12740" priority="391" operator="greaterThan">
      <formula>V21</formula>
    </cfRule>
    <cfRule type="cellIs" dxfId="12739" priority="392" operator="equal">
      <formula>0</formula>
    </cfRule>
  </conditionalFormatting>
  <conditionalFormatting sqref="V22">
    <cfRule type="cellIs" dxfId="12738" priority="389" operator="greaterThan">
      <formula>V21</formula>
    </cfRule>
    <cfRule type="cellIs" dxfId="12737" priority="390" operator="equal">
      <formula>0</formula>
    </cfRule>
  </conditionalFormatting>
  <conditionalFormatting sqref="V22">
    <cfRule type="cellIs" dxfId="12736" priority="387" operator="greaterThan">
      <formula>V21</formula>
    </cfRule>
    <cfRule type="cellIs" dxfId="12735" priority="388" operator="equal">
      <formula>0</formula>
    </cfRule>
  </conditionalFormatting>
  <conditionalFormatting sqref="V22">
    <cfRule type="cellIs" dxfId="12734" priority="385" operator="greaterThan">
      <formula>V21</formula>
    </cfRule>
    <cfRule type="cellIs" dxfId="12733" priority="386" operator="equal">
      <formula>0</formula>
    </cfRule>
  </conditionalFormatting>
  <conditionalFormatting sqref="V22">
    <cfRule type="cellIs" dxfId="12732" priority="383" operator="greaterThan">
      <formula>V21</formula>
    </cfRule>
    <cfRule type="cellIs" dxfId="12731" priority="384" operator="equal">
      <formula>0</formula>
    </cfRule>
  </conditionalFormatting>
  <conditionalFormatting sqref="V22">
    <cfRule type="cellIs" dxfId="12730" priority="381" operator="greaterThan">
      <formula>V21</formula>
    </cfRule>
    <cfRule type="cellIs" dxfId="12729" priority="382" operator="equal">
      <formula>0</formula>
    </cfRule>
  </conditionalFormatting>
  <conditionalFormatting sqref="V22">
    <cfRule type="cellIs" dxfId="12728" priority="379" operator="greaterThan">
      <formula>V21</formula>
    </cfRule>
    <cfRule type="cellIs" dxfId="12727" priority="380" operator="equal">
      <formula>0</formula>
    </cfRule>
  </conditionalFormatting>
  <conditionalFormatting sqref="V22">
    <cfRule type="cellIs" dxfId="12726" priority="377" operator="greaterThan">
      <formula>V21</formula>
    </cfRule>
    <cfRule type="cellIs" dxfId="12725" priority="378" operator="equal">
      <formula>0</formula>
    </cfRule>
  </conditionalFormatting>
  <conditionalFormatting sqref="V22">
    <cfRule type="cellIs" dxfId="12724" priority="375" operator="greaterThan">
      <formula>V21</formula>
    </cfRule>
    <cfRule type="cellIs" dxfId="12723" priority="376" operator="equal">
      <formula>0</formula>
    </cfRule>
  </conditionalFormatting>
  <conditionalFormatting sqref="V22">
    <cfRule type="cellIs" dxfId="12722" priority="373" operator="greaterThan">
      <formula>V21</formula>
    </cfRule>
    <cfRule type="cellIs" dxfId="12721" priority="374" operator="equal">
      <formula>0</formula>
    </cfRule>
  </conditionalFormatting>
  <conditionalFormatting sqref="V22">
    <cfRule type="cellIs" dxfId="12720" priority="371" operator="greaterThan">
      <formula>V21</formula>
    </cfRule>
    <cfRule type="cellIs" dxfId="12719" priority="372" operator="equal">
      <formula>0</formula>
    </cfRule>
  </conditionalFormatting>
  <conditionalFormatting sqref="V22">
    <cfRule type="cellIs" dxfId="12718" priority="369" operator="greaterThan">
      <formula>V21</formula>
    </cfRule>
    <cfRule type="cellIs" dxfId="12717" priority="370" operator="equal">
      <formula>0</formula>
    </cfRule>
  </conditionalFormatting>
  <conditionalFormatting sqref="V22">
    <cfRule type="cellIs" dxfId="12716" priority="367" operator="greaterThan">
      <formula>V21</formula>
    </cfRule>
    <cfRule type="cellIs" dxfId="12715" priority="368" operator="equal">
      <formula>0</formula>
    </cfRule>
  </conditionalFormatting>
  <conditionalFormatting sqref="V22">
    <cfRule type="cellIs" dxfId="12714" priority="365" operator="greaterThan">
      <formula>V21</formula>
    </cfRule>
    <cfRule type="cellIs" dxfId="12713" priority="366" operator="equal">
      <formula>0</formula>
    </cfRule>
  </conditionalFormatting>
  <conditionalFormatting sqref="V22">
    <cfRule type="cellIs" dxfId="12712" priority="363" operator="greaterThan">
      <formula>V21</formula>
    </cfRule>
    <cfRule type="cellIs" dxfId="12711" priority="364" operator="equal">
      <formula>0</formula>
    </cfRule>
  </conditionalFormatting>
  <conditionalFormatting sqref="V22">
    <cfRule type="cellIs" dxfId="12710" priority="361" operator="greaterThan">
      <formula>V21</formula>
    </cfRule>
    <cfRule type="cellIs" dxfId="12709" priority="362" operator="equal">
      <formula>0</formula>
    </cfRule>
  </conditionalFormatting>
  <conditionalFormatting sqref="V22">
    <cfRule type="cellIs" dxfId="12708" priority="359" operator="greaterThan">
      <formula>V21</formula>
    </cfRule>
    <cfRule type="cellIs" dxfId="12707" priority="360" operator="equal">
      <formula>0</formula>
    </cfRule>
  </conditionalFormatting>
  <conditionalFormatting sqref="V22">
    <cfRule type="cellIs" dxfId="12706" priority="357" operator="greaterThan">
      <formula>V21</formula>
    </cfRule>
    <cfRule type="cellIs" dxfId="12705" priority="358" operator="equal">
      <formula>0</formula>
    </cfRule>
  </conditionalFormatting>
  <conditionalFormatting sqref="V22">
    <cfRule type="cellIs" dxfId="12704" priority="355" operator="greaterThan">
      <formula>V21</formula>
    </cfRule>
    <cfRule type="cellIs" dxfId="12703" priority="356" operator="equal">
      <formula>0</formula>
    </cfRule>
  </conditionalFormatting>
  <conditionalFormatting sqref="V22">
    <cfRule type="cellIs" dxfId="12702" priority="353" operator="greaterThan">
      <formula>V21</formula>
    </cfRule>
    <cfRule type="cellIs" dxfId="12701" priority="354" operator="equal">
      <formula>0</formula>
    </cfRule>
  </conditionalFormatting>
  <conditionalFormatting sqref="V22">
    <cfRule type="cellIs" dxfId="12700" priority="351" operator="greaterThan">
      <formula>V21</formula>
    </cfRule>
    <cfRule type="cellIs" dxfId="12699" priority="352" operator="equal">
      <formula>0</formula>
    </cfRule>
  </conditionalFormatting>
  <conditionalFormatting sqref="V22">
    <cfRule type="cellIs" dxfId="12698" priority="349" operator="greaterThan">
      <formula>V21</formula>
    </cfRule>
    <cfRule type="cellIs" dxfId="12697" priority="350" operator="equal">
      <formula>0</formula>
    </cfRule>
  </conditionalFormatting>
  <conditionalFormatting sqref="V24">
    <cfRule type="cellIs" dxfId="12696" priority="347" operator="greaterThan">
      <formula>V23</formula>
    </cfRule>
    <cfRule type="cellIs" dxfId="12695" priority="348" operator="equal">
      <formula>0</formula>
    </cfRule>
  </conditionalFormatting>
  <conditionalFormatting sqref="V24">
    <cfRule type="cellIs" dxfId="12694" priority="345" operator="greaterThan">
      <formula>V23</formula>
    </cfRule>
    <cfRule type="cellIs" dxfId="12693" priority="346" operator="equal">
      <formula>0</formula>
    </cfRule>
  </conditionalFormatting>
  <conditionalFormatting sqref="V24">
    <cfRule type="cellIs" dxfId="12692" priority="343" operator="greaterThan">
      <formula>V23</formula>
    </cfRule>
    <cfRule type="cellIs" dxfId="12691" priority="344" operator="equal">
      <formula>0</formula>
    </cfRule>
  </conditionalFormatting>
  <conditionalFormatting sqref="V24">
    <cfRule type="cellIs" dxfId="12690" priority="341" operator="greaterThan">
      <formula>V23</formula>
    </cfRule>
    <cfRule type="cellIs" dxfId="12689" priority="342" operator="equal">
      <formula>0</formula>
    </cfRule>
  </conditionalFormatting>
  <conditionalFormatting sqref="V24">
    <cfRule type="cellIs" dxfId="12688" priority="339" operator="greaterThan">
      <formula>V23</formula>
    </cfRule>
    <cfRule type="cellIs" dxfId="12687" priority="340" operator="equal">
      <formula>0</formula>
    </cfRule>
  </conditionalFormatting>
  <conditionalFormatting sqref="V24">
    <cfRule type="cellIs" dxfId="12686" priority="337" operator="greaterThan">
      <formula>V23</formula>
    </cfRule>
    <cfRule type="cellIs" dxfId="12685" priority="338" operator="equal">
      <formula>0</formula>
    </cfRule>
  </conditionalFormatting>
  <conditionalFormatting sqref="V24">
    <cfRule type="cellIs" dxfId="12684" priority="335" operator="greaterThan">
      <formula>V23</formula>
    </cfRule>
    <cfRule type="cellIs" dxfId="12683" priority="336" operator="equal">
      <formula>0</formula>
    </cfRule>
  </conditionalFormatting>
  <conditionalFormatting sqref="V24">
    <cfRule type="cellIs" dxfId="12682" priority="333" operator="greaterThan">
      <formula>V23</formula>
    </cfRule>
    <cfRule type="cellIs" dxfId="12681" priority="334" operator="equal">
      <formula>0</formula>
    </cfRule>
  </conditionalFormatting>
  <conditionalFormatting sqref="V24">
    <cfRule type="cellIs" dxfId="12680" priority="331" operator="greaterThan">
      <formula>V23</formula>
    </cfRule>
    <cfRule type="cellIs" dxfId="12679" priority="332" operator="equal">
      <formula>0</formula>
    </cfRule>
  </conditionalFormatting>
  <conditionalFormatting sqref="V24">
    <cfRule type="cellIs" dxfId="12678" priority="329" operator="greaterThan">
      <formula>V23</formula>
    </cfRule>
    <cfRule type="cellIs" dxfId="12677" priority="330" operator="equal">
      <formula>0</formula>
    </cfRule>
  </conditionalFormatting>
  <conditionalFormatting sqref="V24">
    <cfRule type="cellIs" dxfId="12676" priority="327" operator="greaterThan">
      <formula>V23</formula>
    </cfRule>
    <cfRule type="cellIs" dxfId="12675" priority="328" operator="equal">
      <formula>0</formula>
    </cfRule>
  </conditionalFormatting>
  <conditionalFormatting sqref="V24">
    <cfRule type="cellIs" dxfId="12674" priority="325" operator="greaterThan">
      <formula>V23</formula>
    </cfRule>
    <cfRule type="cellIs" dxfId="12673" priority="326" operator="equal">
      <formula>0</formula>
    </cfRule>
  </conditionalFormatting>
  <conditionalFormatting sqref="V24">
    <cfRule type="cellIs" dxfId="12672" priority="323" operator="greaterThan">
      <formula>V23</formula>
    </cfRule>
    <cfRule type="cellIs" dxfId="12671" priority="324" operator="equal">
      <formula>0</formula>
    </cfRule>
  </conditionalFormatting>
  <conditionalFormatting sqref="V24">
    <cfRule type="cellIs" dxfId="12670" priority="321" operator="greaterThan">
      <formula>V23</formula>
    </cfRule>
    <cfRule type="cellIs" dxfId="12669" priority="322" operator="equal">
      <formula>0</formula>
    </cfRule>
  </conditionalFormatting>
  <conditionalFormatting sqref="V24">
    <cfRule type="cellIs" dxfId="12668" priority="319" operator="greaterThan">
      <formula>V23</formula>
    </cfRule>
    <cfRule type="cellIs" dxfId="12667" priority="320" operator="equal">
      <formula>0</formula>
    </cfRule>
  </conditionalFormatting>
  <conditionalFormatting sqref="V24">
    <cfRule type="cellIs" dxfId="12666" priority="317" operator="greaterThan">
      <formula>V23</formula>
    </cfRule>
    <cfRule type="cellIs" dxfId="12665" priority="318" operator="equal">
      <formula>0</formula>
    </cfRule>
  </conditionalFormatting>
  <conditionalFormatting sqref="V24">
    <cfRule type="cellIs" dxfId="12664" priority="315" operator="greaterThan">
      <formula>V23</formula>
    </cfRule>
    <cfRule type="cellIs" dxfId="12663" priority="316" operator="equal">
      <formula>0</formula>
    </cfRule>
  </conditionalFormatting>
  <conditionalFormatting sqref="V24">
    <cfRule type="cellIs" dxfId="12662" priority="313" operator="greaterThan">
      <formula>V23</formula>
    </cfRule>
    <cfRule type="cellIs" dxfId="12661" priority="314" operator="equal">
      <formula>0</formula>
    </cfRule>
  </conditionalFormatting>
  <conditionalFormatting sqref="V25">
    <cfRule type="cellIs" dxfId="12660" priority="311" operator="greaterThan">
      <formula>V24</formula>
    </cfRule>
    <cfRule type="cellIs" dxfId="12659" priority="312" operator="equal">
      <formula>0</formula>
    </cfRule>
  </conditionalFormatting>
  <conditionalFormatting sqref="V25">
    <cfRule type="cellIs" dxfId="12658" priority="309" operator="greaterThan">
      <formula>V24</formula>
    </cfRule>
    <cfRule type="cellIs" dxfId="12657" priority="310" operator="equal">
      <formula>0</formula>
    </cfRule>
  </conditionalFormatting>
  <conditionalFormatting sqref="V25">
    <cfRule type="cellIs" dxfId="12656" priority="307" operator="greaterThan">
      <formula>V24</formula>
    </cfRule>
    <cfRule type="cellIs" dxfId="12655" priority="308" operator="equal">
      <formula>0</formula>
    </cfRule>
  </conditionalFormatting>
  <conditionalFormatting sqref="V25">
    <cfRule type="cellIs" dxfId="12654" priority="305" operator="greaterThan">
      <formula>V24</formula>
    </cfRule>
    <cfRule type="cellIs" dxfId="12653" priority="306" operator="equal">
      <formula>0</formula>
    </cfRule>
  </conditionalFormatting>
  <conditionalFormatting sqref="V25">
    <cfRule type="cellIs" dxfId="12652" priority="303" operator="greaterThan">
      <formula>V24</formula>
    </cfRule>
    <cfRule type="cellIs" dxfId="12651" priority="304" operator="equal">
      <formula>0</formula>
    </cfRule>
  </conditionalFormatting>
  <conditionalFormatting sqref="V25">
    <cfRule type="cellIs" dxfId="12650" priority="301" operator="greaterThan">
      <formula>V24</formula>
    </cfRule>
    <cfRule type="cellIs" dxfId="12649" priority="302" operator="equal">
      <formula>0</formula>
    </cfRule>
  </conditionalFormatting>
  <conditionalFormatting sqref="V25">
    <cfRule type="cellIs" dxfId="12648" priority="299" operator="greaterThan">
      <formula>V24</formula>
    </cfRule>
    <cfRule type="cellIs" dxfId="12647" priority="300" operator="equal">
      <formula>0</formula>
    </cfRule>
  </conditionalFormatting>
  <conditionalFormatting sqref="V25">
    <cfRule type="cellIs" dxfId="12646" priority="297" operator="greaterThan">
      <formula>V24</formula>
    </cfRule>
    <cfRule type="cellIs" dxfId="12645" priority="298" operator="equal">
      <formula>0</formula>
    </cfRule>
  </conditionalFormatting>
  <conditionalFormatting sqref="V25">
    <cfRule type="cellIs" dxfId="12644" priority="295" operator="greaterThan">
      <formula>V24</formula>
    </cfRule>
    <cfRule type="cellIs" dxfId="12643" priority="296" operator="equal">
      <formula>0</formula>
    </cfRule>
  </conditionalFormatting>
  <conditionalFormatting sqref="V25">
    <cfRule type="cellIs" dxfId="12642" priority="293" operator="greaterThan">
      <formula>V24</formula>
    </cfRule>
    <cfRule type="cellIs" dxfId="12641" priority="294" operator="equal">
      <formula>0</formula>
    </cfRule>
  </conditionalFormatting>
  <conditionalFormatting sqref="V25">
    <cfRule type="cellIs" dxfId="12640" priority="291" operator="greaterThan">
      <formula>V24</formula>
    </cfRule>
    <cfRule type="cellIs" dxfId="12639" priority="292" operator="equal">
      <formula>0</formula>
    </cfRule>
  </conditionalFormatting>
  <conditionalFormatting sqref="V25">
    <cfRule type="cellIs" dxfId="12638" priority="289" operator="greaterThan">
      <formula>V24</formula>
    </cfRule>
    <cfRule type="cellIs" dxfId="12637" priority="290" operator="equal">
      <formula>0</formula>
    </cfRule>
  </conditionalFormatting>
  <conditionalFormatting sqref="V25">
    <cfRule type="cellIs" dxfId="12636" priority="287" operator="greaterThan">
      <formula>V24</formula>
    </cfRule>
    <cfRule type="cellIs" dxfId="12635" priority="288" operator="equal">
      <formula>0</formula>
    </cfRule>
  </conditionalFormatting>
  <conditionalFormatting sqref="V25">
    <cfRule type="cellIs" dxfId="12634" priority="285" operator="greaterThan">
      <formula>V24</formula>
    </cfRule>
    <cfRule type="cellIs" dxfId="12633" priority="286" operator="equal">
      <formula>0</formula>
    </cfRule>
  </conditionalFormatting>
  <conditionalFormatting sqref="V25">
    <cfRule type="cellIs" dxfId="12632" priority="283" operator="greaterThan">
      <formula>V24</formula>
    </cfRule>
    <cfRule type="cellIs" dxfId="12631" priority="284" operator="equal">
      <formula>0</formula>
    </cfRule>
  </conditionalFormatting>
  <conditionalFormatting sqref="V25">
    <cfRule type="cellIs" dxfId="12630" priority="281" operator="greaterThan">
      <formula>V24</formula>
    </cfRule>
    <cfRule type="cellIs" dxfId="12629" priority="282" operator="equal">
      <formula>0</formula>
    </cfRule>
  </conditionalFormatting>
  <conditionalFormatting sqref="V25">
    <cfRule type="cellIs" dxfId="12628" priority="279" operator="greaterThan">
      <formula>V24</formula>
    </cfRule>
    <cfRule type="cellIs" dxfId="12627" priority="280" operator="equal">
      <formula>0</formula>
    </cfRule>
  </conditionalFormatting>
  <conditionalFormatting sqref="V25">
    <cfRule type="cellIs" dxfId="12626" priority="277" operator="greaterThan">
      <formula>V24</formula>
    </cfRule>
    <cfRule type="cellIs" dxfId="12625" priority="278" operator="equal">
      <formula>0</formula>
    </cfRule>
  </conditionalFormatting>
  <conditionalFormatting sqref="V25">
    <cfRule type="cellIs" dxfId="12624" priority="275" operator="greaterThan">
      <formula>V24</formula>
    </cfRule>
    <cfRule type="cellIs" dxfId="12623" priority="276" operator="equal">
      <formula>0</formula>
    </cfRule>
  </conditionalFormatting>
  <conditionalFormatting sqref="V25">
    <cfRule type="cellIs" dxfId="12622" priority="273" operator="greaterThan">
      <formula>V24</formula>
    </cfRule>
    <cfRule type="cellIs" dxfId="12621" priority="274" operator="equal">
      <formula>0</formula>
    </cfRule>
  </conditionalFormatting>
  <conditionalFormatting sqref="V25">
    <cfRule type="cellIs" dxfId="12620" priority="271" operator="greaterThan">
      <formula>V24</formula>
    </cfRule>
    <cfRule type="cellIs" dxfId="12619" priority="272" operator="equal">
      <formula>0</formula>
    </cfRule>
  </conditionalFormatting>
  <conditionalFormatting sqref="V25">
    <cfRule type="cellIs" dxfId="12618" priority="269" operator="greaterThan">
      <formula>V24</formula>
    </cfRule>
    <cfRule type="cellIs" dxfId="12617" priority="270" operator="equal">
      <formula>0</formula>
    </cfRule>
  </conditionalFormatting>
  <conditionalFormatting sqref="V25">
    <cfRule type="cellIs" dxfId="12616" priority="267" operator="greaterThan">
      <formula>V24</formula>
    </cfRule>
    <cfRule type="cellIs" dxfId="12615" priority="268" operator="equal">
      <formula>0</formula>
    </cfRule>
  </conditionalFormatting>
  <conditionalFormatting sqref="V25">
    <cfRule type="cellIs" dxfId="12614" priority="265" operator="greaterThan">
      <formula>V24</formula>
    </cfRule>
    <cfRule type="cellIs" dxfId="12613" priority="266" operator="equal">
      <formula>0</formula>
    </cfRule>
  </conditionalFormatting>
  <conditionalFormatting sqref="V25">
    <cfRule type="cellIs" dxfId="12612" priority="263" operator="greaterThan">
      <formula>V24</formula>
    </cfRule>
    <cfRule type="cellIs" dxfId="12611" priority="264" operator="equal">
      <formula>0</formula>
    </cfRule>
  </conditionalFormatting>
  <conditionalFormatting sqref="V25">
    <cfRule type="cellIs" dxfId="12610" priority="261" operator="greaterThan">
      <formula>V24</formula>
    </cfRule>
    <cfRule type="cellIs" dxfId="12609" priority="262" operator="equal">
      <formula>0</formula>
    </cfRule>
  </conditionalFormatting>
  <conditionalFormatting sqref="V25">
    <cfRule type="cellIs" dxfId="12608" priority="259" operator="greaterThan">
      <formula>V24</formula>
    </cfRule>
    <cfRule type="cellIs" dxfId="12607" priority="260" operator="equal">
      <formula>0</formula>
    </cfRule>
  </conditionalFormatting>
  <conditionalFormatting sqref="V25">
    <cfRule type="cellIs" dxfId="12606" priority="257" operator="greaterThan">
      <formula>V24</formula>
    </cfRule>
    <cfRule type="cellIs" dxfId="12605" priority="258" operator="equal">
      <formula>0</formula>
    </cfRule>
  </conditionalFormatting>
  <conditionalFormatting sqref="V27">
    <cfRule type="cellIs" dxfId="12604" priority="255" operator="greaterThan">
      <formula>V26</formula>
    </cfRule>
    <cfRule type="cellIs" dxfId="12603" priority="256" operator="equal">
      <formula>0</formula>
    </cfRule>
  </conditionalFormatting>
  <conditionalFormatting sqref="V27">
    <cfRule type="cellIs" dxfId="12602" priority="253" operator="greaterThan">
      <formula>V26</formula>
    </cfRule>
    <cfRule type="cellIs" dxfId="12601" priority="254" operator="equal">
      <formula>0</formula>
    </cfRule>
  </conditionalFormatting>
  <conditionalFormatting sqref="V27">
    <cfRule type="cellIs" dxfId="12600" priority="251" operator="greaterThan">
      <formula>V26</formula>
    </cfRule>
    <cfRule type="cellIs" dxfId="12599" priority="252" operator="equal">
      <formula>0</formula>
    </cfRule>
  </conditionalFormatting>
  <conditionalFormatting sqref="V27">
    <cfRule type="cellIs" dxfId="12598" priority="249" operator="greaterThan">
      <formula>V26</formula>
    </cfRule>
    <cfRule type="cellIs" dxfId="12597" priority="250" operator="equal">
      <formula>0</formula>
    </cfRule>
  </conditionalFormatting>
  <conditionalFormatting sqref="V27">
    <cfRule type="cellIs" dxfId="12596" priority="247" operator="greaterThan">
      <formula>V26</formula>
    </cfRule>
    <cfRule type="cellIs" dxfId="12595" priority="248" operator="equal">
      <formula>0</formula>
    </cfRule>
  </conditionalFormatting>
  <conditionalFormatting sqref="V27">
    <cfRule type="cellIs" dxfId="12594" priority="245" operator="greaterThan">
      <formula>V26</formula>
    </cfRule>
    <cfRule type="cellIs" dxfId="12593" priority="246" operator="equal">
      <formula>0</formula>
    </cfRule>
  </conditionalFormatting>
  <conditionalFormatting sqref="V27">
    <cfRule type="cellIs" dxfId="12592" priority="243" operator="greaterThan">
      <formula>V26</formula>
    </cfRule>
    <cfRule type="cellIs" dxfId="12591" priority="244" operator="equal">
      <formula>0</formula>
    </cfRule>
  </conditionalFormatting>
  <conditionalFormatting sqref="V27">
    <cfRule type="cellIs" dxfId="12590" priority="241" operator="greaterThan">
      <formula>V26</formula>
    </cfRule>
    <cfRule type="cellIs" dxfId="12589" priority="242" operator="equal">
      <formula>0</formula>
    </cfRule>
  </conditionalFormatting>
  <conditionalFormatting sqref="V27">
    <cfRule type="cellIs" dxfId="12588" priority="239" operator="greaterThan">
      <formula>V26</formula>
    </cfRule>
    <cfRule type="cellIs" dxfId="12587" priority="240" operator="equal">
      <formula>0</formula>
    </cfRule>
  </conditionalFormatting>
  <conditionalFormatting sqref="V27">
    <cfRule type="cellIs" dxfId="12586" priority="237" operator="greaterThan">
      <formula>V26</formula>
    </cfRule>
    <cfRule type="cellIs" dxfId="12585" priority="238" operator="equal">
      <formula>0</formula>
    </cfRule>
  </conditionalFormatting>
  <conditionalFormatting sqref="V27">
    <cfRule type="cellIs" dxfId="12584" priority="235" operator="greaterThan">
      <formula>V26</formula>
    </cfRule>
    <cfRule type="cellIs" dxfId="12583" priority="236" operator="equal">
      <formula>0</formula>
    </cfRule>
  </conditionalFormatting>
  <conditionalFormatting sqref="V27">
    <cfRule type="cellIs" dxfId="12582" priority="233" operator="greaterThan">
      <formula>V26</formula>
    </cfRule>
    <cfRule type="cellIs" dxfId="12581" priority="234" operator="equal">
      <formula>0</formula>
    </cfRule>
  </conditionalFormatting>
  <conditionalFormatting sqref="V27">
    <cfRule type="cellIs" dxfId="12580" priority="231" operator="greaterThan">
      <formula>V26</formula>
    </cfRule>
    <cfRule type="cellIs" dxfId="12579" priority="232" operator="equal">
      <formula>0</formula>
    </cfRule>
  </conditionalFormatting>
  <conditionalFormatting sqref="V27">
    <cfRule type="cellIs" dxfId="12578" priority="229" operator="greaterThan">
      <formula>V26</formula>
    </cfRule>
    <cfRule type="cellIs" dxfId="12577" priority="230" operator="equal">
      <formula>0</formula>
    </cfRule>
  </conditionalFormatting>
  <conditionalFormatting sqref="V27">
    <cfRule type="cellIs" dxfId="12576" priority="227" operator="greaterThan">
      <formula>V26</formula>
    </cfRule>
    <cfRule type="cellIs" dxfId="12575" priority="228" operator="equal">
      <formula>0</formula>
    </cfRule>
  </conditionalFormatting>
  <conditionalFormatting sqref="V27">
    <cfRule type="cellIs" dxfId="12574" priority="225" operator="greaterThan">
      <formula>V26</formula>
    </cfRule>
    <cfRule type="cellIs" dxfId="12573" priority="226" operator="equal">
      <formula>0</formula>
    </cfRule>
  </conditionalFormatting>
  <conditionalFormatting sqref="V27">
    <cfRule type="cellIs" dxfId="12572" priority="223" operator="greaterThan">
      <formula>V26</formula>
    </cfRule>
    <cfRule type="cellIs" dxfId="12571" priority="224" operator="equal">
      <formula>0</formula>
    </cfRule>
  </conditionalFormatting>
  <conditionalFormatting sqref="V27">
    <cfRule type="cellIs" dxfId="12570" priority="221" operator="greaterThan">
      <formula>V26</formula>
    </cfRule>
    <cfRule type="cellIs" dxfId="12569" priority="222" operator="equal">
      <formula>0</formula>
    </cfRule>
  </conditionalFormatting>
  <conditionalFormatting sqref="V27">
    <cfRule type="cellIs" dxfId="12568" priority="219" operator="greaterThan">
      <formula>V26</formula>
    </cfRule>
    <cfRule type="cellIs" dxfId="12567" priority="220" operator="equal">
      <formula>0</formula>
    </cfRule>
  </conditionalFormatting>
  <conditionalFormatting sqref="V27">
    <cfRule type="cellIs" dxfId="12566" priority="217" operator="greaterThan">
      <formula>V26</formula>
    </cfRule>
    <cfRule type="cellIs" dxfId="12565" priority="218" operator="equal">
      <formula>0</formula>
    </cfRule>
  </conditionalFormatting>
  <conditionalFormatting sqref="V27">
    <cfRule type="cellIs" dxfId="12564" priority="215" operator="greaterThan">
      <formula>V26</formula>
    </cfRule>
    <cfRule type="cellIs" dxfId="12563" priority="216" operator="equal">
      <formula>0</formula>
    </cfRule>
  </conditionalFormatting>
  <conditionalFormatting sqref="V27">
    <cfRule type="cellIs" dxfId="12562" priority="213" operator="greaterThan">
      <formula>V26</formula>
    </cfRule>
    <cfRule type="cellIs" dxfId="12561" priority="214" operator="equal">
      <formula>0</formula>
    </cfRule>
  </conditionalFormatting>
  <conditionalFormatting sqref="V27">
    <cfRule type="cellIs" dxfId="12560" priority="211" operator="greaterThan">
      <formula>V26</formula>
    </cfRule>
    <cfRule type="cellIs" dxfId="12559" priority="212" operator="equal">
      <formula>0</formula>
    </cfRule>
  </conditionalFormatting>
  <conditionalFormatting sqref="V27">
    <cfRule type="cellIs" dxfId="12558" priority="209" operator="greaterThan">
      <formula>V26</formula>
    </cfRule>
    <cfRule type="cellIs" dxfId="12557" priority="210" operator="equal">
      <formula>0</formula>
    </cfRule>
  </conditionalFormatting>
  <conditionalFormatting sqref="V27">
    <cfRule type="cellIs" dxfId="12556" priority="207" operator="greaterThan">
      <formula>V26</formula>
    </cfRule>
    <cfRule type="cellIs" dxfId="12555" priority="208" operator="equal">
      <formula>0</formula>
    </cfRule>
  </conditionalFormatting>
  <conditionalFormatting sqref="V27">
    <cfRule type="cellIs" dxfId="12554" priority="205" operator="greaterThan">
      <formula>V26</formula>
    </cfRule>
    <cfRule type="cellIs" dxfId="12553" priority="206" operator="equal">
      <formula>0</formula>
    </cfRule>
  </conditionalFormatting>
  <conditionalFormatting sqref="V27">
    <cfRule type="cellIs" dxfId="12552" priority="203" operator="greaterThan">
      <formula>V26</formula>
    </cfRule>
    <cfRule type="cellIs" dxfId="12551" priority="204" operator="equal">
      <formula>0</formula>
    </cfRule>
  </conditionalFormatting>
  <conditionalFormatting sqref="V27">
    <cfRule type="cellIs" dxfId="12550" priority="201" operator="greaterThan">
      <formula>V26</formula>
    </cfRule>
    <cfRule type="cellIs" dxfId="12549" priority="202" operator="equal">
      <formula>0</formula>
    </cfRule>
  </conditionalFormatting>
  <conditionalFormatting sqref="V27">
    <cfRule type="cellIs" dxfId="12548" priority="199" operator="greaterThan">
      <formula>V26</formula>
    </cfRule>
    <cfRule type="cellIs" dxfId="12547" priority="200" operator="equal">
      <formula>0</formula>
    </cfRule>
  </conditionalFormatting>
  <conditionalFormatting sqref="V28">
    <cfRule type="cellIs" dxfId="12546" priority="197" operator="greaterThan">
      <formula>V27</formula>
    </cfRule>
    <cfRule type="cellIs" dxfId="12545" priority="198" operator="equal">
      <formula>0</formula>
    </cfRule>
  </conditionalFormatting>
  <conditionalFormatting sqref="V28">
    <cfRule type="cellIs" dxfId="12544" priority="195" operator="greaterThan">
      <formula>V27</formula>
    </cfRule>
    <cfRule type="cellIs" dxfId="12543" priority="196" operator="equal">
      <formula>0</formula>
    </cfRule>
  </conditionalFormatting>
  <conditionalFormatting sqref="V28">
    <cfRule type="cellIs" dxfId="12542" priority="193" operator="greaterThan">
      <formula>V27</formula>
    </cfRule>
    <cfRule type="cellIs" dxfId="12541" priority="194" operator="equal">
      <formula>0</formula>
    </cfRule>
  </conditionalFormatting>
  <conditionalFormatting sqref="V28">
    <cfRule type="cellIs" dxfId="12540" priority="191" operator="greaterThan">
      <formula>V27</formula>
    </cfRule>
    <cfRule type="cellIs" dxfId="12539" priority="192" operator="equal">
      <formula>0</formula>
    </cfRule>
  </conditionalFormatting>
  <conditionalFormatting sqref="V28">
    <cfRule type="cellIs" dxfId="12538" priority="189" operator="greaterThan">
      <formula>V27</formula>
    </cfRule>
    <cfRule type="cellIs" dxfId="12537" priority="190" operator="equal">
      <formula>0</formula>
    </cfRule>
  </conditionalFormatting>
  <conditionalFormatting sqref="V28">
    <cfRule type="cellIs" dxfId="12536" priority="187" operator="greaterThan">
      <formula>V27</formula>
    </cfRule>
    <cfRule type="cellIs" dxfId="12535" priority="188" operator="equal">
      <formula>0</formula>
    </cfRule>
  </conditionalFormatting>
  <conditionalFormatting sqref="V28">
    <cfRule type="cellIs" dxfId="12534" priority="185" operator="greaterThan">
      <formula>V27</formula>
    </cfRule>
    <cfRule type="cellIs" dxfId="12533" priority="186" operator="equal">
      <formula>0</formula>
    </cfRule>
  </conditionalFormatting>
  <conditionalFormatting sqref="V28">
    <cfRule type="cellIs" dxfId="12532" priority="183" operator="greaterThan">
      <formula>V27</formula>
    </cfRule>
    <cfRule type="cellIs" dxfId="12531" priority="184" operator="equal">
      <formula>0</formula>
    </cfRule>
  </conditionalFormatting>
  <conditionalFormatting sqref="V28">
    <cfRule type="cellIs" dxfId="12530" priority="181" operator="greaterThan">
      <formula>V27</formula>
    </cfRule>
    <cfRule type="cellIs" dxfId="12529" priority="182" operator="equal">
      <formula>0</formula>
    </cfRule>
  </conditionalFormatting>
  <conditionalFormatting sqref="V28">
    <cfRule type="cellIs" dxfId="12528" priority="179" operator="greaterThan">
      <formula>V27</formula>
    </cfRule>
    <cfRule type="cellIs" dxfId="12527" priority="180" operator="equal">
      <formula>0</formula>
    </cfRule>
  </conditionalFormatting>
  <conditionalFormatting sqref="V28">
    <cfRule type="cellIs" dxfId="12526" priority="177" operator="greaterThan">
      <formula>V27</formula>
    </cfRule>
    <cfRule type="cellIs" dxfId="12525" priority="178" operator="equal">
      <formula>0</formula>
    </cfRule>
  </conditionalFormatting>
  <conditionalFormatting sqref="V28">
    <cfRule type="cellIs" dxfId="12524" priority="175" operator="greaterThan">
      <formula>V27</formula>
    </cfRule>
    <cfRule type="cellIs" dxfId="12523" priority="176" operator="equal">
      <formula>0</formula>
    </cfRule>
  </conditionalFormatting>
  <conditionalFormatting sqref="V28">
    <cfRule type="cellIs" dxfId="12522" priority="173" operator="greaterThan">
      <formula>V27</formula>
    </cfRule>
    <cfRule type="cellIs" dxfId="12521" priority="174" operator="equal">
      <formula>0</formula>
    </cfRule>
  </conditionalFormatting>
  <conditionalFormatting sqref="V28">
    <cfRule type="cellIs" dxfId="12520" priority="171" operator="greaterThan">
      <formula>V27</formula>
    </cfRule>
    <cfRule type="cellIs" dxfId="12519" priority="172" operator="equal">
      <formula>0</formula>
    </cfRule>
  </conditionalFormatting>
  <conditionalFormatting sqref="V28">
    <cfRule type="cellIs" dxfId="12518" priority="169" operator="greaterThan">
      <formula>V27</formula>
    </cfRule>
    <cfRule type="cellIs" dxfId="12517" priority="170" operator="equal">
      <formula>0</formula>
    </cfRule>
  </conditionalFormatting>
  <conditionalFormatting sqref="V28">
    <cfRule type="cellIs" dxfId="12516" priority="167" operator="greaterThan">
      <formula>V27</formula>
    </cfRule>
    <cfRule type="cellIs" dxfId="12515" priority="168" operator="equal">
      <formula>0</formula>
    </cfRule>
  </conditionalFormatting>
  <conditionalFormatting sqref="V28">
    <cfRule type="cellIs" dxfId="12514" priority="165" operator="greaterThan">
      <formula>V27</formula>
    </cfRule>
    <cfRule type="cellIs" dxfId="12513" priority="166" operator="equal">
      <formula>0</formula>
    </cfRule>
  </conditionalFormatting>
  <conditionalFormatting sqref="V28">
    <cfRule type="cellIs" dxfId="12512" priority="163" operator="greaterThan">
      <formula>V27</formula>
    </cfRule>
    <cfRule type="cellIs" dxfId="12511" priority="164" operator="equal">
      <formula>0</formula>
    </cfRule>
  </conditionalFormatting>
  <conditionalFormatting sqref="V28">
    <cfRule type="cellIs" dxfId="12510" priority="161" operator="greaterThan">
      <formula>V27</formula>
    </cfRule>
    <cfRule type="cellIs" dxfId="12509" priority="162" operator="equal">
      <formula>0</formula>
    </cfRule>
  </conditionalFormatting>
  <conditionalFormatting sqref="V28">
    <cfRule type="cellIs" dxfId="12508" priority="159" operator="greaterThan">
      <formula>V27</formula>
    </cfRule>
    <cfRule type="cellIs" dxfId="12507" priority="160" operator="equal">
      <formula>0</formula>
    </cfRule>
  </conditionalFormatting>
  <conditionalFormatting sqref="V28">
    <cfRule type="cellIs" dxfId="12506" priority="157" operator="greaterThan">
      <formula>V27</formula>
    </cfRule>
    <cfRule type="cellIs" dxfId="12505" priority="158" operator="equal">
      <formula>0</formula>
    </cfRule>
  </conditionalFormatting>
  <conditionalFormatting sqref="V28">
    <cfRule type="cellIs" dxfId="12504" priority="155" operator="greaterThan">
      <formula>V27</formula>
    </cfRule>
    <cfRule type="cellIs" dxfId="12503" priority="156" operator="equal">
      <formula>0</formula>
    </cfRule>
  </conditionalFormatting>
  <conditionalFormatting sqref="V28">
    <cfRule type="cellIs" dxfId="12502" priority="153" operator="greaterThan">
      <formula>V27</formula>
    </cfRule>
    <cfRule type="cellIs" dxfId="12501" priority="154" operator="equal">
      <formula>0</formula>
    </cfRule>
  </conditionalFormatting>
  <conditionalFormatting sqref="V28">
    <cfRule type="cellIs" dxfId="12500" priority="151" operator="greaterThan">
      <formula>V27</formula>
    </cfRule>
    <cfRule type="cellIs" dxfId="12499" priority="152" operator="equal">
      <formula>0</formula>
    </cfRule>
  </conditionalFormatting>
  <conditionalFormatting sqref="V28">
    <cfRule type="cellIs" dxfId="12498" priority="149" operator="greaterThan">
      <formula>V27</formula>
    </cfRule>
    <cfRule type="cellIs" dxfId="12497" priority="150" operator="equal">
      <formula>0</formula>
    </cfRule>
  </conditionalFormatting>
  <conditionalFormatting sqref="V28">
    <cfRule type="cellIs" dxfId="12496" priority="147" operator="greaterThan">
      <formula>V27</formula>
    </cfRule>
    <cfRule type="cellIs" dxfId="12495" priority="148" operator="equal">
      <formula>0</formula>
    </cfRule>
  </conditionalFormatting>
  <conditionalFormatting sqref="V28">
    <cfRule type="cellIs" dxfId="12494" priority="145" operator="greaterThan">
      <formula>V27</formula>
    </cfRule>
    <cfRule type="cellIs" dxfId="12493" priority="146" operator="equal">
      <formula>0</formula>
    </cfRule>
  </conditionalFormatting>
  <conditionalFormatting sqref="V28">
    <cfRule type="cellIs" dxfId="12492" priority="143" operator="greaterThan">
      <formula>V27</formula>
    </cfRule>
    <cfRule type="cellIs" dxfId="12491" priority="144" operator="equal">
      <formula>0</formula>
    </cfRule>
  </conditionalFormatting>
  <conditionalFormatting sqref="V28">
    <cfRule type="cellIs" dxfId="12490" priority="141" operator="greaterThan">
      <formula>V27</formula>
    </cfRule>
    <cfRule type="cellIs" dxfId="12489" priority="142" operator="equal">
      <formula>0</formula>
    </cfRule>
  </conditionalFormatting>
  <conditionalFormatting sqref="V28">
    <cfRule type="cellIs" dxfId="12488" priority="139" operator="greaterThan">
      <formula>V27</formula>
    </cfRule>
    <cfRule type="cellIs" dxfId="12487" priority="140" operator="equal">
      <formula>0</formula>
    </cfRule>
  </conditionalFormatting>
  <conditionalFormatting sqref="V28">
    <cfRule type="cellIs" dxfId="12486" priority="137" operator="greaterThan">
      <formula>V27</formula>
    </cfRule>
    <cfRule type="cellIs" dxfId="12485" priority="138" operator="equal">
      <formula>0</formula>
    </cfRule>
  </conditionalFormatting>
  <conditionalFormatting sqref="V28">
    <cfRule type="cellIs" dxfId="12484" priority="135" operator="greaterThan">
      <formula>V27</formula>
    </cfRule>
    <cfRule type="cellIs" dxfId="12483" priority="136" operator="equal">
      <formula>0</formula>
    </cfRule>
  </conditionalFormatting>
  <conditionalFormatting sqref="V28">
    <cfRule type="cellIs" dxfId="12482" priority="133" operator="greaterThan">
      <formula>V27</formula>
    </cfRule>
    <cfRule type="cellIs" dxfId="12481" priority="134" operator="equal">
      <formula>0</formula>
    </cfRule>
  </conditionalFormatting>
  <conditionalFormatting sqref="V28">
    <cfRule type="cellIs" dxfId="12480" priority="131" operator="greaterThan">
      <formula>V27</formula>
    </cfRule>
    <cfRule type="cellIs" dxfId="12479" priority="132" operator="equal">
      <formula>0</formula>
    </cfRule>
  </conditionalFormatting>
  <conditionalFormatting sqref="V28">
    <cfRule type="cellIs" dxfId="12478" priority="129" operator="greaterThan">
      <formula>V27</formula>
    </cfRule>
    <cfRule type="cellIs" dxfId="12477" priority="130" operator="equal">
      <formula>0</formula>
    </cfRule>
  </conditionalFormatting>
  <conditionalFormatting sqref="V28">
    <cfRule type="cellIs" dxfId="12476" priority="127" operator="greaterThan">
      <formula>V27</formula>
    </cfRule>
    <cfRule type="cellIs" dxfId="12475" priority="128" operator="equal">
      <formula>0</formula>
    </cfRule>
  </conditionalFormatting>
  <conditionalFormatting sqref="V28">
    <cfRule type="cellIs" dxfId="12474" priority="125" operator="greaterThan">
      <formula>V27</formula>
    </cfRule>
    <cfRule type="cellIs" dxfId="12473" priority="126" operator="equal">
      <formula>0</formula>
    </cfRule>
  </conditionalFormatting>
  <conditionalFormatting sqref="V28">
    <cfRule type="cellIs" dxfId="12472" priority="123" operator="greaterThan">
      <formula>V27</formula>
    </cfRule>
    <cfRule type="cellIs" dxfId="12471" priority="124" operator="equal">
      <formula>0</formula>
    </cfRule>
  </conditionalFormatting>
  <conditionalFormatting sqref="V28">
    <cfRule type="cellIs" dxfId="12470" priority="121" operator="greaterThan">
      <formula>V27</formula>
    </cfRule>
    <cfRule type="cellIs" dxfId="12469" priority="122" operator="equal">
      <formula>0</formula>
    </cfRule>
  </conditionalFormatting>
  <conditionalFormatting sqref="V28">
    <cfRule type="cellIs" dxfId="12468" priority="119" operator="greaterThan">
      <formula>V27</formula>
    </cfRule>
    <cfRule type="cellIs" dxfId="12467" priority="120" operator="equal">
      <formula>0</formula>
    </cfRule>
  </conditionalFormatting>
  <conditionalFormatting sqref="V28">
    <cfRule type="cellIs" dxfId="12466" priority="117" operator="greaterThan">
      <formula>V27</formula>
    </cfRule>
    <cfRule type="cellIs" dxfId="12465" priority="118" operator="equal">
      <formula>0</formula>
    </cfRule>
  </conditionalFormatting>
  <conditionalFormatting sqref="V28">
    <cfRule type="cellIs" dxfId="12464" priority="115" operator="greaterThan">
      <formula>V27</formula>
    </cfRule>
    <cfRule type="cellIs" dxfId="12463" priority="116" operator="equal">
      <formula>0</formula>
    </cfRule>
  </conditionalFormatting>
  <conditionalFormatting sqref="V28">
    <cfRule type="cellIs" dxfId="12462" priority="113" operator="greaterThan">
      <formula>V27</formula>
    </cfRule>
    <cfRule type="cellIs" dxfId="12461" priority="114" operator="equal">
      <formula>0</formula>
    </cfRule>
  </conditionalFormatting>
  <conditionalFormatting sqref="V28">
    <cfRule type="cellIs" dxfId="12460" priority="111" operator="greaterThan">
      <formula>V27</formula>
    </cfRule>
    <cfRule type="cellIs" dxfId="12459" priority="112" operator="equal">
      <formula>0</formula>
    </cfRule>
  </conditionalFormatting>
  <conditionalFormatting sqref="V28">
    <cfRule type="cellIs" dxfId="12458" priority="109" operator="greaterThan">
      <formula>V27</formula>
    </cfRule>
    <cfRule type="cellIs" dxfId="12457" priority="110" operator="equal">
      <formula>0</formula>
    </cfRule>
  </conditionalFormatting>
  <conditionalFormatting sqref="V28">
    <cfRule type="cellIs" dxfId="12456" priority="107" operator="greaterThan">
      <formula>V27</formula>
    </cfRule>
    <cfRule type="cellIs" dxfId="12455" priority="108" operator="equal">
      <formula>0</formula>
    </cfRule>
  </conditionalFormatting>
  <conditionalFormatting sqref="V28">
    <cfRule type="cellIs" dxfId="12454" priority="105" operator="greaterThan">
      <formula>V27</formula>
    </cfRule>
    <cfRule type="cellIs" dxfId="12453" priority="106" operator="equal">
      <formula>0</formula>
    </cfRule>
  </conditionalFormatting>
  <conditionalFormatting sqref="V28">
    <cfRule type="cellIs" dxfId="12452" priority="103" operator="greaterThan">
      <formula>V27</formula>
    </cfRule>
    <cfRule type="cellIs" dxfId="12451" priority="104" operator="equal">
      <formula>0</formula>
    </cfRule>
  </conditionalFormatting>
  <conditionalFormatting sqref="V28">
    <cfRule type="cellIs" dxfId="12450" priority="101" operator="greaterThan">
      <formula>V27</formula>
    </cfRule>
    <cfRule type="cellIs" dxfId="12449" priority="102" operator="equal">
      <formula>0</formula>
    </cfRule>
  </conditionalFormatting>
  <conditionalFormatting sqref="V28">
    <cfRule type="cellIs" dxfId="12448" priority="99" operator="greaterThan">
      <formula>V27</formula>
    </cfRule>
    <cfRule type="cellIs" dxfId="12447" priority="100" operator="equal">
      <formula>0</formula>
    </cfRule>
  </conditionalFormatting>
  <conditionalFormatting sqref="V28">
    <cfRule type="cellIs" dxfId="12446" priority="97" operator="greaterThan">
      <formula>V27</formula>
    </cfRule>
    <cfRule type="cellIs" dxfId="12445" priority="98" operator="equal">
      <formula>0</formula>
    </cfRule>
  </conditionalFormatting>
  <conditionalFormatting sqref="V28">
    <cfRule type="cellIs" dxfId="12444" priority="95" operator="greaterThan">
      <formula>V27</formula>
    </cfRule>
    <cfRule type="cellIs" dxfId="12443" priority="96" operator="equal">
      <formula>0</formula>
    </cfRule>
  </conditionalFormatting>
  <conditionalFormatting sqref="V28">
    <cfRule type="cellIs" dxfId="12442" priority="93" operator="greaterThan">
      <formula>V27</formula>
    </cfRule>
    <cfRule type="cellIs" dxfId="12441" priority="94" operator="equal">
      <formula>0</formula>
    </cfRule>
  </conditionalFormatting>
  <conditionalFormatting sqref="V28">
    <cfRule type="cellIs" dxfId="12440" priority="91" operator="greaterThan">
      <formula>V27</formula>
    </cfRule>
    <cfRule type="cellIs" dxfId="12439" priority="92" operator="equal">
      <formula>0</formula>
    </cfRule>
  </conditionalFormatting>
  <conditionalFormatting sqref="V28">
    <cfRule type="cellIs" dxfId="12438" priority="89" operator="greaterThan">
      <formula>V27</formula>
    </cfRule>
    <cfRule type="cellIs" dxfId="12437" priority="90" operator="equal">
      <formula>0</formula>
    </cfRule>
  </conditionalFormatting>
  <conditionalFormatting sqref="V28">
    <cfRule type="cellIs" dxfId="12436" priority="87" operator="greaterThan">
      <formula>V27</formula>
    </cfRule>
    <cfRule type="cellIs" dxfId="12435" priority="88" operator="equal">
      <formula>0</formula>
    </cfRule>
  </conditionalFormatting>
  <conditionalFormatting sqref="V28">
    <cfRule type="cellIs" dxfId="12434" priority="85" operator="greaterThan">
      <formula>V27</formula>
    </cfRule>
    <cfRule type="cellIs" dxfId="12433" priority="86" operator="equal">
      <formula>0</formula>
    </cfRule>
  </conditionalFormatting>
  <conditionalFormatting sqref="V28">
    <cfRule type="cellIs" dxfId="12432" priority="83" operator="greaterThan">
      <formula>V27</formula>
    </cfRule>
    <cfRule type="cellIs" dxfId="12431" priority="84" operator="equal">
      <formula>0</formula>
    </cfRule>
  </conditionalFormatting>
  <conditionalFormatting sqref="V28">
    <cfRule type="cellIs" dxfId="12430" priority="81" operator="greaterThan">
      <formula>V27</formula>
    </cfRule>
    <cfRule type="cellIs" dxfId="12429" priority="82" operator="equal">
      <formula>0</formula>
    </cfRule>
  </conditionalFormatting>
  <conditionalFormatting sqref="V28">
    <cfRule type="cellIs" dxfId="12428" priority="79" operator="greaterThan">
      <formula>V27</formula>
    </cfRule>
    <cfRule type="cellIs" dxfId="12427" priority="80" operator="equal">
      <formula>0</formula>
    </cfRule>
  </conditionalFormatting>
  <conditionalFormatting sqref="V28">
    <cfRule type="cellIs" dxfId="12426" priority="77" operator="greaterThan">
      <formula>V27</formula>
    </cfRule>
    <cfRule type="cellIs" dxfId="12425" priority="78" operator="equal">
      <formula>0</formula>
    </cfRule>
  </conditionalFormatting>
  <conditionalFormatting sqref="V28">
    <cfRule type="cellIs" dxfId="12424" priority="75" operator="greaterThan">
      <formula>V27</formula>
    </cfRule>
    <cfRule type="cellIs" dxfId="12423" priority="76" operator="equal">
      <formula>0</formula>
    </cfRule>
  </conditionalFormatting>
  <conditionalFormatting sqref="V28">
    <cfRule type="cellIs" dxfId="12422" priority="73" operator="greaterThan">
      <formula>V27</formula>
    </cfRule>
    <cfRule type="cellIs" dxfId="12421" priority="74" operator="equal">
      <formula>0</formula>
    </cfRule>
  </conditionalFormatting>
  <conditionalFormatting sqref="V28">
    <cfRule type="cellIs" dxfId="12420" priority="71" operator="greaterThan">
      <formula>V27</formula>
    </cfRule>
    <cfRule type="cellIs" dxfId="12419" priority="72" operator="equal">
      <formula>0</formula>
    </cfRule>
  </conditionalFormatting>
  <conditionalFormatting sqref="V28">
    <cfRule type="cellIs" dxfId="12418" priority="69" operator="greaterThan">
      <formula>V27</formula>
    </cfRule>
    <cfRule type="cellIs" dxfId="12417" priority="70" operator="equal">
      <formula>0</formula>
    </cfRule>
  </conditionalFormatting>
  <conditionalFormatting sqref="V28">
    <cfRule type="cellIs" dxfId="12416" priority="67" operator="greaterThan">
      <formula>V27</formula>
    </cfRule>
    <cfRule type="cellIs" dxfId="12415" priority="68" operator="equal">
      <formula>0</formula>
    </cfRule>
  </conditionalFormatting>
  <conditionalFormatting sqref="V28">
    <cfRule type="cellIs" dxfId="12414" priority="65" operator="greaterThan">
      <formula>V27</formula>
    </cfRule>
    <cfRule type="cellIs" dxfId="12413" priority="66" operator="equal">
      <formula>0</formula>
    </cfRule>
  </conditionalFormatting>
  <conditionalFormatting sqref="V28">
    <cfRule type="cellIs" dxfId="12412" priority="63" operator="greaterThan">
      <formula>V27</formula>
    </cfRule>
    <cfRule type="cellIs" dxfId="12411" priority="64" operator="equal">
      <formula>0</formula>
    </cfRule>
  </conditionalFormatting>
  <conditionalFormatting sqref="V28">
    <cfRule type="cellIs" dxfId="12410" priority="61" operator="greaterThan">
      <formula>V27</formula>
    </cfRule>
    <cfRule type="cellIs" dxfId="12409" priority="62" operator="equal">
      <formula>0</formula>
    </cfRule>
  </conditionalFormatting>
  <conditionalFormatting sqref="V28">
    <cfRule type="cellIs" dxfId="12408" priority="59" operator="greaterThan">
      <formula>V27</formula>
    </cfRule>
    <cfRule type="cellIs" dxfId="12407" priority="60" operator="equal">
      <formula>0</formula>
    </cfRule>
  </conditionalFormatting>
  <conditionalFormatting sqref="V28">
    <cfRule type="cellIs" dxfId="12406" priority="57" operator="greaterThan">
      <formula>V27</formula>
    </cfRule>
    <cfRule type="cellIs" dxfId="12405" priority="58" operator="equal">
      <formula>0</formula>
    </cfRule>
  </conditionalFormatting>
  <conditionalFormatting sqref="V28">
    <cfRule type="cellIs" dxfId="12404" priority="55" operator="greaterThan">
      <formula>V27</formula>
    </cfRule>
    <cfRule type="cellIs" dxfId="12403" priority="56" operator="equal">
      <formula>0</formula>
    </cfRule>
  </conditionalFormatting>
  <conditionalFormatting sqref="V28">
    <cfRule type="cellIs" dxfId="12402" priority="53" operator="greaterThan">
      <formula>V27</formula>
    </cfRule>
    <cfRule type="cellIs" dxfId="12401" priority="54" operator="equal">
      <formula>0</formula>
    </cfRule>
  </conditionalFormatting>
  <conditionalFormatting sqref="V28">
    <cfRule type="cellIs" dxfId="12400" priority="51" operator="greaterThan">
      <formula>V27</formula>
    </cfRule>
    <cfRule type="cellIs" dxfId="12399" priority="52" operator="equal">
      <formula>0</formula>
    </cfRule>
  </conditionalFormatting>
  <conditionalFormatting sqref="V28">
    <cfRule type="cellIs" dxfId="12398" priority="49" operator="greaterThan">
      <formula>V27</formula>
    </cfRule>
    <cfRule type="cellIs" dxfId="12397" priority="50" operator="equal">
      <formula>0</formula>
    </cfRule>
  </conditionalFormatting>
  <conditionalFormatting sqref="V28">
    <cfRule type="cellIs" dxfId="12396" priority="47" operator="greaterThan">
      <formula>V27</formula>
    </cfRule>
    <cfRule type="cellIs" dxfId="12395" priority="48" operator="equal">
      <formula>0</formula>
    </cfRule>
  </conditionalFormatting>
  <conditionalFormatting sqref="V28">
    <cfRule type="cellIs" dxfId="12394" priority="45" operator="greaterThan">
      <formula>V27</formula>
    </cfRule>
    <cfRule type="cellIs" dxfId="12393" priority="46" operator="equal">
      <formula>0</formula>
    </cfRule>
  </conditionalFormatting>
  <conditionalFormatting sqref="V28">
    <cfRule type="cellIs" dxfId="12392" priority="43" operator="greaterThan">
      <formula>V27</formula>
    </cfRule>
    <cfRule type="cellIs" dxfId="12391" priority="44" operator="equal">
      <formula>0</formula>
    </cfRule>
  </conditionalFormatting>
  <conditionalFormatting sqref="V28">
    <cfRule type="cellIs" dxfId="12390" priority="41" operator="greaterThan">
      <formula>V27</formula>
    </cfRule>
    <cfRule type="cellIs" dxfId="12389" priority="42" operator="equal">
      <formula>0</formula>
    </cfRule>
  </conditionalFormatting>
  <conditionalFormatting sqref="V28">
    <cfRule type="cellIs" dxfId="12388" priority="39" operator="greaterThan">
      <formula>V27</formula>
    </cfRule>
    <cfRule type="cellIs" dxfId="12387" priority="40" operator="equal">
      <formula>0</formula>
    </cfRule>
  </conditionalFormatting>
  <conditionalFormatting sqref="V28">
    <cfRule type="cellIs" dxfId="12386" priority="37" operator="greaterThan">
      <formula>V27</formula>
    </cfRule>
    <cfRule type="cellIs" dxfId="12385" priority="38" operator="equal">
      <formula>0</formula>
    </cfRule>
  </conditionalFormatting>
  <conditionalFormatting sqref="V28">
    <cfRule type="cellIs" dxfId="12384" priority="35" operator="greaterThan">
      <formula>V27</formula>
    </cfRule>
    <cfRule type="cellIs" dxfId="12383" priority="36" operator="equal">
      <formula>0</formula>
    </cfRule>
  </conditionalFormatting>
  <conditionalFormatting sqref="V28">
    <cfRule type="cellIs" dxfId="12382" priority="33" operator="greaterThan">
      <formula>V27</formula>
    </cfRule>
    <cfRule type="cellIs" dxfId="12381" priority="34" operator="equal">
      <formula>0</formula>
    </cfRule>
  </conditionalFormatting>
  <conditionalFormatting sqref="V28">
    <cfRule type="cellIs" dxfId="12380" priority="31" operator="greaterThan">
      <formula>V27</formula>
    </cfRule>
    <cfRule type="cellIs" dxfId="12379" priority="32" operator="equal">
      <formula>0</formula>
    </cfRule>
  </conditionalFormatting>
  <conditionalFormatting sqref="V13">
    <cfRule type="cellIs" dxfId="12378" priority="30" operator="equal">
      <formula>0</formula>
    </cfRule>
  </conditionalFormatting>
  <conditionalFormatting sqref="V13">
    <cfRule type="cellIs" dxfId="12377" priority="28" operator="greaterThan">
      <formula>V12</formula>
    </cfRule>
    <cfRule type="cellIs" dxfId="12376" priority="29" operator="equal">
      <formula>0</formula>
    </cfRule>
  </conditionalFormatting>
  <conditionalFormatting sqref="V13">
    <cfRule type="cellIs" dxfId="12375" priority="26" operator="greaterThan">
      <formula>V12</formula>
    </cfRule>
    <cfRule type="cellIs" dxfId="12374" priority="27" operator="equal">
      <formula>0</formula>
    </cfRule>
  </conditionalFormatting>
  <conditionalFormatting sqref="V16">
    <cfRule type="cellIs" dxfId="12373" priority="25" operator="equal">
      <formula>0</formula>
    </cfRule>
  </conditionalFormatting>
  <conditionalFormatting sqref="V16">
    <cfRule type="cellIs" dxfId="12372" priority="23" operator="greaterThan">
      <formula>V15</formula>
    </cfRule>
    <cfRule type="cellIs" dxfId="12371" priority="24" operator="equal">
      <formula>0</formula>
    </cfRule>
  </conditionalFormatting>
  <conditionalFormatting sqref="V16">
    <cfRule type="cellIs" dxfId="12370" priority="21" operator="greaterThan">
      <formula>V15</formula>
    </cfRule>
    <cfRule type="cellIs" dxfId="12369" priority="22" operator="equal">
      <formula>0</formula>
    </cfRule>
  </conditionalFormatting>
  <conditionalFormatting sqref="V19">
    <cfRule type="cellIs" dxfId="12368" priority="20" operator="equal">
      <formula>0</formula>
    </cfRule>
  </conditionalFormatting>
  <conditionalFormatting sqref="V19">
    <cfRule type="cellIs" dxfId="12367" priority="18" operator="greaterThan">
      <formula>V18</formula>
    </cfRule>
    <cfRule type="cellIs" dxfId="12366" priority="19" operator="equal">
      <formula>0</formula>
    </cfRule>
  </conditionalFormatting>
  <conditionalFormatting sqref="V19">
    <cfRule type="cellIs" dxfId="12365" priority="16" operator="greaterThan">
      <formula>V18</formula>
    </cfRule>
    <cfRule type="cellIs" dxfId="12364" priority="17" operator="equal">
      <formula>0</formula>
    </cfRule>
  </conditionalFormatting>
  <conditionalFormatting sqref="V22">
    <cfRule type="cellIs" dxfId="12363" priority="15" operator="equal">
      <formula>0</formula>
    </cfRule>
  </conditionalFormatting>
  <conditionalFormatting sqref="V22">
    <cfRule type="cellIs" dxfId="12362" priority="13" operator="greaterThan">
      <formula>V21</formula>
    </cfRule>
    <cfRule type="cellIs" dxfId="12361" priority="14" operator="equal">
      <formula>0</formula>
    </cfRule>
  </conditionalFormatting>
  <conditionalFormatting sqref="V22">
    <cfRule type="cellIs" dxfId="12360" priority="11" operator="greaterThan">
      <formula>V21</formula>
    </cfRule>
    <cfRule type="cellIs" dxfId="12359" priority="12" operator="equal">
      <formula>0</formula>
    </cfRule>
  </conditionalFormatting>
  <conditionalFormatting sqref="V25">
    <cfRule type="cellIs" dxfId="12358" priority="10" operator="equal">
      <formula>0</formula>
    </cfRule>
  </conditionalFormatting>
  <conditionalFormatting sqref="V25">
    <cfRule type="cellIs" dxfId="12357" priority="8" operator="greaterThan">
      <formula>V24</formula>
    </cfRule>
    <cfRule type="cellIs" dxfId="12356" priority="9" operator="equal">
      <formula>0</formula>
    </cfRule>
  </conditionalFormatting>
  <conditionalFormatting sqref="V25">
    <cfRule type="cellIs" dxfId="12355" priority="6" operator="greaterThan">
      <formula>V24</formula>
    </cfRule>
    <cfRule type="cellIs" dxfId="12354" priority="7" operator="equal">
      <formula>0</formula>
    </cfRule>
  </conditionalFormatting>
  <conditionalFormatting sqref="V28">
    <cfRule type="cellIs" dxfId="12353" priority="5" operator="equal">
      <formula>0</formula>
    </cfRule>
  </conditionalFormatting>
  <conditionalFormatting sqref="V28">
    <cfRule type="cellIs" dxfId="12352" priority="3" operator="greaterThan">
      <formula>V27</formula>
    </cfRule>
    <cfRule type="cellIs" dxfId="12351" priority="4" operator="equal">
      <formula>0</formula>
    </cfRule>
  </conditionalFormatting>
  <conditionalFormatting sqref="V28">
    <cfRule type="cellIs" dxfId="12350" priority="1" operator="greaterThan">
      <formula>V27</formula>
    </cfRule>
    <cfRule type="cellIs" dxfId="12349" priority="2" operator="equal">
      <formula>0</formula>
    </cfRule>
  </conditionalFormatting>
  <dataValidations count="25">
    <dataValidation type="whole" allowBlank="1" showInputMessage="1" showErrorMessage="1" sqref="X51 X44:X48 Y16:Y51 X38:X41 X17 X20 X23 X26 X29 X32 X35">
      <formula1>0</formula1>
      <formula2>5000</formula2>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operator="greaterThanOrEqual" allowBlank="1" showInputMessage="1" showErrorMessage="1" errorTitle="المجموع" error="العدد المناسب" sqref="O49 M42 P33 P30 P12 P15 P18 P21 P27 P24 P36">
      <formula1>0</formula1>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&amp;R&amp;"-,Gras"&amp;8&amp;K00-033Echamil V.08      &amp;F         &amp;K00-018                     &amp;K00-015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4">
    <tabColor rgb="FF00B050"/>
  </sheetPr>
  <dimension ref="A1:Z54"/>
  <sheetViews>
    <sheetView showGridLines="0" rightToLeft="1" zoomScale="115" zoomScaleNormal="115" workbookViewId="0">
      <selection activeCell="J42" sqref="J42"/>
    </sheetView>
  </sheetViews>
  <sheetFormatPr baseColWidth="10" defaultColWidth="0" defaultRowHeight="14.4" zeroHeight="1"/>
  <cols>
    <col min="1" max="1" width="1"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s="1041" customFormat="1"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s="1041" customFormat="1"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9" t="s">
        <v>603</v>
      </c>
      <c r="W2" s="4459"/>
      <c r="X2" s="4459"/>
      <c r="Y2" s="1945"/>
      <c r="Z2" s="1420"/>
    </row>
    <row r="3" spans="1:26" s="1041" customFormat="1"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9"/>
      <c r="W3" s="4459"/>
      <c r="X3" s="4459"/>
      <c r="Y3" s="1945"/>
      <c r="Z3" s="1420"/>
    </row>
    <row r="4" spans="1:26" ht="20.100000000000001" customHeight="1">
      <c r="A4" s="1418"/>
      <c r="B4" s="1431"/>
      <c r="C4" s="1432"/>
      <c r="D4" s="1946" t="s">
        <v>1463</v>
      </c>
      <c r="E4" s="1434"/>
      <c r="F4" s="1434"/>
      <c r="M4" s="1947"/>
      <c r="N4" s="1438"/>
      <c r="O4" s="1438"/>
      <c r="P4" s="1948" t="s">
        <v>1464</v>
      </c>
      <c r="Q4" s="1948"/>
      <c r="R4" s="1441"/>
      <c r="S4" s="1430"/>
      <c r="T4" s="1424"/>
      <c r="U4" s="1944"/>
      <c r="V4" s="4459"/>
      <c r="W4" s="4459"/>
      <c r="X4" s="4459"/>
      <c r="Y4" s="1945"/>
      <c r="Z4" s="1420"/>
    </row>
    <row r="5" spans="1:26" ht="2.1" customHeight="1">
      <c r="A5" s="1418"/>
      <c r="B5" s="1431"/>
      <c r="C5" s="1442"/>
      <c r="D5" s="1434"/>
      <c r="E5" s="1434"/>
      <c r="F5" s="1434"/>
      <c r="G5" s="1434"/>
      <c r="H5" s="1444"/>
      <c r="I5" s="1445"/>
      <c r="J5" s="1445"/>
      <c r="K5" s="1445"/>
      <c r="L5" s="1446"/>
      <c r="M5" s="1438"/>
      <c r="N5" s="1438"/>
      <c r="O5" s="1438"/>
      <c r="P5" s="1443"/>
      <c r="Q5" s="1440"/>
      <c r="R5" s="1441"/>
      <c r="S5" s="1430"/>
      <c r="T5" s="1424"/>
      <c r="U5" s="1944"/>
      <c r="V5" s="4459"/>
      <c r="W5" s="4459"/>
      <c r="X5" s="4459"/>
      <c r="Y5" s="1945"/>
      <c r="Z5" s="1420"/>
    </row>
    <row r="6" spans="1:26" ht="15.9" customHeight="1">
      <c r="A6" s="1418"/>
      <c r="B6" s="1431"/>
      <c r="C6" s="1442"/>
      <c r="F6" s="1951"/>
      <c r="G6" s="1952" t="s">
        <v>936</v>
      </c>
      <c r="H6" s="1953" t="s">
        <v>1110</v>
      </c>
      <c r="I6" s="1954"/>
      <c r="J6" s="2041"/>
      <c r="K6" s="1955"/>
      <c r="L6" s="2041"/>
      <c r="M6" s="1955"/>
      <c r="N6" s="1956" t="s">
        <v>1105</v>
      </c>
      <c r="O6" s="2041"/>
      <c r="P6" s="1957" t="s">
        <v>1092</v>
      </c>
      <c r="Q6" s="1440"/>
      <c r="R6" s="1441"/>
      <c r="S6" s="1430"/>
      <c r="T6" s="1424"/>
      <c r="U6" s="1944"/>
      <c r="V6" s="4459"/>
      <c r="W6" s="4459"/>
      <c r="X6" s="4459"/>
      <c r="Y6" s="1950"/>
      <c r="Z6" s="1420"/>
    </row>
    <row r="7" spans="1:26" ht="2.1" customHeight="1">
      <c r="A7" s="1418"/>
      <c r="B7" s="1431"/>
      <c r="C7" s="1442"/>
      <c r="D7" s="1493"/>
      <c r="E7" s="1949"/>
      <c r="F7" s="1949"/>
      <c r="G7" s="1949"/>
      <c r="H7" s="1949"/>
      <c r="I7" s="1949"/>
      <c r="J7" s="1949"/>
      <c r="K7" s="1949"/>
      <c r="L7" s="1949"/>
      <c r="M7" s="1949"/>
      <c r="N7" s="1949"/>
      <c r="O7" s="1949"/>
      <c r="P7" s="1949"/>
      <c r="Q7" s="1440"/>
      <c r="R7" s="1441"/>
      <c r="S7" s="1430"/>
      <c r="T7" s="1424"/>
      <c r="U7" s="1944"/>
      <c r="V7" s="1032"/>
      <c r="W7" s="1950"/>
      <c r="X7" s="1950"/>
      <c r="Y7" s="1950"/>
      <c r="Z7" s="1420"/>
    </row>
    <row r="8" spans="1:26" ht="14.1" customHeight="1">
      <c r="A8" s="1418"/>
      <c r="B8" s="1431"/>
      <c r="C8" s="1442"/>
      <c r="D8" s="2418" t="s">
        <v>1171</v>
      </c>
      <c r="E8" s="2419"/>
      <c r="F8" s="2419"/>
      <c r="G8" s="2419"/>
      <c r="H8" s="2420"/>
      <c r="I8" s="2420"/>
      <c r="J8" s="2420"/>
      <c r="K8" s="2420"/>
      <c r="L8" s="2419"/>
      <c r="M8" s="2419"/>
      <c r="N8" s="2419"/>
      <c r="O8" s="2419"/>
      <c r="P8" s="2396" t="s">
        <v>1170</v>
      </c>
      <c r="Q8" s="1440"/>
      <c r="R8" s="144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1440"/>
      <c r="R9" s="144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1440"/>
      <c r="R10" s="144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1440"/>
      <c r="R11" s="1441"/>
      <c r="S11" s="1430"/>
      <c r="T11" s="1424"/>
      <c r="U11" s="1944"/>
      <c r="V11" s="3100" t="s">
        <v>965</v>
      </c>
      <c r="W11" s="1966"/>
      <c r="X11" s="2036"/>
      <c r="Y11" s="2036"/>
      <c r="Z11" s="1420"/>
    </row>
    <row r="12" spans="1:26" ht="12" customHeight="1">
      <c r="A12" s="1418"/>
      <c r="B12" s="1431"/>
      <c r="C12" s="1442"/>
      <c r="D12" s="2430" t="s">
        <v>20</v>
      </c>
      <c r="E12" s="2265"/>
      <c r="F12" s="1462"/>
      <c r="G12" s="1462">
        <v>0</v>
      </c>
      <c r="H12" s="1462"/>
      <c r="I12" s="1462"/>
      <c r="J12" s="1462">
        <v>1</v>
      </c>
      <c r="K12" s="1462"/>
      <c r="L12" s="1462"/>
      <c r="M12" s="1462"/>
      <c r="N12" s="1462"/>
      <c r="O12" s="1462"/>
      <c r="P12" s="1998">
        <f>E12+F12+G12+H12+I12+J12+K12+L12+M12+N12+O12</f>
        <v>1</v>
      </c>
      <c r="Q12" s="1440"/>
      <c r="R12" s="1441"/>
      <c r="S12" s="1430"/>
      <c r="T12" s="1424"/>
      <c r="U12" s="1944"/>
      <c r="V12" s="4452" t="str">
        <f>IF(('الصفحة 1'!$Q$14&gt;0),((IF((P12&gt;'الصفحة 14'!$K$13),"العدد غيرمطابق",IF((P12&lt;='الصفحة 14'!$K$13)," ")))),"")</f>
        <v xml:space="preserve"> </v>
      </c>
      <c r="W12" s="4453"/>
      <c r="X12" s="3097"/>
      <c r="Y12" s="3096"/>
      <c r="Z12" s="1420"/>
    </row>
    <row r="13" spans="1:26" ht="12" customHeight="1">
      <c r="A13" s="1418"/>
      <c r="B13" s="1431"/>
      <c r="C13" s="1442"/>
      <c r="D13" s="2430" t="s">
        <v>672</v>
      </c>
      <c r="E13" s="2265"/>
      <c r="F13" s="2265"/>
      <c r="G13" s="2265"/>
      <c r="H13" s="2265"/>
      <c r="I13" s="2265"/>
      <c r="J13" s="2265">
        <v>1</v>
      </c>
      <c r="K13" s="2265"/>
      <c r="L13" s="2265"/>
      <c r="M13" s="2265"/>
      <c r="N13" s="2265"/>
      <c r="O13" s="2265"/>
      <c r="P13" s="1998">
        <f>E13+F13+G13+H13+I13+J13+K13+L13+M13+N13+O13</f>
        <v>1</v>
      </c>
      <c r="Q13" s="1440"/>
      <c r="R13" s="144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1440"/>
      <c r="R14" s="1441"/>
      <c r="S14" s="1430"/>
      <c r="T14" s="1424"/>
      <c r="U14" s="1944"/>
      <c r="V14" s="3100" t="s">
        <v>964</v>
      </c>
      <c r="W14" s="2036"/>
      <c r="X14" s="2036"/>
      <c r="Y14" s="2036"/>
      <c r="Z14" s="1420"/>
    </row>
    <row r="15" spans="1:26" ht="12" customHeight="1">
      <c r="A15" s="1418"/>
      <c r="B15" s="1431"/>
      <c r="C15" s="1442"/>
      <c r="D15" s="2430" t="s">
        <v>20</v>
      </c>
      <c r="E15" s="2265">
        <v>1</v>
      </c>
      <c r="F15" s="1462"/>
      <c r="G15" s="1462">
        <v>1</v>
      </c>
      <c r="H15" s="1462"/>
      <c r="I15" s="1462"/>
      <c r="J15" s="1462"/>
      <c r="K15" s="1462"/>
      <c r="L15" s="1462"/>
      <c r="M15" s="1462"/>
      <c r="N15" s="1462"/>
      <c r="O15" s="1462"/>
      <c r="P15" s="1998">
        <f>E15+F15+G15+H15+I15+J15+K15+L15+M15+N15+O15</f>
        <v>2</v>
      </c>
      <c r="Q15" s="1440"/>
      <c r="R15" s="1441"/>
      <c r="S15" s="1430"/>
      <c r="T15" s="1424"/>
      <c r="U15" s="1944"/>
      <c r="V15" s="4452" t="str">
        <f>IF(('الصفحة 1'!$Q$14&gt;0),((IF((P15&gt;'الصفحة 14'!$K$15),"العدد غيرمطابق",IF((P15&lt;='الصفحة 14'!$K$15)," ")))),"")</f>
        <v xml:space="preserve"> </v>
      </c>
      <c r="W15" s="4453"/>
      <c r="X15" s="3097"/>
      <c r="Y15" s="2036"/>
      <c r="Z15" s="1420"/>
    </row>
    <row r="16" spans="1:26" ht="12" customHeight="1">
      <c r="A16" s="1418"/>
      <c r="B16" s="1431"/>
      <c r="C16" s="1442"/>
      <c r="D16" s="2430" t="s">
        <v>672</v>
      </c>
      <c r="E16" s="2265">
        <v>1</v>
      </c>
      <c r="F16" s="2265"/>
      <c r="G16" s="2265"/>
      <c r="H16" s="2265"/>
      <c r="I16" s="2265"/>
      <c r="J16" s="2265"/>
      <c r="K16" s="2265"/>
      <c r="L16" s="2265"/>
      <c r="M16" s="2265"/>
      <c r="N16" s="2265"/>
      <c r="O16" s="2265"/>
      <c r="P16" s="1998">
        <f>E16+F16+G16+H16+I16+J16+K16+L16+M16+N16+O16</f>
        <v>1</v>
      </c>
      <c r="Q16" s="1440"/>
      <c r="R16" s="144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1440"/>
      <c r="R17" s="144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52" t="str">
        <f>IF(('الصفحة 1'!$Q$14&gt;0),((IF((P18&gt;'الصفحة 14'!$K$17),"العدد غيرمطابق",IF((P18&lt;='الصفحة 14'!$K$17),"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1440"/>
      <c r="R20" s="1441"/>
      <c r="S20" s="1430"/>
      <c r="T20" s="1424"/>
      <c r="U20" s="1944"/>
      <c r="V20" s="3100" t="s">
        <v>962</v>
      </c>
      <c r="W20" s="2039"/>
      <c r="X20" s="3052"/>
      <c r="Y20" s="3052"/>
      <c r="Z20" s="1420"/>
    </row>
    <row r="21" spans="1:26" ht="12" customHeight="1">
      <c r="A21" s="1418"/>
      <c r="B21" s="1431"/>
      <c r="C21" s="1442"/>
      <c r="D21" s="2430" t="s">
        <v>20</v>
      </c>
      <c r="E21" s="2265"/>
      <c r="F21" s="1462"/>
      <c r="G21" s="1462"/>
      <c r="H21" s="1462"/>
      <c r="I21" s="1462"/>
      <c r="J21" s="1462"/>
      <c r="K21" s="1462"/>
      <c r="L21" s="1462"/>
      <c r="M21" s="1462"/>
      <c r="N21" s="1462"/>
      <c r="O21" s="1462"/>
      <c r="P21" s="1998">
        <f>E21+F21+G21+H21+I21+J21+K21+L21+M21+N21+O21</f>
        <v>0</v>
      </c>
      <c r="Q21" s="1440"/>
      <c r="R21" s="1441"/>
      <c r="S21" s="1430"/>
      <c r="T21" s="1424"/>
      <c r="U21" s="1944"/>
      <c r="V21" s="4452" t="str">
        <f>IF(('الصفحة 1'!$Q$14&gt;0),((IF((P21&gt;'الصفحة 14'!$K$19),"العدد غيرمطابق",IF((P21&lt;='الصفحة 14'!$K$19)," ")))),"")</f>
        <v xml:space="preserve"> </v>
      </c>
      <c r="W21" s="4453"/>
      <c r="X21" s="3097"/>
      <c r="Y21" s="3052"/>
      <c r="Z21" s="1420"/>
    </row>
    <row r="22" spans="1:26" ht="12" customHeight="1">
      <c r="A22" s="1418"/>
      <c r="B22" s="1431"/>
      <c r="C22" s="1442"/>
      <c r="D22" s="2430" t="s">
        <v>672</v>
      </c>
      <c r="E22" s="2265"/>
      <c r="F22" s="2265"/>
      <c r="G22" s="2265"/>
      <c r="H22" s="2265"/>
      <c r="I22" s="2265"/>
      <c r="J22" s="2265"/>
      <c r="K22" s="2265"/>
      <c r="L22" s="2265"/>
      <c r="M22" s="2265"/>
      <c r="N22" s="2265"/>
      <c r="O22" s="2265"/>
      <c r="P22" s="1998">
        <f>E22+F22+G22+H22+I22+J22+K22+L22+M22+N22+O22</f>
        <v>0</v>
      </c>
      <c r="Q22" s="1440"/>
      <c r="R22" s="144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1440"/>
      <c r="R23" s="144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52" t="str">
        <f>IF(('الصفحة 1'!$Q$14&gt;0),((IF((P24&gt;'الصفحة 14'!$K$21),"العدد غيرمطابق",IF((P24&lt;='الصفحة 14'!$K$21),"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1440"/>
      <c r="R26" s="1441"/>
      <c r="S26" s="1430"/>
      <c r="T26" s="1424"/>
      <c r="U26" s="1944"/>
      <c r="V26" s="3109" t="s">
        <v>1083</v>
      </c>
      <c r="W26" s="1966"/>
      <c r="X26" s="3052"/>
      <c r="Y26" s="3052"/>
      <c r="Z26" s="1420"/>
    </row>
    <row r="27" spans="1:26" ht="12" customHeight="1">
      <c r="A27" s="1418"/>
      <c r="B27" s="1431"/>
      <c r="C27" s="1442"/>
      <c r="D27" s="2430" t="s">
        <v>20</v>
      </c>
      <c r="E27" s="1996">
        <f>(E12+E15+E18+E21+E24)</f>
        <v>1</v>
      </c>
      <c r="F27" s="1997">
        <f t="shared" ref="F27:O27" si="0">(F12+F15+F18+F21+F24)</f>
        <v>0</v>
      </c>
      <c r="G27" s="1997">
        <f t="shared" si="0"/>
        <v>1</v>
      </c>
      <c r="H27" s="1997">
        <f t="shared" si="0"/>
        <v>0</v>
      </c>
      <c r="I27" s="1997">
        <f t="shared" si="0"/>
        <v>0</v>
      </c>
      <c r="J27" s="1997">
        <f t="shared" si="0"/>
        <v>1</v>
      </c>
      <c r="K27" s="1997">
        <f t="shared" si="0"/>
        <v>0</v>
      </c>
      <c r="L27" s="1997">
        <f t="shared" si="0"/>
        <v>0</v>
      </c>
      <c r="M27" s="1997">
        <f t="shared" si="0"/>
        <v>0</v>
      </c>
      <c r="N27" s="1997">
        <f t="shared" si="0"/>
        <v>0</v>
      </c>
      <c r="O27" s="1997">
        <f t="shared" si="0"/>
        <v>0</v>
      </c>
      <c r="P27" s="1998">
        <f>E27+F27+G27+H27+I27+J27+K27+L27+M27+N27+O27</f>
        <v>3</v>
      </c>
      <c r="Q27" s="1440"/>
      <c r="R27" s="1441"/>
      <c r="S27" s="1430"/>
      <c r="T27" s="1424"/>
      <c r="U27" s="1944"/>
      <c r="V27" s="4452" t="str">
        <f>IF(('الصفحة 1'!$Q$14&gt;0),((IF((P27&gt;'الصفحة 14'!$K$23),"العدد غيرمطابق",IF((P27&lt;='الصفحة 14'!$K$23)," ")))),"")</f>
        <v xml:space="preserve"> </v>
      </c>
      <c r="W27" s="4453"/>
      <c r="X27" s="3097"/>
      <c r="Y27" s="3052"/>
      <c r="Z27" s="1420"/>
    </row>
    <row r="28" spans="1:26" ht="12" customHeight="1">
      <c r="A28" s="1418"/>
      <c r="B28" s="1431"/>
      <c r="C28" s="1442"/>
      <c r="D28" s="2430" t="s">
        <v>672</v>
      </c>
      <c r="E28" s="1996">
        <f t="shared" ref="E28:O28" si="1">(E13+E16+E19+E22+E25)</f>
        <v>1</v>
      </c>
      <c r="F28" s="1996">
        <f t="shared" si="1"/>
        <v>0</v>
      </c>
      <c r="G28" s="1996">
        <f t="shared" si="1"/>
        <v>0</v>
      </c>
      <c r="H28" s="1996">
        <f t="shared" si="1"/>
        <v>0</v>
      </c>
      <c r="I28" s="1996">
        <f t="shared" si="1"/>
        <v>0</v>
      </c>
      <c r="J28" s="1996">
        <f t="shared" si="1"/>
        <v>1</v>
      </c>
      <c r="K28" s="1996">
        <f t="shared" si="1"/>
        <v>0</v>
      </c>
      <c r="L28" s="1996">
        <f t="shared" si="1"/>
        <v>0</v>
      </c>
      <c r="M28" s="1996">
        <f t="shared" si="1"/>
        <v>0</v>
      </c>
      <c r="N28" s="1996">
        <f t="shared" si="1"/>
        <v>0</v>
      </c>
      <c r="O28" s="1996">
        <f t="shared" si="1"/>
        <v>0</v>
      </c>
      <c r="P28" s="1998">
        <f>E28+F28+G28+H28+I28+J28+K28+L28+M28+N28+O28</f>
        <v>2</v>
      </c>
      <c r="Q28" s="1440"/>
      <c r="R28" s="144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1440"/>
      <c r="R29" s="144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64"/>
      <c r="W31" s="4464"/>
      <c r="X31" s="3052"/>
      <c r="Y31" s="3052"/>
      <c r="Z31" s="1420"/>
    </row>
    <row r="32" spans="1:26" ht="11.1" customHeight="1">
      <c r="A32" s="1418"/>
      <c r="B32" s="1431"/>
      <c r="C32" s="1442"/>
      <c r="D32" s="2437" t="s">
        <v>1172</v>
      </c>
      <c r="E32" s="2000"/>
      <c r="F32" s="2000"/>
      <c r="G32" s="2000"/>
      <c r="H32" s="2000"/>
      <c r="I32" s="2000"/>
      <c r="J32" s="2000"/>
      <c r="K32" s="2000"/>
      <c r="L32" s="2000"/>
      <c r="M32" s="2000"/>
      <c r="N32" s="2000"/>
      <c r="O32" s="2000"/>
      <c r="P32" s="2403" t="s">
        <v>1173</v>
      </c>
      <c r="Q32" s="1440"/>
      <c r="R32" s="1441"/>
      <c r="S32" s="1430"/>
      <c r="T32" s="1424"/>
      <c r="U32" s="1944"/>
      <c r="V32" s="2177"/>
      <c r="W32" s="1966"/>
      <c r="X32" s="3052"/>
      <c r="Y32" s="3052"/>
      <c r="Z32" s="1420"/>
    </row>
    <row r="33" spans="1:26" ht="12.9" customHeight="1">
      <c r="A33" s="1418"/>
      <c r="B33" s="1431"/>
      <c r="C33" s="1442"/>
      <c r="D33" s="2430" t="s">
        <v>20</v>
      </c>
      <c r="E33" s="2265"/>
      <c r="F33" s="1462"/>
      <c r="G33" s="1462"/>
      <c r="H33" s="1462"/>
      <c r="I33" s="1462"/>
      <c r="J33" s="1462"/>
      <c r="K33" s="1462"/>
      <c r="L33" s="1462"/>
      <c r="M33" s="1462"/>
      <c r="N33" s="1462"/>
      <c r="O33" s="1462"/>
      <c r="P33" s="1998">
        <f>E33+F33+G33+H33+I33+J33+K33+L33+M33+N33+O33</f>
        <v>0</v>
      </c>
      <c r="Q33" s="1440"/>
      <c r="R33" s="1441"/>
      <c r="S33" s="1430"/>
      <c r="T33" s="1424"/>
      <c r="U33" s="1944"/>
      <c r="V33" s="4464"/>
      <c r="W33" s="4464"/>
      <c r="X33" s="3052"/>
      <c r="Y33" s="3052"/>
      <c r="Z33" s="1420"/>
    </row>
    <row r="34" spans="1:26" ht="12" customHeight="1">
      <c r="A34" s="1418"/>
      <c r="B34" s="1431"/>
      <c r="C34" s="1442"/>
      <c r="D34" s="2430" t="s">
        <v>672</v>
      </c>
      <c r="E34" s="2265"/>
      <c r="F34" s="2265"/>
      <c r="G34" s="2265"/>
      <c r="H34" s="2265"/>
      <c r="I34" s="2265"/>
      <c r="J34" s="2265"/>
      <c r="K34" s="2265"/>
      <c r="L34" s="2265"/>
      <c r="M34" s="2265"/>
      <c r="N34" s="2265"/>
      <c r="O34" s="2265"/>
      <c r="P34" s="1998">
        <f>E34+F34+G34+H34+I34+J34+K34+L34+M34+N34+O34</f>
        <v>0</v>
      </c>
      <c r="Q34" s="1440"/>
      <c r="R34" s="144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1440"/>
      <c r="R35" s="1441"/>
      <c r="S35" s="1430"/>
      <c r="T35" s="1424"/>
      <c r="U35" s="1944"/>
      <c r="V35" s="2176"/>
      <c r="W35" s="1966"/>
      <c r="X35" s="3052"/>
      <c r="Y35" s="3052"/>
      <c r="Z35" s="1420"/>
    </row>
    <row r="36" spans="1:26" ht="12.9" customHeight="1">
      <c r="A36" s="1418"/>
      <c r="B36" s="1431"/>
      <c r="C36" s="1442"/>
      <c r="D36" s="2430" t="s">
        <v>20</v>
      </c>
      <c r="E36" s="1996">
        <f>(E27+E33)</f>
        <v>1</v>
      </c>
      <c r="F36" s="1997">
        <f t="shared" ref="F36:O36" si="2">(F27+F33)</f>
        <v>0</v>
      </c>
      <c r="G36" s="1997">
        <f t="shared" si="2"/>
        <v>1</v>
      </c>
      <c r="H36" s="1997">
        <f t="shared" si="2"/>
        <v>0</v>
      </c>
      <c r="I36" s="1997">
        <f t="shared" si="2"/>
        <v>0</v>
      </c>
      <c r="J36" s="1997">
        <f t="shared" si="2"/>
        <v>1</v>
      </c>
      <c r="K36" s="1997">
        <f t="shared" si="2"/>
        <v>0</v>
      </c>
      <c r="L36" s="1997">
        <f t="shared" si="2"/>
        <v>0</v>
      </c>
      <c r="M36" s="1997">
        <f t="shared" si="2"/>
        <v>0</v>
      </c>
      <c r="N36" s="1997">
        <f t="shared" si="2"/>
        <v>0</v>
      </c>
      <c r="O36" s="1997">
        <f t="shared" si="2"/>
        <v>0</v>
      </c>
      <c r="P36" s="1998">
        <f>E36+F36+G36+H36+I36+J36+K36+L36+M36+N36+O36</f>
        <v>3</v>
      </c>
      <c r="Q36" s="1440"/>
      <c r="R36" s="1441"/>
      <c r="S36" s="1430"/>
      <c r="T36" s="1424"/>
      <c r="U36" s="1944"/>
      <c r="V36" s="4464"/>
      <c r="W36" s="4464"/>
      <c r="X36" s="3052"/>
      <c r="Y36" s="3052"/>
      <c r="Z36" s="1420"/>
    </row>
    <row r="37" spans="1:26" ht="12.9" customHeight="1">
      <c r="A37" s="1418"/>
      <c r="B37" s="1431"/>
      <c r="C37" s="1442"/>
      <c r="D37" s="2430" t="s">
        <v>672</v>
      </c>
      <c r="E37" s="1996">
        <f t="shared" ref="E37:O37" si="3">(E28+E34)</f>
        <v>1</v>
      </c>
      <c r="F37" s="1996">
        <f t="shared" si="3"/>
        <v>0</v>
      </c>
      <c r="G37" s="1996">
        <f t="shared" si="3"/>
        <v>0</v>
      </c>
      <c r="H37" s="1996">
        <f t="shared" si="3"/>
        <v>0</v>
      </c>
      <c r="I37" s="1996">
        <f t="shared" si="3"/>
        <v>0</v>
      </c>
      <c r="J37" s="1996">
        <f t="shared" si="3"/>
        <v>1</v>
      </c>
      <c r="K37" s="1996">
        <f t="shared" si="3"/>
        <v>0</v>
      </c>
      <c r="L37" s="1996">
        <f t="shared" si="3"/>
        <v>0</v>
      </c>
      <c r="M37" s="1996">
        <f t="shared" si="3"/>
        <v>0</v>
      </c>
      <c r="N37" s="1996">
        <f t="shared" si="3"/>
        <v>0</v>
      </c>
      <c r="O37" s="1996">
        <f t="shared" si="3"/>
        <v>0</v>
      </c>
      <c r="P37" s="1998">
        <f>E37+F37+G37+H37+I37+J37+K37+L37+M37+N37+O37</f>
        <v>2</v>
      </c>
      <c r="Q37" s="1440"/>
      <c r="R37" s="144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1440"/>
      <c r="R38" s="1441"/>
      <c r="S38" s="1430"/>
      <c r="T38" s="1424"/>
      <c r="U38" s="1944"/>
      <c r="V38" s="2038"/>
      <c r="W38" s="1966"/>
      <c r="X38" s="3052"/>
      <c r="Y38" s="3052"/>
      <c r="Z38" s="1420"/>
    </row>
    <row r="39" spans="1:26" ht="15" customHeight="1">
      <c r="A39" s="1418"/>
      <c r="B39" s="1431"/>
      <c r="C39" s="1442"/>
      <c r="D39" s="2441" t="s">
        <v>1139</v>
      </c>
      <c r="E39" s="2419"/>
      <c r="F39" s="2419"/>
      <c r="G39" s="2419"/>
      <c r="H39" s="2442" t="s">
        <v>1257</v>
      </c>
      <c r="I39" s="2420"/>
      <c r="J39" s="2420"/>
      <c r="K39" s="2420"/>
      <c r="L39" s="2419"/>
      <c r="M39" s="2419"/>
      <c r="N39" s="2419"/>
      <c r="O39" s="2419"/>
      <c r="P39" s="2443" t="s">
        <v>1202</v>
      </c>
      <c r="Q39" s="1440"/>
      <c r="R39" s="144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1440"/>
      <c r="R40" s="144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1440"/>
      <c r="R41" s="1441"/>
      <c r="S41" s="1430"/>
      <c r="T41" s="1424"/>
      <c r="U41" s="1944"/>
      <c r="V41" s="2179" t="s">
        <v>1085</v>
      </c>
      <c r="W41" s="1966"/>
      <c r="X41" s="2037"/>
      <c r="Y41" s="2037"/>
      <c r="Z41" s="1420"/>
    </row>
    <row r="42" spans="1:26" ht="14.1" customHeight="1">
      <c r="A42" s="1418"/>
      <c r="B42" s="1431"/>
      <c r="C42" s="1442"/>
      <c r="D42" s="2430" t="s">
        <v>20</v>
      </c>
      <c r="E42" s="2265">
        <v>2</v>
      </c>
      <c r="F42" s="1462"/>
      <c r="G42" s="1462"/>
      <c r="H42" s="1462">
        <v>1</v>
      </c>
      <c r="I42" s="1462"/>
      <c r="J42" s="1462"/>
      <c r="K42" s="1462"/>
      <c r="L42" s="1462"/>
      <c r="M42" s="2453">
        <f>E42+F42+G42+H42+I42+J42+K42+L42</f>
        <v>3</v>
      </c>
      <c r="N42" s="2452"/>
      <c r="O42" s="2452"/>
      <c r="P42" s="2452"/>
      <c r="Q42" s="1440"/>
      <c r="R42" s="1441"/>
      <c r="S42" s="1430"/>
      <c r="T42" s="1424"/>
      <c r="U42" s="1944"/>
      <c r="V42" s="4452" t="str">
        <f>IF(('الصفحة 1'!$Q$14&gt;0),((IF((M42&gt;'الصفحة 14'!$K$23),"العدد غيرمطابق",IF((M42&lt;='الصفحة 14'!$K$23)," ")))),"")</f>
        <v xml:space="preserve"> </v>
      </c>
      <c r="W42" s="4453"/>
      <c r="X42" s="1975" t="str">
        <f>IF(('الصفحة 1'!$Q$14&gt;0),((IF((M42&lt;&gt;P27),"العدد غيرمطابق",IF((M42=P27)," ")))),"")</f>
        <v xml:space="preserve"> </v>
      </c>
      <c r="Y42" s="2037"/>
      <c r="Z42" s="1420"/>
    </row>
    <row r="43" spans="1:26" ht="14.1" customHeight="1">
      <c r="A43" s="1418"/>
      <c r="B43" s="1431"/>
      <c r="C43" s="1442"/>
      <c r="D43" s="2430" t="s">
        <v>672</v>
      </c>
      <c r="E43" s="2265">
        <v>2</v>
      </c>
      <c r="F43" s="2265"/>
      <c r="G43" s="2265"/>
      <c r="H43" s="2265"/>
      <c r="I43" s="2265"/>
      <c r="J43" s="2265"/>
      <c r="K43" s="2265"/>
      <c r="L43" s="2265"/>
      <c r="M43" s="2453">
        <f>E43+F43+G43+H43+I43+J43+K43+L43</f>
        <v>2</v>
      </c>
      <c r="N43" s="2452"/>
      <c r="O43" s="2452"/>
      <c r="P43" s="2452"/>
      <c r="Q43" s="1440"/>
      <c r="R43" s="1441"/>
      <c r="S43" s="1430"/>
      <c r="T43" s="1424"/>
      <c r="U43" s="1944"/>
      <c r="V43" s="4452" t="str">
        <f>IF(('الصفحة 1'!$Q$14&gt;0),((IF((M43&gt;'الصفحة 14'!$K$23),"العدد غيرمطابق",IF((M43&lt;='الصفحة 14'!$K$23)," ")))),"")</f>
        <v xml:space="preserve"> </v>
      </c>
      <c r="W43" s="4453"/>
      <c r="X43" s="1975" t="str">
        <f>IF(('الصفحة 1'!$Q$14&gt;0),((IF((M43&lt;&gt;P28),"العدد غيرمطابق",IF((M43=P28)," ")))),"")</f>
        <v xml:space="preserve"> </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1440"/>
      <c r="R44" s="144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1440"/>
      <c r="R45" s="1441"/>
      <c r="S45" s="1430"/>
      <c r="T45" s="1424"/>
      <c r="U45" s="1944"/>
      <c r="V45" s="2038"/>
      <c r="W45" s="1966"/>
      <c r="X45" s="2037"/>
      <c r="Y45" s="2037"/>
      <c r="Z45" s="1420"/>
    </row>
    <row r="46" spans="1:26" ht="15" customHeight="1">
      <c r="A46" s="1418"/>
      <c r="B46" s="1431"/>
      <c r="C46" s="1442"/>
      <c r="D46" s="2441" t="s">
        <v>1140</v>
      </c>
      <c r="E46" s="2457"/>
      <c r="F46" s="2457"/>
      <c r="G46" s="2457"/>
      <c r="H46" s="2442" t="s">
        <v>1257</v>
      </c>
      <c r="I46" s="2458"/>
      <c r="J46" s="2458"/>
      <c r="K46" s="2458"/>
      <c r="L46" s="2457"/>
      <c r="M46" s="2457"/>
      <c r="N46" s="2457"/>
      <c r="O46" s="2457"/>
      <c r="P46" s="2459" t="s">
        <v>1141</v>
      </c>
      <c r="Q46" s="1440"/>
      <c r="R46" s="144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1440"/>
      <c r="R47" s="144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1440"/>
      <c r="R48" s="144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1440"/>
      <c r="R49" s="1441"/>
      <c r="S49" s="1430"/>
      <c r="T49" s="1424"/>
      <c r="U49" s="1944"/>
      <c r="V49" s="4452" t="str">
        <f>IF(('الصفحة 1'!$Q$14&gt;0),((IF((O49&gt;'الصفحة 14'!$K$23),"العدد غيرمطابق",IF((O49&lt;='الصفحة 14'!$K$23)," ")))),"")</f>
        <v xml:space="preserve"> </v>
      </c>
      <c r="W49" s="4453"/>
      <c r="X49" s="1975" t="str">
        <f>IF(('الصفحة 1'!$Q$14&gt;0),((IF((O49&lt;&gt;P27),"العدد غيرمطابق",IF((O49=P27)," ")))),"")</f>
        <v>العدد غيرمطابق</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1440"/>
      <c r="R50" s="1441"/>
      <c r="S50" s="1430"/>
      <c r="T50" s="1424"/>
      <c r="U50" s="1944"/>
      <c r="V50" s="4452" t="str">
        <f>IF(('الصفحة 1'!$Q$14&gt;0),((IF((O50&gt;'الصفحة 14'!$K$23),"العدد غيرمطابق",IF((O50&lt;='الصفحة 14'!$K$23)," ")))),"")</f>
        <v xml:space="preserve"> </v>
      </c>
      <c r="W50" s="4453"/>
      <c r="X50" s="1975" t="str">
        <f>IF(('الصفحة 1'!$Q$14&gt;0),((IF((O50&lt;&gt;P28),"العدد غيرمطابق",IF((O50=P28)," ")))),"")</f>
        <v>العدد غيرمطابق</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21</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5:W15"/>
    <mergeCell ref="V2:X6"/>
    <mergeCell ref="V10:W10"/>
    <mergeCell ref="V12:W12"/>
    <mergeCell ref="V13:W13"/>
    <mergeCell ref="V8:W8"/>
    <mergeCell ref="V33:W33"/>
    <mergeCell ref="V16:W16"/>
    <mergeCell ref="V18:W18"/>
    <mergeCell ref="V19:W19"/>
    <mergeCell ref="V21:W21"/>
    <mergeCell ref="V22:W22"/>
    <mergeCell ref="V24:W24"/>
    <mergeCell ref="V25:W25"/>
    <mergeCell ref="V27:W27"/>
    <mergeCell ref="V28:W28"/>
    <mergeCell ref="V30:W30"/>
    <mergeCell ref="V31:W31"/>
    <mergeCell ref="V34:W34"/>
    <mergeCell ref="V36:W36"/>
    <mergeCell ref="V37:W37"/>
    <mergeCell ref="V42:W42"/>
    <mergeCell ref="V43:W43"/>
    <mergeCell ref="O48:P48"/>
    <mergeCell ref="E49:F49"/>
    <mergeCell ref="G49:H49"/>
    <mergeCell ref="I49:J49"/>
    <mergeCell ref="K49:L49"/>
    <mergeCell ref="M49:N49"/>
    <mergeCell ref="O49:P49"/>
    <mergeCell ref="E48:F48"/>
    <mergeCell ref="G48:H48"/>
    <mergeCell ref="I48:J48"/>
    <mergeCell ref="K48:L48"/>
    <mergeCell ref="M48:N48"/>
    <mergeCell ref="C53:R53"/>
    <mergeCell ref="V49:W49"/>
    <mergeCell ref="E50:F50"/>
    <mergeCell ref="G50:H50"/>
    <mergeCell ref="I50:J50"/>
    <mergeCell ref="K50:L50"/>
    <mergeCell ref="M50:N50"/>
    <mergeCell ref="O50:P50"/>
    <mergeCell ref="V50:W50"/>
  </mergeCells>
  <conditionalFormatting sqref="G49 I49:I50 K49:K50 M49:M50 O49:O50 V49:V50 X49:X50 E49 X42:X43 E42:P42 V42:V43 E27:P27 E12:P12 E15:P15 E18:P18 E21:P21 V12:V13 V15:V16 V18:V19 E30:P30 X12:X13 X15:X16 X18:X19 E24:P24 X21:X25 V21:V22 V24:V25 X27:X28 V27:V28 E33:P33 E36:P36">
    <cfRule type="cellIs" dxfId="12348" priority="1781" operator="equal">
      <formula>0</formula>
    </cfRule>
  </conditionalFormatting>
  <conditionalFormatting sqref="E13 E43:P44 V50 X50">
    <cfRule type="cellIs" dxfId="12347" priority="1779" operator="greaterThan">
      <formula>E12</formula>
    </cfRule>
    <cfRule type="cellIs" dxfId="12346" priority="1780" operator="equal">
      <formula>0</formula>
    </cfRule>
  </conditionalFormatting>
  <conditionalFormatting sqref="F13">
    <cfRule type="cellIs" dxfId="12345" priority="1777" operator="greaterThan">
      <formula>F12</formula>
    </cfRule>
    <cfRule type="cellIs" dxfId="12344" priority="1778" operator="equal">
      <formula>0</formula>
    </cfRule>
  </conditionalFormatting>
  <conditionalFormatting sqref="G13">
    <cfRule type="cellIs" dxfId="12343" priority="1775" operator="greaterThan">
      <formula>G12</formula>
    </cfRule>
    <cfRule type="cellIs" dxfId="12342" priority="1776" operator="equal">
      <formula>0</formula>
    </cfRule>
  </conditionalFormatting>
  <conditionalFormatting sqref="H13">
    <cfRule type="cellIs" dxfId="12341" priority="1773" operator="greaterThan">
      <formula>H12</formula>
    </cfRule>
    <cfRule type="cellIs" dxfId="12340" priority="1774" operator="equal">
      <formula>0</formula>
    </cfRule>
  </conditionalFormatting>
  <conditionalFormatting sqref="I13">
    <cfRule type="cellIs" dxfId="12339" priority="1771" operator="greaterThan">
      <formula>I12</formula>
    </cfRule>
    <cfRule type="cellIs" dxfId="12338" priority="1772" operator="equal">
      <formula>0</formula>
    </cfRule>
  </conditionalFormatting>
  <conditionalFormatting sqref="J13">
    <cfRule type="cellIs" dxfId="12337" priority="1769" operator="greaterThan">
      <formula>J12</formula>
    </cfRule>
    <cfRule type="cellIs" dxfId="12336" priority="1770" operator="equal">
      <formula>0</formula>
    </cfRule>
  </conditionalFormatting>
  <conditionalFormatting sqref="K13">
    <cfRule type="cellIs" dxfId="12335" priority="1767" operator="greaterThan">
      <formula>K12</formula>
    </cfRule>
    <cfRule type="cellIs" dxfId="12334" priority="1768" operator="equal">
      <formula>0</formula>
    </cfRule>
  </conditionalFormatting>
  <conditionalFormatting sqref="L13">
    <cfRule type="cellIs" dxfId="12333" priority="1765" operator="greaterThan">
      <formula>L12</formula>
    </cfRule>
    <cfRule type="cellIs" dxfId="12332" priority="1766" operator="equal">
      <formula>0</formula>
    </cfRule>
  </conditionalFormatting>
  <conditionalFormatting sqref="M13">
    <cfRule type="cellIs" dxfId="12331" priority="1763" operator="greaterThan">
      <formula>M12</formula>
    </cfRule>
    <cfRule type="cellIs" dxfId="12330" priority="1764" operator="equal">
      <formula>0</formula>
    </cfRule>
  </conditionalFormatting>
  <conditionalFormatting sqref="N13">
    <cfRule type="cellIs" dxfId="12329" priority="1761" operator="greaterThan">
      <formula>N12</formula>
    </cfRule>
    <cfRule type="cellIs" dxfId="12328" priority="1762" operator="equal">
      <formula>0</formula>
    </cfRule>
  </conditionalFormatting>
  <conditionalFormatting sqref="O13">
    <cfRule type="cellIs" dxfId="12327" priority="1759" operator="greaterThan">
      <formula>O12</formula>
    </cfRule>
    <cfRule type="cellIs" dxfId="12326" priority="1760" operator="equal">
      <formula>0</formula>
    </cfRule>
  </conditionalFormatting>
  <conditionalFormatting sqref="P13">
    <cfRule type="cellIs" dxfId="12325" priority="1757" operator="greaterThan">
      <formula>P12</formula>
    </cfRule>
    <cfRule type="cellIs" dxfId="12324" priority="1758" operator="equal">
      <formula>0</formula>
    </cfRule>
  </conditionalFormatting>
  <conditionalFormatting sqref="E16">
    <cfRule type="cellIs" dxfId="12323" priority="1755" operator="greaterThan">
      <formula>E15</formula>
    </cfRule>
    <cfRule type="cellIs" dxfId="12322" priority="1756" operator="equal">
      <formula>0</formula>
    </cfRule>
  </conditionalFormatting>
  <conditionalFormatting sqref="F16">
    <cfRule type="cellIs" dxfId="12321" priority="1753" operator="greaterThan">
      <formula>F15</formula>
    </cfRule>
    <cfRule type="cellIs" dxfId="12320" priority="1754" operator="equal">
      <formula>0</formula>
    </cfRule>
  </conditionalFormatting>
  <conditionalFormatting sqref="G16">
    <cfRule type="cellIs" dxfId="12319" priority="1751" operator="greaterThan">
      <formula>G15</formula>
    </cfRule>
    <cfRule type="cellIs" dxfId="12318" priority="1752" operator="equal">
      <formula>0</formula>
    </cfRule>
  </conditionalFormatting>
  <conditionalFormatting sqref="H16">
    <cfRule type="cellIs" dxfId="12317" priority="1749" operator="greaterThan">
      <formula>H15</formula>
    </cfRule>
    <cfRule type="cellIs" dxfId="12316" priority="1750" operator="equal">
      <formula>0</formula>
    </cfRule>
  </conditionalFormatting>
  <conditionalFormatting sqref="I16">
    <cfRule type="cellIs" dxfId="12315" priority="1747" operator="greaterThan">
      <formula>I15</formula>
    </cfRule>
    <cfRule type="cellIs" dxfId="12314" priority="1748" operator="equal">
      <formula>0</formula>
    </cfRule>
  </conditionalFormatting>
  <conditionalFormatting sqref="J16">
    <cfRule type="cellIs" dxfId="12313" priority="1745" operator="greaterThan">
      <formula>J15</formula>
    </cfRule>
    <cfRule type="cellIs" dxfId="12312" priority="1746" operator="equal">
      <formula>0</formula>
    </cfRule>
  </conditionalFormatting>
  <conditionalFormatting sqref="K16">
    <cfRule type="cellIs" dxfId="12311" priority="1743" operator="greaterThan">
      <formula>K15</formula>
    </cfRule>
    <cfRule type="cellIs" dxfId="12310" priority="1744" operator="equal">
      <formula>0</formula>
    </cfRule>
  </conditionalFormatting>
  <conditionalFormatting sqref="L16">
    <cfRule type="cellIs" dxfId="12309" priority="1741" operator="greaterThan">
      <formula>L15</formula>
    </cfRule>
    <cfRule type="cellIs" dxfId="12308" priority="1742" operator="equal">
      <formula>0</formula>
    </cfRule>
  </conditionalFormatting>
  <conditionalFormatting sqref="M16">
    <cfRule type="cellIs" dxfId="12307" priority="1739" operator="greaterThan">
      <formula>M15</formula>
    </cfRule>
    <cfRule type="cellIs" dxfId="12306" priority="1740" operator="equal">
      <formula>0</formula>
    </cfRule>
  </conditionalFormatting>
  <conditionalFormatting sqref="N16">
    <cfRule type="cellIs" dxfId="12305" priority="1737" operator="greaterThan">
      <formula>N15</formula>
    </cfRule>
    <cfRule type="cellIs" dxfId="12304" priority="1738" operator="equal">
      <formula>0</formula>
    </cfRule>
  </conditionalFormatting>
  <conditionalFormatting sqref="O16">
    <cfRule type="cellIs" dxfId="12303" priority="1735" operator="greaterThan">
      <formula>O15</formula>
    </cfRule>
    <cfRule type="cellIs" dxfId="12302" priority="1736" operator="equal">
      <formula>0</formula>
    </cfRule>
  </conditionalFormatting>
  <conditionalFormatting sqref="P16">
    <cfRule type="cellIs" dxfId="12301" priority="1733" operator="greaterThan">
      <formula>P15</formula>
    </cfRule>
    <cfRule type="cellIs" dxfId="12300" priority="1734" operator="equal">
      <formula>0</formula>
    </cfRule>
  </conditionalFormatting>
  <conditionalFormatting sqref="E19">
    <cfRule type="cellIs" dxfId="12299" priority="1731" operator="greaterThan">
      <formula>E18</formula>
    </cfRule>
    <cfRule type="cellIs" dxfId="12298" priority="1732" operator="equal">
      <formula>0</formula>
    </cfRule>
  </conditionalFormatting>
  <conditionalFormatting sqref="F19">
    <cfRule type="cellIs" dxfId="12297" priority="1729" operator="greaterThan">
      <formula>F18</formula>
    </cfRule>
    <cfRule type="cellIs" dxfId="12296" priority="1730" operator="equal">
      <formula>0</formula>
    </cfRule>
  </conditionalFormatting>
  <conditionalFormatting sqref="G19">
    <cfRule type="cellIs" dxfId="12295" priority="1727" operator="greaterThan">
      <formula>G18</formula>
    </cfRule>
    <cfRule type="cellIs" dxfId="12294" priority="1728" operator="equal">
      <formula>0</formula>
    </cfRule>
  </conditionalFormatting>
  <conditionalFormatting sqref="H19">
    <cfRule type="cellIs" dxfId="12293" priority="1725" operator="greaterThan">
      <formula>H18</formula>
    </cfRule>
    <cfRule type="cellIs" dxfId="12292" priority="1726" operator="equal">
      <formula>0</formula>
    </cfRule>
  </conditionalFormatting>
  <conditionalFormatting sqref="I19">
    <cfRule type="cellIs" dxfId="12291" priority="1723" operator="greaterThan">
      <formula>I18</formula>
    </cfRule>
    <cfRule type="cellIs" dxfId="12290" priority="1724" operator="equal">
      <formula>0</formula>
    </cfRule>
  </conditionalFormatting>
  <conditionalFormatting sqref="J19">
    <cfRule type="cellIs" dxfId="12289" priority="1721" operator="greaterThan">
      <formula>J18</formula>
    </cfRule>
    <cfRule type="cellIs" dxfId="12288" priority="1722" operator="equal">
      <formula>0</formula>
    </cfRule>
  </conditionalFormatting>
  <conditionalFormatting sqref="K19">
    <cfRule type="cellIs" dxfId="12287" priority="1719" operator="greaterThan">
      <formula>K18</formula>
    </cfRule>
    <cfRule type="cellIs" dxfId="12286" priority="1720" operator="equal">
      <formula>0</formula>
    </cfRule>
  </conditionalFormatting>
  <conditionalFormatting sqref="L19">
    <cfRule type="cellIs" dxfId="12285" priority="1717" operator="greaterThan">
      <formula>L18</formula>
    </cfRule>
    <cfRule type="cellIs" dxfId="12284" priority="1718" operator="equal">
      <formula>0</formula>
    </cfRule>
  </conditionalFormatting>
  <conditionalFormatting sqref="M19">
    <cfRule type="cellIs" dxfId="12283" priority="1715" operator="greaterThan">
      <formula>M18</formula>
    </cfRule>
    <cfRule type="cellIs" dxfId="12282" priority="1716" operator="equal">
      <formula>0</formula>
    </cfRule>
  </conditionalFormatting>
  <conditionalFormatting sqref="N19">
    <cfRule type="cellIs" dxfId="12281" priority="1713" operator="greaterThan">
      <formula>N18</formula>
    </cfRule>
    <cfRule type="cellIs" dxfId="12280" priority="1714" operator="equal">
      <formula>0</formula>
    </cfRule>
  </conditionalFormatting>
  <conditionalFormatting sqref="O19">
    <cfRule type="cellIs" dxfId="12279" priority="1711" operator="greaterThan">
      <formula>O18</formula>
    </cfRule>
    <cfRule type="cellIs" dxfId="12278" priority="1712" operator="equal">
      <formula>0</formula>
    </cfRule>
  </conditionalFormatting>
  <conditionalFormatting sqref="P19">
    <cfRule type="cellIs" dxfId="12277" priority="1709" operator="greaterThan">
      <formula>P18</formula>
    </cfRule>
    <cfRule type="cellIs" dxfId="12276" priority="1710" operator="equal">
      <formula>0</formula>
    </cfRule>
  </conditionalFormatting>
  <conditionalFormatting sqref="E22">
    <cfRule type="cellIs" dxfId="12275" priority="1707" operator="greaterThan">
      <formula>E21</formula>
    </cfRule>
    <cfRule type="cellIs" dxfId="12274" priority="1708" operator="equal">
      <formula>0</formula>
    </cfRule>
  </conditionalFormatting>
  <conditionalFormatting sqref="F22">
    <cfRule type="cellIs" dxfId="12273" priority="1705" operator="greaterThan">
      <formula>F21</formula>
    </cfRule>
    <cfRule type="cellIs" dxfId="12272" priority="1706" operator="equal">
      <formula>0</formula>
    </cfRule>
  </conditionalFormatting>
  <conditionalFormatting sqref="G22">
    <cfRule type="cellIs" dxfId="12271" priority="1703" operator="greaterThan">
      <formula>G21</formula>
    </cfRule>
    <cfRule type="cellIs" dxfId="12270" priority="1704" operator="equal">
      <formula>0</formula>
    </cfRule>
  </conditionalFormatting>
  <conditionalFormatting sqref="H22">
    <cfRule type="cellIs" dxfId="12269" priority="1701" operator="greaterThan">
      <formula>H21</formula>
    </cfRule>
    <cfRule type="cellIs" dxfId="12268" priority="1702" operator="equal">
      <formula>0</formula>
    </cfRule>
  </conditionalFormatting>
  <conditionalFormatting sqref="I22">
    <cfRule type="cellIs" dxfId="12267" priority="1699" operator="greaterThan">
      <formula>I21</formula>
    </cfRule>
    <cfRule type="cellIs" dxfId="12266" priority="1700" operator="equal">
      <formula>0</formula>
    </cfRule>
  </conditionalFormatting>
  <conditionalFormatting sqref="J22">
    <cfRule type="cellIs" dxfId="12265" priority="1697" operator="greaterThan">
      <formula>J21</formula>
    </cfRule>
    <cfRule type="cellIs" dxfId="12264" priority="1698" operator="equal">
      <formula>0</formula>
    </cfRule>
  </conditionalFormatting>
  <conditionalFormatting sqref="K22">
    <cfRule type="cellIs" dxfId="12263" priority="1695" operator="greaterThan">
      <formula>K21</formula>
    </cfRule>
    <cfRule type="cellIs" dxfId="12262" priority="1696" operator="equal">
      <formula>0</formula>
    </cfRule>
  </conditionalFormatting>
  <conditionalFormatting sqref="L22">
    <cfRule type="cellIs" dxfId="12261" priority="1693" operator="greaterThan">
      <formula>L21</formula>
    </cfRule>
    <cfRule type="cellIs" dxfId="12260" priority="1694" operator="equal">
      <formula>0</formula>
    </cfRule>
  </conditionalFormatting>
  <conditionalFormatting sqref="M22">
    <cfRule type="cellIs" dxfId="12259" priority="1691" operator="greaterThan">
      <formula>M21</formula>
    </cfRule>
    <cfRule type="cellIs" dxfId="12258" priority="1692" operator="equal">
      <formula>0</formula>
    </cfRule>
  </conditionalFormatting>
  <conditionalFormatting sqref="N22">
    <cfRule type="cellIs" dxfId="12257" priority="1689" operator="greaterThan">
      <formula>N21</formula>
    </cfRule>
    <cfRule type="cellIs" dxfId="12256" priority="1690" operator="equal">
      <formula>0</formula>
    </cfRule>
  </conditionalFormatting>
  <conditionalFormatting sqref="O22">
    <cfRule type="cellIs" dxfId="12255" priority="1687" operator="greaterThan">
      <formula>O21</formula>
    </cfRule>
    <cfRule type="cellIs" dxfId="12254" priority="1688" operator="equal">
      <formula>0</formula>
    </cfRule>
  </conditionalFormatting>
  <conditionalFormatting sqref="P22">
    <cfRule type="cellIs" dxfId="12253" priority="1685" operator="greaterThan">
      <formula>P21</formula>
    </cfRule>
    <cfRule type="cellIs" dxfId="12252" priority="1686" operator="equal">
      <formula>0</formula>
    </cfRule>
  </conditionalFormatting>
  <conditionalFormatting sqref="E28">
    <cfRule type="cellIs" dxfId="12251" priority="1683" operator="greaterThan">
      <formula>E27</formula>
    </cfRule>
    <cfRule type="cellIs" dxfId="12250" priority="1684" operator="equal">
      <formula>0</formula>
    </cfRule>
  </conditionalFormatting>
  <conditionalFormatting sqref="F28">
    <cfRule type="cellIs" dxfId="12249" priority="1681" operator="greaterThan">
      <formula>F27</formula>
    </cfRule>
    <cfRule type="cellIs" dxfId="12248" priority="1682" operator="equal">
      <formula>0</formula>
    </cfRule>
  </conditionalFormatting>
  <conditionalFormatting sqref="G28">
    <cfRule type="cellIs" dxfId="12247" priority="1679" operator="greaterThan">
      <formula>G27</formula>
    </cfRule>
    <cfRule type="cellIs" dxfId="12246" priority="1680" operator="equal">
      <formula>0</formula>
    </cfRule>
  </conditionalFormatting>
  <conditionalFormatting sqref="H28">
    <cfRule type="cellIs" dxfId="12245" priority="1677" operator="greaterThan">
      <formula>H27</formula>
    </cfRule>
    <cfRule type="cellIs" dxfId="12244" priority="1678" operator="equal">
      <formula>0</formula>
    </cfRule>
  </conditionalFormatting>
  <conditionalFormatting sqref="I28">
    <cfRule type="cellIs" dxfId="12243" priority="1675" operator="greaterThan">
      <formula>I27</formula>
    </cfRule>
    <cfRule type="cellIs" dxfId="12242" priority="1676" operator="equal">
      <formula>0</formula>
    </cfRule>
  </conditionalFormatting>
  <conditionalFormatting sqref="J28">
    <cfRule type="cellIs" dxfId="12241" priority="1673" operator="greaterThan">
      <formula>J27</formula>
    </cfRule>
    <cfRule type="cellIs" dxfId="12240" priority="1674" operator="equal">
      <formula>0</formula>
    </cfRule>
  </conditionalFormatting>
  <conditionalFormatting sqref="K28">
    <cfRule type="cellIs" dxfId="12239" priority="1671" operator="greaterThan">
      <formula>K27</formula>
    </cfRule>
    <cfRule type="cellIs" dxfId="12238" priority="1672" operator="equal">
      <formula>0</formula>
    </cfRule>
  </conditionalFormatting>
  <conditionalFormatting sqref="L28">
    <cfRule type="cellIs" dxfId="12237" priority="1669" operator="greaterThan">
      <formula>L27</formula>
    </cfRule>
    <cfRule type="cellIs" dxfId="12236" priority="1670" operator="equal">
      <formula>0</formula>
    </cfRule>
  </conditionalFormatting>
  <conditionalFormatting sqref="M28">
    <cfRule type="cellIs" dxfId="12235" priority="1667" operator="greaterThan">
      <formula>M27</formula>
    </cfRule>
    <cfRule type="cellIs" dxfId="12234" priority="1668" operator="equal">
      <formula>0</formula>
    </cfRule>
  </conditionalFormatting>
  <conditionalFormatting sqref="N28">
    <cfRule type="cellIs" dxfId="12233" priority="1665" operator="greaterThan">
      <formula>N27</formula>
    </cfRule>
    <cfRule type="cellIs" dxfId="12232" priority="1666" operator="equal">
      <formula>0</formula>
    </cfRule>
  </conditionalFormatting>
  <conditionalFormatting sqref="O28">
    <cfRule type="cellIs" dxfId="12231" priority="1663" operator="greaterThan">
      <formula>O27</formula>
    </cfRule>
    <cfRule type="cellIs" dxfId="12230" priority="1664" operator="equal">
      <formula>0</formula>
    </cfRule>
  </conditionalFormatting>
  <conditionalFormatting sqref="P28">
    <cfRule type="cellIs" dxfId="12229" priority="1661" operator="greaterThan">
      <formula>P27</formula>
    </cfRule>
    <cfRule type="cellIs" dxfId="12228" priority="1662" operator="equal">
      <formula>0</formula>
    </cfRule>
  </conditionalFormatting>
  <conditionalFormatting sqref="E47:P47">
    <cfRule type="cellIs" dxfId="12227" priority="1659" operator="greaterThan">
      <formula>E45</formula>
    </cfRule>
    <cfRule type="cellIs" dxfId="12226" priority="1660" operator="equal">
      <formula>0</formula>
    </cfRule>
  </conditionalFormatting>
  <conditionalFormatting sqref="G50 I50 K50 M50 O50 E50">
    <cfRule type="cellIs" dxfId="12225" priority="1657" operator="greaterThan">
      <formula>E49</formula>
    </cfRule>
    <cfRule type="cellIs" dxfId="12224" priority="1658" operator="equal">
      <formula>0</formula>
    </cfRule>
  </conditionalFormatting>
  <conditionalFormatting sqref="E51:P51">
    <cfRule type="cellIs" dxfId="12223" priority="1655" operator="greaterThan">
      <formula>E45</formula>
    </cfRule>
    <cfRule type="cellIs" dxfId="12222" priority="1656" operator="equal">
      <formula>0</formula>
    </cfRule>
  </conditionalFormatting>
  <conditionalFormatting sqref="V28">
    <cfRule type="cellIs" dxfId="12221" priority="1653" operator="greaterThan">
      <formula>V27</formula>
    </cfRule>
    <cfRule type="cellIs" dxfId="12220" priority="1654" operator="equal">
      <formula>0</formula>
    </cfRule>
  </conditionalFormatting>
  <conditionalFormatting sqref="V43">
    <cfRule type="cellIs" dxfId="12219" priority="1651" operator="greaterThan">
      <formula>V42</formula>
    </cfRule>
    <cfRule type="cellIs" dxfId="12218" priority="1652" operator="equal">
      <formula>0</formula>
    </cfRule>
  </conditionalFormatting>
  <conditionalFormatting sqref="X43">
    <cfRule type="cellIs" dxfId="12217" priority="1649" operator="greaterThan">
      <formula>X42</formula>
    </cfRule>
    <cfRule type="cellIs" dxfId="12216" priority="1650" operator="equal">
      <formula>0</formula>
    </cfRule>
  </conditionalFormatting>
  <conditionalFormatting sqref="V27">
    <cfRule type="cellIs" dxfId="12215" priority="1647" operator="greaterThan">
      <formula>V26</formula>
    </cfRule>
    <cfRule type="cellIs" dxfId="12214" priority="1648" operator="equal">
      <formula>0</formula>
    </cfRule>
  </conditionalFormatting>
  <conditionalFormatting sqref="E51:N51">
    <cfRule type="cellIs" dxfId="12213" priority="1645" operator="greaterThan">
      <formula>G50</formula>
    </cfRule>
    <cfRule type="cellIs" dxfId="12212" priority="1646" operator="equal">
      <formula>0</formula>
    </cfRule>
  </conditionalFormatting>
  <conditionalFormatting sqref="O51:P51">
    <cfRule type="cellIs" dxfId="12211" priority="1643" operator="greaterThan">
      <formula>#REF!</formula>
    </cfRule>
    <cfRule type="cellIs" dxfId="12210" priority="1644" operator="equal">
      <formula>0</formula>
    </cfRule>
  </conditionalFormatting>
  <conditionalFormatting sqref="V13">
    <cfRule type="cellIs" dxfId="12209" priority="1641" operator="greaterThan">
      <formula>V12</formula>
    </cfRule>
    <cfRule type="cellIs" dxfId="12208" priority="1642" operator="equal">
      <formula>0</formula>
    </cfRule>
  </conditionalFormatting>
  <conditionalFormatting sqref="V12">
    <cfRule type="cellIs" dxfId="12207" priority="1639" operator="greaterThan">
      <formula>V11</formula>
    </cfRule>
    <cfRule type="cellIs" dxfId="12206" priority="1640" operator="equal">
      <formula>0</formula>
    </cfRule>
  </conditionalFormatting>
  <conditionalFormatting sqref="V16">
    <cfRule type="cellIs" dxfId="12205" priority="1637" operator="greaterThan">
      <formula>V15</formula>
    </cfRule>
    <cfRule type="cellIs" dxfId="12204" priority="1638" operator="equal">
      <formula>0</formula>
    </cfRule>
  </conditionalFormatting>
  <conditionalFormatting sqref="V15">
    <cfRule type="cellIs" dxfId="12203" priority="1635" operator="greaterThan">
      <formula>V14</formula>
    </cfRule>
    <cfRule type="cellIs" dxfId="12202" priority="1636" operator="equal">
      <formula>0</formula>
    </cfRule>
  </conditionalFormatting>
  <conditionalFormatting sqref="V19">
    <cfRule type="cellIs" dxfId="12201" priority="1633" operator="greaterThan">
      <formula>V18</formula>
    </cfRule>
    <cfRule type="cellIs" dxfId="12200" priority="1634" operator="equal">
      <formula>0</formula>
    </cfRule>
  </conditionalFormatting>
  <conditionalFormatting sqref="V18">
    <cfRule type="cellIs" dxfId="12199" priority="1631" operator="greaterThan">
      <formula>V17</formula>
    </cfRule>
    <cfRule type="cellIs" dxfId="12198" priority="1632" operator="equal">
      <formula>0</formula>
    </cfRule>
  </conditionalFormatting>
  <conditionalFormatting sqref="V22 V24:V25">
    <cfRule type="cellIs" dxfId="12197" priority="1629" operator="greaterThan">
      <formula>V21</formula>
    </cfRule>
    <cfRule type="cellIs" dxfId="12196" priority="1630" operator="equal">
      <formula>0</formula>
    </cfRule>
  </conditionalFormatting>
  <conditionalFormatting sqref="V21">
    <cfRule type="cellIs" dxfId="12195" priority="1627" operator="greaterThan">
      <formula>V20</formula>
    </cfRule>
    <cfRule type="cellIs" dxfId="12194" priority="1628" operator="equal">
      <formula>0</formula>
    </cfRule>
  </conditionalFormatting>
  <conditionalFormatting sqref="E31">
    <cfRule type="cellIs" dxfId="12193" priority="1625" operator="greaterThan">
      <formula>E30</formula>
    </cfRule>
    <cfRule type="cellIs" dxfId="12192" priority="1626" operator="equal">
      <formula>0</formula>
    </cfRule>
  </conditionalFormatting>
  <conditionalFormatting sqref="F31">
    <cfRule type="cellIs" dxfId="12191" priority="1623" operator="greaterThan">
      <formula>F30</formula>
    </cfRule>
    <cfRule type="cellIs" dxfId="12190" priority="1624" operator="equal">
      <formula>0</formula>
    </cfRule>
  </conditionalFormatting>
  <conditionalFormatting sqref="G31">
    <cfRule type="cellIs" dxfId="12189" priority="1621" operator="greaterThan">
      <formula>G30</formula>
    </cfRule>
    <cfRule type="cellIs" dxfId="12188" priority="1622" operator="equal">
      <formula>0</formula>
    </cfRule>
  </conditionalFormatting>
  <conditionalFormatting sqref="H31">
    <cfRule type="cellIs" dxfId="12187" priority="1619" operator="greaterThan">
      <formula>H30</formula>
    </cfRule>
    <cfRule type="cellIs" dxfId="12186" priority="1620" operator="equal">
      <formula>0</formula>
    </cfRule>
  </conditionalFormatting>
  <conditionalFormatting sqref="I31">
    <cfRule type="cellIs" dxfId="12185" priority="1617" operator="greaterThan">
      <formula>I30</formula>
    </cfRule>
    <cfRule type="cellIs" dxfId="12184" priority="1618" operator="equal">
      <formula>0</formula>
    </cfRule>
  </conditionalFormatting>
  <conditionalFormatting sqref="J31">
    <cfRule type="cellIs" dxfId="12183" priority="1615" operator="greaterThan">
      <formula>J30</formula>
    </cfRule>
    <cfRule type="cellIs" dxfId="12182" priority="1616" operator="equal">
      <formula>0</formula>
    </cfRule>
  </conditionalFormatting>
  <conditionalFormatting sqref="K31">
    <cfRule type="cellIs" dxfId="12181" priority="1613" operator="greaterThan">
      <formula>K30</formula>
    </cfRule>
    <cfRule type="cellIs" dxfId="12180" priority="1614" operator="equal">
      <formula>0</formula>
    </cfRule>
  </conditionalFormatting>
  <conditionalFormatting sqref="L31">
    <cfRule type="cellIs" dxfId="12179" priority="1611" operator="greaterThan">
      <formula>L30</formula>
    </cfRule>
    <cfRule type="cellIs" dxfId="12178" priority="1612" operator="equal">
      <formula>0</formula>
    </cfRule>
  </conditionalFormatting>
  <conditionalFormatting sqref="M31">
    <cfRule type="cellIs" dxfId="12177" priority="1609" operator="greaterThan">
      <formula>M30</formula>
    </cfRule>
    <cfRule type="cellIs" dxfId="12176" priority="1610" operator="equal">
      <formula>0</formula>
    </cfRule>
  </conditionalFormatting>
  <conditionalFormatting sqref="N31">
    <cfRule type="cellIs" dxfId="12175" priority="1607" operator="greaterThan">
      <formula>N30</formula>
    </cfRule>
    <cfRule type="cellIs" dxfId="12174" priority="1608" operator="equal">
      <formula>0</formula>
    </cfRule>
  </conditionalFormatting>
  <conditionalFormatting sqref="O31">
    <cfRule type="cellIs" dxfId="12173" priority="1605" operator="greaterThan">
      <formula>O30</formula>
    </cfRule>
    <cfRule type="cellIs" dxfId="12172" priority="1606" operator="equal">
      <formula>0</formula>
    </cfRule>
  </conditionalFormatting>
  <conditionalFormatting sqref="P31">
    <cfRule type="cellIs" dxfId="12171" priority="1603" operator="greaterThan">
      <formula>P30</formula>
    </cfRule>
    <cfRule type="cellIs" dxfId="12170" priority="1604" operator="equal">
      <formula>0</formula>
    </cfRule>
  </conditionalFormatting>
  <conditionalFormatting sqref="E25">
    <cfRule type="cellIs" dxfId="12169" priority="1601" operator="greaterThan">
      <formula>E24</formula>
    </cfRule>
    <cfRule type="cellIs" dxfId="12168" priority="1602" operator="equal">
      <formula>0</formula>
    </cfRule>
  </conditionalFormatting>
  <conditionalFormatting sqref="F25">
    <cfRule type="cellIs" dxfId="12167" priority="1599" operator="greaterThan">
      <formula>F24</formula>
    </cfRule>
    <cfRule type="cellIs" dxfId="12166" priority="1600" operator="equal">
      <formula>0</formula>
    </cfRule>
  </conditionalFormatting>
  <conditionalFormatting sqref="G25">
    <cfRule type="cellIs" dxfId="12165" priority="1597" operator="greaterThan">
      <formula>G24</formula>
    </cfRule>
    <cfRule type="cellIs" dxfId="12164" priority="1598" operator="equal">
      <formula>0</formula>
    </cfRule>
  </conditionalFormatting>
  <conditionalFormatting sqref="H25">
    <cfRule type="cellIs" dxfId="12163" priority="1595" operator="greaterThan">
      <formula>H24</formula>
    </cfRule>
    <cfRule type="cellIs" dxfId="12162" priority="1596" operator="equal">
      <formula>0</formula>
    </cfRule>
  </conditionalFormatting>
  <conditionalFormatting sqref="I25">
    <cfRule type="cellIs" dxfId="12161" priority="1593" operator="greaterThan">
      <formula>I24</formula>
    </cfRule>
    <cfRule type="cellIs" dxfId="12160" priority="1594" operator="equal">
      <formula>0</formula>
    </cfRule>
  </conditionalFormatting>
  <conditionalFormatting sqref="J25">
    <cfRule type="cellIs" dxfId="12159" priority="1591" operator="greaterThan">
      <formula>J24</formula>
    </cfRule>
    <cfRule type="cellIs" dxfId="12158" priority="1592" operator="equal">
      <formula>0</formula>
    </cfRule>
  </conditionalFormatting>
  <conditionalFormatting sqref="K25">
    <cfRule type="cellIs" dxfId="12157" priority="1589" operator="greaterThan">
      <formula>K24</formula>
    </cfRule>
    <cfRule type="cellIs" dxfId="12156" priority="1590" operator="equal">
      <formula>0</formula>
    </cfRule>
  </conditionalFormatting>
  <conditionalFormatting sqref="L25">
    <cfRule type="cellIs" dxfId="12155" priority="1587" operator="greaterThan">
      <formula>L24</formula>
    </cfRule>
    <cfRule type="cellIs" dxfId="12154" priority="1588" operator="equal">
      <formula>0</formula>
    </cfRule>
  </conditionalFormatting>
  <conditionalFormatting sqref="M25">
    <cfRule type="cellIs" dxfId="12153" priority="1585" operator="greaterThan">
      <formula>M24</formula>
    </cfRule>
    <cfRule type="cellIs" dxfId="12152" priority="1586" operator="equal">
      <formula>0</formula>
    </cfRule>
  </conditionalFormatting>
  <conditionalFormatting sqref="N25">
    <cfRule type="cellIs" dxfId="12151" priority="1583" operator="greaterThan">
      <formula>N24</formula>
    </cfRule>
    <cfRule type="cellIs" dxfId="12150" priority="1584" operator="equal">
      <formula>0</formula>
    </cfRule>
  </conditionalFormatting>
  <conditionalFormatting sqref="O25">
    <cfRule type="cellIs" dxfId="12149" priority="1581" operator="greaterThan">
      <formula>O24</formula>
    </cfRule>
    <cfRule type="cellIs" dxfId="12148" priority="1582" operator="equal">
      <formula>0</formula>
    </cfRule>
  </conditionalFormatting>
  <conditionalFormatting sqref="P25">
    <cfRule type="cellIs" dxfId="12147" priority="1579" operator="greaterThan">
      <formula>P24</formula>
    </cfRule>
    <cfRule type="cellIs" dxfId="12146" priority="1580" operator="equal">
      <formula>0</formula>
    </cfRule>
  </conditionalFormatting>
  <conditionalFormatting sqref="E45:P45 E46:O46">
    <cfRule type="cellIs" dxfId="12145" priority="1577" operator="greaterThan">
      <formula>#REF!</formula>
    </cfRule>
    <cfRule type="cellIs" dxfId="12144" priority="1578" operator="equal">
      <formula>0</formula>
    </cfRule>
  </conditionalFormatting>
  <conditionalFormatting sqref="E34">
    <cfRule type="cellIs" dxfId="12143" priority="1574" operator="greaterThan">
      <formula>E33</formula>
    </cfRule>
    <cfRule type="cellIs" dxfId="12142" priority="1575" operator="equal">
      <formula>0</formula>
    </cfRule>
  </conditionalFormatting>
  <conditionalFormatting sqref="F34">
    <cfRule type="cellIs" dxfId="12141" priority="1572" operator="greaterThan">
      <formula>F33</formula>
    </cfRule>
    <cfRule type="cellIs" dxfId="12140" priority="1573" operator="equal">
      <formula>0</formula>
    </cfRule>
  </conditionalFormatting>
  <conditionalFormatting sqref="G34">
    <cfRule type="cellIs" dxfId="12139" priority="1570" operator="greaterThan">
      <formula>G33</formula>
    </cfRule>
    <cfRule type="cellIs" dxfId="12138" priority="1571" operator="equal">
      <formula>0</formula>
    </cfRule>
  </conditionalFormatting>
  <conditionalFormatting sqref="H34">
    <cfRule type="cellIs" dxfId="12137" priority="1568" operator="greaterThan">
      <formula>H33</formula>
    </cfRule>
    <cfRule type="cellIs" dxfId="12136" priority="1569" operator="equal">
      <formula>0</formula>
    </cfRule>
  </conditionalFormatting>
  <conditionalFormatting sqref="I34">
    <cfRule type="cellIs" dxfId="12135" priority="1566" operator="greaterThan">
      <formula>I33</formula>
    </cfRule>
    <cfRule type="cellIs" dxfId="12134" priority="1567" operator="equal">
      <formula>0</formula>
    </cfRule>
  </conditionalFormatting>
  <conditionalFormatting sqref="J34">
    <cfRule type="cellIs" dxfId="12133" priority="1564" operator="greaterThan">
      <formula>J33</formula>
    </cfRule>
    <cfRule type="cellIs" dxfId="12132" priority="1565" operator="equal">
      <formula>0</formula>
    </cfRule>
  </conditionalFormatting>
  <conditionalFormatting sqref="K34">
    <cfRule type="cellIs" dxfId="12131" priority="1562" operator="greaterThan">
      <formula>K33</formula>
    </cfRule>
    <cfRule type="cellIs" dxfId="12130" priority="1563" operator="equal">
      <formula>0</formula>
    </cfRule>
  </conditionalFormatting>
  <conditionalFormatting sqref="L34">
    <cfRule type="cellIs" dxfId="12129" priority="1560" operator="greaterThan">
      <formula>L33</formula>
    </cfRule>
    <cfRule type="cellIs" dxfId="12128" priority="1561" operator="equal">
      <formula>0</formula>
    </cfRule>
  </conditionalFormatting>
  <conditionalFormatting sqref="M34">
    <cfRule type="cellIs" dxfId="12127" priority="1558" operator="greaterThan">
      <formula>M33</formula>
    </cfRule>
    <cfRule type="cellIs" dxfId="12126" priority="1559" operator="equal">
      <formula>0</formula>
    </cfRule>
  </conditionalFormatting>
  <conditionalFormatting sqref="N34">
    <cfRule type="cellIs" dxfId="12125" priority="1556" operator="greaterThan">
      <formula>N33</formula>
    </cfRule>
    <cfRule type="cellIs" dxfId="12124" priority="1557" operator="equal">
      <formula>0</formula>
    </cfRule>
  </conditionalFormatting>
  <conditionalFormatting sqref="O34">
    <cfRule type="cellIs" dxfId="12123" priority="1554" operator="greaterThan">
      <formula>O33</formula>
    </cfRule>
    <cfRule type="cellIs" dxfId="12122" priority="1555" operator="equal">
      <formula>0</formula>
    </cfRule>
  </conditionalFormatting>
  <conditionalFormatting sqref="P34">
    <cfRule type="cellIs" dxfId="12121" priority="1552" operator="greaterThan">
      <formula>P33</formula>
    </cfRule>
    <cfRule type="cellIs" dxfId="12120" priority="1553" operator="equal">
      <formula>0</formula>
    </cfRule>
  </conditionalFormatting>
  <conditionalFormatting sqref="E37">
    <cfRule type="cellIs" dxfId="12119" priority="1549" operator="greaterThan">
      <formula>E36</formula>
    </cfRule>
    <cfRule type="cellIs" dxfId="12118" priority="1550" operator="equal">
      <formula>0</formula>
    </cfRule>
  </conditionalFormatting>
  <conditionalFormatting sqref="F37">
    <cfRule type="cellIs" dxfId="12117" priority="1547" operator="greaterThan">
      <formula>F36</formula>
    </cfRule>
    <cfRule type="cellIs" dxfId="12116" priority="1548" operator="equal">
      <formula>0</formula>
    </cfRule>
  </conditionalFormatting>
  <conditionalFormatting sqref="G37">
    <cfRule type="cellIs" dxfId="12115" priority="1545" operator="greaterThan">
      <formula>G36</formula>
    </cfRule>
    <cfRule type="cellIs" dxfId="12114" priority="1546" operator="equal">
      <formula>0</formula>
    </cfRule>
  </conditionalFormatting>
  <conditionalFormatting sqref="H37">
    <cfRule type="cellIs" dxfId="12113" priority="1543" operator="greaterThan">
      <formula>H36</formula>
    </cfRule>
    <cfRule type="cellIs" dxfId="12112" priority="1544" operator="equal">
      <formula>0</formula>
    </cfRule>
  </conditionalFormatting>
  <conditionalFormatting sqref="I37">
    <cfRule type="cellIs" dxfId="12111" priority="1541" operator="greaterThan">
      <formula>I36</formula>
    </cfRule>
    <cfRule type="cellIs" dxfId="12110" priority="1542" operator="equal">
      <formula>0</formula>
    </cfRule>
  </conditionalFormatting>
  <conditionalFormatting sqref="J37">
    <cfRule type="cellIs" dxfId="12109" priority="1539" operator="greaterThan">
      <formula>J36</formula>
    </cfRule>
    <cfRule type="cellIs" dxfId="12108" priority="1540" operator="equal">
      <formula>0</formula>
    </cfRule>
  </conditionalFormatting>
  <conditionalFormatting sqref="K37">
    <cfRule type="cellIs" dxfId="12107" priority="1537" operator="greaterThan">
      <formula>K36</formula>
    </cfRule>
    <cfRule type="cellIs" dxfId="12106" priority="1538" operator="equal">
      <formula>0</formula>
    </cfRule>
  </conditionalFormatting>
  <conditionalFormatting sqref="L37">
    <cfRule type="cellIs" dxfId="12105" priority="1535" operator="greaterThan">
      <formula>L36</formula>
    </cfRule>
    <cfRule type="cellIs" dxfId="12104" priority="1536" operator="equal">
      <formula>0</formula>
    </cfRule>
  </conditionalFormatting>
  <conditionalFormatting sqref="M37">
    <cfRule type="cellIs" dxfId="12103" priority="1533" operator="greaterThan">
      <formula>M36</formula>
    </cfRule>
    <cfRule type="cellIs" dxfId="12102" priority="1534" operator="equal">
      <formula>0</formula>
    </cfRule>
  </conditionalFormatting>
  <conditionalFormatting sqref="N37">
    <cfRule type="cellIs" dxfId="12101" priority="1531" operator="greaterThan">
      <formula>N36</formula>
    </cfRule>
    <cfRule type="cellIs" dxfId="12100" priority="1532" operator="equal">
      <formula>0</formula>
    </cfRule>
  </conditionalFormatting>
  <conditionalFormatting sqref="O37">
    <cfRule type="cellIs" dxfId="12099" priority="1529" operator="greaterThan">
      <formula>O36</formula>
    </cfRule>
    <cfRule type="cellIs" dxfId="12098" priority="1530" operator="equal">
      <formula>0</formula>
    </cfRule>
  </conditionalFormatting>
  <conditionalFormatting sqref="P37">
    <cfRule type="cellIs" dxfId="12097" priority="1527" operator="greaterThan">
      <formula>P36</formula>
    </cfRule>
    <cfRule type="cellIs" dxfId="12096" priority="1528" operator="equal">
      <formula>0</formula>
    </cfRule>
  </conditionalFormatting>
  <conditionalFormatting sqref="V24">
    <cfRule type="cellIs" dxfId="12095" priority="1525" operator="greaterThan">
      <formula>V23</formula>
    </cfRule>
    <cfRule type="cellIs" dxfId="12094" priority="1526" operator="equal">
      <formula>0</formula>
    </cfRule>
  </conditionalFormatting>
  <conditionalFormatting sqref="V27:V28">
    <cfRule type="cellIs" dxfId="12093" priority="1523" operator="greaterThan">
      <formula>V26</formula>
    </cfRule>
    <cfRule type="cellIs" dxfId="12092" priority="1524" operator="equal">
      <formula>0</formula>
    </cfRule>
  </conditionalFormatting>
  <conditionalFormatting sqref="V27">
    <cfRule type="cellIs" dxfId="12091" priority="1521" operator="greaterThan">
      <formula>V26</formula>
    </cfRule>
    <cfRule type="cellIs" dxfId="12090" priority="1522" operator="equal">
      <formula>0</formula>
    </cfRule>
  </conditionalFormatting>
  <conditionalFormatting sqref="P42 P27 P12 P15 P18 P21 P30 P24">
    <cfRule type="cellIs" dxfId="12089" priority="1520" operator="equal">
      <formula>0</formula>
    </cfRule>
  </conditionalFormatting>
  <conditionalFormatting sqref="P43:P44">
    <cfRule type="cellIs" dxfId="12088" priority="1518" operator="greaterThan">
      <formula>P42</formula>
    </cfRule>
    <cfRule type="cellIs" dxfId="12087" priority="1519" operator="equal">
      <formula>0</formula>
    </cfRule>
  </conditionalFormatting>
  <conditionalFormatting sqref="P13">
    <cfRule type="cellIs" dxfId="12086" priority="1516" operator="greaterThan">
      <formula>P12</formula>
    </cfRule>
    <cfRule type="cellIs" dxfId="12085" priority="1517" operator="equal">
      <formula>0</formula>
    </cfRule>
  </conditionalFormatting>
  <conditionalFormatting sqref="P16">
    <cfRule type="cellIs" dxfId="12084" priority="1514" operator="greaterThan">
      <formula>P15</formula>
    </cfRule>
    <cfRule type="cellIs" dxfId="12083" priority="1515" operator="equal">
      <formula>0</formula>
    </cfRule>
  </conditionalFormatting>
  <conditionalFormatting sqref="P19">
    <cfRule type="cellIs" dxfId="12082" priority="1512" operator="greaterThan">
      <formula>P18</formula>
    </cfRule>
    <cfRule type="cellIs" dxfId="12081" priority="1513" operator="equal">
      <formula>0</formula>
    </cfRule>
  </conditionalFormatting>
  <conditionalFormatting sqref="P22">
    <cfRule type="cellIs" dxfId="12080" priority="1510" operator="greaterThan">
      <formula>P21</formula>
    </cfRule>
    <cfRule type="cellIs" dxfId="12079" priority="1511" operator="equal">
      <formula>0</formula>
    </cfRule>
  </conditionalFormatting>
  <conditionalFormatting sqref="P28">
    <cfRule type="cellIs" dxfId="12078" priority="1508" operator="greaterThan">
      <formula>P27</formula>
    </cfRule>
    <cfRule type="cellIs" dxfId="12077" priority="1509" operator="equal">
      <formula>0</formula>
    </cfRule>
  </conditionalFormatting>
  <conditionalFormatting sqref="P31">
    <cfRule type="cellIs" dxfId="12076" priority="1506" operator="greaterThan">
      <formula>P30</formula>
    </cfRule>
    <cfRule type="cellIs" dxfId="12075" priority="1507" operator="equal">
      <formula>0</formula>
    </cfRule>
  </conditionalFormatting>
  <conditionalFormatting sqref="P25">
    <cfRule type="cellIs" dxfId="12074" priority="1504" operator="greaterThan">
      <formula>P24</formula>
    </cfRule>
    <cfRule type="cellIs" dxfId="12073" priority="1505" operator="equal">
      <formula>0</formula>
    </cfRule>
  </conditionalFormatting>
  <conditionalFormatting sqref="P45">
    <cfRule type="cellIs" dxfId="12072" priority="1502" operator="greaterThan">
      <formula>#REF!</formula>
    </cfRule>
    <cfRule type="cellIs" dxfId="12071" priority="1503" operator="equal">
      <formula>0</formula>
    </cfRule>
  </conditionalFormatting>
  <conditionalFormatting sqref="P33">
    <cfRule type="cellIs" dxfId="12070" priority="1501" operator="equal">
      <formula>0</formula>
    </cfRule>
  </conditionalFormatting>
  <conditionalFormatting sqref="P34">
    <cfRule type="cellIs" dxfId="12069" priority="1499" operator="greaterThan">
      <formula>P33</formula>
    </cfRule>
    <cfRule type="cellIs" dxfId="12068" priority="1500" operator="equal">
      <formula>0</formula>
    </cfRule>
  </conditionalFormatting>
  <conditionalFormatting sqref="P36">
    <cfRule type="cellIs" dxfId="12067" priority="1498" operator="equal">
      <formula>0</formula>
    </cfRule>
  </conditionalFormatting>
  <conditionalFormatting sqref="P37">
    <cfRule type="cellIs" dxfId="12066" priority="1496" operator="greaterThan">
      <formula>P36</formula>
    </cfRule>
    <cfRule type="cellIs" dxfId="12065" priority="1497" operator="equal">
      <formula>0</formula>
    </cfRule>
  </conditionalFormatting>
  <conditionalFormatting sqref="E46:O46">
    <cfRule type="cellIs" dxfId="12064" priority="1494" operator="greaterThan">
      <formula>#REF!</formula>
    </cfRule>
    <cfRule type="cellIs" dxfId="12063" priority="1495" operator="equal">
      <formula>0</formula>
    </cfRule>
  </conditionalFormatting>
  <conditionalFormatting sqref="H42">
    <cfRule type="cellIs" dxfId="12062" priority="1493" operator="equal">
      <formula>0</formula>
    </cfRule>
  </conditionalFormatting>
  <conditionalFormatting sqref="H43:H44">
    <cfRule type="cellIs" dxfId="12061" priority="1491" operator="greaterThan">
      <formula>H42</formula>
    </cfRule>
    <cfRule type="cellIs" dxfId="12060" priority="1492" operator="equal">
      <formula>0</formula>
    </cfRule>
  </conditionalFormatting>
  <conditionalFormatting sqref="H45">
    <cfRule type="cellIs" dxfId="12059" priority="1489" operator="greaterThan">
      <formula>#REF!</formula>
    </cfRule>
    <cfRule type="cellIs" dxfId="12058" priority="1490" operator="equal">
      <formula>0</formula>
    </cfRule>
  </conditionalFormatting>
  <conditionalFormatting sqref="X49:X50 X42:X43 V42:V43 V12:V13 X12:X13 V15:V16 X15:X16 V18:V19 X18:X19 V21:V22 V24:V25 X21:X25 V27:V28 X27:X28 V49:V50">
    <cfRule type="cellIs" dxfId="12057" priority="1488" operator="equal">
      <formula>0</formula>
    </cfRule>
  </conditionalFormatting>
  <conditionalFormatting sqref="V50 X50">
    <cfRule type="cellIs" dxfId="12056" priority="1486" operator="greaterThan">
      <formula>V49</formula>
    </cfRule>
    <cfRule type="cellIs" dxfId="12055" priority="1487" operator="equal">
      <formula>0</formula>
    </cfRule>
  </conditionalFormatting>
  <conditionalFormatting sqref="V28">
    <cfRule type="cellIs" dxfId="12054" priority="1484" operator="greaterThan">
      <formula>V27</formula>
    </cfRule>
    <cfRule type="cellIs" dxfId="12053" priority="1485" operator="equal">
      <formula>0</formula>
    </cfRule>
  </conditionalFormatting>
  <conditionalFormatting sqref="V43">
    <cfRule type="cellIs" dxfId="12052" priority="1482" operator="greaterThan">
      <formula>V42</formula>
    </cfRule>
    <cfRule type="cellIs" dxfId="12051" priority="1483" operator="equal">
      <formula>0</formula>
    </cfRule>
  </conditionalFormatting>
  <conditionalFormatting sqref="X43">
    <cfRule type="cellIs" dxfId="12050" priority="1480" operator="greaterThan">
      <formula>X42</formula>
    </cfRule>
    <cfRule type="cellIs" dxfId="12049" priority="1481" operator="equal">
      <formula>0</formula>
    </cfRule>
  </conditionalFormatting>
  <conditionalFormatting sqref="V27">
    <cfRule type="cellIs" dxfId="12048" priority="1478" operator="greaterThan">
      <formula>V26</formula>
    </cfRule>
    <cfRule type="cellIs" dxfId="12047" priority="1479" operator="equal">
      <formula>0</formula>
    </cfRule>
  </conditionalFormatting>
  <conditionalFormatting sqref="V13">
    <cfRule type="cellIs" dxfId="12046" priority="1476" operator="greaterThan">
      <formula>V12</formula>
    </cfRule>
    <cfRule type="cellIs" dxfId="12045" priority="1477" operator="equal">
      <formula>0</formula>
    </cfRule>
  </conditionalFormatting>
  <conditionalFormatting sqref="V12">
    <cfRule type="cellIs" dxfId="12044" priority="1474" operator="greaterThan">
      <formula>V11</formula>
    </cfRule>
    <cfRule type="cellIs" dxfId="12043" priority="1475" operator="equal">
      <formula>0</formula>
    </cfRule>
  </conditionalFormatting>
  <conditionalFormatting sqref="V16">
    <cfRule type="cellIs" dxfId="12042" priority="1472" operator="greaterThan">
      <formula>V15</formula>
    </cfRule>
    <cfRule type="cellIs" dxfId="12041" priority="1473" operator="equal">
      <formula>0</formula>
    </cfRule>
  </conditionalFormatting>
  <conditionalFormatting sqref="V15">
    <cfRule type="cellIs" dxfId="12040" priority="1470" operator="greaterThan">
      <formula>V14</formula>
    </cfRule>
    <cfRule type="cellIs" dxfId="12039" priority="1471" operator="equal">
      <formula>0</formula>
    </cfRule>
  </conditionalFormatting>
  <conditionalFormatting sqref="V19">
    <cfRule type="cellIs" dxfId="12038" priority="1468" operator="greaterThan">
      <formula>V18</formula>
    </cfRule>
    <cfRule type="cellIs" dxfId="12037" priority="1469" operator="equal">
      <formula>0</formula>
    </cfRule>
  </conditionalFormatting>
  <conditionalFormatting sqref="V18">
    <cfRule type="cellIs" dxfId="12036" priority="1466" operator="greaterThan">
      <formula>V17</formula>
    </cfRule>
    <cfRule type="cellIs" dxfId="12035" priority="1467" operator="equal">
      <formula>0</formula>
    </cfRule>
  </conditionalFormatting>
  <conditionalFormatting sqref="V22 V24:V25">
    <cfRule type="cellIs" dxfId="12034" priority="1464" operator="greaterThan">
      <formula>V21</formula>
    </cfRule>
    <cfRule type="cellIs" dxfId="12033" priority="1465" operator="equal">
      <formula>0</formula>
    </cfRule>
  </conditionalFormatting>
  <conditionalFormatting sqref="V21">
    <cfRule type="cellIs" dxfId="12032" priority="1462" operator="greaterThan">
      <formula>V20</formula>
    </cfRule>
    <cfRule type="cellIs" dxfId="12031" priority="1463" operator="equal">
      <formula>0</formula>
    </cfRule>
  </conditionalFormatting>
  <conditionalFormatting sqref="V24">
    <cfRule type="cellIs" dxfId="12030" priority="1460" operator="greaterThan">
      <formula>V23</formula>
    </cfRule>
    <cfRule type="cellIs" dxfId="12029" priority="1461" operator="equal">
      <formula>0</formula>
    </cfRule>
  </conditionalFormatting>
  <conditionalFormatting sqref="V27:V28">
    <cfRule type="cellIs" dxfId="12028" priority="1458" operator="greaterThan">
      <formula>V26</formula>
    </cfRule>
    <cfRule type="cellIs" dxfId="12027" priority="1459" operator="equal">
      <formula>0</formula>
    </cfRule>
  </conditionalFormatting>
  <conditionalFormatting sqref="V27">
    <cfRule type="cellIs" dxfId="12026" priority="1456" operator="greaterThan">
      <formula>V26</formula>
    </cfRule>
    <cfRule type="cellIs" dxfId="12025" priority="1457" operator="equal">
      <formula>0</formula>
    </cfRule>
  </conditionalFormatting>
  <conditionalFormatting sqref="V16">
    <cfRule type="cellIs" dxfId="12024" priority="1454" operator="greaterThan">
      <formula>V15</formula>
    </cfRule>
    <cfRule type="cellIs" dxfId="12023" priority="1455" operator="equal">
      <formula>0</formula>
    </cfRule>
  </conditionalFormatting>
  <conditionalFormatting sqref="V15">
    <cfRule type="cellIs" dxfId="12022" priority="1452" operator="greaterThan">
      <formula>V14</formula>
    </cfRule>
    <cfRule type="cellIs" dxfId="12021" priority="1453" operator="equal">
      <formula>0</formula>
    </cfRule>
  </conditionalFormatting>
  <conditionalFormatting sqref="V19">
    <cfRule type="cellIs" dxfId="12020" priority="1450" operator="greaterThan">
      <formula>V18</formula>
    </cfRule>
    <cfRule type="cellIs" dxfId="12019" priority="1451" operator="equal">
      <formula>0</formula>
    </cfRule>
  </conditionalFormatting>
  <conditionalFormatting sqref="V18">
    <cfRule type="cellIs" dxfId="12018" priority="1448" operator="greaterThan">
      <formula>V17</formula>
    </cfRule>
    <cfRule type="cellIs" dxfId="12017" priority="1449" operator="equal">
      <formula>0</formula>
    </cfRule>
  </conditionalFormatting>
  <conditionalFormatting sqref="V22">
    <cfRule type="cellIs" dxfId="12016" priority="1446" operator="greaterThan">
      <formula>V21</formula>
    </cfRule>
    <cfRule type="cellIs" dxfId="12015" priority="1447" operator="equal">
      <formula>0</formula>
    </cfRule>
  </conditionalFormatting>
  <conditionalFormatting sqref="V21">
    <cfRule type="cellIs" dxfId="12014" priority="1444" operator="greaterThan">
      <formula>V20</formula>
    </cfRule>
    <cfRule type="cellIs" dxfId="12013" priority="1445" operator="equal">
      <formula>0</formula>
    </cfRule>
  </conditionalFormatting>
  <conditionalFormatting sqref="V25">
    <cfRule type="cellIs" dxfId="12012" priority="1442" operator="greaterThan">
      <formula>V24</formula>
    </cfRule>
    <cfRule type="cellIs" dxfId="12011" priority="1443" operator="equal">
      <formula>0</formula>
    </cfRule>
  </conditionalFormatting>
  <conditionalFormatting sqref="V24">
    <cfRule type="cellIs" dxfId="12010" priority="1440" operator="greaterThan">
      <formula>V23</formula>
    </cfRule>
    <cfRule type="cellIs" dxfId="12009" priority="1441" operator="equal">
      <formula>0</formula>
    </cfRule>
  </conditionalFormatting>
  <conditionalFormatting sqref="V28">
    <cfRule type="cellIs" dxfId="12008" priority="1438" operator="greaterThan">
      <formula>V27</formula>
    </cfRule>
    <cfRule type="cellIs" dxfId="12007" priority="1439" operator="equal">
      <formula>0</formula>
    </cfRule>
  </conditionalFormatting>
  <conditionalFormatting sqref="V27">
    <cfRule type="cellIs" dxfId="12006" priority="1436" operator="greaterThan">
      <formula>V26</formula>
    </cfRule>
    <cfRule type="cellIs" dxfId="12005" priority="1437" operator="equal">
      <formula>0</formula>
    </cfRule>
  </conditionalFormatting>
  <conditionalFormatting sqref="V30:V31 X30:X31">
    <cfRule type="cellIs" dxfId="12004" priority="1435" operator="equal">
      <formula>0</formula>
    </cfRule>
  </conditionalFormatting>
  <conditionalFormatting sqref="V31">
    <cfRule type="cellIs" dxfId="12003" priority="1433" operator="greaterThan">
      <formula>V30</formula>
    </cfRule>
    <cfRule type="cellIs" dxfId="12002" priority="1434" operator="equal">
      <formula>0</formula>
    </cfRule>
  </conditionalFormatting>
  <conditionalFormatting sqref="V30">
    <cfRule type="cellIs" dxfId="12001" priority="1431" operator="greaterThan">
      <formula>V29</formula>
    </cfRule>
    <cfRule type="cellIs" dxfId="12000" priority="1432" operator="equal">
      <formula>0</formula>
    </cfRule>
  </conditionalFormatting>
  <conditionalFormatting sqref="V33:V34 X33:X34">
    <cfRule type="cellIs" dxfId="11999" priority="1430" operator="equal">
      <formula>0</formula>
    </cfRule>
  </conditionalFormatting>
  <conditionalFormatting sqref="V34">
    <cfRule type="cellIs" dxfId="11998" priority="1428" operator="greaterThan">
      <formula>V33</formula>
    </cfRule>
    <cfRule type="cellIs" dxfId="11997" priority="1429" operator="equal">
      <formula>0</formula>
    </cfRule>
  </conditionalFormatting>
  <conditionalFormatting sqref="V33">
    <cfRule type="cellIs" dxfId="11996" priority="1426" operator="greaterThan">
      <formula>V32</formula>
    </cfRule>
    <cfRule type="cellIs" dxfId="11995" priority="1427" operator="equal">
      <formula>0</formula>
    </cfRule>
  </conditionalFormatting>
  <conditionalFormatting sqref="V36:V37 X36:X37">
    <cfRule type="cellIs" dxfId="11994" priority="1425" operator="equal">
      <formula>0</formula>
    </cfRule>
  </conditionalFormatting>
  <conditionalFormatting sqref="V37">
    <cfRule type="cellIs" dxfId="11993" priority="1423" operator="greaterThan">
      <formula>V36</formula>
    </cfRule>
    <cfRule type="cellIs" dxfId="11992" priority="1424" operator="equal">
      <formula>0</formula>
    </cfRule>
  </conditionalFormatting>
  <conditionalFormatting sqref="V36">
    <cfRule type="cellIs" dxfId="11991" priority="1421" operator="greaterThan">
      <formula>V35</formula>
    </cfRule>
    <cfRule type="cellIs" dxfId="11990" priority="1422" operator="equal">
      <formula>0</formula>
    </cfRule>
  </conditionalFormatting>
  <conditionalFormatting sqref="V16">
    <cfRule type="cellIs" dxfId="11989" priority="1419" operator="greaterThan">
      <formula>V15</formula>
    </cfRule>
    <cfRule type="cellIs" dxfId="11988" priority="1420" operator="equal">
      <formula>0</formula>
    </cfRule>
  </conditionalFormatting>
  <conditionalFormatting sqref="V15">
    <cfRule type="cellIs" dxfId="11987" priority="1417" operator="greaterThan">
      <formula>V14</formula>
    </cfRule>
    <cfRule type="cellIs" dxfId="11986" priority="1418" operator="equal">
      <formula>0</formula>
    </cfRule>
  </conditionalFormatting>
  <conditionalFormatting sqref="V16">
    <cfRule type="cellIs" dxfId="11985" priority="1415" operator="greaterThan">
      <formula>V15</formula>
    </cfRule>
    <cfRule type="cellIs" dxfId="11984" priority="1416" operator="equal">
      <formula>0</formula>
    </cfRule>
  </conditionalFormatting>
  <conditionalFormatting sqref="V15">
    <cfRule type="cellIs" dxfId="11983" priority="1413" operator="greaterThan">
      <formula>V14</formula>
    </cfRule>
    <cfRule type="cellIs" dxfId="11982" priority="1414" operator="equal">
      <formula>0</formula>
    </cfRule>
  </conditionalFormatting>
  <conditionalFormatting sqref="V19">
    <cfRule type="cellIs" dxfId="11981" priority="1411" operator="greaterThan">
      <formula>V18</formula>
    </cfRule>
    <cfRule type="cellIs" dxfId="11980" priority="1412" operator="equal">
      <formula>0</formula>
    </cfRule>
  </conditionalFormatting>
  <conditionalFormatting sqref="V18">
    <cfRule type="cellIs" dxfId="11979" priority="1409" operator="greaterThan">
      <formula>V17</formula>
    </cfRule>
    <cfRule type="cellIs" dxfId="11978" priority="1410" operator="equal">
      <formula>0</formula>
    </cfRule>
  </conditionalFormatting>
  <conditionalFormatting sqref="V19">
    <cfRule type="cellIs" dxfId="11977" priority="1407" operator="greaterThan">
      <formula>V18</formula>
    </cfRule>
    <cfRule type="cellIs" dxfId="11976" priority="1408" operator="equal">
      <formula>0</formula>
    </cfRule>
  </conditionalFormatting>
  <conditionalFormatting sqref="V18">
    <cfRule type="cellIs" dxfId="11975" priority="1405" operator="greaterThan">
      <formula>V17</formula>
    </cfRule>
    <cfRule type="cellIs" dxfId="11974" priority="1406" operator="equal">
      <formula>0</formula>
    </cfRule>
  </conditionalFormatting>
  <conditionalFormatting sqref="V19">
    <cfRule type="cellIs" dxfId="11973" priority="1403" operator="greaterThan">
      <formula>V18</formula>
    </cfRule>
    <cfRule type="cellIs" dxfId="11972" priority="1404" operator="equal">
      <formula>0</formula>
    </cfRule>
  </conditionalFormatting>
  <conditionalFormatting sqref="V18">
    <cfRule type="cellIs" dxfId="11971" priority="1401" operator="greaterThan">
      <formula>V17</formula>
    </cfRule>
    <cfRule type="cellIs" dxfId="11970" priority="1402" operator="equal">
      <formula>0</formula>
    </cfRule>
  </conditionalFormatting>
  <conditionalFormatting sqref="V19">
    <cfRule type="cellIs" dxfId="11969" priority="1399" operator="greaterThan">
      <formula>V18</formula>
    </cfRule>
    <cfRule type="cellIs" dxfId="11968" priority="1400" operator="equal">
      <formula>0</formula>
    </cfRule>
  </conditionalFormatting>
  <conditionalFormatting sqref="V18">
    <cfRule type="cellIs" dxfId="11967" priority="1397" operator="greaterThan">
      <formula>V17</formula>
    </cfRule>
    <cfRule type="cellIs" dxfId="11966" priority="1398" operator="equal">
      <formula>0</formula>
    </cfRule>
  </conditionalFormatting>
  <conditionalFormatting sqref="V22">
    <cfRule type="cellIs" dxfId="11965" priority="1395" operator="greaterThan">
      <formula>V21</formula>
    </cfRule>
    <cfRule type="cellIs" dxfId="11964" priority="1396" operator="equal">
      <formula>0</formula>
    </cfRule>
  </conditionalFormatting>
  <conditionalFormatting sqref="V21">
    <cfRule type="cellIs" dxfId="11963" priority="1393" operator="greaterThan">
      <formula>V20</formula>
    </cfRule>
    <cfRule type="cellIs" dxfId="11962" priority="1394" operator="equal">
      <formula>0</formula>
    </cfRule>
  </conditionalFormatting>
  <conditionalFormatting sqref="V22">
    <cfRule type="cellIs" dxfId="11961" priority="1391" operator="greaterThan">
      <formula>V21</formula>
    </cfRule>
    <cfRule type="cellIs" dxfId="11960" priority="1392" operator="equal">
      <formula>0</formula>
    </cfRule>
  </conditionalFormatting>
  <conditionalFormatting sqref="V21">
    <cfRule type="cellIs" dxfId="11959" priority="1389" operator="greaterThan">
      <formula>V20</formula>
    </cfRule>
    <cfRule type="cellIs" dxfId="11958" priority="1390" operator="equal">
      <formula>0</formula>
    </cfRule>
  </conditionalFormatting>
  <conditionalFormatting sqref="V22">
    <cfRule type="cellIs" dxfId="11957" priority="1387" operator="greaterThan">
      <formula>V21</formula>
    </cfRule>
    <cfRule type="cellIs" dxfId="11956" priority="1388" operator="equal">
      <formula>0</formula>
    </cfRule>
  </conditionalFormatting>
  <conditionalFormatting sqref="V21">
    <cfRule type="cellIs" dxfId="11955" priority="1385" operator="greaterThan">
      <formula>V20</formula>
    </cfRule>
    <cfRule type="cellIs" dxfId="11954" priority="1386" operator="equal">
      <formula>0</formula>
    </cfRule>
  </conditionalFormatting>
  <conditionalFormatting sqref="V22">
    <cfRule type="cellIs" dxfId="11953" priority="1383" operator="greaterThan">
      <formula>V21</formula>
    </cfRule>
    <cfRule type="cellIs" dxfId="11952" priority="1384" operator="equal">
      <formula>0</formula>
    </cfRule>
  </conditionalFormatting>
  <conditionalFormatting sqref="V21">
    <cfRule type="cellIs" dxfId="11951" priority="1381" operator="greaterThan">
      <formula>V20</formula>
    </cfRule>
    <cfRule type="cellIs" dxfId="11950" priority="1382" operator="equal">
      <formula>0</formula>
    </cfRule>
  </conditionalFormatting>
  <conditionalFormatting sqref="V22">
    <cfRule type="cellIs" dxfId="11949" priority="1379" operator="greaterThan">
      <formula>V21</formula>
    </cfRule>
    <cfRule type="cellIs" dxfId="11948" priority="1380" operator="equal">
      <formula>0</formula>
    </cfRule>
  </conditionalFormatting>
  <conditionalFormatting sqref="V21">
    <cfRule type="cellIs" dxfId="11947" priority="1377" operator="greaterThan">
      <formula>V20</formula>
    </cfRule>
    <cfRule type="cellIs" dxfId="11946" priority="1378" operator="equal">
      <formula>0</formula>
    </cfRule>
  </conditionalFormatting>
  <conditionalFormatting sqref="V22">
    <cfRule type="cellIs" dxfId="11945" priority="1375" operator="greaterThan">
      <formula>V21</formula>
    </cfRule>
    <cfRule type="cellIs" dxfId="11944" priority="1376" operator="equal">
      <formula>0</formula>
    </cfRule>
  </conditionalFormatting>
  <conditionalFormatting sqref="V21">
    <cfRule type="cellIs" dxfId="11943" priority="1373" operator="greaterThan">
      <formula>V20</formula>
    </cfRule>
    <cfRule type="cellIs" dxfId="11942" priority="1374" operator="equal">
      <formula>0</formula>
    </cfRule>
  </conditionalFormatting>
  <conditionalFormatting sqref="V24">
    <cfRule type="cellIs" dxfId="11941" priority="1371" operator="greaterThan">
      <formula>V23</formula>
    </cfRule>
    <cfRule type="cellIs" dxfId="11940" priority="1372" operator="equal">
      <formula>0</formula>
    </cfRule>
  </conditionalFormatting>
  <conditionalFormatting sqref="V25">
    <cfRule type="cellIs" dxfId="11939" priority="1369" operator="greaterThan">
      <formula>V24</formula>
    </cfRule>
    <cfRule type="cellIs" dxfId="11938" priority="1370" operator="equal">
      <formula>0</formula>
    </cfRule>
  </conditionalFormatting>
  <conditionalFormatting sqref="V24">
    <cfRule type="cellIs" dxfId="11937" priority="1367" operator="greaterThan">
      <formula>V23</formula>
    </cfRule>
    <cfRule type="cellIs" dxfId="11936" priority="1368" operator="equal">
      <formula>0</formula>
    </cfRule>
  </conditionalFormatting>
  <conditionalFormatting sqref="V25">
    <cfRule type="cellIs" dxfId="11935" priority="1365" operator="greaterThan">
      <formula>V24</formula>
    </cfRule>
    <cfRule type="cellIs" dxfId="11934" priority="1366" operator="equal">
      <formula>0</formula>
    </cfRule>
  </conditionalFormatting>
  <conditionalFormatting sqref="V24">
    <cfRule type="cellIs" dxfId="11933" priority="1363" operator="greaterThan">
      <formula>V23</formula>
    </cfRule>
    <cfRule type="cellIs" dxfId="11932" priority="1364" operator="equal">
      <formula>0</formula>
    </cfRule>
  </conditionalFormatting>
  <conditionalFormatting sqref="V25">
    <cfRule type="cellIs" dxfId="11931" priority="1361" operator="greaterThan">
      <formula>V24</formula>
    </cfRule>
    <cfRule type="cellIs" dxfId="11930" priority="1362" operator="equal">
      <formula>0</formula>
    </cfRule>
  </conditionalFormatting>
  <conditionalFormatting sqref="V24">
    <cfRule type="cellIs" dxfId="11929" priority="1359" operator="greaterThan">
      <formula>V23</formula>
    </cfRule>
    <cfRule type="cellIs" dxfId="11928" priority="1360" operator="equal">
      <formula>0</formula>
    </cfRule>
  </conditionalFormatting>
  <conditionalFormatting sqref="V25">
    <cfRule type="cellIs" dxfId="11927" priority="1357" operator="greaterThan">
      <formula>V24</formula>
    </cfRule>
    <cfRule type="cellIs" dxfId="11926" priority="1358" operator="equal">
      <formula>0</formula>
    </cfRule>
  </conditionalFormatting>
  <conditionalFormatting sqref="V24">
    <cfRule type="cellIs" dxfId="11925" priority="1355" operator="greaterThan">
      <formula>V23</formula>
    </cfRule>
    <cfRule type="cellIs" dxfId="11924" priority="1356" operator="equal">
      <formula>0</formula>
    </cfRule>
  </conditionalFormatting>
  <conditionalFormatting sqref="V25">
    <cfRule type="cellIs" dxfId="11923" priority="1353" operator="greaterThan">
      <formula>V24</formula>
    </cfRule>
    <cfRule type="cellIs" dxfId="11922" priority="1354" operator="equal">
      <formula>0</formula>
    </cfRule>
  </conditionalFormatting>
  <conditionalFormatting sqref="V24">
    <cfRule type="cellIs" dxfId="11921" priority="1351" operator="greaterThan">
      <formula>V23</formula>
    </cfRule>
    <cfRule type="cellIs" dxfId="11920" priority="1352" operator="equal">
      <formula>0</formula>
    </cfRule>
  </conditionalFormatting>
  <conditionalFormatting sqref="V25">
    <cfRule type="cellIs" dxfId="11919" priority="1349" operator="greaterThan">
      <formula>V24</formula>
    </cfRule>
    <cfRule type="cellIs" dxfId="11918" priority="1350" operator="equal">
      <formula>0</formula>
    </cfRule>
  </conditionalFormatting>
  <conditionalFormatting sqref="V24">
    <cfRule type="cellIs" dxfId="11917" priority="1347" operator="greaterThan">
      <formula>V23</formula>
    </cfRule>
    <cfRule type="cellIs" dxfId="11916" priority="1348" operator="equal">
      <formula>0</formula>
    </cfRule>
  </conditionalFormatting>
  <conditionalFormatting sqref="V25">
    <cfRule type="cellIs" dxfId="11915" priority="1345" operator="greaterThan">
      <formula>V24</formula>
    </cfRule>
    <cfRule type="cellIs" dxfId="11914" priority="1346" operator="equal">
      <formula>0</formula>
    </cfRule>
  </conditionalFormatting>
  <conditionalFormatting sqref="V24">
    <cfRule type="cellIs" dxfId="11913" priority="1343" operator="greaterThan">
      <formula>V23</formula>
    </cfRule>
    <cfRule type="cellIs" dxfId="11912" priority="1344" operator="equal">
      <formula>0</formula>
    </cfRule>
  </conditionalFormatting>
  <conditionalFormatting sqref="V27:V28">
    <cfRule type="cellIs" dxfId="11911" priority="1341" operator="greaterThan">
      <formula>V26</formula>
    </cfRule>
    <cfRule type="cellIs" dxfId="11910" priority="1342" operator="equal">
      <formula>0</formula>
    </cfRule>
  </conditionalFormatting>
  <conditionalFormatting sqref="V27">
    <cfRule type="cellIs" dxfId="11909" priority="1339" operator="greaterThan">
      <formula>V26</formula>
    </cfRule>
    <cfRule type="cellIs" dxfId="11908" priority="1340" operator="equal">
      <formula>0</formula>
    </cfRule>
  </conditionalFormatting>
  <conditionalFormatting sqref="V28">
    <cfRule type="cellIs" dxfId="11907" priority="1337" operator="greaterThan">
      <formula>V27</formula>
    </cfRule>
    <cfRule type="cellIs" dxfId="11906" priority="1338" operator="equal">
      <formula>0</formula>
    </cfRule>
  </conditionalFormatting>
  <conditionalFormatting sqref="V27">
    <cfRule type="cellIs" dxfId="11905" priority="1335" operator="greaterThan">
      <formula>V26</formula>
    </cfRule>
    <cfRule type="cellIs" dxfId="11904" priority="1336" operator="equal">
      <formula>0</formula>
    </cfRule>
  </conditionalFormatting>
  <conditionalFormatting sqref="V27">
    <cfRule type="cellIs" dxfId="11903" priority="1333" operator="greaterThan">
      <formula>V26</formula>
    </cfRule>
    <cfRule type="cellIs" dxfId="11902" priority="1334" operator="equal">
      <formula>0</formula>
    </cfRule>
  </conditionalFormatting>
  <conditionalFormatting sqref="V28">
    <cfRule type="cellIs" dxfId="11901" priority="1331" operator="greaterThan">
      <formula>V27</formula>
    </cfRule>
    <cfRule type="cellIs" dxfId="11900" priority="1332" operator="equal">
      <formula>0</formula>
    </cfRule>
  </conditionalFormatting>
  <conditionalFormatting sqref="V27">
    <cfRule type="cellIs" dxfId="11899" priority="1329" operator="greaterThan">
      <formula>V26</formula>
    </cfRule>
    <cfRule type="cellIs" dxfId="11898" priority="1330" operator="equal">
      <formula>0</formula>
    </cfRule>
  </conditionalFormatting>
  <conditionalFormatting sqref="V28">
    <cfRule type="cellIs" dxfId="11897" priority="1327" operator="greaterThan">
      <formula>V27</formula>
    </cfRule>
    <cfRule type="cellIs" dxfId="11896" priority="1328" operator="equal">
      <formula>0</formula>
    </cfRule>
  </conditionalFormatting>
  <conditionalFormatting sqref="V27">
    <cfRule type="cellIs" dxfId="11895" priority="1325" operator="greaterThan">
      <formula>V26</formula>
    </cfRule>
    <cfRule type="cellIs" dxfId="11894" priority="1326" operator="equal">
      <formula>0</formula>
    </cfRule>
  </conditionalFormatting>
  <conditionalFormatting sqref="V28">
    <cfRule type="cellIs" dxfId="11893" priority="1323" operator="greaterThan">
      <formula>V27</formula>
    </cfRule>
    <cfRule type="cellIs" dxfId="11892" priority="1324" operator="equal">
      <formula>0</formula>
    </cfRule>
  </conditionalFormatting>
  <conditionalFormatting sqref="V27">
    <cfRule type="cellIs" dxfId="11891" priority="1321" operator="greaterThan">
      <formula>V26</formula>
    </cfRule>
    <cfRule type="cellIs" dxfId="11890" priority="1322" operator="equal">
      <formula>0</formula>
    </cfRule>
  </conditionalFormatting>
  <conditionalFormatting sqref="V28">
    <cfRule type="cellIs" dxfId="11889" priority="1319" operator="greaterThan">
      <formula>V27</formula>
    </cfRule>
    <cfRule type="cellIs" dxfId="11888" priority="1320" operator="equal">
      <formula>0</formula>
    </cfRule>
  </conditionalFormatting>
  <conditionalFormatting sqref="V27">
    <cfRule type="cellIs" dxfId="11887" priority="1317" operator="greaterThan">
      <formula>V26</formula>
    </cfRule>
    <cfRule type="cellIs" dxfId="11886" priority="1318" operator="equal">
      <formula>0</formula>
    </cfRule>
  </conditionalFormatting>
  <conditionalFormatting sqref="V28">
    <cfRule type="cellIs" dxfId="11885" priority="1315" operator="greaterThan">
      <formula>V27</formula>
    </cfRule>
    <cfRule type="cellIs" dxfId="11884" priority="1316" operator="equal">
      <formula>0</formula>
    </cfRule>
  </conditionalFormatting>
  <conditionalFormatting sqref="V27">
    <cfRule type="cellIs" dxfId="11883" priority="1313" operator="greaterThan">
      <formula>V26</formula>
    </cfRule>
    <cfRule type="cellIs" dxfId="11882" priority="1314" operator="equal">
      <formula>0</formula>
    </cfRule>
  </conditionalFormatting>
  <conditionalFormatting sqref="V28">
    <cfRule type="cellIs" dxfId="11881" priority="1311" operator="greaterThan">
      <formula>V27</formula>
    </cfRule>
    <cfRule type="cellIs" dxfId="11880" priority="1312" operator="equal">
      <formula>0</formula>
    </cfRule>
  </conditionalFormatting>
  <conditionalFormatting sqref="V27">
    <cfRule type="cellIs" dxfId="11879" priority="1309" operator="greaterThan">
      <formula>V26</formula>
    </cfRule>
    <cfRule type="cellIs" dxfId="11878" priority="1310" operator="equal">
      <formula>0</formula>
    </cfRule>
  </conditionalFormatting>
  <conditionalFormatting sqref="V28">
    <cfRule type="cellIs" dxfId="11877" priority="1307" operator="greaterThan">
      <formula>V27</formula>
    </cfRule>
    <cfRule type="cellIs" dxfId="11876" priority="1308" operator="equal">
      <formula>0</formula>
    </cfRule>
  </conditionalFormatting>
  <conditionalFormatting sqref="V27">
    <cfRule type="cellIs" dxfId="11875" priority="1305" operator="greaterThan">
      <formula>V26</formula>
    </cfRule>
    <cfRule type="cellIs" dxfId="11874" priority="1306" operator="equal">
      <formula>0</formula>
    </cfRule>
  </conditionalFormatting>
  <conditionalFormatting sqref="V50">
    <cfRule type="cellIs" dxfId="11873" priority="1303" operator="greaterThan">
      <formula>V49</formula>
    </cfRule>
    <cfRule type="cellIs" dxfId="11872" priority="1304" operator="equal">
      <formula>0</formula>
    </cfRule>
  </conditionalFormatting>
  <conditionalFormatting sqref="V12:V13 X12:X13 X15:X16 X18:X19 X21:X25 X27:X28 V15:V16 V18:V19 V21:V22 V24:V25 V27:V28">
    <cfRule type="cellIs" dxfId="11871" priority="1302" operator="equal">
      <formula>0</formula>
    </cfRule>
  </conditionalFormatting>
  <conditionalFormatting sqref="V28">
    <cfRule type="cellIs" dxfId="11870" priority="1300" operator="greaterThan">
      <formula>V27</formula>
    </cfRule>
    <cfRule type="cellIs" dxfId="11869" priority="1301" operator="equal">
      <formula>0</formula>
    </cfRule>
  </conditionalFormatting>
  <conditionalFormatting sqref="V27">
    <cfRule type="cellIs" dxfId="11868" priority="1298" operator="greaterThan">
      <formula>V26</formula>
    </cfRule>
    <cfRule type="cellIs" dxfId="11867" priority="1299" operator="equal">
      <formula>0</formula>
    </cfRule>
  </conditionalFormatting>
  <conditionalFormatting sqref="V13">
    <cfRule type="cellIs" dxfId="11866" priority="1296" operator="greaterThan">
      <formula>V12</formula>
    </cfRule>
    <cfRule type="cellIs" dxfId="11865" priority="1297" operator="equal">
      <formula>0</formula>
    </cfRule>
  </conditionalFormatting>
  <conditionalFormatting sqref="V12">
    <cfRule type="cellIs" dxfId="11864" priority="1294" operator="greaterThan">
      <formula>V11</formula>
    </cfRule>
    <cfRule type="cellIs" dxfId="11863" priority="1295" operator="equal">
      <formula>0</formula>
    </cfRule>
  </conditionalFormatting>
  <conditionalFormatting sqref="V16">
    <cfRule type="cellIs" dxfId="11862" priority="1292" operator="greaterThan">
      <formula>V15</formula>
    </cfRule>
    <cfRule type="cellIs" dxfId="11861" priority="1293" operator="equal">
      <formula>0</formula>
    </cfRule>
  </conditionalFormatting>
  <conditionalFormatting sqref="V15">
    <cfRule type="cellIs" dxfId="11860" priority="1290" operator="greaterThan">
      <formula>V14</formula>
    </cfRule>
    <cfRule type="cellIs" dxfId="11859" priority="1291" operator="equal">
      <formula>0</formula>
    </cfRule>
  </conditionalFormatting>
  <conditionalFormatting sqref="V19">
    <cfRule type="cellIs" dxfId="11858" priority="1288" operator="greaterThan">
      <formula>V18</formula>
    </cfRule>
    <cfRule type="cellIs" dxfId="11857" priority="1289" operator="equal">
      <formula>0</formula>
    </cfRule>
  </conditionalFormatting>
  <conditionalFormatting sqref="V18">
    <cfRule type="cellIs" dxfId="11856" priority="1286" operator="greaterThan">
      <formula>V17</formula>
    </cfRule>
    <cfRule type="cellIs" dxfId="11855" priority="1287" operator="equal">
      <formula>0</formula>
    </cfRule>
  </conditionalFormatting>
  <conditionalFormatting sqref="V22 V24:V25">
    <cfRule type="cellIs" dxfId="11854" priority="1284" operator="greaterThan">
      <formula>V21</formula>
    </cfRule>
    <cfRule type="cellIs" dxfId="11853" priority="1285" operator="equal">
      <formula>0</formula>
    </cfRule>
  </conditionalFormatting>
  <conditionalFormatting sqref="V21">
    <cfRule type="cellIs" dxfId="11852" priority="1282" operator="greaterThan">
      <formula>V20</formula>
    </cfRule>
    <cfRule type="cellIs" dxfId="11851" priority="1283" operator="equal">
      <formula>0</formula>
    </cfRule>
  </conditionalFormatting>
  <conditionalFormatting sqref="V24">
    <cfRule type="cellIs" dxfId="11850" priority="1280" operator="greaterThan">
      <formula>V23</formula>
    </cfRule>
    <cfRule type="cellIs" dxfId="11849" priority="1281" operator="equal">
      <formula>0</formula>
    </cfRule>
  </conditionalFormatting>
  <conditionalFormatting sqref="V27:V28">
    <cfRule type="cellIs" dxfId="11848" priority="1278" operator="greaterThan">
      <formula>V26</formula>
    </cfRule>
    <cfRule type="cellIs" dxfId="11847" priority="1279" operator="equal">
      <formula>0</formula>
    </cfRule>
  </conditionalFormatting>
  <conditionalFormatting sqref="V27">
    <cfRule type="cellIs" dxfId="11846" priority="1276" operator="greaterThan">
      <formula>V26</formula>
    </cfRule>
    <cfRule type="cellIs" dxfId="11845" priority="1277" operator="equal">
      <formula>0</formula>
    </cfRule>
  </conditionalFormatting>
  <conditionalFormatting sqref="V16">
    <cfRule type="cellIs" dxfId="11844" priority="1274" operator="greaterThan">
      <formula>V15</formula>
    </cfRule>
    <cfRule type="cellIs" dxfId="11843" priority="1275" operator="equal">
      <formula>0</formula>
    </cfRule>
  </conditionalFormatting>
  <conditionalFormatting sqref="V15">
    <cfRule type="cellIs" dxfId="11842" priority="1272" operator="greaterThan">
      <formula>V14</formula>
    </cfRule>
    <cfRule type="cellIs" dxfId="11841" priority="1273" operator="equal">
      <formula>0</formula>
    </cfRule>
  </conditionalFormatting>
  <conditionalFormatting sqref="V19">
    <cfRule type="cellIs" dxfId="11840" priority="1270" operator="greaterThan">
      <formula>V18</formula>
    </cfRule>
    <cfRule type="cellIs" dxfId="11839" priority="1271" operator="equal">
      <formula>0</formula>
    </cfRule>
  </conditionalFormatting>
  <conditionalFormatting sqref="V18">
    <cfRule type="cellIs" dxfId="11838" priority="1268" operator="greaterThan">
      <formula>V17</formula>
    </cfRule>
    <cfRule type="cellIs" dxfId="11837" priority="1269" operator="equal">
      <formula>0</formula>
    </cfRule>
  </conditionalFormatting>
  <conditionalFormatting sqref="V22">
    <cfRule type="cellIs" dxfId="11836" priority="1266" operator="greaterThan">
      <formula>V21</formula>
    </cfRule>
    <cfRule type="cellIs" dxfId="11835" priority="1267" operator="equal">
      <formula>0</formula>
    </cfRule>
  </conditionalFormatting>
  <conditionalFormatting sqref="V21">
    <cfRule type="cellIs" dxfId="11834" priority="1264" operator="greaterThan">
      <formula>V20</formula>
    </cfRule>
    <cfRule type="cellIs" dxfId="11833" priority="1265" operator="equal">
      <formula>0</formula>
    </cfRule>
  </conditionalFormatting>
  <conditionalFormatting sqref="V25">
    <cfRule type="cellIs" dxfId="11832" priority="1262" operator="greaterThan">
      <formula>V24</formula>
    </cfRule>
    <cfRule type="cellIs" dxfId="11831" priority="1263" operator="equal">
      <formula>0</formula>
    </cfRule>
  </conditionalFormatting>
  <conditionalFormatting sqref="V24">
    <cfRule type="cellIs" dxfId="11830" priority="1260" operator="greaterThan">
      <formula>V23</formula>
    </cfRule>
    <cfRule type="cellIs" dxfId="11829" priority="1261" operator="equal">
      <formula>0</formula>
    </cfRule>
  </conditionalFormatting>
  <conditionalFormatting sqref="V28">
    <cfRule type="cellIs" dxfId="11828" priority="1258" operator="greaterThan">
      <formula>V27</formula>
    </cfRule>
    <cfRule type="cellIs" dxfId="11827" priority="1259" operator="equal">
      <formula>0</formula>
    </cfRule>
  </conditionalFormatting>
  <conditionalFormatting sqref="V27">
    <cfRule type="cellIs" dxfId="11826" priority="1256" operator="greaterThan">
      <formula>V26</formula>
    </cfRule>
    <cfRule type="cellIs" dxfId="11825" priority="1257" operator="equal">
      <formula>0</formula>
    </cfRule>
  </conditionalFormatting>
  <conditionalFormatting sqref="V30:V31 X30:X31">
    <cfRule type="cellIs" dxfId="11824" priority="1255" operator="equal">
      <formula>0</formula>
    </cfRule>
  </conditionalFormatting>
  <conditionalFormatting sqref="V31">
    <cfRule type="cellIs" dxfId="11823" priority="1253" operator="greaterThan">
      <formula>V30</formula>
    </cfRule>
    <cfRule type="cellIs" dxfId="11822" priority="1254" operator="equal">
      <formula>0</formula>
    </cfRule>
  </conditionalFormatting>
  <conditionalFormatting sqref="V30">
    <cfRule type="cellIs" dxfId="11821" priority="1251" operator="greaterThan">
      <formula>V29</formula>
    </cfRule>
    <cfRule type="cellIs" dxfId="11820" priority="1252" operator="equal">
      <formula>0</formula>
    </cfRule>
  </conditionalFormatting>
  <conditionalFormatting sqref="V33:V34 X33:X34">
    <cfRule type="cellIs" dxfId="11819" priority="1250" operator="equal">
      <formula>0</formula>
    </cfRule>
  </conditionalFormatting>
  <conditionalFormatting sqref="V34">
    <cfRule type="cellIs" dxfId="11818" priority="1248" operator="greaterThan">
      <formula>V33</formula>
    </cfRule>
    <cfRule type="cellIs" dxfId="11817" priority="1249" operator="equal">
      <formula>0</formula>
    </cfRule>
  </conditionalFormatting>
  <conditionalFormatting sqref="V33">
    <cfRule type="cellIs" dxfId="11816" priority="1246" operator="greaterThan">
      <formula>V32</formula>
    </cfRule>
    <cfRule type="cellIs" dxfId="11815" priority="1247" operator="equal">
      <formula>0</formula>
    </cfRule>
  </conditionalFormatting>
  <conditionalFormatting sqref="V36:V37 X36:X37">
    <cfRule type="cellIs" dxfId="11814" priority="1245" operator="equal">
      <formula>0</formula>
    </cfRule>
  </conditionalFormatting>
  <conditionalFormatting sqref="V37">
    <cfRule type="cellIs" dxfId="11813" priority="1243" operator="greaterThan">
      <formula>V36</formula>
    </cfRule>
    <cfRule type="cellIs" dxfId="11812" priority="1244" operator="equal">
      <formula>0</formula>
    </cfRule>
  </conditionalFormatting>
  <conditionalFormatting sqref="V36">
    <cfRule type="cellIs" dxfId="11811" priority="1241" operator="greaterThan">
      <formula>V35</formula>
    </cfRule>
    <cfRule type="cellIs" dxfId="11810" priority="1242" operator="equal">
      <formula>0</formula>
    </cfRule>
  </conditionalFormatting>
  <conditionalFormatting sqref="V16">
    <cfRule type="cellIs" dxfId="11809" priority="1239" operator="greaterThan">
      <formula>V15</formula>
    </cfRule>
    <cfRule type="cellIs" dxfId="11808" priority="1240" operator="equal">
      <formula>0</formula>
    </cfRule>
  </conditionalFormatting>
  <conditionalFormatting sqref="V15">
    <cfRule type="cellIs" dxfId="11807" priority="1237" operator="greaterThan">
      <formula>V14</formula>
    </cfRule>
    <cfRule type="cellIs" dxfId="11806" priority="1238" operator="equal">
      <formula>0</formula>
    </cfRule>
  </conditionalFormatting>
  <conditionalFormatting sqref="V16">
    <cfRule type="cellIs" dxfId="11805" priority="1235" operator="greaterThan">
      <formula>V15</formula>
    </cfRule>
    <cfRule type="cellIs" dxfId="11804" priority="1236" operator="equal">
      <formula>0</formula>
    </cfRule>
  </conditionalFormatting>
  <conditionalFormatting sqref="V15">
    <cfRule type="cellIs" dxfId="11803" priority="1233" operator="greaterThan">
      <formula>V14</formula>
    </cfRule>
    <cfRule type="cellIs" dxfId="11802" priority="1234" operator="equal">
      <formula>0</formula>
    </cfRule>
  </conditionalFormatting>
  <conditionalFormatting sqref="V19">
    <cfRule type="cellIs" dxfId="11801" priority="1231" operator="greaterThan">
      <formula>V18</formula>
    </cfRule>
    <cfRule type="cellIs" dxfId="11800" priority="1232" operator="equal">
      <formula>0</formula>
    </cfRule>
  </conditionalFormatting>
  <conditionalFormatting sqref="V18">
    <cfRule type="cellIs" dxfId="11799" priority="1229" operator="greaterThan">
      <formula>V17</formula>
    </cfRule>
    <cfRule type="cellIs" dxfId="11798" priority="1230" operator="equal">
      <formula>0</formula>
    </cfRule>
  </conditionalFormatting>
  <conditionalFormatting sqref="V19">
    <cfRule type="cellIs" dxfId="11797" priority="1227" operator="greaterThan">
      <formula>V18</formula>
    </cfRule>
    <cfRule type="cellIs" dxfId="11796" priority="1228" operator="equal">
      <formula>0</formula>
    </cfRule>
  </conditionalFormatting>
  <conditionalFormatting sqref="V18">
    <cfRule type="cellIs" dxfId="11795" priority="1225" operator="greaterThan">
      <formula>V17</formula>
    </cfRule>
    <cfRule type="cellIs" dxfId="11794" priority="1226" operator="equal">
      <formula>0</formula>
    </cfRule>
  </conditionalFormatting>
  <conditionalFormatting sqref="V19">
    <cfRule type="cellIs" dxfId="11793" priority="1223" operator="greaterThan">
      <formula>V18</formula>
    </cfRule>
    <cfRule type="cellIs" dxfId="11792" priority="1224" operator="equal">
      <formula>0</formula>
    </cfRule>
  </conditionalFormatting>
  <conditionalFormatting sqref="V18">
    <cfRule type="cellIs" dxfId="11791" priority="1221" operator="greaterThan">
      <formula>V17</formula>
    </cfRule>
    <cfRule type="cellIs" dxfId="11790" priority="1222" operator="equal">
      <formula>0</formula>
    </cfRule>
  </conditionalFormatting>
  <conditionalFormatting sqref="V19">
    <cfRule type="cellIs" dxfId="11789" priority="1219" operator="greaterThan">
      <formula>V18</formula>
    </cfRule>
    <cfRule type="cellIs" dxfId="11788" priority="1220" operator="equal">
      <formula>0</formula>
    </cfRule>
  </conditionalFormatting>
  <conditionalFormatting sqref="V18">
    <cfRule type="cellIs" dxfId="11787" priority="1217" operator="greaterThan">
      <formula>V17</formula>
    </cfRule>
    <cfRule type="cellIs" dxfId="11786" priority="1218" operator="equal">
      <formula>0</formula>
    </cfRule>
  </conditionalFormatting>
  <conditionalFormatting sqref="V22">
    <cfRule type="cellIs" dxfId="11785" priority="1215" operator="greaterThan">
      <formula>V21</formula>
    </cfRule>
    <cfRule type="cellIs" dxfId="11784" priority="1216" operator="equal">
      <formula>0</formula>
    </cfRule>
  </conditionalFormatting>
  <conditionalFormatting sqref="V21">
    <cfRule type="cellIs" dxfId="11783" priority="1213" operator="greaterThan">
      <formula>V20</formula>
    </cfRule>
    <cfRule type="cellIs" dxfId="11782" priority="1214" operator="equal">
      <formula>0</formula>
    </cfRule>
  </conditionalFormatting>
  <conditionalFormatting sqref="V22">
    <cfRule type="cellIs" dxfId="11781" priority="1211" operator="greaterThan">
      <formula>V21</formula>
    </cfRule>
    <cfRule type="cellIs" dxfId="11780" priority="1212" operator="equal">
      <formula>0</formula>
    </cfRule>
  </conditionalFormatting>
  <conditionalFormatting sqref="V21">
    <cfRule type="cellIs" dxfId="11779" priority="1209" operator="greaterThan">
      <formula>V20</formula>
    </cfRule>
    <cfRule type="cellIs" dxfId="11778" priority="1210" operator="equal">
      <formula>0</formula>
    </cfRule>
  </conditionalFormatting>
  <conditionalFormatting sqref="V22">
    <cfRule type="cellIs" dxfId="11777" priority="1207" operator="greaterThan">
      <formula>V21</formula>
    </cfRule>
    <cfRule type="cellIs" dxfId="11776" priority="1208" operator="equal">
      <formula>0</formula>
    </cfRule>
  </conditionalFormatting>
  <conditionalFormatting sqref="V21">
    <cfRule type="cellIs" dxfId="11775" priority="1205" operator="greaterThan">
      <formula>V20</formula>
    </cfRule>
    <cfRule type="cellIs" dxfId="11774" priority="1206" operator="equal">
      <formula>0</formula>
    </cfRule>
  </conditionalFormatting>
  <conditionalFormatting sqref="V22">
    <cfRule type="cellIs" dxfId="11773" priority="1203" operator="greaterThan">
      <formula>V21</formula>
    </cfRule>
    <cfRule type="cellIs" dxfId="11772" priority="1204" operator="equal">
      <formula>0</formula>
    </cfRule>
  </conditionalFormatting>
  <conditionalFormatting sqref="V21">
    <cfRule type="cellIs" dxfId="11771" priority="1201" operator="greaterThan">
      <formula>V20</formula>
    </cfRule>
    <cfRule type="cellIs" dxfId="11770" priority="1202" operator="equal">
      <formula>0</formula>
    </cfRule>
  </conditionalFormatting>
  <conditionalFormatting sqref="V22">
    <cfRule type="cellIs" dxfId="11769" priority="1199" operator="greaterThan">
      <formula>V21</formula>
    </cfRule>
    <cfRule type="cellIs" dxfId="11768" priority="1200" operator="equal">
      <formula>0</formula>
    </cfRule>
  </conditionalFormatting>
  <conditionalFormatting sqref="V21">
    <cfRule type="cellIs" dxfId="11767" priority="1197" operator="greaterThan">
      <formula>V20</formula>
    </cfRule>
    <cfRule type="cellIs" dxfId="11766" priority="1198" operator="equal">
      <formula>0</formula>
    </cfRule>
  </conditionalFormatting>
  <conditionalFormatting sqref="V22">
    <cfRule type="cellIs" dxfId="11765" priority="1195" operator="greaterThan">
      <formula>V21</formula>
    </cfRule>
    <cfRule type="cellIs" dxfId="11764" priority="1196" operator="equal">
      <formula>0</formula>
    </cfRule>
  </conditionalFormatting>
  <conditionalFormatting sqref="V21">
    <cfRule type="cellIs" dxfId="11763" priority="1193" operator="greaterThan">
      <formula>V20</formula>
    </cfRule>
    <cfRule type="cellIs" dxfId="11762" priority="1194" operator="equal">
      <formula>0</formula>
    </cfRule>
  </conditionalFormatting>
  <conditionalFormatting sqref="V24">
    <cfRule type="cellIs" dxfId="11761" priority="1191" operator="greaterThan">
      <formula>V23</formula>
    </cfRule>
    <cfRule type="cellIs" dxfId="11760" priority="1192" operator="equal">
      <formula>0</formula>
    </cfRule>
  </conditionalFormatting>
  <conditionalFormatting sqref="V25">
    <cfRule type="cellIs" dxfId="11759" priority="1189" operator="greaterThan">
      <formula>V24</formula>
    </cfRule>
    <cfRule type="cellIs" dxfId="11758" priority="1190" operator="equal">
      <formula>0</formula>
    </cfRule>
  </conditionalFormatting>
  <conditionalFormatting sqref="V24">
    <cfRule type="cellIs" dxfId="11757" priority="1187" operator="greaterThan">
      <formula>V23</formula>
    </cfRule>
    <cfRule type="cellIs" dxfId="11756" priority="1188" operator="equal">
      <formula>0</formula>
    </cfRule>
  </conditionalFormatting>
  <conditionalFormatting sqref="V25">
    <cfRule type="cellIs" dxfId="11755" priority="1185" operator="greaterThan">
      <formula>V24</formula>
    </cfRule>
    <cfRule type="cellIs" dxfId="11754" priority="1186" operator="equal">
      <formula>0</formula>
    </cfRule>
  </conditionalFormatting>
  <conditionalFormatting sqref="V24">
    <cfRule type="cellIs" dxfId="11753" priority="1183" operator="greaterThan">
      <formula>V23</formula>
    </cfRule>
    <cfRule type="cellIs" dxfId="11752" priority="1184" operator="equal">
      <formula>0</formula>
    </cfRule>
  </conditionalFormatting>
  <conditionalFormatting sqref="V25">
    <cfRule type="cellIs" dxfId="11751" priority="1181" operator="greaterThan">
      <formula>V24</formula>
    </cfRule>
    <cfRule type="cellIs" dxfId="11750" priority="1182" operator="equal">
      <formula>0</formula>
    </cfRule>
  </conditionalFormatting>
  <conditionalFormatting sqref="V24">
    <cfRule type="cellIs" dxfId="11749" priority="1179" operator="greaterThan">
      <formula>V23</formula>
    </cfRule>
    <cfRule type="cellIs" dxfId="11748" priority="1180" operator="equal">
      <formula>0</formula>
    </cfRule>
  </conditionalFormatting>
  <conditionalFormatting sqref="V25">
    <cfRule type="cellIs" dxfId="11747" priority="1177" operator="greaterThan">
      <formula>V24</formula>
    </cfRule>
    <cfRule type="cellIs" dxfId="11746" priority="1178" operator="equal">
      <formula>0</formula>
    </cfRule>
  </conditionalFormatting>
  <conditionalFormatting sqref="V24">
    <cfRule type="cellIs" dxfId="11745" priority="1175" operator="greaterThan">
      <formula>V23</formula>
    </cfRule>
    <cfRule type="cellIs" dxfId="11744" priority="1176" operator="equal">
      <formula>0</formula>
    </cfRule>
  </conditionalFormatting>
  <conditionalFormatting sqref="V25">
    <cfRule type="cellIs" dxfId="11743" priority="1173" operator="greaterThan">
      <formula>V24</formula>
    </cfRule>
    <cfRule type="cellIs" dxfId="11742" priority="1174" operator="equal">
      <formula>0</formula>
    </cfRule>
  </conditionalFormatting>
  <conditionalFormatting sqref="V24">
    <cfRule type="cellIs" dxfId="11741" priority="1171" operator="greaterThan">
      <formula>V23</formula>
    </cfRule>
    <cfRule type="cellIs" dxfId="11740" priority="1172" operator="equal">
      <formula>0</formula>
    </cfRule>
  </conditionalFormatting>
  <conditionalFormatting sqref="V25">
    <cfRule type="cellIs" dxfId="11739" priority="1169" operator="greaterThan">
      <formula>V24</formula>
    </cfRule>
    <cfRule type="cellIs" dxfId="11738" priority="1170" operator="equal">
      <formula>0</formula>
    </cfRule>
  </conditionalFormatting>
  <conditionalFormatting sqref="V24">
    <cfRule type="cellIs" dxfId="11737" priority="1167" operator="greaterThan">
      <formula>V23</formula>
    </cfRule>
    <cfRule type="cellIs" dxfId="11736" priority="1168" operator="equal">
      <formula>0</formula>
    </cfRule>
  </conditionalFormatting>
  <conditionalFormatting sqref="V25">
    <cfRule type="cellIs" dxfId="11735" priority="1165" operator="greaterThan">
      <formula>V24</formula>
    </cfRule>
    <cfRule type="cellIs" dxfId="11734" priority="1166" operator="equal">
      <formula>0</formula>
    </cfRule>
  </conditionalFormatting>
  <conditionalFormatting sqref="V24">
    <cfRule type="cellIs" dxfId="11733" priority="1163" operator="greaterThan">
      <formula>V23</formula>
    </cfRule>
    <cfRule type="cellIs" dxfId="11732" priority="1164" operator="equal">
      <formula>0</formula>
    </cfRule>
  </conditionalFormatting>
  <conditionalFormatting sqref="V27:V28">
    <cfRule type="cellIs" dxfId="11731" priority="1161" operator="greaterThan">
      <formula>V26</formula>
    </cfRule>
    <cfRule type="cellIs" dxfId="11730" priority="1162" operator="equal">
      <formula>0</formula>
    </cfRule>
  </conditionalFormatting>
  <conditionalFormatting sqref="V27">
    <cfRule type="cellIs" dxfId="11729" priority="1159" operator="greaterThan">
      <formula>V26</formula>
    </cfRule>
    <cfRule type="cellIs" dxfId="11728" priority="1160" operator="equal">
      <formula>0</formula>
    </cfRule>
  </conditionalFormatting>
  <conditionalFormatting sqref="V28">
    <cfRule type="cellIs" dxfId="11727" priority="1157" operator="greaterThan">
      <formula>V27</formula>
    </cfRule>
    <cfRule type="cellIs" dxfId="11726" priority="1158" operator="equal">
      <formula>0</formula>
    </cfRule>
  </conditionalFormatting>
  <conditionalFormatting sqref="V27">
    <cfRule type="cellIs" dxfId="11725" priority="1155" operator="greaterThan">
      <formula>V26</formula>
    </cfRule>
    <cfRule type="cellIs" dxfId="11724" priority="1156" operator="equal">
      <formula>0</formula>
    </cfRule>
  </conditionalFormatting>
  <conditionalFormatting sqref="V27">
    <cfRule type="cellIs" dxfId="11723" priority="1153" operator="greaterThan">
      <formula>V26</formula>
    </cfRule>
    <cfRule type="cellIs" dxfId="11722" priority="1154" operator="equal">
      <formula>0</formula>
    </cfRule>
  </conditionalFormatting>
  <conditionalFormatting sqref="V28">
    <cfRule type="cellIs" dxfId="11721" priority="1151" operator="greaterThan">
      <formula>V27</formula>
    </cfRule>
    <cfRule type="cellIs" dxfId="11720" priority="1152" operator="equal">
      <formula>0</formula>
    </cfRule>
  </conditionalFormatting>
  <conditionalFormatting sqref="V27">
    <cfRule type="cellIs" dxfId="11719" priority="1149" operator="greaterThan">
      <formula>V26</formula>
    </cfRule>
    <cfRule type="cellIs" dxfId="11718" priority="1150" operator="equal">
      <formula>0</formula>
    </cfRule>
  </conditionalFormatting>
  <conditionalFormatting sqref="V28">
    <cfRule type="cellIs" dxfId="11717" priority="1147" operator="greaterThan">
      <formula>V27</formula>
    </cfRule>
    <cfRule type="cellIs" dxfId="11716" priority="1148" operator="equal">
      <formula>0</formula>
    </cfRule>
  </conditionalFormatting>
  <conditionalFormatting sqref="V27">
    <cfRule type="cellIs" dxfId="11715" priority="1145" operator="greaterThan">
      <formula>V26</formula>
    </cfRule>
    <cfRule type="cellIs" dxfId="11714" priority="1146" operator="equal">
      <formula>0</formula>
    </cfRule>
  </conditionalFormatting>
  <conditionalFormatting sqref="V28">
    <cfRule type="cellIs" dxfId="11713" priority="1143" operator="greaterThan">
      <formula>V27</formula>
    </cfRule>
    <cfRule type="cellIs" dxfId="11712" priority="1144" operator="equal">
      <formula>0</formula>
    </cfRule>
  </conditionalFormatting>
  <conditionalFormatting sqref="V27">
    <cfRule type="cellIs" dxfId="11711" priority="1141" operator="greaterThan">
      <formula>V26</formula>
    </cfRule>
    <cfRule type="cellIs" dxfId="11710" priority="1142" operator="equal">
      <formula>0</formula>
    </cfRule>
  </conditionalFormatting>
  <conditionalFormatting sqref="V28">
    <cfRule type="cellIs" dxfId="11709" priority="1139" operator="greaterThan">
      <formula>V27</formula>
    </cfRule>
    <cfRule type="cellIs" dxfId="11708" priority="1140" operator="equal">
      <formula>0</formula>
    </cfRule>
  </conditionalFormatting>
  <conditionalFormatting sqref="V27">
    <cfRule type="cellIs" dxfId="11707" priority="1137" operator="greaterThan">
      <formula>V26</formula>
    </cfRule>
    <cfRule type="cellIs" dxfId="11706" priority="1138" operator="equal">
      <formula>0</formula>
    </cfRule>
  </conditionalFormatting>
  <conditionalFormatting sqref="V28">
    <cfRule type="cellIs" dxfId="11705" priority="1135" operator="greaterThan">
      <formula>V27</formula>
    </cfRule>
    <cfRule type="cellIs" dxfId="11704" priority="1136" operator="equal">
      <formula>0</formula>
    </cfRule>
  </conditionalFormatting>
  <conditionalFormatting sqref="V27">
    <cfRule type="cellIs" dxfId="11703" priority="1133" operator="greaterThan">
      <formula>V26</formula>
    </cfRule>
    <cfRule type="cellIs" dxfId="11702" priority="1134" operator="equal">
      <formula>0</formula>
    </cfRule>
  </conditionalFormatting>
  <conditionalFormatting sqref="V28">
    <cfRule type="cellIs" dxfId="11701" priority="1131" operator="greaterThan">
      <formula>V27</formula>
    </cfRule>
    <cfRule type="cellIs" dxfId="11700" priority="1132" operator="equal">
      <formula>0</formula>
    </cfRule>
  </conditionalFormatting>
  <conditionalFormatting sqref="V27">
    <cfRule type="cellIs" dxfId="11699" priority="1129" operator="greaterThan">
      <formula>V26</formula>
    </cfRule>
    <cfRule type="cellIs" dxfId="11698" priority="1130" operator="equal">
      <formula>0</formula>
    </cfRule>
  </conditionalFormatting>
  <conditionalFormatting sqref="V28">
    <cfRule type="cellIs" dxfId="11697" priority="1127" operator="greaterThan">
      <formula>V27</formula>
    </cfRule>
    <cfRule type="cellIs" dxfId="11696" priority="1128" operator="equal">
      <formula>0</formula>
    </cfRule>
  </conditionalFormatting>
  <conditionalFormatting sqref="V27">
    <cfRule type="cellIs" dxfId="11695" priority="1125" operator="greaterThan">
      <formula>V26</formula>
    </cfRule>
    <cfRule type="cellIs" dxfId="11694" priority="1126" operator="equal">
      <formula>0</formula>
    </cfRule>
  </conditionalFormatting>
  <conditionalFormatting sqref="V19">
    <cfRule type="cellIs" dxfId="11693" priority="1123" operator="greaterThan">
      <formula>V18</formula>
    </cfRule>
    <cfRule type="cellIs" dxfId="11692" priority="1124" operator="equal">
      <formula>0</formula>
    </cfRule>
  </conditionalFormatting>
  <conditionalFormatting sqref="V18">
    <cfRule type="cellIs" dxfId="11691" priority="1121" operator="greaterThan">
      <formula>V17</formula>
    </cfRule>
    <cfRule type="cellIs" dxfId="11690" priority="1122" operator="equal">
      <formula>0</formula>
    </cfRule>
  </conditionalFormatting>
  <conditionalFormatting sqref="V19">
    <cfRule type="cellIs" dxfId="11689" priority="1119" operator="greaterThan">
      <formula>V18</formula>
    </cfRule>
    <cfRule type="cellIs" dxfId="11688" priority="1120" operator="equal">
      <formula>0</formula>
    </cfRule>
  </conditionalFormatting>
  <conditionalFormatting sqref="V18">
    <cfRule type="cellIs" dxfId="11687" priority="1117" operator="greaterThan">
      <formula>V17</formula>
    </cfRule>
    <cfRule type="cellIs" dxfId="11686" priority="1118" operator="equal">
      <formula>0</formula>
    </cfRule>
  </conditionalFormatting>
  <conditionalFormatting sqref="V19">
    <cfRule type="cellIs" dxfId="11685" priority="1115" operator="greaterThan">
      <formula>V18</formula>
    </cfRule>
    <cfRule type="cellIs" dxfId="11684" priority="1116" operator="equal">
      <formula>0</formula>
    </cfRule>
  </conditionalFormatting>
  <conditionalFormatting sqref="V18">
    <cfRule type="cellIs" dxfId="11683" priority="1113" operator="greaterThan">
      <formula>V17</formula>
    </cfRule>
    <cfRule type="cellIs" dxfId="11682" priority="1114" operator="equal">
      <formula>0</formula>
    </cfRule>
  </conditionalFormatting>
  <conditionalFormatting sqref="V19">
    <cfRule type="cellIs" dxfId="11681" priority="1111" operator="greaterThan">
      <formula>V18</formula>
    </cfRule>
    <cfRule type="cellIs" dxfId="11680" priority="1112" operator="equal">
      <formula>0</formula>
    </cfRule>
  </conditionalFormatting>
  <conditionalFormatting sqref="V18">
    <cfRule type="cellIs" dxfId="11679" priority="1109" operator="greaterThan">
      <formula>V17</formula>
    </cfRule>
    <cfRule type="cellIs" dxfId="11678" priority="1110" operator="equal">
      <formula>0</formula>
    </cfRule>
  </conditionalFormatting>
  <conditionalFormatting sqref="V16">
    <cfRule type="cellIs" dxfId="11677" priority="1107" operator="greaterThan">
      <formula>V15</formula>
    </cfRule>
    <cfRule type="cellIs" dxfId="11676" priority="1108" operator="equal">
      <formula>0</formula>
    </cfRule>
  </conditionalFormatting>
  <conditionalFormatting sqref="V16">
    <cfRule type="cellIs" dxfId="11675" priority="1105" operator="greaterThan">
      <formula>V15</formula>
    </cfRule>
    <cfRule type="cellIs" dxfId="11674" priority="1106" operator="equal">
      <formula>0</formula>
    </cfRule>
  </conditionalFormatting>
  <conditionalFormatting sqref="V16">
    <cfRule type="cellIs" dxfId="11673" priority="1103" operator="greaterThan">
      <formula>V15</formula>
    </cfRule>
    <cfRule type="cellIs" dxfId="11672" priority="1104" operator="equal">
      <formula>0</formula>
    </cfRule>
  </conditionalFormatting>
  <conditionalFormatting sqref="V16">
    <cfRule type="cellIs" dxfId="11671" priority="1101" operator="greaterThan">
      <formula>V15</formula>
    </cfRule>
    <cfRule type="cellIs" dxfId="11670" priority="1102" operator="equal">
      <formula>0</formula>
    </cfRule>
  </conditionalFormatting>
  <conditionalFormatting sqref="V19">
    <cfRule type="cellIs" dxfId="11669" priority="1099" operator="greaterThan">
      <formula>V18</formula>
    </cfRule>
    <cfRule type="cellIs" dxfId="11668" priority="1100" operator="equal">
      <formula>0</formula>
    </cfRule>
  </conditionalFormatting>
  <conditionalFormatting sqref="V19">
    <cfRule type="cellIs" dxfId="11667" priority="1097" operator="greaterThan">
      <formula>V18</formula>
    </cfRule>
    <cfRule type="cellIs" dxfId="11666" priority="1098" operator="equal">
      <formula>0</formula>
    </cfRule>
  </conditionalFormatting>
  <conditionalFormatting sqref="V19">
    <cfRule type="cellIs" dxfId="11665" priority="1095" operator="greaterThan">
      <formula>V18</formula>
    </cfRule>
    <cfRule type="cellIs" dxfId="11664" priority="1096" operator="equal">
      <formula>0</formula>
    </cfRule>
  </conditionalFormatting>
  <conditionalFormatting sqref="V19">
    <cfRule type="cellIs" dxfId="11663" priority="1093" operator="greaterThan">
      <formula>V18</formula>
    </cfRule>
    <cfRule type="cellIs" dxfId="11662" priority="1094" operator="equal">
      <formula>0</formula>
    </cfRule>
  </conditionalFormatting>
  <conditionalFormatting sqref="V19">
    <cfRule type="cellIs" dxfId="11661" priority="1091" operator="greaterThan">
      <formula>V18</formula>
    </cfRule>
    <cfRule type="cellIs" dxfId="11660" priority="1092" operator="equal">
      <formula>0</formula>
    </cfRule>
  </conditionalFormatting>
  <conditionalFormatting sqref="V19">
    <cfRule type="cellIs" dxfId="11659" priority="1089" operator="greaterThan">
      <formula>V18</formula>
    </cfRule>
    <cfRule type="cellIs" dxfId="11658" priority="1090" operator="equal">
      <formula>0</formula>
    </cfRule>
  </conditionalFormatting>
  <conditionalFormatting sqref="V19">
    <cfRule type="cellIs" dxfId="11657" priority="1087" operator="greaterThan">
      <formula>V18</formula>
    </cfRule>
    <cfRule type="cellIs" dxfId="11656" priority="1088" operator="equal">
      <formula>0</formula>
    </cfRule>
  </conditionalFormatting>
  <conditionalFormatting sqref="V19">
    <cfRule type="cellIs" dxfId="11655" priority="1085" operator="greaterThan">
      <formula>V18</formula>
    </cfRule>
    <cfRule type="cellIs" dxfId="11654" priority="1086" operator="equal">
      <formula>0</formula>
    </cfRule>
  </conditionalFormatting>
  <conditionalFormatting sqref="V19">
    <cfRule type="cellIs" dxfId="11653" priority="1083" operator="greaterThan">
      <formula>V18</formula>
    </cfRule>
    <cfRule type="cellIs" dxfId="11652" priority="1084" operator="equal">
      <formula>0</formula>
    </cfRule>
  </conditionalFormatting>
  <conditionalFormatting sqref="V19">
    <cfRule type="cellIs" dxfId="11651" priority="1081" operator="greaterThan">
      <formula>V18</formula>
    </cfRule>
    <cfRule type="cellIs" dxfId="11650" priority="1082" operator="equal">
      <formula>0</formula>
    </cfRule>
  </conditionalFormatting>
  <conditionalFormatting sqref="V22">
    <cfRule type="cellIs" dxfId="11649" priority="1079" operator="greaterThan">
      <formula>V21</formula>
    </cfRule>
    <cfRule type="cellIs" dxfId="11648" priority="1080" operator="equal">
      <formula>0</formula>
    </cfRule>
  </conditionalFormatting>
  <conditionalFormatting sqref="V21">
    <cfRule type="cellIs" dxfId="11647" priority="1077" operator="greaterThan">
      <formula>V20</formula>
    </cfRule>
    <cfRule type="cellIs" dxfId="11646" priority="1078" operator="equal">
      <formula>0</formula>
    </cfRule>
  </conditionalFormatting>
  <conditionalFormatting sqref="V22">
    <cfRule type="cellIs" dxfId="11645" priority="1075" operator="greaterThan">
      <formula>V21</formula>
    </cfRule>
    <cfRule type="cellIs" dxfId="11644" priority="1076" operator="equal">
      <formula>0</formula>
    </cfRule>
  </conditionalFormatting>
  <conditionalFormatting sqref="V21">
    <cfRule type="cellIs" dxfId="11643" priority="1073" operator="greaterThan">
      <formula>V20</formula>
    </cfRule>
    <cfRule type="cellIs" dxfId="11642" priority="1074" operator="equal">
      <formula>0</formula>
    </cfRule>
  </conditionalFormatting>
  <conditionalFormatting sqref="V22">
    <cfRule type="cellIs" dxfId="11641" priority="1071" operator="greaterThan">
      <formula>V21</formula>
    </cfRule>
    <cfRule type="cellIs" dxfId="11640" priority="1072" operator="equal">
      <formula>0</formula>
    </cfRule>
  </conditionalFormatting>
  <conditionalFormatting sqref="V21">
    <cfRule type="cellIs" dxfId="11639" priority="1069" operator="greaterThan">
      <formula>V20</formula>
    </cfRule>
    <cfRule type="cellIs" dxfId="11638" priority="1070" operator="equal">
      <formula>0</formula>
    </cfRule>
  </conditionalFormatting>
  <conditionalFormatting sqref="V22">
    <cfRule type="cellIs" dxfId="11637" priority="1067" operator="greaterThan">
      <formula>V21</formula>
    </cfRule>
    <cfRule type="cellIs" dxfId="11636" priority="1068" operator="equal">
      <formula>0</formula>
    </cfRule>
  </conditionalFormatting>
  <conditionalFormatting sqref="V21">
    <cfRule type="cellIs" dxfId="11635" priority="1065" operator="greaterThan">
      <formula>V20</formula>
    </cfRule>
    <cfRule type="cellIs" dxfId="11634" priority="1066" operator="equal">
      <formula>0</formula>
    </cfRule>
  </conditionalFormatting>
  <conditionalFormatting sqref="V22">
    <cfRule type="cellIs" dxfId="11633" priority="1063" operator="greaterThan">
      <formula>V21</formula>
    </cfRule>
    <cfRule type="cellIs" dxfId="11632" priority="1064" operator="equal">
      <formula>0</formula>
    </cfRule>
  </conditionalFormatting>
  <conditionalFormatting sqref="V21">
    <cfRule type="cellIs" dxfId="11631" priority="1061" operator="greaterThan">
      <formula>V20</formula>
    </cfRule>
    <cfRule type="cellIs" dxfId="11630" priority="1062" operator="equal">
      <formula>0</formula>
    </cfRule>
  </conditionalFormatting>
  <conditionalFormatting sqref="V22">
    <cfRule type="cellIs" dxfId="11629" priority="1059" operator="greaterThan">
      <formula>V21</formula>
    </cfRule>
    <cfRule type="cellIs" dxfId="11628" priority="1060" operator="equal">
      <formula>0</formula>
    </cfRule>
  </conditionalFormatting>
  <conditionalFormatting sqref="V21">
    <cfRule type="cellIs" dxfId="11627" priority="1057" operator="greaterThan">
      <formula>V20</formula>
    </cfRule>
    <cfRule type="cellIs" dxfId="11626" priority="1058" operator="equal">
      <formula>0</formula>
    </cfRule>
  </conditionalFormatting>
  <conditionalFormatting sqref="V22">
    <cfRule type="cellIs" dxfId="11625" priority="1055" operator="greaterThan">
      <formula>V21</formula>
    </cfRule>
    <cfRule type="cellIs" dxfId="11624" priority="1056" operator="equal">
      <formula>0</formula>
    </cfRule>
  </conditionalFormatting>
  <conditionalFormatting sqref="V21">
    <cfRule type="cellIs" dxfId="11623" priority="1053" operator="greaterThan">
      <formula>V20</formula>
    </cfRule>
    <cfRule type="cellIs" dxfId="11622" priority="1054" operator="equal">
      <formula>0</formula>
    </cfRule>
  </conditionalFormatting>
  <conditionalFormatting sqref="V22">
    <cfRule type="cellIs" dxfId="11621" priority="1051" operator="greaterThan">
      <formula>V21</formula>
    </cfRule>
    <cfRule type="cellIs" dxfId="11620" priority="1052" operator="equal">
      <formula>0</formula>
    </cfRule>
  </conditionalFormatting>
  <conditionalFormatting sqref="V21">
    <cfRule type="cellIs" dxfId="11619" priority="1049" operator="greaterThan">
      <formula>V20</formula>
    </cfRule>
    <cfRule type="cellIs" dxfId="11618" priority="1050" operator="equal">
      <formula>0</formula>
    </cfRule>
  </conditionalFormatting>
  <conditionalFormatting sqref="V22">
    <cfRule type="cellIs" dxfId="11617" priority="1047" operator="greaterThan">
      <formula>V21</formula>
    </cfRule>
    <cfRule type="cellIs" dxfId="11616" priority="1048" operator="equal">
      <formula>0</formula>
    </cfRule>
  </conditionalFormatting>
  <conditionalFormatting sqref="V21">
    <cfRule type="cellIs" dxfId="11615" priority="1045" operator="greaterThan">
      <formula>V20</formula>
    </cfRule>
    <cfRule type="cellIs" dxfId="11614" priority="1046" operator="equal">
      <formula>0</formula>
    </cfRule>
  </conditionalFormatting>
  <conditionalFormatting sqref="V22">
    <cfRule type="cellIs" dxfId="11613" priority="1043" operator="greaterThan">
      <formula>V21</formula>
    </cfRule>
    <cfRule type="cellIs" dxfId="11612" priority="1044" operator="equal">
      <formula>0</formula>
    </cfRule>
  </conditionalFormatting>
  <conditionalFormatting sqref="V21">
    <cfRule type="cellIs" dxfId="11611" priority="1041" operator="greaterThan">
      <formula>V20</formula>
    </cfRule>
    <cfRule type="cellIs" dxfId="11610" priority="1042" operator="equal">
      <formula>0</formula>
    </cfRule>
  </conditionalFormatting>
  <conditionalFormatting sqref="V22">
    <cfRule type="cellIs" dxfId="11609" priority="1039" operator="greaterThan">
      <formula>V21</formula>
    </cfRule>
    <cfRule type="cellIs" dxfId="11608" priority="1040" operator="equal">
      <formula>0</formula>
    </cfRule>
  </conditionalFormatting>
  <conditionalFormatting sqref="V22">
    <cfRule type="cellIs" dxfId="11607" priority="1037" operator="greaterThan">
      <formula>V21</formula>
    </cfRule>
    <cfRule type="cellIs" dxfId="11606" priority="1038" operator="equal">
      <formula>0</formula>
    </cfRule>
  </conditionalFormatting>
  <conditionalFormatting sqref="V22">
    <cfRule type="cellIs" dxfId="11605" priority="1035" operator="greaterThan">
      <formula>V21</formula>
    </cfRule>
    <cfRule type="cellIs" dxfId="11604" priority="1036" operator="equal">
      <formula>0</formula>
    </cfRule>
  </conditionalFormatting>
  <conditionalFormatting sqref="V22">
    <cfRule type="cellIs" dxfId="11603" priority="1033" operator="greaterThan">
      <formula>V21</formula>
    </cfRule>
    <cfRule type="cellIs" dxfId="11602" priority="1034" operator="equal">
      <formula>0</formula>
    </cfRule>
  </conditionalFormatting>
  <conditionalFormatting sqref="V22">
    <cfRule type="cellIs" dxfId="11601" priority="1031" operator="greaterThan">
      <formula>V21</formula>
    </cfRule>
    <cfRule type="cellIs" dxfId="11600" priority="1032" operator="equal">
      <formula>0</formula>
    </cfRule>
  </conditionalFormatting>
  <conditionalFormatting sqref="V22">
    <cfRule type="cellIs" dxfId="11599" priority="1029" operator="greaterThan">
      <formula>V21</formula>
    </cfRule>
    <cfRule type="cellIs" dxfId="11598" priority="1030" operator="equal">
      <formula>0</formula>
    </cfRule>
  </conditionalFormatting>
  <conditionalFormatting sqref="V22">
    <cfRule type="cellIs" dxfId="11597" priority="1027" operator="greaterThan">
      <formula>V21</formula>
    </cfRule>
    <cfRule type="cellIs" dxfId="11596" priority="1028" operator="equal">
      <formula>0</formula>
    </cfRule>
  </conditionalFormatting>
  <conditionalFormatting sqref="V22">
    <cfRule type="cellIs" dxfId="11595" priority="1025" operator="greaterThan">
      <formula>V21</formula>
    </cfRule>
    <cfRule type="cellIs" dxfId="11594" priority="1026" operator="equal">
      <formula>0</formula>
    </cfRule>
  </conditionalFormatting>
  <conditionalFormatting sqref="V22">
    <cfRule type="cellIs" dxfId="11593" priority="1023" operator="greaterThan">
      <formula>V21</formula>
    </cfRule>
    <cfRule type="cellIs" dxfId="11592" priority="1024" operator="equal">
      <formula>0</formula>
    </cfRule>
  </conditionalFormatting>
  <conditionalFormatting sqref="V22">
    <cfRule type="cellIs" dxfId="11591" priority="1021" operator="greaterThan">
      <formula>V21</formula>
    </cfRule>
    <cfRule type="cellIs" dxfId="11590" priority="1022" operator="equal">
      <formula>0</formula>
    </cfRule>
  </conditionalFormatting>
  <conditionalFormatting sqref="V22">
    <cfRule type="cellIs" dxfId="11589" priority="1019" operator="greaterThan">
      <formula>V21</formula>
    </cfRule>
    <cfRule type="cellIs" dxfId="11588" priority="1020" operator="equal">
      <formula>0</formula>
    </cfRule>
  </conditionalFormatting>
  <conditionalFormatting sqref="V22">
    <cfRule type="cellIs" dxfId="11587" priority="1017" operator="greaterThan">
      <formula>V21</formula>
    </cfRule>
    <cfRule type="cellIs" dxfId="11586" priority="1018" operator="equal">
      <formula>0</formula>
    </cfRule>
  </conditionalFormatting>
  <conditionalFormatting sqref="V22">
    <cfRule type="cellIs" dxfId="11585" priority="1015" operator="greaterThan">
      <formula>V21</formula>
    </cfRule>
    <cfRule type="cellIs" dxfId="11584" priority="1016" operator="equal">
      <formula>0</formula>
    </cfRule>
  </conditionalFormatting>
  <conditionalFormatting sqref="V22">
    <cfRule type="cellIs" dxfId="11583" priority="1013" operator="greaterThan">
      <formula>V21</formula>
    </cfRule>
    <cfRule type="cellIs" dxfId="11582" priority="1014" operator="equal">
      <formula>0</formula>
    </cfRule>
  </conditionalFormatting>
  <conditionalFormatting sqref="V22">
    <cfRule type="cellIs" dxfId="11581" priority="1011" operator="greaterThan">
      <formula>V21</formula>
    </cfRule>
    <cfRule type="cellIs" dxfId="11580" priority="1012" operator="equal">
      <formula>0</formula>
    </cfRule>
  </conditionalFormatting>
  <conditionalFormatting sqref="V22">
    <cfRule type="cellIs" dxfId="11579" priority="1009" operator="greaterThan">
      <formula>V21</formula>
    </cfRule>
    <cfRule type="cellIs" dxfId="11578" priority="1010" operator="equal">
      <formula>0</formula>
    </cfRule>
  </conditionalFormatting>
  <conditionalFormatting sqref="V22">
    <cfRule type="cellIs" dxfId="11577" priority="1007" operator="greaterThan">
      <formula>V21</formula>
    </cfRule>
    <cfRule type="cellIs" dxfId="11576" priority="1008" operator="equal">
      <formula>0</formula>
    </cfRule>
  </conditionalFormatting>
  <conditionalFormatting sqref="V22">
    <cfRule type="cellIs" dxfId="11575" priority="1005" operator="greaterThan">
      <formula>V21</formula>
    </cfRule>
    <cfRule type="cellIs" dxfId="11574" priority="1006" operator="equal">
      <formula>0</formula>
    </cfRule>
  </conditionalFormatting>
  <conditionalFormatting sqref="V22">
    <cfRule type="cellIs" dxfId="11573" priority="1003" operator="greaterThan">
      <formula>V21</formula>
    </cfRule>
    <cfRule type="cellIs" dxfId="11572" priority="1004" operator="equal">
      <formula>0</formula>
    </cfRule>
  </conditionalFormatting>
  <conditionalFormatting sqref="V22">
    <cfRule type="cellIs" dxfId="11571" priority="1001" operator="greaterThan">
      <formula>V21</formula>
    </cfRule>
    <cfRule type="cellIs" dxfId="11570" priority="1002" operator="equal">
      <formula>0</formula>
    </cfRule>
  </conditionalFormatting>
  <conditionalFormatting sqref="V22">
    <cfRule type="cellIs" dxfId="11569" priority="999" operator="greaterThan">
      <formula>V21</formula>
    </cfRule>
    <cfRule type="cellIs" dxfId="11568" priority="1000" operator="equal">
      <formula>0</formula>
    </cfRule>
  </conditionalFormatting>
  <conditionalFormatting sqref="V22">
    <cfRule type="cellIs" dxfId="11567" priority="997" operator="greaterThan">
      <formula>V21</formula>
    </cfRule>
    <cfRule type="cellIs" dxfId="11566" priority="998" operator="equal">
      <formula>0</formula>
    </cfRule>
  </conditionalFormatting>
  <conditionalFormatting sqref="V22">
    <cfRule type="cellIs" dxfId="11565" priority="995" operator="greaterThan">
      <formula>V21</formula>
    </cfRule>
    <cfRule type="cellIs" dxfId="11564" priority="996" operator="equal">
      <formula>0</formula>
    </cfRule>
  </conditionalFormatting>
  <conditionalFormatting sqref="V22">
    <cfRule type="cellIs" dxfId="11563" priority="993" operator="greaterThan">
      <formula>V21</formula>
    </cfRule>
    <cfRule type="cellIs" dxfId="11562" priority="994" operator="equal">
      <formula>0</formula>
    </cfRule>
  </conditionalFormatting>
  <conditionalFormatting sqref="V22">
    <cfRule type="cellIs" dxfId="11561" priority="991" operator="greaterThan">
      <formula>V21</formula>
    </cfRule>
    <cfRule type="cellIs" dxfId="11560" priority="992" operator="equal">
      <formula>0</formula>
    </cfRule>
  </conditionalFormatting>
  <conditionalFormatting sqref="V22">
    <cfRule type="cellIs" dxfId="11559" priority="989" operator="greaterThan">
      <formula>V21</formula>
    </cfRule>
    <cfRule type="cellIs" dxfId="11558" priority="990" operator="equal">
      <formula>0</formula>
    </cfRule>
  </conditionalFormatting>
  <conditionalFormatting sqref="V22">
    <cfRule type="cellIs" dxfId="11557" priority="987" operator="greaterThan">
      <formula>V21</formula>
    </cfRule>
    <cfRule type="cellIs" dxfId="11556" priority="988" operator="equal">
      <formula>0</formula>
    </cfRule>
  </conditionalFormatting>
  <conditionalFormatting sqref="V22">
    <cfRule type="cellIs" dxfId="11555" priority="985" operator="greaterThan">
      <formula>V21</formula>
    </cfRule>
    <cfRule type="cellIs" dxfId="11554" priority="986" operator="equal">
      <formula>0</formula>
    </cfRule>
  </conditionalFormatting>
  <conditionalFormatting sqref="V24">
    <cfRule type="cellIs" dxfId="11553" priority="983" operator="greaterThan">
      <formula>V23</formula>
    </cfRule>
    <cfRule type="cellIs" dxfId="11552" priority="984" operator="equal">
      <formula>0</formula>
    </cfRule>
  </conditionalFormatting>
  <conditionalFormatting sqref="V24">
    <cfRule type="cellIs" dxfId="11551" priority="981" operator="greaterThan">
      <formula>V23</formula>
    </cfRule>
    <cfRule type="cellIs" dxfId="11550" priority="982" operator="equal">
      <formula>0</formula>
    </cfRule>
  </conditionalFormatting>
  <conditionalFormatting sqref="V24">
    <cfRule type="cellIs" dxfId="11549" priority="979" operator="greaterThan">
      <formula>V23</formula>
    </cfRule>
    <cfRule type="cellIs" dxfId="11548" priority="980" operator="equal">
      <formula>0</formula>
    </cfRule>
  </conditionalFormatting>
  <conditionalFormatting sqref="V24">
    <cfRule type="cellIs" dxfId="11547" priority="977" operator="greaterThan">
      <formula>V23</formula>
    </cfRule>
    <cfRule type="cellIs" dxfId="11546" priority="978" operator="equal">
      <formula>0</formula>
    </cfRule>
  </conditionalFormatting>
  <conditionalFormatting sqref="V24">
    <cfRule type="cellIs" dxfId="11545" priority="975" operator="greaterThan">
      <formula>V23</formula>
    </cfRule>
    <cfRule type="cellIs" dxfId="11544" priority="976" operator="equal">
      <formula>0</formula>
    </cfRule>
  </conditionalFormatting>
  <conditionalFormatting sqref="V24">
    <cfRule type="cellIs" dxfId="11543" priority="973" operator="greaterThan">
      <formula>V23</formula>
    </cfRule>
    <cfRule type="cellIs" dxfId="11542" priority="974" operator="equal">
      <formula>0</formula>
    </cfRule>
  </conditionalFormatting>
  <conditionalFormatting sqref="V24">
    <cfRule type="cellIs" dxfId="11541" priority="971" operator="greaterThan">
      <formula>V23</formula>
    </cfRule>
    <cfRule type="cellIs" dxfId="11540" priority="972" operator="equal">
      <formula>0</formula>
    </cfRule>
  </conditionalFormatting>
  <conditionalFormatting sqref="V24">
    <cfRule type="cellIs" dxfId="11539" priority="969" operator="greaterThan">
      <formula>V23</formula>
    </cfRule>
    <cfRule type="cellIs" dxfId="11538" priority="970" operator="equal">
      <formula>0</formula>
    </cfRule>
  </conditionalFormatting>
  <conditionalFormatting sqref="V24">
    <cfRule type="cellIs" dxfId="11537" priority="967" operator="greaterThan">
      <formula>V23</formula>
    </cfRule>
    <cfRule type="cellIs" dxfId="11536" priority="968" operator="equal">
      <formula>0</formula>
    </cfRule>
  </conditionalFormatting>
  <conditionalFormatting sqref="V24">
    <cfRule type="cellIs" dxfId="11535" priority="965" operator="greaterThan">
      <formula>V23</formula>
    </cfRule>
    <cfRule type="cellIs" dxfId="11534" priority="966" operator="equal">
      <formula>0</formula>
    </cfRule>
  </conditionalFormatting>
  <conditionalFormatting sqref="V24">
    <cfRule type="cellIs" dxfId="11533" priority="963" operator="greaterThan">
      <formula>V23</formula>
    </cfRule>
    <cfRule type="cellIs" dxfId="11532" priority="964" operator="equal">
      <formula>0</formula>
    </cfRule>
  </conditionalFormatting>
  <conditionalFormatting sqref="V24">
    <cfRule type="cellIs" dxfId="11531" priority="961" operator="greaterThan">
      <formula>V23</formula>
    </cfRule>
    <cfRule type="cellIs" dxfId="11530" priority="962" operator="equal">
      <formula>0</formula>
    </cfRule>
  </conditionalFormatting>
  <conditionalFormatting sqref="V24">
    <cfRule type="cellIs" dxfId="11529" priority="959" operator="greaterThan">
      <formula>V23</formula>
    </cfRule>
    <cfRule type="cellIs" dxfId="11528" priority="960" operator="equal">
      <formula>0</formula>
    </cfRule>
  </conditionalFormatting>
  <conditionalFormatting sqref="V24">
    <cfRule type="cellIs" dxfId="11527" priority="957" operator="greaterThan">
      <formula>V23</formula>
    </cfRule>
    <cfRule type="cellIs" dxfId="11526" priority="958" operator="equal">
      <formula>0</formula>
    </cfRule>
  </conditionalFormatting>
  <conditionalFormatting sqref="V24">
    <cfRule type="cellIs" dxfId="11525" priority="955" operator="greaterThan">
      <formula>V23</formula>
    </cfRule>
    <cfRule type="cellIs" dxfId="11524" priority="956" operator="equal">
      <formula>0</formula>
    </cfRule>
  </conditionalFormatting>
  <conditionalFormatting sqref="V24">
    <cfRule type="cellIs" dxfId="11523" priority="953" operator="greaterThan">
      <formula>V23</formula>
    </cfRule>
    <cfRule type="cellIs" dxfId="11522" priority="954" operator="equal">
      <formula>0</formula>
    </cfRule>
  </conditionalFormatting>
  <conditionalFormatting sqref="V24">
    <cfRule type="cellIs" dxfId="11521" priority="951" operator="greaterThan">
      <formula>V23</formula>
    </cfRule>
    <cfRule type="cellIs" dxfId="11520" priority="952" operator="equal">
      <formula>0</formula>
    </cfRule>
  </conditionalFormatting>
  <conditionalFormatting sqref="V24">
    <cfRule type="cellIs" dxfId="11519" priority="949" operator="greaterThan">
      <formula>V23</formula>
    </cfRule>
    <cfRule type="cellIs" dxfId="11518" priority="950" operator="equal">
      <formula>0</formula>
    </cfRule>
  </conditionalFormatting>
  <conditionalFormatting sqref="V25">
    <cfRule type="cellIs" dxfId="11517" priority="947" operator="greaterThan">
      <formula>V24</formula>
    </cfRule>
    <cfRule type="cellIs" dxfId="11516" priority="948" operator="equal">
      <formula>0</formula>
    </cfRule>
  </conditionalFormatting>
  <conditionalFormatting sqref="V25">
    <cfRule type="cellIs" dxfId="11515" priority="945" operator="greaterThan">
      <formula>V24</formula>
    </cfRule>
    <cfRule type="cellIs" dxfId="11514" priority="946" operator="equal">
      <formula>0</formula>
    </cfRule>
  </conditionalFormatting>
  <conditionalFormatting sqref="V25">
    <cfRule type="cellIs" dxfId="11513" priority="943" operator="greaterThan">
      <formula>V24</formula>
    </cfRule>
    <cfRule type="cellIs" dxfId="11512" priority="944" operator="equal">
      <formula>0</formula>
    </cfRule>
  </conditionalFormatting>
  <conditionalFormatting sqref="V25">
    <cfRule type="cellIs" dxfId="11511" priority="941" operator="greaterThan">
      <formula>V24</formula>
    </cfRule>
    <cfRule type="cellIs" dxfId="11510" priority="942" operator="equal">
      <formula>0</formula>
    </cfRule>
  </conditionalFormatting>
  <conditionalFormatting sqref="V25">
    <cfRule type="cellIs" dxfId="11509" priority="939" operator="greaterThan">
      <formula>V24</formula>
    </cfRule>
    <cfRule type="cellIs" dxfId="11508" priority="940" operator="equal">
      <formula>0</formula>
    </cfRule>
  </conditionalFormatting>
  <conditionalFormatting sqref="V25">
    <cfRule type="cellIs" dxfId="11507" priority="937" operator="greaterThan">
      <formula>V24</formula>
    </cfRule>
    <cfRule type="cellIs" dxfId="11506" priority="938" operator="equal">
      <formula>0</formula>
    </cfRule>
  </conditionalFormatting>
  <conditionalFormatting sqref="V25">
    <cfRule type="cellIs" dxfId="11505" priority="935" operator="greaterThan">
      <formula>V24</formula>
    </cfRule>
    <cfRule type="cellIs" dxfId="11504" priority="936" operator="equal">
      <formula>0</formula>
    </cfRule>
  </conditionalFormatting>
  <conditionalFormatting sqref="V25">
    <cfRule type="cellIs" dxfId="11503" priority="933" operator="greaterThan">
      <formula>V24</formula>
    </cfRule>
    <cfRule type="cellIs" dxfId="11502" priority="934" operator="equal">
      <formula>0</formula>
    </cfRule>
  </conditionalFormatting>
  <conditionalFormatting sqref="V25">
    <cfRule type="cellIs" dxfId="11501" priority="931" operator="greaterThan">
      <formula>V24</formula>
    </cfRule>
    <cfRule type="cellIs" dxfId="11500" priority="932" operator="equal">
      <formula>0</formula>
    </cfRule>
  </conditionalFormatting>
  <conditionalFormatting sqref="V25">
    <cfRule type="cellIs" dxfId="11499" priority="929" operator="greaterThan">
      <formula>V24</formula>
    </cfRule>
    <cfRule type="cellIs" dxfId="11498" priority="930" operator="equal">
      <formula>0</formula>
    </cfRule>
  </conditionalFormatting>
  <conditionalFormatting sqref="V25">
    <cfRule type="cellIs" dxfId="11497" priority="927" operator="greaterThan">
      <formula>V24</formula>
    </cfRule>
    <cfRule type="cellIs" dxfId="11496" priority="928" operator="equal">
      <formula>0</formula>
    </cfRule>
  </conditionalFormatting>
  <conditionalFormatting sqref="V25">
    <cfRule type="cellIs" dxfId="11495" priority="925" operator="greaterThan">
      <formula>V24</formula>
    </cfRule>
    <cfRule type="cellIs" dxfId="11494" priority="926" operator="equal">
      <formula>0</formula>
    </cfRule>
  </conditionalFormatting>
  <conditionalFormatting sqref="V25">
    <cfRule type="cellIs" dxfId="11493" priority="923" operator="greaterThan">
      <formula>V24</formula>
    </cfRule>
    <cfRule type="cellIs" dxfId="11492" priority="924" operator="equal">
      <formula>0</formula>
    </cfRule>
  </conditionalFormatting>
  <conditionalFormatting sqref="V25">
    <cfRule type="cellIs" dxfId="11491" priority="921" operator="greaterThan">
      <formula>V24</formula>
    </cfRule>
    <cfRule type="cellIs" dxfId="11490" priority="922" operator="equal">
      <formula>0</formula>
    </cfRule>
  </conditionalFormatting>
  <conditionalFormatting sqref="V25">
    <cfRule type="cellIs" dxfId="11489" priority="919" operator="greaterThan">
      <formula>V24</formula>
    </cfRule>
    <cfRule type="cellIs" dxfId="11488" priority="920" operator="equal">
      <formula>0</formula>
    </cfRule>
  </conditionalFormatting>
  <conditionalFormatting sqref="V25">
    <cfRule type="cellIs" dxfId="11487" priority="917" operator="greaterThan">
      <formula>V24</formula>
    </cfRule>
    <cfRule type="cellIs" dxfId="11486" priority="918" operator="equal">
      <formula>0</formula>
    </cfRule>
  </conditionalFormatting>
  <conditionalFormatting sqref="V25">
    <cfRule type="cellIs" dxfId="11485" priority="915" operator="greaterThan">
      <formula>V24</formula>
    </cfRule>
    <cfRule type="cellIs" dxfId="11484" priority="916" operator="equal">
      <formula>0</formula>
    </cfRule>
  </conditionalFormatting>
  <conditionalFormatting sqref="V25">
    <cfRule type="cellIs" dxfId="11483" priority="913" operator="greaterThan">
      <formula>V24</formula>
    </cfRule>
    <cfRule type="cellIs" dxfId="11482" priority="914" operator="equal">
      <formula>0</formula>
    </cfRule>
  </conditionalFormatting>
  <conditionalFormatting sqref="V25">
    <cfRule type="cellIs" dxfId="11481" priority="911" operator="greaterThan">
      <formula>V24</formula>
    </cfRule>
    <cfRule type="cellIs" dxfId="11480" priority="912" operator="equal">
      <formula>0</formula>
    </cfRule>
  </conditionalFormatting>
  <conditionalFormatting sqref="V25">
    <cfRule type="cellIs" dxfId="11479" priority="909" operator="greaterThan">
      <formula>V24</formula>
    </cfRule>
    <cfRule type="cellIs" dxfId="11478" priority="910" operator="equal">
      <formula>0</formula>
    </cfRule>
  </conditionalFormatting>
  <conditionalFormatting sqref="V25">
    <cfRule type="cellIs" dxfId="11477" priority="907" operator="greaterThan">
      <formula>V24</formula>
    </cfRule>
    <cfRule type="cellIs" dxfId="11476" priority="908" operator="equal">
      <formula>0</formula>
    </cfRule>
  </conditionalFormatting>
  <conditionalFormatting sqref="V25">
    <cfRule type="cellIs" dxfId="11475" priority="905" operator="greaterThan">
      <formula>V24</formula>
    </cfRule>
    <cfRule type="cellIs" dxfId="11474" priority="906" operator="equal">
      <formula>0</formula>
    </cfRule>
  </conditionalFormatting>
  <conditionalFormatting sqref="V25">
    <cfRule type="cellIs" dxfId="11473" priority="903" operator="greaterThan">
      <formula>V24</formula>
    </cfRule>
    <cfRule type="cellIs" dxfId="11472" priority="904" operator="equal">
      <formula>0</formula>
    </cfRule>
  </conditionalFormatting>
  <conditionalFormatting sqref="V25">
    <cfRule type="cellIs" dxfId="11471" priority="901" operator="greaterThan">
      <formula>V24</formula>
    </cfRule>
    <cfRule type="cellIs" dxfId="11470" priority="902" operator="equal">
      <formula>0</formula>
    </cfRule>
  </conditionalFormatting>
  <conditionalFormatting sqref="V25">
    <cfRule type="cellIs" dxfId="11469" priority="899" operator="greaterThan">
      <formula>V24</formula>
    </cfRule>
    <cfRule type="cellIs" dxfId="11468" priority="900" operator="equal">
      <formula>0</formula>
    </cfRule>
  </conditionalFormatting>
  <conditionalFormatting sqref="V25">
    <cfRule type="cellIs" dxfId="11467" priority="897" operator="greaterThan">
      <formula>V24</formula>
    </cfRule>
    <cfRule type="cellIs" dxfId="11466" priority="898" operator="equal">
      <formula>0</formula>
    </cfRule>
  </conditionalFormatting>
  <conditionalFormatting sqref="V25">
    <cfRule type="cellIs" dxfId="11465" priority="895" operator="greaterThan">
      <formula>V24</formula>
    </cfRule>
    <cfRule type="cellIs" dxfId="11464" priority="896" operator="equal">
      <formula>0</formula>
    </cfRule>
  </conditionalFormatting>
  <conditionalFormatting sqref="V25">
    <cfRule type="cellIs" dxfId="11463" priority="893" operator="greaterThan">
      <formula>V24</formula>
    </cfRule>
    <cfRule type="cellIs" dxfId="11462" priority="894" operator="equal">
      <formula>0</formula>
    </cfRule>
  </conditionalFormatting>
  <conditionalFormatting sqref="V27">
    <cfRule type="cellIs" dxfId="11461" priority="891" operator="greaterThan">
      <formula>V26</formula>
    </cfRule>
    <cfRule type="cellIs" dxfId="11460" priority="892" operator="equal">
      <formula>0</formula>
    </cfRule>
  </conditionalFormatting>
  <conditionalFormatting sqref="V27">
    <cfRule type="cellIs" dxfId="11459" priority="889" operator="greaterThan">
      <formula>V26</formula>
    </cfRule>
    <cfRule type="cellIs" dxfId="11458" priority="890" operator="equal">
      <formula>0</formula>
    </cfRule>
  </conditionalFormatting>
  <conditionalFormatting sqref="V27">
    <cfRule type="cellIs" dxfId="11457" priority="887" operator="greaterThan">
      <formula>V26</formula>
    </cfRule>
    <cfRule type="cellIs" dxfId="11456" priority="888" operator="equal">
      <formula>0</formula>
    </cfRule>
  </conditionalFormatting>
  <conditionalFormatting sqref="V27">
    <cfRule type="cellIs" dxfId="11455" priority="885" operator="greaterThan">
      <formula>V26</formula>
    </cfRule>
    <cfRule type="cellIs" dxfId="11454" priority="886" operator="equal">
      <formula>0</formula>
    </cfRule>
  </conditionalFormatting>
  <conditionalFormatting sqref="V27">
    <cfRule type="cellIs" dxfId="11453" priority="883" operator="greaterThan">
      <formula>V26</formula>
    </cfRule>
    <cfRule type="cellIs" dxfId="11452" priority="884" operator="equal">
      <formula>0</formula>
    </cfRule>
  </conditionalFormatting>
  <conditionalFormatting sqref="V27">
    <cfRule type="cellIs" dxfId="11451" priority="881" operator="greaterThan">
      <formula>V26</formula>
    </cfRule>
    <cfRule type="cellIs" dxfId="11450" priority="882" operator="equal">
      <formula>0</formula>
    </cfRule>
  </conditionalFormatting>
  <conditionalFormatting sqref="V27">
    <cfRule type="cellIs" dxfId="11449" priority="879" operator="greaterThan">
      <formula>V26</formula>
    </cfRule>
    <cfRule type="cellIs" dxfId="11448" priority="880" operator="equal">
      <formula>0</formula>
    </cfRule>
  </conditionalFormatting>
  <conditionalFormatting sqref="V27">
    <cfRule type="cellIs" dxfId="11447" priority="877" operator="greaterThan">
      <formula>V26</formula>
    </cfRule>
    <cfRule type="cellIs" dxfId="11446" priority="878" operator="equal">
      <formula>0</formula>
    </cfRule>
  </conditionalFormatting>
  <conditionalFormatting sqref="V27">
    <cfRule type="cellIs" dxfId="11445" priority="875" operator="greaterThan">
      <formula>V26</formula>
    </cfRule>
    <cfRule type="cellIs" dxfId="11444" priority="876" operator="equal">
      <formula>0</formula>
    </cfRule>
  </conditionalFormatting>
  <conditionalFormatting sqref="V27">
    <cfRule type="cellIs" dxfId="11443" priority="873" operator="greaterThan">
      <formula>V26</formula>
    </cfRule>
    <cfRule type="cellIs" dxfId="11442" priority="874" operator="equal">
      <formula>0</formula>
    </cfRule>
  </conditionalFormatting>
  <conditionalFormatting sqref="V27">
    <cfRule type="cellIs" dxfId="11441" priority="871" operator="greaterThan">
      <formula>V26</formula>
    </cfRule>
    <cfRule type="cellIs" dxfId="11440" priority="872" operator="equal">
      <formula>0</formula>
    </cfRule>
  </conditionalFormatting>
  <conditionalFormatting sqref="V27">
    <cfRule type="cellIs" dxfId="11439" priority="869" operator="greaterThan">
      <formula>V26</formula>
    </cfRule>
    <cfRule type="cellIs" dxfId="11438" priority="870" operator="equal">
      <formula>0</formula>
    </cfRule>
  </conditionalFormatting>
  <conditionalFormatting sqref="V27">
    <cfRule type="cellIs" dxfId="11437" priority="867" operator="greaterThan">
      <formula>V26</formula>
    </cfRule>
    <cfRule type="cellIs" dxfId="11436" priority="868" operator="equal">
      <formula>0</formula>
    </cfRule>
  </conditionalFormatting>
  <conditionalFormatting sqref="V27">
    <cfRule type="cellIs" dxfId="11435" priority="865" operator="greaterThan">
      <formula>V26</formula>
    </cfRule>
    <cfRule type="cellIs" dxfId="11434" priority="866" operator="equal">
      <formula>0</formula>
    </cfRule>
  </conditionalFormatting>
  <conditionalFormatting sqref="V27">
    <cfRule type="cellIs" dxfId="11433" priority="863" operator="greaterThan">
      <formula>V26</formula>
    </cfRule>
    <cfRule type="cellIs" dxfId="11432" priority="864" operator="equal">
      <formula>0</formula>
    </cfRule>
  </conditionalFormatting>
  <conditionalFormatting sqref="V27">
    <cfRule type="cellIs" dxfId="11431" priority="861" operator="greaterThan">
      <formula>V26</formula>
    </cfRule>
    <cfRule type="cellIs" dxfId="11430" priority="862" operator="equal">
      <formula>0</formula>
    </cfRule>
  </conditionalFormatting>
  <conditionalFormatting sqref="V27">
    <cfRule type="cellIs" dxfId="11429" priority="859" operator="greaterThan">
      <formula>V26</formula>
    </cfRule>
    <cfRule type="cellIs" dxfId="11428" priority="860" operator="equal">
      <formula>0</formula>
    </cfRule>
  </conditionalFormatting>
  <conditionalFormatting sqref="V27">
    <cfRule type="cellIs" dxfId="11427" priority="857" operator="greaterThan">
      <formula>V26</formula>
    </cfRule>
    <cfRule type="cellIs" dxfId="11426" priority="858" operator="equal">
      <formula>0</formula>
    </cfRule>
  </conditionalFormatting>
  <conditionalFormatting sqref="V27">
    <cfRule type="cellIs" dxfId="11425" priority="855" operator="greaterThan">
      <formula>V26</formula>
    </cfRule>
    <cfRule type="cellIs" dxfId="11424" priority="856" operator="equal">
      <formula>0</formula>
    </cfRule>
  </conditionalFormatting>
  <conditionalFormatting sqref="V27">
    <cfRule type="cellIs" dxfId="11423" priority="853" operator="greaterThan">
      <formula>V26</formula>
    </cfRule>
    <cfRule type="cellIs" dxfId="11422" priority="854" operator="equal">
      <formula>0</formula>
    </cfRule>
  </conditionalFormatting>
  <conditionalFormatting sqref="V27">
    <cfRule type="cellIs" dxfId="11421" priority="851" operator="greaterThan">
      <formula>V26</formula>
    </cfRule>
    <cfRule type="cellIs" dxfId="11420" priority="852" operator="equal">
      <formula>0</formula>
    </cfRule>
  </conditionalFormatting>
  <conditionalFormatting sqref="V27">
    <cfRule type="cellIs" dxfId="11419" priority="849" operator="greaterThan">
      <formula>V26</formula>
    </cfRule>
    <cfRule type="cellIs" dxfId="11418" priority="850" operator="equal">
      <formula>0</formula>
    </cfRule>
  </conditionalFormatting>
  <conditionalFormatting sqref="V27">
    <cfRule type="cellIs" dxfId="11417" priority="847" operator="greaterThan">
      <formula>V26</formula>
    </cfRule>
    <cfRule type="cellIs" dxfId="11416" priority="848" operator="equal">
      <formula>0</formula>
    </cfRule>
  </conditionalFormatting>
  <conditionalFormatting sqref="V27">
    <cfRule type="cellIs" dxfId="11415" priority="845" operator="greaterThan">
      <formula>V26</formula>
    </cfRule>
    <cfRule type="cellIs" dxfId="11414" priority="846" operator="equal">
      <formula>0</formula>
    </cfRule>
  </conditionalFormatting>
  <conditionalFormatting sqref="V27">
    <cfRule type="cellIs" dxfId="11413" priority="843" operator="greaterThan">
      <formula>V26</formula>
    </cfRule>
    <cfRule type="cellIs" dxfId="11412" priority="844" operator="equal">
      <formula>0</formula>
    </cfRule>
  </conditionalFormatting>
  <conditionalFormatting sqref="V27">
    <cfRule type="cellIs" dxfId="11411" priority="841" operator="greaterThan">
      <formula>V26</formula>
    </cfRule>
    <cfRule type="cellIs" dxfId="11410" priority="842" operator="equal">
      <formula>0</formula>
    </cfRule>
  </conditionalFormatting>
  <conditionalFormatting sqref="V27">
    <cfRule type="cellIs" dxfId="11409" priority="839" operator="greaterThan">
      <formula>V26</formula>
    </cfRule>
    <cfRule type="cellIs" dxfId="11408" priority="840" operator="equal">
      <formula>0</formula>
    </cfRule>
  </conditionalFormatting>
  <conditionalFormatting sqref="V27">
    <cfRule type="cellIs" dxfId="11407" priority="837" operator="greaterThan">
      <formula>V26</formula>
    </cfRule>
    <cfRule type="cellIs" dxfId="11406" priority="838" operator="equal">
      <formula>0</formula>
    </cfRule>
  </conditionalFormatting>
  <conditionalFormatting sqref="V27">
    <cfRule type="cellIs" dxfId="11405" priority="835" operator="greaterThan">
      <formula>V26</formula>
    </cfRule>
    <cfRule type="cellIs" dxfId="11404" priority="836" operator="equal">
      <formula>0</formula>
    </cfRule>
  </conditionalFormatting>
  <conditionalFormatting sqref="V28">
    <cfRule type="cellIs" dxfId="11403" priority="833" operator="greaterThan">
      <formula>V27</formula>
    </cfRule>
    <cfRule type="cellIs" dxfId="11402" priority="834" operator="equal">
      <formula>0</formula>
    </cfRule>
  </conditionalFormatting>
  <conditionalFormatting sqref="V28">
    <cfRule type="cellIs" dxfId="11401" priority="831" operator="greaterThan">
      <formula>V27</formula>
    </cfRule>
    <cfRule type="cellIs" dxfId="11400" priority="832" operator="equal">
      <formula>0</formula>
    </cfRule>
  </conditionalFormatting>
  <conditionalFormatting sqref="V28">
    <cfRule type="cellIs" dxfId="11399" priority="829" operator="greaterThan">
      <formula>V27</formula>
    </cfRule>
    <cfRule type="cellIs" dxfId="11398" priority="830" operator="equal">
      <formula>0</formula>
    </cfRule>
  </conditionalFormatting>
  <conditionalFormatting sqref="V28">
    <cfRule type="cellIs" dxfId="11397" priority="827" operator="greaterThan">
      <formula>V27</formula>
    </cfRule>
    <cfRule type="cellIs" dxfId="11396" priority="828" operator="equal">
      <formula>0</formula>
    </cfRule>
  </conditionalFormatting>
  <conditionalFormatting sqref="V28">
    <cfRule type="cellIs" dxfId="11395" priority="825" operator="greaterThan">
      <formula>V27</formula>
    </cfRule>
    <cfRule type="cellIs" dxfId="11394" priority="826" operator="equal">
      <formula>0</formula>
    </cfRule>
  </conditionalFormatting>
  <conditionalFormatting sqref="V28">
    <cfRule type="cellIs" dxfId="11393" priority="823" operator="greaterThan">
      <formula>V27</formula>
    </cfRule>
    <cfRule type="cellIs" dxfId="11392" priority="824" operator="equal">
      <formula>0</formula>
    </cfRule>
  </conditionalFormatting>
  <conditionalFormatting sqref="V28">
    <cfRule type="cellIs" dxfId="11391" priority="821" operator="greaterThan">
      <formula>V27</formula>
    </cfRule>
    <cfRule type="cellIs" dxfId="11390" priority="822" operator="equal">
      <formula>0</formula>
    </cfRule>
  </conditionalFormatting>
  <conditionalFormatting sqref="V28">
    <cfRule type="cellIs" dxfId="11389" priority="819" operator="greaterThan">
      <formula>V27</formula>
    </cfRule>
    <cfRule type="cellIs" dxfId="11388" priority="820" operator="equal">
      <formula>0</formula>
    </cfRule>
  </conditionalFormatting>
  <conditionalFormatting sqref="V28">
    <cfRule type="cellIs" dxfId="11387" priority="817" operator="greaterThan">
      <formula>V27</formula>
    </cfRule>
    <cfRule type="cellIs" dxfId="11386" priority="818" operator="equal">
      <formula>0</formula>
    </cfRule>
  </conditionalFormatting>
  <conditionalFormatting sqref="V28">
    <cfRule type="cellIs" dxfId="11385" priority="815" operator="greaterThan">
      <formula>V27</formula>
    </cfRule>
    <cfRule type="cellIs" dxfId="11384" priority="816" operator="equal">
      <formula>0</formula>
    </cfRule>
  </conditionalFormatting>
  <conditionalFormatting sqref="V28">
    <cfRule type="cellIs" dxfId="11383" priority="813" operator="greaterThan">
      <formula>V27</formula>
    </cfRule>
    <cfRule type="cellIs" dxfId="11382" priority="814" operator="equal">
      <formula>0</formula>
    </cfRule>
  </conditionalFormatting>
  <conditionalFormatting sqref="V28">
    <cfRule type="cellIs" dxfId="11381" priority="811" operator="greaterThan">
      <formula>V27</formula>
    </cfRule>
    <cfRule type="cellIs" dxfId="11380" priority="812" operator="equal">
      <formula>0</formula>
    </cfRule>
  </conditionalFormatting>
  <conditionalFormatting sqref="V28">
    <cfRule type="cellIs" dxfId="11379" priority="809" operator="greaterThan">
      <formula>V27</formula>
    </cfRule>
    <cfRule type="cellIs" dxfId="11378" priority="810" operator="equal">
      <formula>0</formula>
    </cfRule>
  </conditionalFormatting>
  <conditionalFormatting sqref="V28">
    <cfRule type="cellIs" dxfId="11377" priority="807" operator="greaterThan">
      <formula>V27</formula>
    </cfRule>
    <cfRule type="cellIs" dxfId="11376" priority="808" operator="equal">
      <formula>0</formula>
    </cfRule>
  </conditionalFormatting>
  <conditionalFormatting sqref="V28">
    <cfRule type="cellIs" dxfId="11375" priority="805" operator="greaterThan">
      <formula>V27</formula>
    </cfRule>
    <cfRule type="cellIs" dxfId="11374" priority="806" operator="equal">
      <formula>0</formula>
    </cfRule>
  </conditionalFormatting>
  <conditionalFormatting sqref="V28">
    <cfRule type="cellIs" dxfId="11373" priority="803" operator="greaterThan">
      <formula>V27</formula>
    </cfRule>
    <cfRule type="cellIs" dxfId="11372" priority="804" operator="equal">
      <formula>0</formula>
    </cfRule>
  </conditionalFormatting>
  <conditionalFormatting sqref="V28">
    <cfRule type="cellIs" dxfId="11371" priority="801" operator="greaterThan">
      <formula>V27</formula>
    </cfRule>
    <cfRule type="cellIs" dxfId="11370" priority="802" operator="equal">
      <formula>0</formula>
    </cfRule>
  </conditionalFormatting>
  <conditionalFormatting sqref="V28">
    <cfRule type="cellIs" dxfId="11369" priority="799" operator="greaterThan">
      <formula>V27</formula>
    </cfRule>
    <cfRule type="cellIs" dxfId="11368" priority="800" operator="equal">
      <formula>0</formula>
    </cfRule>
  </conditionalFormatting>
  <conditionalFormatting sqref="V28">
    <cfRule type="cellIs" dxfId="11367" priority="797" operator="greaterThan">
      <formula>V27</formula>
    </cfRule>
    <cfRule type="cellIs" dxfId="11366" priority="798" operator="equal">
      <formula>0</formula>
    </cfRule>
  </conditionalFormatting>
  <conditionalFormatting sqref="V28">
    <cfRule type="cellIs" dxfId="11365" priority="795" operator="greaterThan">
      <formula>V27</formula>
    </cfRule>
    <cfRule type="cellIs" dxfId="11364" priority="796" operator="equal">
      <formula>0</formula>
    </cfRule>
  </conditionalFormatting>
  <conditionalFormatting sqref="V28">
    <cfRule type="cellIs" dxfId="11363" priority="793" operator="greaterThan">
      <formula>V27</formula>
    </cfRule>
    <cfRule type="cellIs" dxfId="11362" priority="794" operator="equal">
      <formula>0</formula>
    </cfRule>
  </conditionalFormatting>
  <conditionalFormatting sqref="V28">
    <cfRule type="cellIs" dxfId="11361" priority="791" operator="greaterThan">
      <formula>V27</formula>
    </cfRule>
    <cfRule type="cellIs" dxfId="11360" priority="792" operator="equal">
      <formula>0</formula>
    </cfRule>
  </conditionalFormatting>
  <conditionalFormatting sqref="V28">
    <cfRule type="cellIs" dxfId="11359" priority="789" operator="greaterThan">
      <formula>V27</formula>
    </cfRule>
    <cfRule type="cellIs" dxfId="11358" priority="790" operator="equal">
      <formula>0</formula>
    </cfRule>
  </conditionalFormatting>
  <conditionalFormatting sqref="V28">
    <cfRule type="cellIs" dxfId="11357" priority="787" operator="greaterThan">
      <formula>V27</formula>
    </cfRule>
    <cfRule type="cellIs" dxfId="11356" priority="788" operator="equal">
      <formula>0</formula>
    </cfRule>
  </conditionalFormatting>
  <conditionalFormatting sqref="V28">
    <cfRule type="cellIs" dxfId="11355" priority="785" operator="greaterThan">
      <formula>V27</formula>
    </cfRule>
    <cfRule type="cellIs" dxfId="11354" priority="786" operator="equal">
      <formula>0</formula>
    </cfRule>
  </conditionalFormatting>
  <conditionalFormatting sqref="V28">
    <cfRule type="cellIs" dxfId="11353" priority="783" operator="greaterThan">
      <formula>V27</formula>
    </cfRule>
    <cfRule type="cellIs" dxfId="11352" priority="784" operator="equal">
      <formula>0</formula>
    </cfRule>
  </conditionalFormatting>
  <conditionalFormatting sqref="V28">
    <cfRule type="cellIs" dxfId="11351" priority="781" operator="greaterThan">
      <formula>V27</formula>
    </cfRule>
    <cfRule type="cellIs" dxfId="11350" priority="782" operator="equal">
      <formula>0</formula>
    </cfRule>
  </conditionalFormatting>
  <conditionalFormatting sqref="V28">
    <cfRule type="cellIs" dxfId="11349" priority="779" operator="greaterThan">
      <formula>V27</formula>
    </cfRule>
    <cfRule type="cellIs" dxfId="11348" priority="780" operator="equal">
      <formula>0</formula>
    </cfRule>
  </conditionalFormatting>
  <conditionalFormatting sqref="V28">
    <cfRule type="cellIs" dxfId="11347" priority="777" operator="greaterThan">
      <formula>V27</formula>
    </cfRule>
    <cfRule type="cellIs" dxfId="11346" priority="778" operator="equal">
      <formula>0</formula>
    </cfRule>
  </conditionalFormatting>
  <conditionalFormatting sqref="V28">
    <cfRule type="cellIs" dxfId="11345" priority="775" operator="greaterThan">
      <formula>V27</formula>
    </cfRule>
    <cfRule type="cellIs" dxfId="11344" priority="776" operator="equal">
      <formula>0</formula>
    </cfRule>
  </conditionalFormatting>
  <conditionalFormatting sqref="V28">
    <cfRule type="cellIs" dxfId="11343" priority="773" operator="greaterThan">
      <formula>V27</formula>
    </cfRule>
    <cfRule type="cellIs" dxfId="11342" priority="774" operator="equal">
      <formula>0</formula>
    </cfRule>
  </conditionalFormatting>
  <conditionalFormatting sqref="V28">
    <cfRule type="cellIs" dxfId="11341" priority="771" operator="greaterThan">
      <formula>V27</formula>
    </cfRule>
    <cfRule type="cellIs" dxfId="11340" priority="772" operator="equal">
      <formula>0</formula>
    </cfRule>
  </conditionalFormatting>
  <conditionalFormatting sqref="V28">
    <cfRule type="cellIs" dxfId="11339" priority="769" operator="greaterThan">
      <formula>V27</formula>
    </cfRule>
    <cfRule type="cellIs" dxfId="11338" priority="770" operator="equal">
      <formula>0</formula>
    </cfRule>
  </conditionalFormatting>
  <conditionalFormatting sqref="V28">
    <cfRule type="cellIs" dxfId="11337" priority="767" operator="greaterThan">
      <formula>V27</formula>
    </cfRule>
    <cfRule type="cellIs" dxfId="11336" priority="768" operator="equal">
      <formula>0</formula>
    </cfRule>
  </conditionalFormatting>
  <conditionalFormatting sqref="V28">
    <cfRule type="cellIs" dxfId="11335" priority="765" operator="greaterThan">
      <formula>V27</formula>
    </cfRule>
    <cfRule type="cellIs" dxfId="11334" priority="766" operator="equal">
      <formula>0</formula>
    </cfRule>
  </conditionalFormatting>
  <conditionalFormatting sqref="V28">
    <cfRule type="cellIs" dxfId="11333" priority="763" operator="greaterThan">
      <formula>V27</formula>
    </cfRule>
    <cfRule type="cellIs" dxfId="11332" priority="764" operator="equal">
      <formula>0</formula>
    </cfRule>
  </conditionalFormatting>
  <conditionalFormatting sqref="V28">
    <cfRule type="cellIs" dxfId="11331" priority="761" operator="greaterThan">
      <formula>V27</formula>
    </cfRule>
    <cfRule type="cellIs" dxfId="11330" priority="762" operator="equal">
      <formula>0</formula>
    </cfRule>
  </conditionalFormatting>
  <conditionalFormatting sqref="V28">
    <cfRule type="cellIs" dxfId="11329" priority="759" operator="greaterThan">
      <formula>V27</formula>
    </cfRule>
    <cfRule type="cellIs" dxfId="11328" priority="760" operator="equal">
      <formula>0</formula>
    </cfRule>
  </conditionalFormatting>
  <conditionalFormatting sqref="V28">
    <cfRule type="cellIs" dxfId="11327" priority="757" operator="greaterThan">
      <formula>V27</formula>
    </cfRule>
    <cfRule type="cellIs" dxfId="11326" priority="758" operator="equal">
      <formula>0</formula>
    </cfRule>
  </conditionalFormatting>
  <conditionalFormatting sqref="V28">
    <cfRule type="cellIs" dxfId="11325" priority="755" operator="greaterThan">
      <formula>V27</formula>
    </cfRule>
    <cfRule type="cellIs" dxfId="11324" priority="756" operator="equal">
      <formula>0</formula>
    </cfRule>
  </conditionalFormatting>
  <conditionalFormatting sqref="V28">
    <cfRule type="cellIs" dxfId="11323" priority="753" operator="greaterThan">
      <formula>V27</formula>
    </cfRule>
    <cfRule type="cellIs" dxfId="11322" priority="754" operator="equal">
      <formula>0</formula>
    </cfRule>
  </conditionalFormatting>
  <conditionalFormatting sqref="V28">
    <cfRule type="cellIs" dxfId="11321" priority="751" operator="greaterThan">
      <formula>V27</formula>
    </cfRule>
    <cfRule type="cellIs" dxfId="11320" priority="752" operator="equal">
      <formula>0</formula>
    </cfRule>
  </conditionalFormatting>
  <conditionalFormatting sqref="V28">
    <cfRule type="cellIs" dxfId="11319" priority="749" operator="greaterThan">
      <formula>V27</formula>
    </cfRule>
    <cfRule type="cellIs" dxfId="11318" priority="750" operator="equal">
      <formula>0</formula>
    </cfRule>
  </conditionalFormatting>
  <conditionalFormatting sqref="V28">
    <cfRule type="cellIs" dxfId="11317" priority="747" operator="greaterThan">
      <formula>V27</formula>
    </cfRule>
    <cfRule type="cellIs" dxfId="11316" priority="748" operator="equal">
      <formula>0</formula>
    </cfRule>
  </conditionalFormatting>
  <conditionalFormatting sqref="V28">
    <cfRule type="cellIs" dxfId="11315" priority="745" operator="greaterThan">
      <formula>V27</formula>
    </cfRule>
    <cfRule type="cellIs" dxfId="11314" priority="746" operator="equal">
      <formula>0</formula>
    </cfRule>
  </conditionalFormatting>
  <conditionalFormatting sqref="V28">
    <cfRule type="cellIs" dxfId="11313" priority="743" operator="greaterThan">
      <formula>V27</formula>
    </cfRule>
    <cfRule type="cellIs" dxfId="11312" priority="744" operator="equal">
      <formula>0</formula>
    </cfRule>
  </conditionalFormatting>
  <conditionalFormatting sqref="V28">
    <cfRule type="cellIs" dxfId="11311" priority="741" operator="greaterThan">
      <formula>V27</formula>
    </cfRule>
    <cfRule type="cellIs" dxfId="11310" priority="742" operator="equal">
      <formula>0</formula>
    </cfRule>
  </conditionalFormatting>
  <conditionalFormatting sqref="V28">
    <cfRule type="cellIs" dxfId="11309" priority="739" operator="greaterThan">
      <formula>V27</formula>
    </cfRule>
    <cfRule type="cellIs" dxfId="11308" priority="740" operator="equal">
      <formula>0</formula>
    </cfRule>
  </conditionalFormatting>
  <conditionalFormatting sqref="V28">
    <cfRule type="cellIs" dxfId="11307" priority="737" operator="greaterThan">
      <formula>V27</formula>
    </cfRule>
    <cfRule type="cellIs" dxfId="11306" priority="738" operator="equal">
      <formula>0</formula>
    </cfRule>
  </conditionalFormatting>
  <conditionalFormatting sqref="V28">
    <cfRule type="cellIs" dxfId="11305" priority="735" operator="greaterThan">
      <formula>V27</formula>
    </cfRule>
    <cfRule type="cellIs" dxfId="11304" priority="736" operator="equal">
      <formula>0</formula>
    </cfRule>
  </conditionalFormatting>
  <conditionalFormatting sqref="V28">
    <cfRule type="cellIs" dxfId="11303" priority="733" operator="greaterThan">
      <formula>V27</formula>
    </cfRule>
    <cfRule type="cellIs" dxfId="11302" priority="734" operator="equal">
      <formula>0</formula>
    </cfRule>
  </conditionalFormatting>
  <conditionalFormatting sqref="V28">
    <cfRule type="cellIs" dxfId="11301" priority="731" operator="greaterThan">
      <formula>V27</formula>
    </cfRule>
    <cfRule type="cellIs" dxfId="11300" priority="732" operator="equal">
      <formula>0</formula>
    </cfRule>
  </conditionalFormatting>
  <conditionalFormatting sqref="V28">
    <cfRule type="cellIs" dxfId="11299" priority="729" operator="greaterThan">
      <formula>V27</formula>
    </cfRule>
    <cfRule type="cellIs" dxfId="11298" priority="730" operator="equal">
      <formula>0</formula>
    </cfRule>
  </conditionalFormatting>
  <conditionalFormatting sqref="V28">
    <cfRule type="cellIs" dxfId="11297" priority="727" operator="greaterThan">
      <formula>V27</formula>
    </cfRule>
    <cfRule type="cellIs" dxfId="11296" priority="728" operator="equal">
      <formula>0</formula>
    </cfRule>
  </conditionalFormatting>
  <conditionalFormatting sqref="V28">
    <cfRule type="cellIs" dxfId="11295" priority="725" operator="greaterThan">
      <formula>V27</formula>
    </cfRule>
    <cfRule type="cellIs" dxfId="11294" priority="726" operator="equal">
      <formula>0</formula>
    </cfRule>
  </conditionalFormatting>
  <conditionalFormatting sqref="V28">
    <cfRule type="cellIs" dxfId="11293" priority="723" operator="greaterThan">
      <formula>V27</formula>
    </cfRule>
    <cfRule type="cellIs" dxfId="11292" priority="724" operator="equal">
      <formula>0</formula>
    </cfRule>
  </conditionalFormatting>
  <conditionalFormatting sqref="V28">
    <cfRule type="cellIs" dxfId="11291" priority="721" operator="greaterThan">
      <formula>V27</formula>
    </cfRule>
    <cfRule type="cellIs" dxfId="11290" priority="722" operator="equal">
      <formula>0</formula>
    </cfRule>
  </conditionalFormatting>
  <conditionalFormatting sqref="V28">
    <cfRule type="cellIs" dxfId="11289" priority="719" operator="greaterThan">
      <formula>V27</formula>
    </cfRule>
    <cfRule type="cellIs" dxfId="11288" priority="720" operator="equal">
      <formula>0</formula>
    </cfRule>
  </conditionalFormatting>
  <conditionalFormatting sqref="V28">
    <cfRule type="cellIs" dxfId="11287" priority="717" operator="greaterThan">
      <formula>V27</formula>
    </cfRule>
    <cfRule type="cellIs" dxfId="11286" priority="718" operator="equal">
      <formula>0</formula>
    </cfRule>
  </conditionalFormatting>
  <conditionalFormatting sqref="V28">
    <cfRule type="cellIs" dxfId="11285" priority="715" operator="greaterThan">
      <formula>V27</formula>
    </cfRule>
    <cfRule type="cellIs" dxfId="11284" priority="716" operator="equal">
      <formula>0</formula>
    </cfRule>
  </conditionalFormatting>
  <conditionalFormatting sqref="V28">
    <cfRule type="cellIs" dxfId="11283" priority="713" operator="greaterThan">
      <formula>V27</formula>
    </cfRule>
    <cfRule type="cellIs" dxfId="11282" priority="714" operator="equal">
      <formula>0</formula>
    </cfRule>
  </conditionalFormatting>
  <conditionalFormatting sqref="V28">
    <cfRule type="cellIs" dxfId="11281" priority="711" operator="greaterThan">
      <formula>V27</formula>
    </cfRule>
    <cfRule type="cellIs" dxfId="11280" priority="712" operator="equal">
      <formula>0</formula>
    </cfRule>
  </conditionalFormatting>
  <conditionalFormatting sqref="V28">
    <cfRule type="cellIs" dxfId="11279" priority="709" operator="greaterThan">
      <formula>V27</formula>
    </cfRule>
    <cfRule type="cellIs" dxfId="11278" priority="710" operator="equal">
      <formula>0</formula>
    </cfRule>
  </conditionalFormatting>
  <conditionalFormatting sqref="V28">
    <cfRule type="cellIs" dxfId="11277" priority="707" operator="greaterThan">
      <formula>V27</formula>
    </cfRule>
    <cfRule type="cellIs" dxfId="11276" priority="708" operator="equal">
      <formula>0</formula>
    </cfRule>
  </conditionalFormatting>
  <conditionalFormatting sqref="V28">
    <cfRule type="cellIs" dxfId="11275" priority="705" operator="greaterThan">
      <formula>V27</formula>
    </cfRule>
    <cfRule type="cellIs" dxfId="11274" priority="706" operator="equal">
      <formula>0</formula>
    </cfRule>
  </conditionalFormatting>
  <conditionalFormatting sqref="V28">
    <cfRule type="cellIs" dxfId="11273" priority="703" operator="greaterThan">
      <formula>V27</formula>
    </cfRule>
    <cfRule type="cellIs" dxfId="11272" priority="704" operator="equal">
      <formula>0</formula>
    </cfRule>
  </conditionalFormatting>
  <conditionalFormatting sqref="V28">
    <cfRule type="cellIs" dxfId="11271" priority="701" operator="greaterThan">
      <formula>V27</formula>
    </cfRule>
    <cfRule type="cellIs" dxfId="11270" priority="702" operator="equal">
      <formula>0</formula>
    </cfRule>
  </conditionalFormatting>
  <conditionalFormatting sqref="V28">
    <cfRule type="cellIs" dxfId="11269" priority="699" operator="greaterThan">
      <formula>V27</formula>
    </cfRule>
    <cfRule type="cellIs" dxfId="11268" priority="700" operator="equal">
      <formula>0</formula>
    </cfRule>
  </conditionalFormatting>
  <conditionalFormatting sqref="V28">
    <cfRule type="cellIs" dxfId="11267" priority="697" operator="greaterThan">
      <formula>V27</formula>
    </cfRule>
    <cfRule type="cellIs" dxfId="11266" priority="698" operator="equal">
      <formula>0</formula>
    </cfRule>
  </conditionalFormatting>
  <conditionalFormatting sqref="V28">
    <cfRule type="cellIs" dxfId="11265" priority="695" operator="greaterThan">
      <formula>V27</formula>
    </cfRule>
    <cfRule type="cellIs" dxfId="11264" priority="696" operator="equal">
      <formula>0</formula>
    </cfRule>
  </conditionalFormatting>
  <conditionalFormatting sqref="V28">
    <cfRule type="cellIs" dxfId="11263" priority="693" operator="greaterThan">
      <formula>V27</formula>
    </cfRule>
    <cfRule type="cellIs" dxfId="11262" priority="694" operator="equal">
      <formula>0</formula>
    </cfRule>
  </conditionalFormatting>
  <conditionalFormatting sqref="V28">
    <cfRule type="cellIs" dxfId="11261" priority="691" operator="greaterThan">
      <formula>V27</formula>
    </cfRule>
    <cfRule type="cellIs" dxfId="11260" priority="692" operator="equal">
      <formula>0</formula>
    </cfRule>
  </conditionalFormatting>
  <conditionalFormatting sqref="V28">
    <cfRule type="cellIs" dxfId="11259" priority="689" operator="greaterThan">
      <formula>V27</formula>
    </cfRule>
    <cfRule type="cellIs" dxfId="11258" priority="690" operator="equal">
      <formula>0</formula>
    </cfRule>
  </conditionalFormatting>
  <conditionalFormatting sqref="V28">
    <cfRule type="cellIs" dxfId="11257" priority="687" operator="greaterThan">
      <formula>V27</formula>
    </cfRule>
    <cfRule type="cellIs" dxfId="11256" priority="688" operator="equal">
      <formula>0</formula>
    </cfRule>
  </conditionalFormatting>
  <conditionalFormatting sqref="V28">
    <cfRule type="cellIs" dxfId="11255" priority="685" operator="greaterThan">
      <formula>V27</formula>
    </cfRule>
    <cfRule type="cellIs" dxfId="11254" priority="686" operator="equal">
      <formula>0</formula>
    </cfRule>
  </conditionalFormatting>
  <conditionalFormatting sqref="V28">
    <cfRule type="cellIs" dxfId="11253" priority="683" operator="greaterThan">
      <formula>V27</formula>
    </cfRule>
    <cfRule type="cellIs" dxfId="11252" priority="684" operator="equal">
      <formula>0</formula>
    </cfRule>
  </conditionalFormatting>
  <conditionalFormatting sqref="V28">
    <cfRule type="cellIs" dxfId="11251" priority="681" operator="greaterThan">
      <formula>V27</formula>
    </cfRule>
    <cfRule type="cellIs" dxfId="11250" priority="682" operator="equal">
      <formula>0</formula>
    </cfRule>
  </conditionalFormatting>
  <conditionalFormatting sqref="V28">
    <cfRule type="cellIs" dxfId="11249" priority="679" operator="greaterThan">
      <formula>V27</formula>
    </cfRule>
    <cfRule type="cellIs" dxfId="11248" priority="680" operator="equal">
      <formula>0</formula>
    </cfRule>
  </conditionalFormatting>
  <conditionalFormatting sqref="V28">
    <cfRule type="cellIs" dxfId="11247" priority="677" operator="greaterThan">
      <formula>V27</formula>
    </cfRule>
    <cfRule type="cellIs" dxfId="11246" priority="678" operator="equal">
      <formula>0</formula>
    </cfRule>
  </conditionalFormatting>
  <conditionalFormatting sqref="V28">
    <cfRule type="cellIs" dxfId="11245" priority="675" operator="greaterThan">
      <formula>V27</formula>
    </cfRule>
    <cfRule type="cellIs" dxfId="11244" priority="676" operator="equal">
      <formula>0</formula>
    </cfRule>
  </conditionalFormatting>
  <conditionalFormatting sqref="V28">
    <cfRule type="cellIs" dxfId="11243" priority="673" operator="greaterThan">
      <formula>V27</formula>
    </cfRule>
    <cfRule type="cellIs" dxfId="11242" priority="674" operator="equal">
      <formula>0</formula>
    </cfRule>
  </conditionalFormatting>
  <conditionalFormatting sqref="V28">
    <cfRule type="cellIs" dxfId="11241" priority="671" operator="greaterThan">
      <formula>V27</formula>
    </cfRule>
    <cfRule type="cellIs" dxfId="11240" priority="672" operator="equal">
      <formula>0</formula>
    </cfRule>
  </conditionalFormatting>
  <conditionalFormatting sqref="V28">
    <cfRule type="cellIs" dxfId="11239" priority="669" operator="greaterThan">
      <formula>V27</formula>
    </cfRule>
    <cfRule type="cellIs" dxfId="11238" priority="670" operator="equal">
      <formula>0</formula>
    </cfRule>
  </conditionalFormatting>
  <conditionalFormatting sqref="V28">
    <cfRule type="cellIs" dxfId="11237" priority="667" operator="greaterThan">
      <formula>V27</formula>
    </cfRule>
    <cfRule type="cellIs" dxfId="11236" priority="668" operator="equal">
      <formula>0</formula>
    </cfRule>
  </conditionalFormatting>
  <conditionalFormatting sqref="V12:V13 X12:X13 X15:X16 X18:X19 X21:X25 X27:X28 V15:V16 V18:V19 V21:V22 V24:V25 V27:V28">
    <cfRule type="cellIs" dxfId="11235" priority="666" operator="equal">
      <formula>0</formula>
    </cfRule>
  </conditionalFormatting>
  <conditionalFormatting sqref="V28">
    <cfRule type="cellIs" dxfId="11234" priority="664" operator="greaterThan">
      <formula>V27</formula>
    </cfRule>
    <cfRule type="cellIs" dxfId="11233" priority="665" operator="equal">
      <formula>0</formula>
    </cfRule>
  </conditionalFormatting>
  <conditionalFormatting sqref="V27">
    <cfRule type="cellIs" dxfId="11232" priority="662" operator="greaterThan">
      <formula>V26</formula>
    </cfRule>
    <cfRule type="cellIs" dxfId="11231" priority="663" operator="equal">
      <formula>0</formula>
    </cfRule>
  </conditionalFormatting>
  <conditionalFormatting sqref="V13">
    <cfRule type="cellIs" dxfId="11230" priority="660" operator="greaterThan">
      <formula>V12</formula>
    </cfRule>
    <cfRule type="cellIs" dxfId="11229" priority="661" operator="equal">
      <formula>0</formula>
    </cfRule>
  </conditionalFormatting>
  <conditionalFormatting sqref="V12">
    <cfRule type="cellIs" dxfId="11228" priority="658" operator="greaterThan">
      <formula>V11</formula>
    </cfRule>
    <cfRule type="cellIs" dxfId="11227" priority="659" operator="equal">
      <formula>0</formula>
    </cfRule>
  </conditionalFormatting>
  <conditionalFormatting sqref="V16">
    <cfRule type="cellIs" dxfId="11226" priority="656" operator="greaterThan">
      <formula>V15</formula>
    </cfRule>
    <cfRule type="cellIs" dxfId="11225" priority="657" operator="equal">
      <formula>0</formula>
    </cfRule>
  </conditionalFormatting>
  <conditionalFormatting sqref="V15">
    <cfRule type="cellIs" dxfId="11224" priority="654" operator="greaterThan">
      <formula>V14</formula>
    </cfRule>
    <cfRule type="cellIs" dxfId="11223" priority="655" operator="equal">
      <formula>0</formula>
    </cfRule>
  </conditionalFormatting>
  <conditionalFormatting sqref="V19">
    <cfRule type="cellIs" dxfId="11222" priority="652" operator="greaterThan">
      <formula>V18</formula>
    </cfRule>
    <cfRule type="cellIs" dxfId="11221" priority="653" operator="equal">
      <formula>0</formula>
    </cfRule>
  </conditionalFormatting>
  <conditionalFormatting sqref="V18">
    <cfRule type="cellIs" dxfId="11220" priority="650" operator="greaterThan">
      <formula>V17</formula>
    </cfRule>
    <cfRule type="cellIs" dxfId="11219" priority="651" operator="equal">
      <formula>0</formula>
    </cfRule>
  </conditionalFormatting>
  <conditionalFormatting sqref="V22 V24:V25">
    <cfRule type="cellIs" dxfId="11218" priority="648" operator="greaterThan">
      <formula>V21</formula>
    </cfRule>
    <cfRule type="cellIs" dxfId="11217" priority="649" operator="equal">
      <formula>0</formula>
    </cfRule>
  </conditionalFormatting>
  <conditionalFormatting sqref="V21">
    <cfRule type="cellIs" dxfId="11216" priority="646" operator="greaterThan">
      <formula>V20</formula>
    </cfRule>
    <cfRule type="cellIs" dxfId="11215" priority="647" operator="equal">
      <formula>0</formula>
    </cfRule>
  </conditionalFormatting>
  <conditionalFormatting sqref="V24">
    <cfRule type="cellIs" dxfId="11214" priority="644" operator="greaterThan">
      <formula>V23</formula>
    </cfRule>
    <cfRule type="cellIs" dxfId="11213" priority="645" operator="equal">
      <formula>0</formula>
    </cfRule>
  </conditionalFormatting>
  <conditionalFormatting sqref="V27:V28">
    <cfRule type="cellIs" dxfId="11212" priority="642" operator="greaterThan">
      <formula>V26</formula>
    </cfRule>
    <cfRule type="cellIs" dxfId="11211" priority="643" operator="equal">
      <formula>0</formula>
    </cfRule>
  </conditionalFormatting>
  <conditionalFormatting sqref="V27">
    <cfRule type="cellIs" dxfId="11210" priority="640" operator="greaterThan">
      <formula>V26</formula>
    </cfRule>
    <cfRule type="cellIs" dxfId="11209" priority="641" operator="equal">
      <formula>0</formula>
    </cfRule>
  </conditionalFormatting>
  <conditionalFormatting sqref="V16">
    <cfRule type="cellIs" dxfId="11208" priority="638" operator="greaterThan">
      <formula>V15</formula>
    </cfRule>
    <cfRule type="cellIs" dxfId="11207" priority="639" operator="equal">
      <formula>0</formula>
    </cfRule>
  </conditionalFormatting>
  <conditionalFormatting sqref="V15">
    <cfRule type="cellIs" dxfId="11206" priority="636" operator="greaterThan">
      <formula>V14</formula>
    </cfRule>
    <cfRule type="cellIs" dxfId="11205" priority="637" operator="equal">
      <formula>0</formula>
    </cfRule>
  </conditionalFormatting>
  <conditionalFormatting sqref="V19">
    <cfRule type="cellIs" dxfId="11204" priority="634" operator="greaterThan">
      <formula>V18</formula>
    </cfRule>
    <cfRule type="cellIs" dxfId="11203" priority="635" operator="equal">
      <formula>0</formula>
    </cfRule>
  </conditionalFormatting>
  <conditionalFormatting sqref="V18">
    <cfRule type="cellIs" dxfId="11202" priority="632" operator="greaterThan">
      <formula>V17</formula>
    </cfRule>
    <cfRule type="cellIs" dxfId="11201" priority="633" operator="equal">
      <formula>0</formula>
    </cfRule>
  </conditionalFormatting>
  <conditionalFormatting sqref="V22">
    <cfRule type="cellIs" dxfId="11200" priority="630" operator="greaterThan">
      <formula>V21</formula>
    </cfRule>
    <cfRule type="cellIs" dxfId="11199" priority="631" operator="equal">
      <formula>0</formula>
    </cfRule>
  </conditionalFormatting>
  <conditionalFormatting sqref="V21">
    <cfRule type="cellIs" dxfId="11198" priority="628" operator="greaterThan">
      <formula>V20</formula>
    </cfRule>
    <cfRule type="cellIs" dxfId="11197" priority="629" operator="equal">
      <formula>0</formula>
    </cfRule>
  </conditionalFormatting>
  <conditionalFormatting sqref="V25">
    <cfRule type="cellIs" dxfId="11196" priority="626" operator="greaterThan">
      <formula>V24</formula>
    </cfRule>
    <cfRule type="cellIs" dxfId="11195" priority="627" operator="equal">
      <formula>0</formula>
    </cfRule>
  </conditionalFormatting>
  <conditionalFormatting sqref="V24">
    <cfRule type="cellIs" dxfId="11194" priority="624" operator="greaterThan">
      <formula>V23</formula>
    </cfRule>
    <cfRule type="cellIs" dxfId="11193" priority="625" operator="equal">
      <formula>0</formula>
    </cfRule>
  </conditionalFormatting>
  <conditionalFormatting sqref="V28">
    <cfRule type="cellIs" dxfId="11192" priority="622" operator="greaterThan">
      <formula>V27</formula>
    </cfRule>
    <cfRule type="cellIs" dxfId="11191" priority="623" operator="equal">
      <formula>0</formula>
    </cfRule>
  </conditionalFormatting>
  <conditionalFormatting sqref="V27">
    <cfRule type="cellIs" dxfId="11190" priority="620" operator="greaterThan">
      <formula>V26</formula>
    </cfRule>
    <cfRule type="cellIs" dxfId="11189" priority="621" operator="equal">
      <formula>0</formula>
    </cfRule>
  </conditionalFormatting>
  <conditionalFormatting sqref="V30:V31 X30:X31">
    <cfRule type="cellIs" dxfId="11188" priority="619" operator="equal">
      <formula>0</formula>
    </cfRule>
  </conditionalFormatting>
  <conditionalFormatting sqref="V31">
    <cfRule type="cellIs" dxfId="11187" priority="617" operator="greaterThan">
      <formula>V30</formula>
    </cfRule>
    <cfRule type="cellIs" dxfId="11186" priority="618" operator="equal">
      <formula>0</formula>
    </cfRule>
  </conditionalFormatting>
  <conditionalFormatting sqref="V30">
    <cfRule type="cellIs" dxfId="11185" priority="615" operator="greaterThan">
      <formula>V29</formula>
    </cfRule>
    <cfRule type="cellIs" dxfId="11184" priority="616" operator="equal">
      <formula>0</formula>
    </cfRule>
  </conditionalFormatting>
  <conditionalFormatting sqref="V33:V34 X33:X34">
    <cfRule type="cellIs" dxfId="11183" priority="614" operator="equal">
      <formula>0</formula>
    </cfRule>
  </conditionalFormatting>
  <conditionalFormatting sqref="V34">
    <cfRule type="cellIs" dxfId="11182" priority="612" operator="greaterThan">
      <formula>V33</formula>
    </cfRule>
    <cfRule type="cellIs" dxfId="11181" priority="613" operator="equal">
      <formula>0</formula>
    </cfRule>
  </conditionalFormatting>
  <conditionalFormatting sqref="V33">
    <cfRule type="cellIs" dxfId="11180" priority="610" operator="greaterThan">
      <formula>V32</formula>
    </cfRule>
    <cfRule type="cellIs" dxfId="11179" priority="611" operator="equal">
      <formula>0</formula>
    </cfRule>
  </conditionalFormatting>
  <conditionalFormatting sqref="V36:V37 X36:X37">
    <cfRule type="cellIs" dxfId="11178" priority="609" operator="equal">
      <formula>0</formula>
    </cfRule>
  </conditionalFormatting>
  <conditionalFormatting sqref="V37">
    <cfRule type="cellIs" dxfId="11177" priority="607" operator="greaterThan">
      <formula>V36</formula>
    </cfRule>
    <cfRule type="cellIs" dxfId="11176" priority="608" operator="equal">
      <formula>0</formula>
    </cfRule>
  </conditionalFormatting>
  <conditionalFormatting sqref="V36">
    <cfRule type="cellIs" dxfId="11175" priority="605" operator="greaterThan">
      <formula>V35</formula>
    </cfRule>
    <cfRule type="cellIs" dxfId="11174" priority="606" operator="equal">
      <formula>0</formula>
    </cfRule>
  </conditionalFormatting>
  <conditionalFormatting sqref="V16">
    <cfRule type="cellIs" dxfId="11173" priority="603" operator="greaterThan">
      <formula>V15</formula>
    </cfRule>
    <cfRule type="cellIs" dxfId="11172" priority="604" operator="equal">
      <formula>0</formula>
    </cfRule>
  </conditionalFormatting>
  <conditionalFormatting sqref="V15">
    <cfRule type="cellIs" dxfId="11171" priority="601" operator="greaterThan">
      <formula>V14</formula>
    </cfRule>
    <cfRule type="cellIs" dxfId="11170" priority="602" operator="equal">
      <formula>0</formula>
    </cfRule>
  </conditionalFormatting>
  <conditionalFormatting sqref="V16">
    <cfRule type="cellIs" dxfId="11169" priority="599" operator="greaterThan">
      <formula>V15</formula>
    </cfRule>
    <cfRule type="cellIs" dxfId="11168" priority="600" operator="equal">
      <formula>0</formula>
    </cfRule>
  </conditionalFormatting>
  <conditionalFormatting sqref="V15">
    <cfRule type="cellIs" dxfId="11167" priority="597" operator="greaterThan">
      <formula>V14</formula>
    </cfRule>
    <cfRule type="cellIs" dxfId="11166" priority="598" operator="equal">
      <formula>0</formula>
    </cfRule>
  </conditionalFormatting>
  <conditionalFormatting sqref="V19">
    <cfRule type="cellIs" dxfId="11165" priority="595" operator="greaterThan">
      <formula>V18</formula>
    </cfRule>
    <cfRule type="cellIs" dxfId="11164" priority="596" operator="equal">
      <formula>0</formula>
    </cfRule>
  </conditionalFormatting>
  <conditionalFormatting sqref="V18">
    <cfRule type="cellIs" dxfId="11163" priority="593" operator="greaterThan">
      <formula>V17</formula>
    </cfRule>
    <cfRule type="cellIs" dxfId="11162" priority="594" operator="equal">
      <formula>0</formula>
    </cfRule>
  </conditionalFormatting>
  <conditionalFormatting sqref="V19">
    <cfRule type="cellIs" dxfId="11161" priority="591" operator="greaterThan">
      <formula>V18</formula>
    </cfRule>
    <cfRule type="cellIs" dxfId="11160" priority="592" operator="equal">
      <formula>0</formula>
    </cfRule>
  </conditionalFormatting>
  <conditionalFormatting sqref="V18">
    <cfRule type="cellIs" dxfId="11159" priority="589" operator="greaterThan">
      <formula>V17</formula>
    </cfRule>
    <cfRule type="cellIs" dxfId="11158" priority="590" operator="equal">
      <formula>0</formula>
    </cfRule>
  </conditionalFormatting>
  <conditionalFormatting sqref="V19">
    <cfRule type="cellIs" dxfId="11157" priority="587" operator="greaterThan">
      <formula>V18</formula>
    </cfRule>
    <cfRule type="cellIs" dxfId="11156" priority="588" operator="equal">
      <formula>0</formula>
    </cfRule>
  </conditionalFormatting>
  <conditionalFormatting sqref="V18">
    <cfRule type="cellIs" dxfId="11155" priority="585" operator="greaterThan">
      <formula>V17</formula>
    </cfRule>
    <cfRule type="cellIs" dxfId="11154" priority="586" operator="equal">
      <formula>0</formula>
    </cfRule>
  </conditionalFormatting>
  <conditionalFormatting sqref="V19">
    <cfRule type="cellIs" dxfId="11153" priority="583" operator="greaterThan">
      <formula>V18</formula>
    </cfRule>
    <cfRule type="cellIs" dxfId="11152" priority="584" operator="equal">
      <formula>0</formula>
    </cfRule>
  </conditionalFormatting>
  <conditionalFormatting sqref="V18">
    <cfRule type="cellIs" dxfId="11151" priority="581" operator="greaterThan">
      <formula>V17</formula>
    </cfRule>
    <cfRule type="cellIs" dxfId="11150" priority="582" operator="equal">
      <formula>0</formula>
    </cfRule>
  </conditionalFormatting>
  <conditionalFormatting sqref="V22">
    <cfRule type="cellIs" dxfId="11149" priority="579" operator="greaterThan">
      <formula>V21</formula>
    </cfRule>
    <cfRule type="cellIs" dxfId="11148" priority="580" operator="equal">
      <formula>0</formula>
    </cfRule>
  </conditionalFormatting>
  <conditionalFormatting sqref="V21">
    <cfRule type="cellIs" dxfId="11147" priority="577" operator="greaterThan">
      <formula>V20</formula>
    </cfRule>
    <cfRule type="cellIs" dxfId="11146" priority="578" operator="equal">
      <formula>0</formula>
    </cfRule>
  </conditionalFormatting>
  <conditionalFormatting sqref="V22">
    <cfRule type="cellIs" dxfId="11145" priority="575" operator="greaterThan">
      <formula>V21</formula>
    </cfRule>
    <cfRule type="cellIs" dxfId="11144" priority="576" operator="equal">
      <formula>0</formula>
    </cfRule>
  </conditionalFormatting>
  <conditionalFormatting sqref="V21">
    <cfRule type="cellIs" dxfId="11143" priority="573" operator="greaterThan">
      <formula>V20</formula>
    </cfRule>
    <cfRule type="cellIs" dxfId="11142" priority="574" operator="equal">
      <formula>0</formula>
    </cfRule>
  </conditionalFormatting>
  <conditionalFormatting sqref="V22">
    <cfRule type="cellIs" dxfId="11141" priority="571" operator="greaterThan">
      <formula>V21</formula>
    </cfRule>
    <cfRule type="cellIs" dxfId="11140" priority="572" operator="equal">
      <formula>0</formula>
    </cfRule>
  </conditionalFormatting>
  <conditionalFormatting sqref="V21">
    <cfRule type="cellIs" dxfId="11139" priority="569" operator="greaterThan">
      <formula>V20</formula>
    </cfRule>
    <cfRule type="cellIs" dxfId="11138" priority="570" operator="equal">
      <formula>0</formula>
    </cfRule>
  </conditionalFormatting>
  <conditionalFormatting sqref="V22">
    <cfRule type="cellIs" dxfId="11137" priority="567" operator="greaterThan">
      <formula>V21</formula>
    </cfRule>
    <cfRule type="cellIs" dxfId="11136" priority="568" operator="equal">
      <formula>0</formula>
    </cfRule>
  </conditionalFormatting>
  <conditionalFormatting sqref="V21">
    <cfRule type="cellIs" dxfId="11135" priority="565" operator="greaterThan">
      <formula>V20</formula>
    </cfRule>
    <cfRule type="cellIs" dxfId="11134" priority="566" operator="equal">
      <formula>0</formula>
    </cfRule>
  </conditionalFormatting>
  <conditionalFormatting sqref="V22">
    <cfRule type="cellIs" dxfId="11133" priority="563" operator="greaterThan">
      <formula>V21</formula>
    </cfRule>
    <cfRule type="cellIs" dxfId="11132" priority="564" operator="equal">
      <formula>0</formula>
    </cfRule>
  </conditionalFormatting>
  <conditionalFormatting sqref="V21">
    <cfRule type="cellIs" dxfId="11131" priority="561" operator="greaterThan">
      <formula>V20</formula>
    </cfRule>
    <cfRule type="cellIs" dxfId="11130" priority="562" operator="equal">
      <formula>0</formula>
    </cfRule>
  </conditionalFormatting>
  <conditionalFormatting sqref="V22">
    <cfRule type="cellIs" dxfId="11129" priority="559" operator="greaterThan">
      <formula>V21</formula>
    </cfRule>
    <cfRule type="cellIs" dxfId="11128" priority="560" operator="equal">
      <formula>0</formula>
    </cfRule>
  </conditionalFormatting>
  <conditionalFormatting sqref="V21">
    <cfRule type="cellIs" dxfId="11127" priority="557" operator="greaterThan">
      <formula>V20</formula>
    </cfRule>
    <cfRule type="cellIs" dxfId="11126" priority="558" operator="equal">
      <formula>0</formula>
    </cfRule>
  </conditionalFormatting>
  <conditionalFormatting sqref="V24">
    <cfRule type="cellIs" dxfId="11125" priority="555" operator="greaterThan">
      <formula>V23</formula>
    </cfRule>
    <cfRule type="cellIs" dxfId="11124" priority="556" operator="equal">
      <formula>0</formula>
    </cfRule>
  </conditionalFormatting>
  <conditionalFormatting sqref="V25">
    <cfRule type="cellIs" dxfId="11123" priority="553" operator="greaterThan">
      <formula>V24</formula>
    </cfRule>
    <cfRule type="cellIs" dxfId="11122" priority="554" operator="equal">
      <formula>0</formula>
    </cfRule>
  </conditionalFormatting>
  <conditionalFormatting sqref="V24">
    <cfRule type="cellIs" dxfId="11121" priority="551" operator="greaterThan">
      <formula>V23</formula>
    </cfRule>
    <cfRule type="cellIs" dxfId="11120" priority="552" operator="equal">
      <formula>0</formula>
    </cfRule>
  </conditionalFormatting>
  <conditionalFormatting sqref="V25">
    <cfRule type="cellIs" dxfId="11119" priority="549" operator="greaterThan">
      <formula>V24</formula>
    </cfRule>
    <cfRule type="cellIs" dxfId="11118" priority="550" operator="equal">
      <formula>0</formula>
    </cfRule>
  </conditionalFormatting>
  <conditionalFormatting sqref="V24">
    <cfRule type="cellIs" dxfId="11117" priority="547" operator="greaterThan">
      <formula>V23</formula>
    </cfRule>
    <cfRule type="cellIs" dxfId="11116" priority="548" operator="equal">
      <formula>0</formula>
    </cfRule>
  </conditionalFormatting>
  <conditionalFormatting sqref="V25">
    <cfRule type="cellIs" dxfId="11115" priority="545" operator="greaterThan">
      <formula>V24</formula>
    </cfRule>
    <cfRule type="cellIs" dxfId="11114" priority="546" operator="equal">
      <formula>0</formula>
    </cfRule>
  </conditionalFormatting>
  <conditionalFormatting sqref="V24">
    <cfRule type="cellIs" dxfId="11113" priority="543" operator="greaterThan">
      <formula>V23</formula>
    </cfRule>
    <cfRule type="cellIs" dxfId="11112" priority="544" operator="equal">
      <formula>0</formula>
    </cfRule>
  </conditionalFormatting>
  <conditionalFormatting sqref="V25">
    <cfRule type="cellIs" dxfId="11111" priority="541" operator="greaterThan">
      <formula>V24</formula>
    </cfRule>
    <cfRule type="cellIs" dxfId="11110" priority="542" operator="equal">
      <formula>0</formula>
    </cfRule>
  </conditionalFormatting>
  <conditionalFormatting sqref="V24">
    <cfRule type="cellIs" dxfId="11109" priority="539" operator="greaterThan">
      <formula>V23</formula>
    </cfRule>
    <cfRule type="cellIs" dxfId="11108" priority="540" operator="equal">
      <formula>0</formula>
    </cfRule>
  </conditionalFormatting>
  <conditionalFormatting sqref="V25">
    <cfRule type="cellIs" dxfId="11107" priority="537" operator="greaterThan">
      <formula>V24</formula>
    </cfRule>
    <cfRule type="cellIs" dxfId="11106" priority="538" operator="equal">
      <formula>0</formula>
    </cfRule>
  </conditionalFormatting>
  <conditionalFormatting sqref="V24">
    <cfRule type="cellIs" dxfId="11105" priority="535" operator="greaterThan">
      <formula>V23</formula>
    </cfRule>
    <cfRule type="cellIs" dxfId="11104" priority="536" operator="equal">
      <formula>0</formula>
    </cfRule>
  </conditionalFormatting>
  <conditionalFormatting sqref="V25">
    <cfRule type="cellIs" dxfId="11103" priority="533" operator="greaterThan">
      <formula>V24</formula>
    </cfRule>
    <cfRule type="cellIs" dxfId="11102" priority="534" operator="equal">
      <formula>0</formula>
    </cfRule>
  </conditionalFormatting>
  <conditionalFormatting sqref="V24">
    <cfRule type="cellIs" dxfId="11101" priority="531" operator="greaterThan">
      <formula>V23</formula>
    </cfRule>
    <cfRule type="cellIs" dxfId="11100" priority="532" operator="equal">
      <formula>0</formula>
    </cfRule>
  </conditionalFormatting>
  <conditionalFormatting sqref="V25">
    <cfRule type="cellIs" dxfId="11099" priority="529" operator="greaterThan">
      <formula>V24</formula>
    </cfRule>
    <cfRule type="cellIs" dxfId="11098" priority="530" operator="equal">
      <formula>0</formula>
    </cfRule>
  </conditionalFormatting>
  <conditionalFormatting sqref="V24">
    <cfRule type="cellIs" dxfId="11097" priority="527" operator="greaterThan">
      <formula>V23</formula>
    </cfRule>
    <cfRule type="cellIs" dxfId="11096" priority="528" operator="equal">
      <formula>0</formula>
    </cfRule>
  </conditionalFormatting>
  <conditionalFormatting sqref="V27:V28">
    <cfRule type="cellIs" dxfId="11095" priority="525" operator="greaterThan">
      <formula>V26</formula>
    </cfRule>
    <cfRule type="cellIs" dxfId="11094" priority="526" operator="equal">
      <formula>0</formula>
    </cfRule>
  </conditionalFormatting>
  <conditionalFormatting sqref="V27">
    <cfRule type="cellIs" dxfId="11093" priority="523" operator="greaterThan">
      <formula>V26</formula>
    </cfRule>
    <cfRule type="cellIs" dxfId="11092" priority="524" operator="equal">
      <formula>0</formula>
    </cfRule>
  </conditionalFormatting>
  <conditionalFormatting sqref="V28">
    <cfRule type="cellIs" dxfId="11091" priority="521" operator="greaterThan">
      <formula>V27</formula>
    </cfRule>
    <cfRule type="cellIs" dxfId="11090" priority="522" operator="equal">
      <formula>0</formula>
    </cfRule>
  </conditionalFormatting>
  <conditionalFormatting sqref="V27">
    <cfRule type="cellIs" dxfId="11089" priority="519" operator="greaterThan">
      <formula>V26</formula>
    </cfRule>
    <cfRule type="cellIs" dxfId="11088" priority="520" operator="equal">
      <formula>0</formula>
    </cfRule>
  </conditionalFormatting>
  <conditionalFormatting sqref="V27">
    <cfRule type="cellIs" dxfId="11087" priority="517" operator="greaterThan">
      <formula>V26</formula>
    </cfRule>
    <cfRule type="cellIs" dxfId="11086" priority="518" operator="equal">
      <formula>0</formula>
    </cfRule>
  </conditionalFormatting>
  <conditionalFormatting sqref="V28">
    <cfRule type="cellIs" dxfId="11085" priority="515" operator="greaterThan">
      <formula>V27</formula>
    </cfRule>
    <cfRule type="cellIs" dxfId="11084" priority="516" operator="equal">
      <formula>0</formula>
    </cfRule>
  </conditionalFormatting>
  <conditionalFormatting sqref="V27">
    <cfRule type="cellIs" dxfId="11083" priority="513" operator="greaterThan">
      <formula>V26</formula>
    </cfRule>
    <cfRule type="cellIs" dxfId="11082" priority="514" operator="equal">
      <formula>0</formula>
    </cfRule>
  </conditionalFormatting>
  <conditionalFormatting sqref="V28">
    <cfRule type="cellIs" dxfId="11081" priority="511" operator="greaterThan">
      <formula>V27</formula>
    </cfRule>
    <cfRule type="cellIs" dxfId="11080" priority="512" operator="equal">
      <formula>0</formula>
    </cfRule>
  </conditionalFormatting>
  <conditionalFormatting sqref="V27">
    <cfRule type="cellIs" dxfId="11079" priority="509" operator="greaterThan">
      <formula>V26</formula>
    </cfRule>
    <cfRule type="cellIs" dxfId="11078" priority="510" operator="equal">
      <formula>0</formula>
    </cfRule>
  </conditionalFormatting>
  <conditionalFormatting sqref="V28">
    <cfRule type="cellIs" dxfId="11077" priority="507" operator="greaterThan">
      <formula>V27</formula>
    </cfRule>
    <cfRule type="cellIs" dxfId="11076" priority="508" operator="equal">
      <formula>0</formula>
    </cfRule>
  </conditionalFormatting>
  <conditionalFormatting sqref="V27">
    <cfRule type="cellIs" dxfId="11075" priority="505" operator="greaterThan">
      <formula>V26</formula>
    </cfRule>
    <cfRule type="cellIs" dxfId="11074" priority="506" operator="equal">
      <formula>0</formula>
    </cfRule>
  </conditionalFormatting>
  <conditionalFormatting sqref="V28">
    <cfRule type="cellIs" dxfId="11073" priority="503" operator="greaterThan">
      <formula>V27</formula>
    </cfRule>
    <cfRule type="cellIs" dxfId="11072" priority="504" operator="equal">
      <formula>0</formula>
    </cfRule>
  </conditionalFormatting>
  <conditionalFormatting sqref="V27">
    <cfRule type="cellIs" dxfId="11071" priority="501" operator="greaterThan">
      <formula>V26</formula>
    </cfRule>
    <cfRule type="cellIs" dxfId="11070" priority="502" operator="equal">
      <formula>0</formula>
    </cfRule>
  </conditionalFormatting>
  <conditionalFormatting sqref="V28">
    <cfRule type="cellIs" dxfId="11069" priority="499" operator="greaterThan">
      <formula>V27</formula>
    </cfRule>
    <cfRule type="cellIs" dxfId="11068" priority="500" operator="equal">
      <formula>0</formula>
    </cfRule>
  </conditionalFormatting>
  <conditionalFormatting sqref="V27">
    <cfRule type="cellIs" dxfId="11067" priority="497" operator="greaterThan">
      <formula>V26</formula>
    </cfRule>
    <cfRule type="cellIs" dxfId="11066" priority="498" operator="equal">
      <formula>0</formula>
    </cfRule>
  </conditionalFormatting>
  <conditionalFormatting sqref="V28">
    <cfRule type="cellIs" dxfId="11065" priority="495" operator="greaterThan">
      <formula>V27</formula>
    </cfRule>
    <cfRule type="cellIs" dxfId="11064" priority="496" operator="equal">
      <formula>0</formula>
    </cfRule>
  </conditionalFormatting>
  <conditionalFormatting sqref="V27">
    <cfRule type="cellIs" dxfId="11063" priority="493" operator="greaterThan">
      <formula>V26</formula>
    </cfRule>
    <cfRule type="cellIs" dxfId="11062" priority="494" operator="equal">
      <formula>0</formula>
    </cfRule>
  </conditionalFormatting>
  <conditionalFormatting sqref="V28">
    <cfRule type="cellIs" dxfId="11061" priority="491" operator="greaterThan">
      <formula>V27</formula>
    </cfRule>
    <cfRule type="cellIs" dxfId="11060" priority="492" operator="equal">
      <formula>0</formula>
    </cfRule>
  </conditionalFormatting>
  <conditionalFormatting sqref="V27">
    <cfRule type="cellIs" dxfId="11059" priority="489" operator="greaterThan">
      <formula>V26</formula>
    </cfRule>
    <cfRule type="cellIs" dxfId="11058" priority="490" operator="equal">
      <formula>0</formula>
    </cfRule>
  </conditionalFormatting>
  <conditionalFormatting sqref="V19">
    <cfRule type="cellIs" dxfId="11057" priority="487" operator="greaterThan">
      <formula>V18</formula>
    </cfRule>
    <cfRule type="cellIs" dxfId="11056" priority="488" operator="equal">
      <formula>0</formula>
    </cfRule>
  </conditionalFormatting>
  <conditionalFormatting sqref="V18">
    <cfRule type="cellIs" dxfId="11055" priority="485" operator="greaterThan">
      <formula>V17</formula>
    </cfRule>
    <cfRule type="cellIs" dxfId="11054" priority="486" operator="equal">
      <formula>0</formula>
    </cfRule>
  </conditionalFormatting>
  <conditionalFormatting sqref="V19">
    <cfRule type="cellIs" dxfId="11053" priority="483" operator="greaterThan">
      <formula>V18</formula>
    </cfRule>
    <cfRule type="cellIs" dxfId="11052" priority="484" operator="equal">
      <formula>0</formula>
    </cfRule>
  </conditionalFormatting>
  <conditionalFormatting sqref="V18">
    <cfRule type="cellIs" dxfId="11051" priority="481" operator="greaterThan">
      <formula>V17</formula>
    </cfRule>
    <cfRule type="cellIs" dxfId="11050" priority="482" operator="equal">
      <formula>0</formula>
    </cfRule>
  </conditionalFormatting>
  <conditionalFormatting sqref="V19">
    <cfRule type="cellIs" dxfId="11049" priority="479" operator="greaterThan">
      <formula>V18</formula>
    </cfRule>
    <cfRule type="cellIs" dxfId="11048" priority="480" operator="equal">
      <formula>0</formula>
    </cfRule>
  </conditionalFormatting>
  <conditionalFormatting sqref="V18">
    <cfRule type="cellIs" dxfId="11047" priority="477" operator="greaterThan">
      <formula>V17</formula>
    </cfRule>
    <cfRule type="cellIs" dxfId="11046" priority="478" operator="equal">
      <formula>0</formula>
    </cfRule>
  </conditionalFormatting>
  <conditionalFormatting sqref="V19">
    <cfRule type="cellIs" dxfId="11045" priority="475" operator="greaterThan">
      <formula>V18</formula>
    </cfRule>
    <cfRule type="cellIs" dxfId="11044" priority="476" operator="equal">
      <formula>0</formula>
    </cfRule>
  </conditionalFormatting>
  <conditionalFormatting sqref="V18">
    <cfRule type="cellIs" dxfId="11043" priority="473" operator="greaterThan">
      <formula>V17</formula>
    </cfRule>
    <cfRule type="cellIs" dxfId="11042" priority="474" operator="equal">
      <formula>0</formula>
    </cfRule>
  </conditionalFormatting>
  <conditionalFormatting sqref="V16">
    <cfRule type="cellIs" dxfId="11041" priority="471" operator="greaterThan">
      <formula>V15</formula>
    </cfRule>
    <cfRule type="cellIs" dxfId="11040" priority="472" operator="equal">
      <formula>0</formula>
    </cfRule>
  </conditionalFormatting>
  <conditionalFormatting sqref="V16">
    <cfRule type="cellIs" dxfId="11039" priority="469" operator="greaterThan">
      <formula>V15</formula>
    </cfRule>
    <cfRule type="cellIs" dxfId="11038" priority="470" operator="equal">
      <formula>0</formula>
    </cfRule>
  </conditionalFormatting>
  <conditionalFormatting sqref="V16">
    <cfRule type="cellIs" dxfId="11037" priority="467" operator="greaterThan">
      <formula>V15</formula>
    </cfRule>
    <cfRule type="cellIs" dxfId="11036" priority="468" operator="equal">
      <formula>0</formula>
    </cfRule>
  </conditionalFormatting>
  <conditionalFormatting sqref="V16">
    <cfRule type="cellIs" dxfId="11035" priority="465" operator="greaterThan">
      <formula>V15</formula>
    </cfRule>
    <cfRule type="cellIs" dxfId="11034" priority="466" operator="equal">
      <formula>0</formula>
    </cfRule>
  </conditionalFormatting>
  <conditionalFormatting sqref="V19">
    <cfRule type="cellIs" dxfId="11033" priority="463" operator="greaterThan">
      <formula>V18</formula>
    </cfRule>
    <cfRule type="cellIs" dxfId="11032" priority="464" operator="equal">
      <formula>0</formula>
    </cfRule>
  </conditionalFormatting>
  <conditionalFormatting sqref="V19">
    <cfRule type="cellIs" dxfId="11031" priority="461" operator="greaterThan">
      <formula>V18</formula>
    </cfRule>
    <cfRule type="cellIs" dxfId="11030" priority="462" operator="equal">
      <formula>0</formula>
    </cfRule>
  </conditionalFormatting>
  <conditionalFormatting sqref="V19">
    <cfRule type="cellIs" dxfId="11029" priority="459" operator="greaterThan">
      <formula>V18</formula>
    </cfRule>
    <cfRule type="cellIs" dxfId="11028" priority="460" operator="equal">
      <formula>0</formula>
    </cfRule>
  </conditionalFormatting>
  <conditionalFormatting sqref="V19">
    <cfRule type="cellIs" dxfId="11027" priority="457" operator="greaterThan">
      <formula>V18</formula>
    </cfRule>
    <cfRule type="cellIs" dxfId="11026" priority="458" operator="equal">
      <formula>0</formula>
    </cfRule>
  </conditionalFormatting>
  <conditionalFormatting sqref="V19">
    <cfRule type="cellIs" dxfId="11025" priority="455" operator="greaterThan">
      <formula>V18</formula>
    </cfRule>
    <cfRule type="cellIs" dxfId="11024" priority="456" operator="equal">
      <formula>0</formula>
    </cfRule>
  </conditionalFormatting>
  <conditionalFormatting sqref="V19">
    <cfRule type="cellIs" dxfId="11023" priority="453" operator="greaterThan">
      <formula>V18</formula>
    </cfRule>
    <cfRule type="cellIs" dxfId="11022" priority="454" operator="equal">
      <formula>0</formula>
    </cfRule>
  </conditionalFormatting>
  <conditionalFormatting sqref="V19">
    <cfRule type="cellIs" dxfId="11021" priority="451" operator="greaterThan">
      <formula>V18</formula>
    </cfRule>
    <cfRule type="cellIs" dxfId="11020" priority="452" operator="equal">
      <formula>0</formula>
    </cfRule>
  </conditionalFormatting>
  <conditionalFormatting sqref="V19">
    <cfRule type="cellIs" dxfId="11019" priority="449" operator="greaterThan">
      <formula>V18</formula>
    </cfRule>
    <cfRule type="cellIs" dxfId="11018" priority="450" operator="equal">
      <formula>0</formula>
    </cfRule>
  </conditionalFormatting>
  <conditionalFormatting sqref="V19">
    <cfRule type="cellIs" dxfId="11017" priority="447" operator="greaterThan">
      <formula>V18</formula>
    </cfRule>
    <cfRule type="cellIs" dxfId="11016" priority="448" operator="equal">
      <formula>0</formula>
    </cfRule>
  </conditionalFormatting>
  <conditionalFormatting sqref="V19">
    <cfRule type="cellIs" dxfId="11015" priority="445" operator="greaterThan">
      <formula>V18</formula>
    </cfRule>
    <cfRule type="cellIs" dxfId="11014" priority="446" operator="equal">
      <formula>0</formula>
    </cfRule>
  </conditionalFormatting>
  <conditionalFormatting sqref="V22">
    <cfRule type="cellIs" dxfId="11013" priority="443" operator="greaterThan">
      <formula>V21</formula>
    </cfRule>
    <cfRule type="cellIs" dxfId="11012" priority="444" operator="equal">
      <formula>0</formula>
    </cfRule>
  </conditionalFormatting>
  <conditionalFormatting sqref="V21">
    <cfRule type="cellIs" dxfId="11011" priority="441" operator="greaterThan">
      <formula>V20</formula>
    </cfRule>
    <cfRule type="cellIs" dxfId="11010" priority="442" operator="equal">
      <formula>0</formula>
    </cfRule>
  </conditionalFormatting>
  <conditionalFormatting sqref="V22">
    <cfRule type="cellIs" dxfId="11009" priority="439" operator="greaterThan">
      <formula>V21</formula>
    </cfRule>
    <cfRule type="cellIs" dxfId="11008" priority="440" operator="equal">
      <formula>0</formula>
    </cfRule>
  </conditionalFormatting>
  <conditionalFormatting sqref="V21">
    <cfRule type="cellIs" dxfId="11007" priority="437" operator="greaterThan">
      <formula>V20</formula>
    </cfRule>
    <cfRule type="cellIs" dxfId="11006" priority="438" operator="equal">
      <formula>0</formula>
    </cfRule>
  </conditionalFormatting>
  <conditionalFormatting sqref="V22">
    <cfRule type="cellIs" dxfId="11005" priority="435" operator="greaterThan">
      <formula>V21</formula>
    </cfRule>
    <cfRule type="cellIs" dxfId="11004" priority="436" operator="equal">
      <formula>0</formula>
    </cfRule>
  </conditionalFormatting>
  <conditionalFormatting sqref="V21">
    <cfRule type="cellIs" dxfId="11003" priority="433" operator="greaterThan">
      <formula>V20</formula>
    </cfRule>
    <cfRule type="cellIs" dxfId="11002" priority="434" operator="equal">
      <formula>0</formula>
    </cfRule>
  </conditionalFormatting>
  <conditionalFormatting sqref="V22">
    <cfRule type="cellIs" dxfId="11001" priority="431" operator="greaterThan">
      <formula>V21</formula>
    </cfRule>
    <cfRule type="cellIs" dxfId="11000" priority="432" operator="equal">
      <formula>0</formula>
    </cfRule>
  </conditionalFormatting>
  <conditionalFormatting sqref="V21">
    <cfRule type="cellIs" dxfId="10999" priority="429" operator="greaterThan">
      <formula>V20</formula>
    </cfRule>
    <cfRule type="cellIs" dxfId="10998" priority="430" operator="equal">
      <formula>0</formula>
    </cfRule>
  </conditionalFormatting>
  <conditionalFormatting sqref="V22">
    <cfRule type="cellIs" dxfId="10997" priority="427" operator="greaterThan">
      <formula>V21</formula>
    </cfRule>
    <cfRule type="cellIs" dxfId="10996" priority="428" operator="equal">
      <formula>0</formula>
    </cfRule>
  </conditionalFormatting>
  <conditionalFormatting sqref="V21">
    <cfRule type="cellIs" dxfId="10995" priority="425" operator="greaterThan">
      <formula>V20</formula>
    </cfRule>
    <cfRule type="cellIs" dxfId="10994" priority="426" operator="equal">
      <formula>0</formula>
    </cfRule>
  </conditionalFormatting>
  <conditionalFormatting sqref="V22">
    <cfRule type="cellIs" dxfId="10993" priority="423" operator="greaterThan">
      <formula>V21</formula>
    </cfRule>
    <cfRule type="cellIs" dxfId="10992" priority="424" operator="equal">
      <formula>0</formula>
    </cfRule>
  </conditionalFormatting>
  <conditionalFormatting sqref="V21">
    <cfRule type="cellIs" dxfId="10991" priority="421" operator="greaterThan">
      <formula>V20</formula>
    </cfRule>
    <cfRule type="cellIs" dxfId="10990" priority="422" operator="equal">
      <formula>0</formula>
    </cfRule>
  </conditionalFormatting>
  <conditionalFormatting sqref="V22">
    <cfRule type="cellIs" dxfId="10989" priority="419" operator="greaterThan">
      <formula>V21</formula>
    </cfRule>
    <cfRule type="cellIs" dxfId="10988" priority="420" operator="equal">
      <formula>0</formula>
    </cfRule>
  </conditionalFormatting>
  <conditionalFormatting sqref="V21">
    <cfRule type="cellIs" dxfId="10987" priority="417" operator="greaterThan">
      <formula>V20</formula>
    </cfRule>
    <cfRule type="cellIs" dxfId="10986" priority="418" operator="equal">
      <formula>0</formula>
    </cfRule>
  </conditionalFormatting>
  <conditionalFormatting sqref="V22">
    <cfRule type="cellIs" dxfId="10985" priority="415" operator="greaterThan">
      <formula>V21</formula>
    </cfRule>
    <cfRule type="cellIs" dxfId="10984" priority="416" operator="equal">
      <formula>0</formula>
    </cfRule>
  </conditionalFormatting>
  <conditionalFormatting sqref="V21">
    <cfRule type="cellIs" dxfId="10983" priority="413" operator="greaterThan">
      <formula>V20</formula>
    </cfRule>
    <cfRule type="cellIs" dxfId="10982" priority="414" operator="equal">
      <formula>0</formula>
    </cfRule>
  </conditionalFormatting>
  <conditionalFormatting sqref="V22">
    <cfRule type="cellIs" dxfId="10981" priority="411" operator="greaterThan">
      <formula>V21</formula>
    </cfRule>
    <cfRule type="cellIs" dxfId="10980" priority="412" operator="equal">
      <formula>0</formula>
    </cfRule>
  </conditionalFormatting>
  <conditionalFormatting sqref="V21">
    <cfRule type="cellIs" dxfId="10979" priority="409" operator="greaterThan">
      <formula>V20</formula>
    </cfRule>
    <cfRule type="cellIs" dxfId="10978" priority="410" operator="equal">
      <formula>0</formula>
    </cfRule>
  </conditionalFormatting>
  <conditionalFormatting sqref="V22">
    <cfRule type="cellIs" dxfId="10977" priority="407" operator="greaterThan">
      <formula>V21</formula>
    </cfRule>
    <cfRule type="cellIs" dxfId="10976" priority="408" operator="equal">
      <formula>0</formula>
    </cfRule>
  </conditionalFormatting>
  <conditionalFormatting sqref="V21">
    <cfRule type="cellIs" dxfId="10975" priority="405" operator="greaterThan">
      <formula>V20</formula>
    </cfRule>
    <cfRule type="cellIs" dxfId="10974" priority="406" operator="equal">
      <formula>0</formula>
    </cfRule>
  </conditionalFormatting>
  <conditionalFormatting sqref="V22">
    <cfRule type="cellIs" dxfId="10973" priority="403" operator="greaterThan">
      <formula>V21</formula>
    </cfRule>
    <cfRule type="cellIs" dxfId="10972" priority="404" operator="equal">
      <formula>0</formula>
    </cfRule>
  </conditionalFormatting>
  <conditionalFormatting sqref="V22">
    <cfRule type="cellIs" dxfId="10971" priority="401" operator="greaterThan">
      <formula>V21</formula>
    </cfRule>
    <cfRule type="cellIs" dxfId="10970" priority="402" operator="equal">
      <formula>0</formula>
    </cfRule>
  </conditionalFormatting>
  <conditionalFormatting sqref="V22">
    <cfRule type="cellIs" dxfId="10969" priority="399" operator="greaterThan">
      <formula>V21</formula>
    </cfRule>
    <cfRule type="cellIs" dxfId="10968" priority="400" operator="equal">
      <formula>0</formula>
    </cfRule>
  </conditionalFormatting>
  <conditionalFormatting sqref="V22">
    <cfRule type="cellIs" dxfId="10967" priority="397" operator="greaterThan">
      <formula>V21</formula>
    </cfRule>
    <cfRule type="cellIs" dxfId="10966" priority="398" operator="equal">
      <formula>0</formula>
    </cfRule>
  </conditionalFormatting>
  <conditionalFormatting sqref="V22">
    <cfRule type="cellIs" dxfId="10965" priority="395" operator="greaterThan">
      <formula>V21</formula>
    </cfRule>
    <cfRule type="cellIs" dxfId="10964" priority="396" operator="equal">
      <formula>0</formula>
    </cfRule>
  </conditionalFormatting>
  <conditionalFormatting sqref="V22">
    <cfRule type="cellIs" dxfId="10963" priority="393" operator="greaterThan">
      <formula>V21</formula>
    </cfRule>
    <cfRule type="cellIs" dxfId="10962" priority="394" operator="equal">
      <formula>0</formula>
    </cfRule>
  </conditionalFormatting>
  <conditionalFormatting sqref="V22">
    <cfRule type="cellIs" dxfId="10961" priority="391" operator="greaterThan">
      <formula>V21</formula>
    </cfRule>
    <cfRule type="cellIs" dxfId="10960" priority="392" operator="equal">
      <formula>0</formula>
    </cfRule>
  </conditionalFormatting>
  <conditionalFormatting sqref="V22">
    <cfRule type="cellIs" dxfId="10959" priority="389" operator="greaterThan">
      <formula>V21</formula>
    </cfRule>
    <cfRule type="cellIs" dxfId="10958" priority="390" operator="equal">
      <formula>0</formula>
    </cfRule>
  </conditionalFormatting>
  <conditionalFormatting sqref="V22">
    <cfRule type="cellIs" dxfId="10957" priority="387" operator="greaterThan">
      <formula>V21</formula>
    </cfRule>
    <cfRule type="cellIs" dxfId="10956" priority="388" operator="equal">
      <formula>0</formula>
    </cfRule>
  </conditionalFormatting>
  <conditionalFormatting sqref="V22">
    <cfRule type="cellIs" dxfId="10955" priority="385" operator="greaterThan">
      <formula>V21</formula>
    </cfRule>
    <cfRule type="cellIs" dxfId="10954" priority="386" operator="equal">
      <formula>0</formula>
    </cfRule>
  </conditionalFormatting>
  <conditionalFormatting sqref="V22">
    <cfRule type="cellIs" dxfId="10953" priority="383" operator="greaterThan">
      <formula>V21</formula>
    </cfRule>
    <cfRule type="cellIs" dxfId="10952" priority="384" operator="equal">
      <formula>0</formula>
    </cfRule>
  </conditionalFormatting>
  <conditionalFormatting sqref="V22">
    <cfRule type="cellIs" dxfId="10951" priority="381" operator="greaterThan">
      <formula>V21</formula>
    </cfRule>
    <cfRule type="cellIs" dxfId="10950" priority="382" operator="equal">
      <formula>0</formula>
    </cfRule>
  </conditionalFormatting>
  <conditionalFormatting sqref="V22">
    <cfRule type="cellIs" dxfId="10949" priority="379" operator="greaterThan">
      <formula>V21</formula>
    </cfRule>
    <cfRule type="cellIs" dxfId="10948" priority="380" operator="equal">
      <formula>0</formula>
    </cfRule>
  </conditionalFormatting>
  <conditionalFormatting sqref="V22">
    <cfRule type="cellIs" dxfId="10947" priority="377" operator="greaterThan">
      <formula>V21</formula>
    </cfRule>
    <cfRule type="cellIs" dxfId="10946" priority="378" operator="equal">
      <formula>0</formula>
    </cfRule>
  </conditionalFormatting>
  <conditionalFormatting sqref="V22">
    <cfRule type="cellIs" dxfId="10945" priority="375" operator="greaterThan">
      <formula>V21</formula>
    </cfRule>
    <cfRule type="cellIs" dxfId="10944" priority="376" operator="equal">
      <formula>0</formula>
    </cfRule>
  </conditionalFormatting>
  <conditionalFormatting sqref="V22">
    <cfRule type="cellIs" dxfId="10943" priority="373" operator="greaterThan">
      <formula>V21</formula>
    </cfRule>
    <cfRule type="cellIs" dxfId="10942" priority="374" operator="equal">
      <formula>0</formula>
    </cfRule>
  </conditionalFormatting>
  <conditionalFormatting sqref="V22">
    <cfRule type="cellIs" dxfId="10941" priority="371" operator="greaterThan">
      <formula>V21</formula>
    </cfRule>
    <cfRule type="cellIs" dxfId="10940" priority="372" operator="equal">
      <formula>0</formula>
    </cfRule>
  </conditionalFormatting>
  <conditionalFormatting sqref="V22">
    <cfRule type="cellIs" dxfId="10939" priority="369" operator="greaterThan">
      <formula>V21</formula>
    </cfRule>
    <cfRule type="cellIs" dxfId="10938" priority="370" operator="equal">
      <formula>0</formula>
    </cfRule>
  </conditionalFormatting>
  <conditionalFormatting sqref="V22">
    <cfRule type="cellIs" dxfId="10937" priority="367" operator="greaterThan">
      <formula>V21</formula>
    </cfRule>
    <cfRule type="cellIs" dxfId="10936" priority="368" operator="equal">
      <formula>0</formula>
    </cfRule>
  </conditionalFormatting>
  <conditionalFormatting sqref="V22">
    <cfRule type="cellIs" dxfId="10935" priority="365" operator="greaterThan">
      <formula>V21</formula>
    </cfRule>
    <cfRule type="cellIs" dxfId="10934" priority="366" operator="equal">
      <formula>0</formula>
    </cfRule>
  </conditionalFormatting>
  <conditionalFormatting sqref="V22">
    <cfRule type="cellIs" dxfId="10933" priority="363" operator="greaterThan">
      <formula>V21</formula>
    </cfRule>
    <cfRule type="cellIs" dxfId="10932" priority="364" operator="equal">
      <formula>0</formula>
    </cfRule>
  </conditionalFormatting>
  <conditionalFormatting sqref="V22">
    <cfRule type="cellIs" dxfId="10931" priority="361" operator="greaterThan">
      <formula>V21</formula>
    </cfRule>
    <cfRule type="cellIs" dxfId="10930" priority="362" operator="equal">
      <formula>0</formula>
    </cfRule>
  </conditionalFormatting>
  <conditionalFormatting sqref="V22">
    <cfRule type="cellIs" dxfId="10929" priority="359" operator="greaterThan">
      <formula>V21</formula>
    </cfRule>
    <cfRule type="cellIs" dxfId="10928" priority="360" operator="equal">
      <formula>0</formula>
    </cfRule>
  </conditionalFormatting>
  <conditionalFormatting sqref="V22">
    <cfRule type="cellIs" dxfId="10927" priority="357" operator="greaterThan">
      <formula>V21</formula>
    </cfRule>
    <cfRule type="cellIs" dxfId="10926" priority="358" operator="equal">
      <formula>0</formula>
    </cfRule>
  </conditionalFormatting>
  <conditionalFormatting sqref="V22">
    <cfRule type="cellIs" dxfId="10925" priority="355" operator="greaterThan">
      <formula>V21</formula>
    </cfRule>
    <cfRule type="cellIs" dxfId="10924" priority="356" operator="equal">
      <formula>0</formula>
    </cfRule>
  </conditionalFormatting>
  <conditionalFormatting sqref="V22">
    <cfRule type="cellIs" dxfId="10923" priority="353" operator="greaterThan">
      <formula>V21</formula>
    </cfRule>
    <cfRule type="cellIs" dxfId="10922" priority="354" operator="equal">
      <formula>0</formula>
    </cfRule>
  </conditionalFormatting>
  <conditionalFormatting sqref="V22">
    <cfRule type="cellIs" dxfId="10921" priority="351" operator="greaterThan">
      <formula>V21</formula>
    </cfRule>
    <cfRule type="cellIs" dxfId="10920" priority="352" operator="equal">
      <formula>0</formula>
    </cfRule>
  </conditionalFormatting>
  <conditionalFormatting sqref="V22">
    <cfRule type="cellIs" dxfId="10919" priority="349" operator="greaterThan">
      <formula>V21</formula>
    </cfRule>
    <cfRule type="cellIs" dxfId="10918" priority="350" operator="equal">
      <formula>0</formula>
    </cfRule>
  </conditionalFormatting>
  <conditionalFormatting sqref="V24">
    <cfRule type="cellIs" dxfId="10917" priority="347" operator="greaterThan">
      <formula>V23</formula>
    </cfRule>
    <cfRule type="cellIs" dxfId="10916" priority="348" operator="equal">
      <formula>0</formula>
    </cfRule>
  </conditionalFormatting>
  <conditionalFormatting sqref="V24">
    <cfRule type="cellIs" dxfId="10915" priority="345" operator="greaterThan">
      <formula>V23</formula>
    </cfRule>
    <cfRule type="cellIs" dxfId="10914" priority="346" operator="equal">
      <formula>0</formula>
    </cfRule>
  </conditionalFormatting>
  <conditionalFormatting sqref="V24">
    <cfRule type="cellIs" dxfId="10913" priority="343" operator="greaterThan">
      <formula>V23</formula>
    </cfRule>
    <cfRule type="cellIs" dxfId="10912" priority="344" operator="equal">
      <formula>0</formula>
    </cfRule>
  </conditionalFormatting>
  <conditionalFormatting sqref="V24">
    <cfRule type="cellIs" dxfId="10911" priority="341" operator="greaterThan">
      <formula>V23</formula>
    </cfRule>
    <cfRule type="cellIs" dxfId="10910" priority="342" operator="equal">
      <formula>0</formula>
    </cfRule>
  </conditionalFormatting>
  <conditionalFormatting sqref="V24">
    <cfRule type="cellIs" dxfId="10909" priority="339" operator="greaterThan">
      <formula>V23</formula>
    </cfRule>
    <cfRule type="cellIs" dxfId="10908" priority="340" operator="equal">
      <formula>0</formula>
    </cfRule>
  </conditionalFormatting>
  <conditionalFormatting sqref="V24">
    <cfRule type="cellIs" dxfId="10907" priority="337" operator="greaterThan">
      <formula>V23</formula>
    </cfRule>
    <cfRule type="cellIs" dxfId="10906" priority="338" operator="equal">
      <formula>0</formula>
    </cfRule>
  </conditionalFormatting>
  <conditionalFormatting sqref="V24">
    <cfRule type="cellIs" dxfId="10905" priority="335" operator="greaterThan">
      <formula>V23</formula>
    </cfRule>
    <cfRule type="cellIs" dxfId="10904" priority="336" operator="equal">
      <formula>0</formula>
    </cfRule>
  </conditionalFormatting>
  <conditionalFormatting sqref="V24">
    <cfRule type="cellIs" dxfId="10903" priority="333" operator="greaterThan">
      <formula>V23</formula>
    </cfRule>
    <cfRule type="cellIs" dxfId="10902" priority="334" operator="equal">
      <formula>0</formula>
    </cfRule>
  </conditionalFormatting>
  <conditionalFormatting sqref="V24">
    <cfRule type="cellIs" dxfId="10901" priority="331" operator="greaterThan">
      <formula>V23</formula>
    </cfRule>
    <cfRule type="cellIs" dxfId="10900" priority="332" operator="equal">
      <formula>0</formula>
    </cfRule>
  </conditionalFormatting>
  <conditionalFormatting sqref="V24">
    <cfRule type="cellIs" dxfId="10899" priority="329" operator="greaterThan">
      <formula>V23</formula>
    </cfRule>
    <cfRule type="cellIs" dxfId="10898" priority="330" operator="equal">
      <formula>0</formula>
    </cfRule>
  </conditionalFormatting>
  <conditionalFormatting sqref="V24">
    <cfRule type="cellIs" dxfId="10897" priority="327" operator="greaterThan">
      <formula>V23</formula>
    </cfRule>
    <cfRule type="cellIs" dxfId="10896" priority="328" operator="equal">
      <formula>0</formula>
    </cfRule>
  </conditionalFormatting>
  <conditionalFormatting sqref="V24">
    <cfRule type="cellIs" dxfId="10895" priority="325" operator="greaterThan">
      <formula>V23</formula>
    </cfRule>
    <cfRule type="cellIs" dxfId="10894" priority="326" operator="equal">
      <formula>0</formula>
    </cfRule>
  </conditionalFormatting>
  <conditionalFormatting sqref="V24">
    <cfRule type="cellIs" dxfId="10893" priority="323" operator="greaterThan">
      <formula>V23</formula>
    </cfRule>
    <cfRule type="cellIs" dxfId="10892" priority="324" operator="equal">
      <formula>0</formula>
    </cfRule>
  </conditionalFormatting>
  <conditionalFormatting sqref="V24">
    <cfRule type="cellIs" dxfId="10891" priority="321" operator="greaterThan">
      <formula>V23</formula>
    </cfRule>
    <cfRule type="cellIs" dxfId="10890" priority="322" operator="equal">
      <formula>0</formula>
    </cfRule>
  </conditionalFormatting>
  <conditionalFormatting sqref="V24">
    <cfRule type="cellIs" dxfId="10889" priority="319" operator="greaterThan">
      <formula>V23</formula>
    </cfRule>
    <cfRule type="cellIs" dxfId="10888" priority="320" operator="equal">
      <formula>0</formula>
    </cfRule>
  </conditionalFormatting>
  <conditionalFormatting sqref="V24">
    <cfRule type="cellIs" dxfId="10887" priority="317" operator="greaterThan">
      <formula>V23</formula>
    </cfRule>
    <cfRule type="cellIs" dxfId="10886" priority="318" operator="equal">
      <formula>0</formula>
    </cfRule>
  </conditionalFormatting>
  <conditionalFormatting sqref="V24">
    <cfRule type="cellIs" dxfId="10885" priority="315" operator="greaterThan">
      <formula>V23</formula>
    </cfRule>
    <cfRule type="cellIs" dxfId="10884" priority="316" operator="equal">
      <formula>0</formula>
    </cfRule>
  </conditionalFormatting>
  <conditionalFormatting sqref="V24">
    <cfRule type="cellIs" dxfId="10883" priority="313" operator="greaterThan">
      <formula>V23</formula>
    </cfRule>
    <cfRule type="cellIs" dxfId="10882" priority="314" operator="equal">
      <formula>0</formula>
    </cfRule>
  </conditionalFormatting>
  <conditionalFormatting sqref="V25">
    <cfRule type="cellIs" dxfId="10881" priority="311" operator="greaterThan">
      <formula>V24</formula>
    </cfRule>
    <cfRule type="cellIs" dxfId="10880" priority="312" operator="equal">
      <formula>0</formula>
    </cfRule>
  </conditionalFormatting>
  <conditionalFormatting sqref="V25">
    <cfRule type="cellIs" dxfId="10879" priority="309" operator="greaterThan">
      <formula>V24</formula>
    </cfRule>
    <cfRule type="cellIs" dxfId="10878" priority="310" operator="equal">
      <formula>0</formula>
    </cfRule>
  </conditionalFormatting>
  <conditionalFormatting sqref="V25">
    <cfRule type="cellIs" dxfId="10877" priority="307" operator="greaterThan">
      <formula>V24</formula>
    </cfRule>
    <cfRule type="cellIs" dxfId="10876" priority="308" operator="equal">
      <formula>0</formula>
    </cfRule>
  </conditionalFormatting>
  <conditionalFormatting sqref="V25">
    <cfRule type="cellIs" dxfId="10875" priority="305" operator="greaterThan">
      <formula>V24</formula>
    </cfRule>
    <cfRule type="cellIs" dxfId="10874" priority="306" operator="equal">
      <formula>0</formula>
    </cfRule>
  </conditionalFormatting>
  <conditionalFormatting sqref="V25">
    <cfRule type="cellIs" dxfId="10873" priority="303" operator="greaterThan">
      <formula>V24</formula>
    </cfRule>
    <cfRule type="cellIs" dxfId="10872" priority="304" operator="equal">
      <formula>0</formula>
    </cfRule>
  </conditionalFormatting>
  <conditionalFormatting sqref="V25">
    <cfRule type="cellIs" dxfId="10871" priority="301" operator="greaterThan">
      <formula>V24</formula>
    </cfRule>
    <cfRule type="cellIs" dxfId="10870" priority="302" operator="equal">
      <formula>0</formula>
    </cfRule>
  </conditionalFormatting>
  <conditionalFormatting sqref="V25">
    <cfRule type="cellIs" dxfId="10869" priority="299" operator="greaterThan">
      <formula>V24</formula>
    </cfRule>
    <cfRule type="cellIs" dxfId="10868" priority="300" operator="equal">
      <formula>0</formula>
    </cfRule>
  </conditionalFormatting>
  <conditionalFormatting sqref="V25">
    <cfRule type="cellIs" dxfId="10867" priority="297" operator="greaterThan">
      <formula>V24</formula>
    </cfRule>
    <cfRule type="cellIs" dxfId="10866" priority="298" operator="equal">
      <formula>0</formula>
    </cfRule>
  </conditionalFormatting>
  <conditionalFormatting sqref="V25">
    <cfRule type="cellIs" dxfId="10865" priority="295" operator="greaterThan">
      <formula>V24</formula>
    </cfRule>
    <cfRule type="cellIs" dxfId="10864" priority="296" operator="equal">
      <formula>0</formula>
    </cfRule>
  </conditionalFormatting>
  <conditionalFormatting sqref="V25">
    <cfRule type="cellIs" dxfId="10863" priority="293" operator="greaterThan">
      <formula>V24</formula>
    </cfRule>
    <cfRule type="cellIs" dxfId="10862" priority="294" operator="equal">
      <formula>0</formula>
    </cfRule>
  </conditionalFormatting>
  <conditionalFormatting sqref="V25">
    <cfRule type="cellIs" dxfId="10861" priority="291" operator="greaterThan">
      <formula>V24</formula>
    </cfRule>
    <cfRule type="cellIs" dxfId="10860" priority="292" operator="equal">
      <formula>0</formula>
    </cfRule>
  </conditionalFormatting>
  <conditionalFormatting sqref="V25">
    <cfRule type="cellIs" dxfId="10859" priority="289" operator="greaterThan">
      <formula>V24</formula>
    </cfRule>
    <cfRule type="cellIs" dxfId="10858" priority="290" operator="equal">
      <formula>0</formula>
    </cfRule>
  </conditionalFormatting>
  <conditionalFormatting sqref="V25">
    <cfRule type="cellIs" dxfId="10857" priority="287" operator="greaterThan">
      <formula>V24</formula>
    </cfRule>
    <cfRule type="cellIs" dxfId="10856" priority="288" operator="equal">
      <formula>0</formula>
    </cfRule>
  </conditionalFormatting>
  <conditionalFormatting sqref="V25">
    <cfRule type="cellIs" dxfId="10855" priority="285" operator="greaterThan">
      <formula>V24</formula>
    </cfRule>
    <cfRule type="cellIs" dxfId="10854" priority="286" operator="equal">
      <formula>0</formula>
    </cfRule>
  </conditionalFormatting>
  <conditionalFormatting sqref="V25">
    <cfRule type="cellIs" dxfId="10853" priority="283" operator="greaterThan">
      <formula>V24</formula>
    </cfRule>
    <cfRule type="cellIs" dxfId="10852" priority="284" operator="equal">
      <formula>0</formula>
    </cfRule>
  </conditionalFormatting>
  <conditionalFormatting sqref="V25">
    <cfRule type="cellIs" dxfId="10851" priority="281" operator="greaterThan">
      <formula>V24</formula>
    </cfRule>
    <cfRule type="cellIs" dxfId="10850" priority="282" operator="equal">
      <formula>0</formula>
    </cfRule>
  </conditionalFormatting>
  <conditionalFormatting sqref="V25">
    <cfRule type="cellIs" dxfId="10849" priority="279" operator="greaterThan">
      <formula>V24</formula>
    </cfRule>
    <cfRule type="cellIs" dxfId="10848" priority="280" operator="equal">
      <formula>0</formula>
    </cfRule>
  </conditionalFormatting>
  <conditionalFormatting sqref="V25">
    <cfRule type="cellIs" dxfId="10847" priority="277" operator="greaterThan">
      <formula>V24</formula>
    </cfRule>
    <cfRule type="cellIs" dxfId="10846" priority="278" operator="equal">
      <formula>0</formula>
    </cfRule>
  </conditionalFormatting>
  <conditionalFormatting sqref="V25">
    <cfRule type="cellIs" dxfId="10845" priority="275" operator="greaterThan">
      <formula>V24</formula>
    </cfRule>
    <cfRule type="cellIs" dxfId="10844" priority="276" operator="equal">
      <formula>0</formula>
    </cfRule>
  </conditionalFormatting>
  <conditionalFormatting sqref="V25">
    <cfRule type="cellIs" dxfId="10843" priority="273" operator="greaterThan">
      <formula>V24</formula>
    </cfRule>
    <cfRule type="cellIs" dxfId="10842" priority="274" operator="equal">
      <formula>0</formula>
    </cfRule>
  </conditionalFormatting>
  <conditionalFormatting sqref="V25">
    <cfRule type="cellIs" dxfId="10841" priority="271" operator="greaterThan">
      <formula>V24</formula>
    </cfRule>
    <cfRule type="cellIs" dxfId="10840" priority="272" operator="equal">
      <formula>0</formula>
    </cfRule>
  </conditionalFormatting>
  <conditionalFormatting sqref="V25">
    <cfRule type="cellIs" dxfId="10839" priority="269" operator="greaterThan">
      <formula>V24</formula>
    </cfRule>
    <cfRule type="cellIs" dxfId="10838" priority="270" operator="equal">
      <formula>0</formula>
    </cfRule>
  </conditionalFormatting>
  <conditionalFormatting sqref="V25">
    <cfRule type="cellIs" dxfId="10837" priority="267" operator="greaterThan">
      <formula>V24</formula>
    </cfRule>
    <cfRule type="cellIs" dxfId="10836" priority="268" operator="equal">
      <formula>0</formula>
    </cfRule>
  </conditionalFormatting>
  <conditionalFormatting sqref="V25">
    <cfRule type="cellIs" dxfId="10835" priority="265" operator="greaterThan">
      <formula>V24</formula>
    </cfRule>
    <cfRule type="cellIs" dxfId="10834" priority="266" operator="equal">
      <formula>0</formula>
    </cfRule>
  </conditionalFormatting>
  <conditionalFormatting sqref="V25">
    <cfRule type="cellIs" dxfId="10833" priority="263" operator="greaterThan">
      <formula>V24</formula>
    </cfRule>
    <cfRule type="cellIs" dxfId="10832" priority="264" operator="equal">
      <formula>0</formula>
    </cfRule>
  </conditionalFormatting>
  <conditionalFormatting sqref="V25">
    <cfRule type="cellIs" dxfId="10831" priority="261" operator="greaterThan">
      <formula>V24</formula>
    </cfRule>
    <cfRule type="cellIs" dxfId="10830" priority="262" operator="equal">
      <formula>0</formula>
    </cfRule>
  </conditionalFormatting>
  <conditionalFormatting sqref="V25">
    <cfRule type="cellIs" dxfId="10829" priority="259" operator="greaterThan">
      <formula>V24</formula>
    </cfRule>
    <cfRule type="cellIs" dxfId="10828" priority="260" operator="equal">
      <formula>0</formula>
    </cfRule>
  </conditionalFormatting>
  <conditionalFormatting sqref="V25">
    <cfRule type="cellIs" dxfId="10827" priority="257" operator="greaterThan">
      <formula>V24</formula>
    </cfRule>
    <cfRule type="cellIs" dxfId="10826" priority="258" operator="equal">
      <formula>0</formula>
    </cfRule>
  </conditionalFormatting>
  <conditionalFormatting sqref="V27">
    <cfRule type="cellIs" dxfId="10825" priority="255" operator="greaterThan">
      <formula>V26</formula>
    </cfRule>
    <cfRule type="cellIs" dxfId="10824" priority="256" operator="equal">
      <formula>0</formula>
    </cfRule>
  </conditionalFormatting>
  <conditionalFormatting sqref="V27">
    <cfRule type="cellIs" dxfId="10823" priority="253" operator="greaterThan">
      <formula>V26</formula>
    </cfRule>
    <cfRule type="cellIs" dxfId="10822" priority="254" operator="equal">
      <formula>0</formula>
    </cfRule>
  </conditionalFormatting>
  <conditionalFormatting sqref="V27">
    <cfRule type="cellIs" dxfId="10821" priority="251" operator="greaterThan">
      <formula>V26</formula>
    </cfRule>
    <cfRule type="cellIs" dxfId="10820" priority="252" operator="equal">
      <formula>0</formula>
    </cfRule>
  </conditionalFormatting>
  <conditionalFormatting sqref="V27">
    <cfRule type="cellIs" dxfId="10819" priority="249" operator="greaterThan">
      <formula>V26</formula>
    </cfRule>
    <cfRule type="cellIs" dxfId="10818" priority="250" operator="equal">
      <formula>0</formula>
    </cfRule>
  </conditionalFormatting>
  <conditionalFormatting sqref="V27">
    <cfRule type="cellIs" dxfId="10817" priority="247" operator="greaterThan">
      <formula>V26</formula>
    </cfRule>
    <cfRule type="cellIs" dxfId="10816" priority="248" operator="equal">
      <formula>0</formula>
    </cfRule>
  </conditionalFormatting>
  <conditionalFormatting sqref="V27">
    <cfRule type="cellIs" dxfId="10815" priority="245" operator="greaterThan">
      <formula>V26</formula>
    </cfRule>
    <cfRule type="cellIs" dxfId="10814" priority="246" operator="equal">
      <formula>0</formula>
    </cfRule>
  </conditionalFormatting>
  <conditionalFormatting sqref="V27">
    <cfRule type="cellIs" dxfId="10813" priority="243" operator="greaterThan">
      <formula>V26</formula>
    </cfRule>
    <cfRule type="cellIs" dxfId="10812" priority="244" operator="equal">
      <formula>0</formula>
    </cfRule>
  </conditionalFormatting>
  <conditionalFormatting sqref="V27">
    <cfRule type="cellIs" dxfId="10811" priority="241" operator="greaterThan">
      <formula>V26</formula>
    </cfRule>
    <cfRule type="cellIs" dxfId="10810" priority="242" operator="equal">
      <formula>0</formula>
    </cfRule>
  </conditionalFormatting>
  <conditionalFormatting sqref="V27">
    <cfRule type="cellIs" dxfId="10809" priority="239" operator="greaterThan">
      <formula>V26</formula>
    </cfRule>
    <cfRule type="cellIs" dxfId="10808" priority="240" operator="equal">
      <formula>0</formula>
    </cfRule>
  </conditionalFormatting>
  <conditionalFormatting sqref="V27">
    <cfRule type="cellIs" dxfId="10807" priority="237" operator="greaterThan">
      <formula>V26</formula>
    </cfRule>
    <cfRule type="cellIs" dxfId="10806" priority="238" operator="equal">
      <formula>0</formula>
    </cfRule>
  </conditionalFormatting>
  <conditionalFormatting sqref="V27">
    <cfRule type="cellIs" dxfId="10805" priority="235" operator="greaterThan">
      <formula>V26</formula>
    </cfRule>
    <cfRule type="cellIs" dxfId="10804" priority="236" operator="equal">
      <formula>0</formula>
    </cfRule>
  </conditionalFormatting>
  <conditionalFormatting sqref="V27">
    <cfRule type="cellIs" dxfId="10803" priority="233" operator="greaterThan">
      <formula>V26</formula>
    </cfRule>
    <cfRule type="cellIs" dxfId="10802" priority="234" operator="equal">
      <formula>0</formula>
    </cfRule>
  </conditionalFormatting>
  <conditionalFormatting sqref="V27">
    <cfRule type="cellIs" dxfId="10801" priority="231" operator="greaterThan">
      <formula>V26</formula>
    </cfRule>
    <cfRule type="cellIs" dxfId="10800" priority="232" operator="equal">
      <formula>0</formula>
    </cfRule>
  </conditionalFormatting>
  <conditionalFormatting sqref="V27">
    <cfRule type="cellIs" dxfId="10799" priority="229" operator="greaterThan">
      <formula>V26</formula>
    </cfRule>
    <cfRule type="cellIs" dxfId="10798" priority="230" operator="equal">
      <formula>0</formula>
    </cfRule>
  </conditionalFormatting>
  <conditionalFormatting sqref="V27">
    <cfRule type="cellIs" dxfId="10797" priority="227" operator="greaterThan">
      <formula>V26</formula>
    </cfRule>
    <cfRule type="cellIs" dxfId="10796" priority="228" operator="equal">
      <formula>0</formula>
    </cfRule>
  </conditionalFormatting>
  <conditionalFormatting sqref="V27">
    <cfRule type="cellIs" dxfId="10795" priority="225" operator="greaterThan">
      <formula>V26</formula>
    </cfRule>
    <cfRule type="cellIs" dxfId="10794" priority="226" operator="equal">
      <formula>0</formula>
    </cfRule>
  </conditionalFormatting>
  <conditionalFormatting sqref="V27">
    <cfRule type="cellIs" dxfId="10793" priority="223" operator="greaterThan">
      <formula>V26</formula>
    </cfRule>
    <cfRule type="cellIs" dxfId="10792" priority="224" operator="equal">
      <formula>0</formula>
    </cfRule>
  </conditionalFormatting>
  <conditionalFormatting sqref="V27">
    <cfRule type="cellIs" dxfId="10791" priority="221" operator="greaterThan">
      <formula>V26</formula>
    </cfRule>
    <cfRule type="cellIs" dxfId="10790" priority="222" operator="equal">
      <formula>0</formula>
    </cfRule>
  </conditionalFormatting>
  <conditionalFormatting sqref="V27">
    <cfRule type="cellIs" dxfId="10789" priority="219" operator="greaterThan">
      <formula>V26</formula>
    </cfRule>
    <cfRule type="cellIs" dxfId="10788" priority="220" operator="equal">
      <formula>0</formula>
    </cfRule>
  </conditionalFormatting>
  <conditionalFormatting sqref="V27">
    <cfRule type="cellIs" dxfId="10787" priority="217" operator="greaterThan">
      <formula>V26</formula>
    </cfRule>
    <cfRule type="cellIs" dxfId="10786" priority="218" operator="equal">
      <formula>0</formula>
    </cfRule>
  </conditionalFormatting>
  <conditionalFormatting sqref="V27">
    <cfRule type="cellIs" dxfId="10785" priority="215" operator="greaterThan">
      <formula>V26</formula>
    </cfRule>
    <cfRule type="cellIs" dxfId="10784" priority="216" operator="equal">
      <formula>0</formula>
    </cfRule>
  </conditionalFormatting>
  <conditionalFormatting sqref="V27">
    <cfRule type="cellIs" dxfId="10783" priority="213" operator="greaterThan">
      <formula>V26</formula>
    </cfRule>
    <cfRule type="cellIs" dxfId="10782" priority="214" operator="equal">
      <formula>0</formula>
    </cfRule>
  </conditionalFormatting>
  <conditionalFormatting sqref="V27">
    <cfRule type="cellIs" dxfId="10781" priority="211" operator="greaterThan">
      <formula>V26</formula>
    </cfRule>
    <cfRule type="cellIs" dxfId="10780" priority="212" operator="equal">
      <formula>0</formula>
    </cfRule>
  </conditionalFormatting>
  <conditionalFormatting sqref="V27">
    <cfRule type="cellIs" dxfId="10779" priority="209" operator="greaterThan">
      <formula>V26</formula>
    </cfRule>
    <cfRule type="cellIs" dxfId="10778" priority="210" operator="equal">
      <formula>0</formula>
    </cfRule>
  </conditionalFormatting>
  <conditionalFormatting sqref="V27">
    <cfRule type="cellIs" dxfId="10777" priority="207" operator="greaterThan">
      <formula>V26</formula>
    </cfRule>
    <cfRule type="cellIs" dxfId="10776" priority="208" operator="equal">
      <formula>0</formula>
    </cfRule>
  </conditionalFormatting>
  <conditionalFormatting sqref="V27">
    <cfRule type="cellIs" dxfId="10775" priority="205" operator="greaterThan">
      <formula>V26</formula>
    </cfRule>
    <cfRule type="cellIs" dxfId="10774" priority="206" operator="equal">
      <formula>0</formula>
    </cfRule>
  </conditionalFormatting>
  <conditionalFormatting sqref="V27">
    <cfRule type="cellIs" dxfId="10773" priority="203" operator="greaterThan">
      <formula>V26</formula>
    </cfRule>
    <cfRule type="cellIs" dxfId="10772" priority="204" operator="equal">
      <formula>0</formula>
    </cfRule>
  </conditionalFormatting>
  <conditionalFormatting sqref="V27">
    <cfRule type="cellIs" dxfId="10771" priority="201" operator="greaterThan">
      <formula>V26</formula>
    </cfRule>
    <cfRule type="cellIs" dxfId="10770" priority="202" operator="equal">
      <formula>0</formula>
    </cfRule>
  </conditionalFormatting>
  <conditionalFormatting sqref="V27">
    <cfRule type="cellIs" dxfId="10769" priority="199" operator="greaterThan">
      <formula>V26</formula>
    </cfRule>
    <cfRule type="cellIs" dxfId="10768" priority="200" operator="equal">
      <formula>0</formula>
    </cfRule>
  </conditionalFormatting>
  <conditionalFormatting sqref="V28">
    <cfRule type="cellIs" dxfId="10767" priority="197" operator="greaterThan">
      <formula>V27</formula>
    </cfRule>
    <cfRule type="cellIs" dxfId="10766" priority="198" operator="equal">
      <formula>0</formula>
    </cfRule>
  </conditionalFormatting>
  <conditionalFormatting sqref="V28">
    <cfRule type="cellIs" dxfId="10765" priority="195" operator="greaterThan">
      <formula>V27</formula>
    </cfRule>
    <cfRule type="cellIs" dxfId="10764" priority="196" operator="equal">
      <formula>0</formula>
    </cfRule>
  </conditionalFormatting>
  <conditionalFormatting sqref="V28">
    <cfRule type="cellIs" dxfId="10763" priority="193" operator="greaterThan">
      <formula>V27</formula>
    </cfRule>
    <cfRule type="cellIs" dxfId="10762" priority="194" operator="equal">
      <formula>0</formula>
    </cfRule>
  </conditionalFormatting>
  <conditionalFormatting sqref="V28">
    <cfRule type="cellIs" dxfId="10761" priority="191" operator="greaterThan">
      <formula>V27</formula>
    </cfRule>
    <cfRule type="cellIs" dxfId="10760" priority="192" operator="equal">
      <formula>0</formula>
    </cfRule>
  </conditionalFormatting>
  <conditionalFormatting sqref="V28">
    <cfRule type="cellIs" dxfId="10759" priority="189" operator="greaterThan">
      <formula>V27</formula>
    </cfRule>
    <cfRule type="cellIs" dxfId="10758" priority="190" operator="equal">
      <formula>0</formula>
    </cfRule>
  </conditionalFormatting>
  <conditionalFormatting sqref="V28">
    <cfRule type="cellIs" dxfId="10757" priority="187" operator="greaterThan">
      <formula>V27</formula>
    </cfRule>
    <cfRule type="cellIs" dxfId="10756" priority="188" operator="equal">
      <formula>0</formula>
    </cfRule>
  </conditionalFormatting>
  <conditionalFormatting sqref="V28">
    <cfRule type="cellIs" dxfId="10755" priority="185" operator="greaterThan">
      <formula>V27</formula>
    </cfRule>
    <cfRule type="cellIs" dxfId="10754" priority="186" operator="equal">
      <formula>0</formula>
    </cfRule>
  </conditionalFormatting>
  <conditionalFormatting sqref="V28">
    <cfRule type="cellIs" dxfId="10753" priority="183" operator="greaterThan">
      <formula>V27</formula>
    </cfRule>
    <cfRule type="cellIs" dxfId="10752" priority="184" operator="equal">
      <formula>0</formula>
    </cfRule>
  </conditionalFormatting>
  <conditionalFormatting sqref="V28">
    <cfRule type="cellIs" dxfId="10751" priority="181" operator="greaterThan">
      <formula>V27</formula>
    </cfRule>
    <cfRule type="cellIs" dxfId="10750" priority="182" operator="equal">
      <formula>0</formula>
    </cfRule>
  </conditionalFormatting>
  <conditionalFormatting sqref="V28">
    <cfRule type="cellIs" dxfId="10749" priority="179" operator="greaterThan">
      <formula>V27</formula>
    </cfRule>
    <cfRule type="cellIs" dxfId="10748" priority="180" operator="equal">
      <formula>0</formula>
    </cfRule>
  </conditionalFormatting>
  <conditionalFormatting sqref="V28">
    <cfRule type="cellIs" dxfId="10747" priority="177" operator="greaterThan">
      <formula>V27</formula>
    </cfRule>
    <cfRule type="cellIs" dxfId="10746" priority="178" operator="equal">
      <formula>0</formula>
    </cfRule>
  </conditionalFormatting>
  <conditionalFormatting sqref="V28">
    <cfRule type="cellIs" dxfId="10745" priority="175" operator="greaterThan">
      <formula>V27</formula>
    </cfRule>
    <cfRule type="cellIs" dxfId="10744" priority="176" operator="equal">
      <formula>0</formula>
    </cfRule>
  </conditionalFormatting>
  <conditionalFormatting sqref="V28">
    <cfRule type="cellIs" dxfId="10743" priority="173" operator="greaterThan">
      <formula>V27</formula>
    </cfRule>
    <cfRule type="cellIs" dxfId="10742" priority="174" operator="equal">
      <formula>0</formula>
    </cfRule>
  </conditionalFormatting>
  <conditionalFormatting sqref="V28">
    <cfRule type="cellIs" dxfId="10741" priority="171" operator="greaterThan">
      <formula>V27</formula>
    </cfRule>
    <cfRule type="cellIs" dxfId="10740" priority="172" operator="equal">
      <formula>0</formula>
    </cfRule>
  </conditionalFormatting>
  <conditionalFormatting sqref="V28">
    <cfRule type="cellIs" dxfId="10739" priority="169" operator="greaterThan">
      <formula>V27</formula>
    </cfRule>
    <cfRule type="cellIs" dxfId="10738" priority="170" operator="equal">
      <formula>0</formula>
    </cfRule>
  </conditionalFormatting>
  <conditionalFormatting sqref="V28">
    <cfRule type="cellIs" dxfId="10737" priority="167" operator="greaterThan">
      <formula>V27</formula>
    </cfRule>
    <cfRule type="cellIs" dxfId="10736" priority="168" operator="equal">
      <formula>0</formula>
    </cfRule>
  </conditionalFormatting>
  <conditionalFormatting sqref="V28">
    <cfRule type="cellIs" dxfId="10735" priority="165" operator="greaterThan">
      <formula>V27</formula>
    </cfRule>
    <cfRule type="cellIs" dxfId="10734" priority="166" operator="equal">
      <formula>0</formula>
    </cfRule>
  </conditionalFormatting>
  <conditionalFormatting sqref="V28">
    <cfRule type="cellIs" dxfId="10733" priority="163" operator="greaterThan">
      <formula>V27</formula>
    </cfRule>
    <cfRule type="cellIs" dxfId="10732" priority="164" operator="equal">
      <formula>0</formula>
    </cfRule>
  </conditionalFormatting>
  <conditionalFormatting sqref="V28">
    <cfRule type="cellIs" dxfId="10731" priority="161" operator="greaterThan">
      <formula>V27</formula>
    </cfRule>
    <cfRule type="cellIs" dxfId="10730" priority="162" operator="equal">
      <formula>0</formula>
    </cfRule>
  </conditionalFormatting>
  <conditionalFormatting sqref="V28">
    <cfRule type="cellIs" dxfId="10729" priority="159" operator="greaterThan">
      <formula>V27</formula>
    </cfRule>
    <cfRule type="cellIs" dxfId="10728" priority="160" operator="equal">
      <formula>0</formula>
    </cfRule>
  </conditionalFormatting>
  <conditionalFormatting sqref="V28">
    <cfRule type="cellIs" dxfId="10727" priority="157" operator="greaterThan">
      <formula>V27</formula>
    </cfRule>
    <cfRule type="cellIs" dxfId="10726" priority="158" operator="equal">
      <formula>0</formula>
    </cfRule>
  </conditionalFormatting>
  <conditionalFormatting sqref="V28">
    <cfRule type="cellIs" dxfId="10725" priority="155" operator="greaterThan">
      <formula>V27</formula>
    </cfRule>
    <cfRule type="cellIs" dxfId="10724" priority="156" operator="equal">
      <formula>0</formula>
    </cfRule>
  </conditionalFormatting>
  <conditionalFormatting sqref="V28">
    <cfRule type="cellIs" dxfId="10723" priority="153" operator="greaterThan">
      <formula>V27</formula>
    </cfRule>
    <cfRule type="cellIs" dxfId="10722" priority="154" operator="equal">
      <formula>0</formula>
    </cfRule>
  </conditionalFormatting>
  <conditionalFormatting sqref="V28">
    <cfRule type="cellIs" dxfId="10721" priority="151" operator="greaterThan">
      <formula>V27</formula>
    </cfRule>
    <cfRule type="cellIs" dxfId="10720" priority="152" operator="equal">
      <formula>0</formula>
    </cfRule>
  </conditionalFormatting>
  <conditionalFormatting sqref="V28">
    <cfRule type="cellIs" dxfId="10719" priority="149" operator="greaterThan">
      <formula>V27</formula>
    </cfRule>
    <cfRule type="cellIs" dxfId="10718" priority="150" operator="equal">
      <formula>0</formula>
    </cfRule>
  </conditionalFormatting>
  <conditionalFormatting sqref="V28">
    <cfRule type="cellIs" dxfId="10717" priority="147" operator="greaterThan">
      <formula>V27</formula>
    </cfRule>
    <cfRule type="cellIs" dxfId="10716" priority="148" operator="equal">
      <formula>0</formula>
    </cfRule>
  </conditionalFormatting>
  <conditionalFormatting sqref="V28">
    <cfRule type="cellIs" dxfId="10715" priority="145" operator="greaterThan">
      <formula>V27</formula>
    </cfRule>
    <cfRule type="cellIs" dxfId="10714" priority="146" operator="equal">
      <formula>0</formula>
    </cfRule>
  </conditionalFormatting>
  <conditionalFormatting sqref="V28">
    <cfRule type="cellIs" dxfId="10713" priority="143" operator="greaterThan">
      <formula>V27</formula>
    </cfRule>
    <cfRule type="cellIs" dxfId="10712" priority="144" operator="equal">
      <formula>0</formula>
    </cfRule>
  </conditionalFormatting>
  <conditionalFormatting sqref="V28">
    <cfRule type="cellIs" dxfId="10711" priority="141" operator="greaterThan">
      <formula>V27</formula>
    </cfRule>
    <cfRule type="cellIs" dxfId="10710" priority="142" operator="equal">
      <formula>0</formula>
    </cfRule>
  </conditionalFormatting>
  <conditionalFormatting sqref="V28">
    <cfRule type="cellIs" dxfId="10709" priority="139" operator="greaterThan">
      <formula>V27</formula>
    </cfRule>
    <cfRule type="cellIs" dxfId="10708" priority="140" operator="equal">
      <formula>0</formula>
    </cfRule>
  </conditionalFormatting>
  <conditionalFormatting sqref="V28">
    <cfRule type="cellIs" dxfId="10707" priority="137" operator="greaterThan">
      <formula>V27</formula>
    </cfRule>
    <cfRule type="cellIs" dxfId="10706" priority="138" operator="equal">
      <formula>0</formula>
    </cfRule>
  </conditionalFormatting>
  <conditionalFormatting sqref="V28">
    <cfRule type="cellIs" dxfId="10705" priority="135" operator="greaterThan">
      <formula>V27</formula>
    </cfRule>
    <cfRule type="cellIs" dxfId="10704" priority="136" operator="equal">
      <formula>0</formula>
    </cfRule>
  </conditionalFormatting>
  <conditionalFormatting sqref="V28">
    <cfRule type="cellIs" dxfId="10703" priority="133" operator="greaterThan">
      <formula>V27</formula>
    </cfRule>
    <cfRule type="cellIs" dxfId="10702" priority="134" operator="equal">
      <formula>0</formula>
    </cfRule>
  </conditionalFormatting>
  <conditionalFormatting sqref="V28">
    <cfRule type="cellIs" dxfId="10701" priority="131" operator="greaterThan">
      <formula>V27</formula>
    </cfRule>
    <cfRule type="cellIs" dxfId="10700" priority="132" operator="equal">
      <formula>0</formula>
    </cfRule>
  </conditionalFormatting>
  <conditionalFormatting sqref="V28">
    <cfRule type="cellIs" dxfId="10699" priority="129" operator="greaterThan">
      <formula>V27</formula>
    </cfRule>
    <cfRule type="cellIs" dxfId="10698" priority="130" operator="equal">
      <formula>0</formula>
    </cfRule>
  </conditionalFormatting>
  <conditionalFormatting sqref="V28">
    <cfRule type="cellIs" dxfId="10697" priority="127" operator="greaterThan">
      <formula>V27</formula>
    </cfRule>
    <cfRule type="cellIs" dxfId="10696" priority="128" operator="equal">
      <formula>0</formula>
    </cfRule>
  </conditionalFormatting>
  <conditionalFormatting sqref="V28">
    <cfRule type="cellIs" dxfId="10695" priority="125" operator="greaterThan">
      <formula>V27</formula>
    </cfRule>
    <cfRule type="cellIs" dxfId="10694" priority="126" operator="equal">
      <formula>0</formula>
    </cfRule>
  </conditionalFormatting>
  <conditionalFormatting sqref="V28">
    <cfRule type="cellIs" dxfId="10693" priority="123" operator="greaterThan">
      <formula>V27</formula>
    </cfRule>
    <cfRule type="cellIs" dxfId="10692" priority="124" operator="equal">
      <formula>0</formula>
    </cfRule>
  </conditionalFormatting>
  <conditionalFormatting sqref="V28">
    <cfRule type="cellIs" dxfId="10691" priority="121" operator="greaterThan">
      <formula>V27</formula>
    </cfRule>
    <cfRule type="cellIs" dxfId="10690" priority="122" operator="equal">
      <formula>0</formula>
    </cfRule>
  </conditionalFormatting>
  <conditionalFormatting sqref="V28">
    <cfRule type="cellIs" dxfId="10689" priority="119" operator="greaterThan">
      <formula>V27</formula>
    </cfRule>
    <cfRule type="cellIs" dxfId="10688" priority="120" operator="equal">
      <formula>0</formula>
    </cfRule>
  </conditionalFormatting>
  <conditionalFormatting sqref="V28">
    <cfRule type="cellIs" dxfId="10687" priority="117" operator="greaterThan">
      <formula>V27</formula>
    </cfRule>
    <cfRule type="cellIs" dxfId="10686" priority="118" operator="equal">
      <formula>0</formula>
    </cfRule>
  </conditionalFormatting>
  <conditionalFormatting sqref="V28">
    <cfRule type="cellIs" dxfId="10685" priority="115" operator="greaterThan">
      <formula>V27</formula>
    </cfRule>
    <cfRule type="cellIs" dxfId="10684" priority="116" operator="equal">
      <formula>0</formula>
    </cfRule>
  </conditionalFormatting>
  <conditionalFormatting sqref="V28">
    <cfRule type="cellIs" dxfId="10683" priority="113" operator="greaterThan">
      <formula>V27</formula>
    </cfRule>
    <cfRule type="cellIs" dxfId="10682" priority="114" operator="equal">
      <formula>0</formula>
    </cfRule>
  </conditionalFormatting>
  <conditionalFormatting sqref="V28">
    <cfRule type="cellIs" dxfId="10681" priority="111" operator="greaterThan">
      <formula>V27</formula>
    </cfRule>
    <cfRule type="cellIs" dxfId="10680" priority="112" operator="equal">
      <formula>0</formula>
    </cfRule>
  </conditionalFormatting>
  <conditionalFormatting sqref="V28">
    <cfRule type="cellIs" dxfId="10679" priority="109" operator="greaterThan">
      <formula>V27</formula>
    </cfRule>
    <cfRule type="cellIs" dxfId="10678" priority="110" operator="equal">
      <formula>0</formula>
    </cfRule>
  </conditionalFormatting>
  <conditionalFormatting sqref="V28">
    <cfRule type="cellIs" dxfId="10677" priority="107" operator="greaterThan">
      <formula>V27</formula>
    </cfRule>
    <cfRule type="cellIs" dxfId="10676" priority="108" operator="equal">
      <formula>0</formula>
    </cfRule>
  </conditionalFormatting>
  <conditionalFormatting sqref="V28">
    <cfRule type="cellIs" dxfId="10675" priority="105" operator="greaterThan">
      <formula>V27</formula>
    </cfRule>
    <cfRule type="cellIs" dxfId="10674" priority="106" operator="equal">
      <formula>0</formula>
    </cfRule>
  </conditionalFormatting>
  <conditionalFormatting sqref="V28">
    <cfRule type="cellIs" dxfId="10673" priority="103" operator="greaterThan">
      <formula>V27</formula>
    </cfRule>
    <cfRule type="cellIs" dxfId="10672" priority="104" operator="equal">
      <formula>0</formula>
    </cfRule>
  </conditionalFormatting>
  <conditionalFormatting sqref="V28">
    <cfRule type="cellIs" dxfId="10671" priority="101" operator="greaterThan">
      <formula>V27</formula>
    </cfRule>
    <cfRule type="cellIs" dxfId="10670" priority="102" operator="equal">
      <formula>0</formula>
    </cfRule>
  </conditionalFormatting>
  <conditionalFormatting sqref="V28">
    <cfRule type="cellIs" dxfId="10669" priority="99" operator="greaterThan">
      <formula>V27</formula>
    </cfRule>
    <cfRule type="cellIs" dxfId="10668" priority="100" operator="equal">
      <formula>0</formula>
    </cfRule>
  </conditionalFormatting>
  <conditionalFormatting sqref="V28">
    <cfRule type="cellIs" dxfId="10667" priority="97" operator="greaterThan">
      <formula>V27</formula>
    </cfRule>
    <cfRule type="cellIs" dxfId="10666" priority="98" operator="equal">
      <formula>0</formula>
    </cfRule>
  </conditionalFormatting>
  <conditionalFormatting sqref="V28">
    <cfRule type="cellIs" dxfId="10665" priority="95" operator="greaterThan">
      <formula>V27</formula>
    </cfRule>
    <cfRule type="cellIs" dxfId="10664" priority="96" operator="equal">
      <formula>0</formula>
    </cfRule>
  </conditionalFormatting>
  <conditionalFormatting sqref="V28">
    <cfRule type="cellIs" dxfId="10663" priority="93" operator="greaterThan">
      <formula>V27</formula>
    </cfRule>
    <cfRule type="cellIs" dxfId="10662" priority="94" operator="equal">
      <formula>0</formula>
    </cfRule>
  </conditionalFormatting>
  <conditionalFormatting sqref="V28">
    <cfRule type="cellIs" dxfId="10661" priority="91" operator="greaterThan">
      <formula>V27</formula>
    </cfRule>
    <cfRule type="cellIs" dxfId="10660" priority="92" operator="equal">
      <formula>0</formula>
    </cfRule>
  </conditionalFormatting>
  <conditionalFormatting sqref="V28">
    <cfRule type="cellIs" dxfId="10659" priority="89" operator="greaterThan">
      <formula>V27</formula>
    </cfRule>
    <cfRule type="cellIs" dxfId="10658" priority="90" operator="equal">
      <formula>0</formula>
    </cfRule>
  </conditionalFormatting>
  <conditionalFormatting sqref="V28">
    <cfRule type="cellIs" dxfId="10657" priority="87" operator="greaterThan">
      <formula>V27</formula>
    </cfRule>
    <cfRule type="cellIs" dxfId="10656" priority="88" operator="equal">
      <formula>0</formula>
    </cfRule>
  </conditionalFormatting>
  <conditionalFormatting sqref="V28">
    <cfRule type="cellIs" dxfId="10655" priority="85" operator="greaterThan">
      <formula>V27</formula>
    </cfRule>
    <cfRule type="cellIs" dxfId="10654" priority="86" operator="equal">
      <formula>0</formula>
    </cfRule>
  </conditionalFormatting>
  <conditionalFormatting sqref="V28">
    <cfRule type="cellIs" dxfId="10653" priority="83" operator="greaterThan">
      <formula>V27</formula>
    </cfRule>
    <cfRule type="cellIs" dxfId="10652" priority="84" operator="equal">
      <formula>0</formula>
    </cfRule>
  </conditionalFormatting>
  <conditionalFormatting sqref="V28">
    <cfRule type="cellIs" dxfId="10651" priority="81" operator="greaterThan">
      <formula>V27</formula>
    </cfRule>
    <cfRule type="cellIs" dxfId="10650" priority="82" operator="equal">
      <formula>0</formula>
    </cfRule>
  </conditionalFormatting>
  <conditionalFormatting sqref="V28">
    <cfRule type="cellIs" dxfId="10649" priority="79" operator="greaterThan">
      <formula>V27</formula>
    </cfRule>
    <cfRule type="cellIs" dxfId="10648" priority="80" operator="equal">
      <formula>0</formula>
    </cfRule>
  </conditionalFormatting>
  <conditionalFormatting sqref="V28">
    <cfRule type="cellIs" dxfId="10647" priority="77" operator="greaterThan">
      <formula>V27</formula>
    </cfRule>
    <cfRule type="cellIs" dxfId="10646" priority="78" operator="equal">
      <formula>0</formula>
    </cfRule>
  </conditionalFormatting>
  <conditionalFormatting sqref="V28">
    <cfRule type="cellIs" dxfId="10645" priority="75" operator="greaterThan">
      <formula>V27</formula>
    </cfRule>
    <cfRule type="cellIs" dxfId="10644" priority="76" operator="equal">
      <formula>0</formula>
    </cfRule>
  </conditionalFormatting>
  <conditionalFormatting sqref="V28">
    <cfRule type="cellIs" dxfId="10643" priority="73" operator="greaterThan">
      <formula>V27</formula>
    </cfRule>
    <cfRule type="cellIs" dxfId="10642" priority="74" operator="equal">
      <formula>0</formula>
    </cfRule>
  </conditionalFormatting>
  <conditionalFormatting sqref="V28">
    <cfRule type="cellIs" dxfId="10641" priority="71" operator="greaterThan">
      <formula>V27</formula>
    </cfRule>
    <cfRule type="cellIs" dxfId="10640" priority="72" operator="equal">
      <formula>0</formula>
    </cfRule>
  </conditionalFormatting>
  <conditionalFormatting sqref="V28">
    <cfRule type="cellIs" dxfId="10639" priority="69" operator="greaterThan">
      <formula>V27</formula>
    </cfRule>
    <cfRule type="cellIs" dxfId="10638" priority="70" operator="equal">
      <formula>0</formula>
    </cfRule>
  </conditionalFormatting>
  <conditionalFormatting sqref="V28">
    <cfRule type="cellIs" dxfId="10637" priority="67" operator="greaterThan">
      <formula>V27</formula>
    </cfRule>
    <cfRule type="cellIs" dxfId="10636" priority="68" operator="equal">
      <formula>0</formula>
    </cfRule>
  </conditionalFormatting>
  <conditionalFormatting sqref="V28">
    <cfRule type="cellIs" dxfId="10635" priority="65" operator="greaterThan">
      <formula>V27</formula>
    </cfRule>
    <cfRule type="cellIs" dxfId="10634" priority="66" operator="equal">
      <formula>0</formula>
    </cfRule>
  </conditionalFormatting>
  <conditionalFormatting sqref="V28">
    <cfRule type="cellIs" dxfId="10633" priority="63" operator="greaterThan">
      <formula>V27</formula>
    </cfRule>
    <cfRule type="cellIs" dxfId="10632" priority="64" operator="equal">
      <formula>0</formula>
    </cfRule>
  </conditionalFormatting>
  <conditionalFormatting sqref="V28">
    <cfRule type="cellIs" dxfId="10631" priority="61" operator="greaterThan">
      <formula>V27</formula>
    </cfRule>
    <cfRule type="cellIs" dxfId="10630" priority="62" operator="equal">
      <formula>0</formula>
    </cfRule>
  </conditionalFormatting>
  <conditionalFormatting sqref="V28">
    <cfRule type="cellIs" dxfId="10629" priority="59" operator="greaterThan">
      <formula>V27</formula>
    </cfRule>
    <cfRule type="cellIs" dxfId="10628" priority="60" operator="equal">
      <formula>0</formula>
    </cfRule>
  </conditionalFormatting>
  <conditionalFormatting sqref="V28">
    <cfRule type="cellIs" dxfId="10627" priority="57" operator="greaterThan">
      <formula>V27</formula>
    </cfRule>
    <cfRule type="cellIs" dxfId="10626" priority="58" operator="equal">
      <formula>0</formula>
    </cfRule>
  </conditionalFormatting>
  <conditionalFormatting sqref="V28">
    <cfRule type="cellIs" dxfId="10625" priority="55" operator="greaterThan">
      <formula>V27</formula>
    </cfRule>
    <cfRule type="cellIs" dxfId="10624" priority="56" operator="equal">
      <formula>0</formula>
    </cfRule>
  </conditionalFormatting>
  <conditionalFormatting sqref="V28">
    <cfRule type="cellIs" dxfId="10623" priority="53" operator="greaterThan">
      <formula>V27</formula>
    </cfRule>
    <cfRule type="cellIs" dxfId="10622" priority="54" operator="equal">
      <formula>0</formula>
    </cfRule>
  </conditionalFormatting>
  <conditionalFormatting sqref="V28">
    <cfRule type="cellIs" dxfId="10621" priority="51" operator="greaterThan">
      <formula>V27</formula>
    </cfRule>
    <cfRule type="cellIs" dxfId="10620" priority="52" operator="equal">
      <formula>0</formula>
    </cfRule>
  </conditionalFormatting>
  <conditionalFormatting sqref="V28">
    <cfRule type="cellIs" dxfId="10619" priority="49" operator="greaterThan">
      <formula>V27</formula>
    </cfRule>
    <cfRule type="cellIs" dxfId="10618" priority="50" operator="equal">
      <formula>0</formula>
    </cfRule>
  </conditionalFormatting>
  <conditionalFormatting sqref="V28">
    <cfRule type="cellIs" dxfId="10617" priority="47" operator="greaterThan">
      <formula>V27</formula>
    </cfRule>
    <cfRule type="cellIs" dxfId="10616" priority="48" operator="equal">
      <formula>0</formula>
    </cfRule>
  </conditionalFormatting>
  <conditionalFormatting sqref="V28">
    <cfRule type="cellIs" dxfId="10615" priority="45" operator="greaterThan">
      <formula>V27</formula>
    </cfRule>
    <cfRule type="cellIs" dxfId="10614" priority="46" operator="equal">
      <formula>0</formula>
    </cfRule>
  </conditionalFormatting>
  <conditionalFormatting sqref="V28">
    <cfRule type="cellIs" dxfId="10613" priority="43" operator="greaterThan">
      <formula>V27</formula>
    </cfRule>
    <cfRule type="cellIs" dxfId="10612" priority="44" operator="equal">
      <formula>0</formula>
    </cfRule>
  </conditionalFormatting>
  <conditionalFormatting sqref="V28">
    <cfRule type="cellIs" dxfId="10611" priority="41" operator="greaterThan">
      <formula>V27</formula>
    </cfRule>
    <cfRule type="cellIs" dxfId="10610" priority="42" operator="equal">
      <formula>0</formula>
    </cfRule>
  </conditionalFormatting>
  <conditionalFormatting sqref="V28">
    <cfRule type="cellIs" dxfId="10609" priority="39" operator="greaterThan">
      <formula>V27</formula>
    </cfRule>
    <cfRule type="cellIs" dxfId="10608" priority="40" operator="equal">
      <formula>0</formula>
    </cfRule>
  </conditionalFormatting>
  <conditionalFormatting sqref="V28">
    <cfRule type="cellIs" dxfId="10607" priority="37" operator="greaterThan">
      <formula>V27</formula>
    </cfRule>
    <cfRule type="cellIs" dxfId="10606" priority="38" operator="equal">
      <formula>0</formula>
    </cfRule>
  </conditionalFormatting>
  <conditionalFormatting sqref="V28">
    <cfRule type="cellIs" dxfId="10605" priority="35" operator="greaterThan">
      <formula>V27</formula>
    </cfRule>
    <cfRule type="cellIs" dxfId="10604" priority="36" operator="equal">
      <formula>0</formula>
    </cfRule>
  </conditionalFormatting>
  <conditionalFormatting sqref="V28">
    <cfRule type="cellIs" dxfId="10603" priority="33" operator="greaterThan">
      <formula>V27</formula>
    </cfRule>
    <cfRule type="cellIs" dxfId="10602" priority="34" operator="equal">
      <formula>0</formula>
    </cfRule>
  </conditionalFormatting>
  <conditionalFormatting sqref="V28">
    <cfRule type="cellIs" dxfId="10601" priority="31" operator="greaterThan">
      <formula>V27</formula>
    </cfRule>
    <cfRule type="cellIs" dxfId="10600" priority="32" operator="equal">
      <formula>0</formula>
    </cfRule>
  </conditionalFormatting>
  <conditionalFormatting sqref="V13">
    <cfRule type="cellIs" dxfId="10599" priority="30" operator="equal">
      <formula>0</formula>
    </cfRule>
  </conditionalFormatting>
  <conditionalFormatting sqref="V13">
    <cfRule type="cellIs" dxfId="10598" priority="28" operator="greaterThan">
      <formula>V12</formula>
    </cfRule>
    <cfRule type="cellIs" dxfId="10597" priority="29" operator="equal">
      <formula>0</formula>
    </cfRule>
  </conditionalFormatting>
  <conditionalFormatting sqref="V13">
    <cfRule type="cellIs" dxfId="10596" priority="26" operator="greaterThan">
      <formula>V12</formula>
    </cfRule>
    <cfRule type="cellIs" dxfId="10595" priority="27" operator="equal">
      <formula>0</formula>
    </cfRule>
  </conditionalFormatting>
  <conditionalFormatting sqref="V16">
    <cfRule type="cellIs" dxfId="10594" priority="25" operator="equal">
      <formula>0</formula>
    </cfRule>
  </conditionalFormatting>
  <conditionalFormatting sqref="V16">
    <cfRule type="cellIs" dxfId="10593" priority="23" operator="greaterThan">
      <formula>V15</formula>
    </cfRule>
    <cfRule type="cellIs" dxfId="10592" priority="24" operator="equal">
      <formula>0</formula>
    </cfRule>
  </conditionalFormatting>
  <conditionalFormatting sqref="V16">
    <cfRule type="cellIs" dxfId="10591" priority="21" operator="greaterThan">
      <formula>V15</formula>
    </cfRule>
    <cfRule type="cellIs" dxfId="10590" priority="22" operator="equal">
      <formula>0</formula>
    </cfRule>
  </conditionalFormatting>
  <conditionalFormatting sqref="V19">
    <cfRule type="cellIs" dxfId="10589" priority="20" operator="equal">
      <formula>0</formula>
    </cfRule>
  </conditionalFormatting>
  <conditionalFormatting sqref="V19">
    <cfRule type="cellIs" dxfId="10588" priority="18" operator="greaterThan">
      <formula>V18</formula>
    </cfRule>
    <cfRule type="cellIs" dxfId="10587" priority="19" operator="equal">
      <formula>0</formula>
    </cfRule>
  </conditionalFormatting>
  <conditionalFormatting sqref="V19">
    <cfRule type="cellIs" dxfId="10586" priority="16" operator="greaterThan">
      <formula>V18</formula>
    </cfRule>
    <cfRule type="cellIs" dxfId="10585" priority="17" operator="equal">
      <formula>0</formula>
    </cfRule>
  </conditionalFormatting>
  <conditionalFormatting sqref="V22">
    <cfRule type="cellIs" dxfId="10584" priority="15" operator="equal">
      <formula>0</formula>
    </cfRule>
  </conditionalFormatting>
  <conditionalFormatting sqref="V22">
    <cfRule type="cellIs" dxfId="10583" priority="13" operator="greaterThan">
      <formula>V21</formula>
    </cfRule>
    <cfRule type="cellIs" dxfId="10582" priority="14" operator="equal">
      <formula>0</formula>
    </cfRule>
  </conditionalFormatting>
  <conditionalFormatting sqref="V22">
    <cfRule type="cellIs" dxfId="10581" priority="11" operator="greaterThan">
      <formula>V21</formula>
    </cfRule>
    <cfRule type="cellIs" dxfId="10580" priority="12" operator="equal">
      <formula>0</formula>
    </cfRule>
  </conditionalFormatting>
  <conditionalFormatting sqref="V25">
    <cfRule type="cellIs" dxfId="10579" priority="10" operator="equal">
      <formula>0</formula>
    </cfRule>
  </conditionalFormatting>
  <conditionalFormatting sqref="V25">
    <cfRule type="cellIs" dxfId="10578" priority="8" operator="greaterThan">
      <formula>V24</formula>
    </cfRule>
    <cfRule type="cellIs" dxfId="10577" priority="9" operator="equal">
      <formula>0</formula>
    </cfRule>
  </conditionalFormatting>
  <conditionalFormatting sqref="V25">
    <cfRule type="cellIs" dxfId="10576" priority="6" operator="greaterThan">
      <formula>V24</formula>
    </cfRule>
    <cfRule type="cellIs" dxfId="10575" priority="7" operator="equal">
      <formula>0</formula>
    </cfRule>
  </conditionalFormatting>
  <conditionalFormatting sqref="V28">
    <cfRule type="cellIs" dxfId="10574" priority="5" operator="equal">
      <formula>0</formula>
    </cfRule>
  </conditionalFormatting>
  <conditionalFormatting sqref="V28">
    <cfRule type="cellIs" dxfId="10573" priority="3" operator="greaterThan">
      <formula>V27</formula>
    </cfRule>
    <cfRule type="cellIs" dxfId="10572" priority="4" operator="equal">
      <formula>0</formula>
    </cfRule>
  </conditionalFormatting>
  <conditionalFormatting sqref="V28">
    <cfRule type="cellIs" dxfId="10571" priority="1" operator="greaterThan">
      <formula>V27</formula>
    </cfRule>
    <cfRule type="cellIs" dxfId="10570" priority="2" operator="equal">
      <formula>0</formula>
    </cfRule>
  </conditionalFormatting>
  <dataValidations count="25">
    <dataValidation type="whole" allowBlank="1" showInputMessage="1" showErrorMessage="1" sqref="X51 X44:X48 Y16:Y51 X38:X41 X17 X20 X23 X26 X29 X32 X35">
      <formula1>0</formula1>
      <formula2>5000</formula2>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operator="greaterThanOrEqual" allowBlank="1" showInputMessage="1" showErrorMessage="1" errorTitle="المجموع" error="العدد المناسب" sqref="O49 M42 P33 P30 P12 P15 P18 P21 P27 P24 P36">
      <formula1>0</formula1>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&amp;R&amp;"-,Gras"&amp;8&amp;K00-034Echamil V.08      &amp;F           &amp;K00-018                 &amp;K00-015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5">
    <tabColor rgb="FF00B050"/>
  </sheetPr>
  <dimension ref="A1:Z54"/>
  <sheetViews>
    <sheetView showGridLines="0" rightToLeft="1" zoomScale="115" zoomScaleNormal="115" workbookViewId="0">
      <selection activeCell="H42" sqref="H42"/>
    </sheetView>
  </sheetViews>
  <sheetFormatPr baseColWidth="10" defaultColWidth="0" defaultRowHeight="14.4" zeroHeight="1"/>
  <cols>
    <col min="1" max="1" width="1"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s="1041" customFormat="1"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s="1041" customFormat="1"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9" t="s">
        <v>603</v>
      </c>
      <c r="W2" s="4459"/>
      <c r="X2" s="4459"/>
      <c r="Y2" s="1945"/>
      <c r="Z2" s="1420"/>
    </row>
    <row r="3" spans="1:26" s="1041" customFormat="1"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9"/>
      <c r="W3" s="4459"/>
      <c r="X3" s="4459"/>
      <c r="Y3" s="1945"/>
      <c r="Z3" s="1420"/>
    </row>
    <row r="4" spans="1:26" ht="20.100000000000001" customHeight="1">
      <c r="A4" s="1418"/>
      <c r="B4" s="1431"/>
      <c r="C4" s="1432"/>
      <c r="D4" s="1946" t="s">
        <v>1463</v>
      </c>
      <c r="E4" s="1434"/>
      <c r="F4" s="1434"/>
      <c r="M4" s="1947"/>
      <c r="N4" s="1438"/>
      <c r="O4" s="1438"/>
      <c r="P4" s="1948" t="s">
        <v>1464</v>
      </c>
      <c r="Q4" s="1948"/>
      <c r="R4" s="1441"/>
      <c r="S4" s="1430"/>
      <c r="T4" s="1424"/>
      <c r="U4" s="1944"/>
      <c r="V4" s="4459"/>
      <c r="W4" s="4459"/>
      <c r="X4" s="4459"/>
      <c r="Y4" s="1945"/>
      <c r="Z4" s="1420"/>
    </row>
    <row r="5" spans="1:26" ht="2.1" customHeight="1">
      <c r="A5" s="1418"/>
      <c r="B5" s="1431"/>
      <c r="C5" s="1442"/>
      <c r="D5" s="1434"/>
      <c r="E5" s="1434"/>
      <c r="F5" s="1434"/>
      <c r="G5" s="1434"/>
      <c r="H5" s="1444"/>
      <c r="I5" s="1445"/>
      <c r="J5" s="1445"/>
      <c r="K5" s="1445"/>
      <c r="L5" s="1446"/>
      <c r="M5" s="1438"/>
      <c r="N5" s="1438"/>
      <c r="O5" s="1438"/>
      <c r="P5" s="1443"/>
      <c r="Q5" s="1440"/>
      <c r="R5" s="1441"/>
      <c r="S5" s="1430"/>
      <c r="T5" s="1424"/>
      <c r="U5" s="1944"/>
      <c r="V5" s="4459"/>
      <c r="W5" s="4459"/>
      <c r="X5" s="4459"/>
      <c r="Y5" s="1945"/>
      <c r="Z5" s="1420"/>
    </row>
    <row r="6" spans="1:26" ht="15.9" customHeight="1">
      <c r="A6" s="1418"/>
      <c r="B6" s="1431"/>
      <c r="C6" s="1442"/>
      <c r="F6" s="1951"/>
      <c r="G6" s="1952" t="s">
        <v>936</v>
      </c>
      <c r="H6" s="1953" t="s">
        <v>1093</v>
      </c>
      <c r="I6" s="1954"/>
      <c r="K6" s="1955"/>
      <c r="L6" s="2041"/>
      <c r="M6" s="1955"/>
      <c r="N6" s="1956" t="s">
        <v>1106</v>
      </c>
      <c r="O6" s="2041"/>
      <c r="P6" s="1957" t="s">
        <v>1092</v>
      </c>
      <c r="Q6" s="1440"/>
      <c r="R6" s="1441"/>
      <c r="S6" s="1430"/>
      <c r="T6" s="1424"/>
      <c r="U6" s="1944"/>
      <c r="V6" s="4459"/>
      <c r="W6" s="4459"/>
      <c r="X6" s="4459"/>
      <c r="Y6" s="1950"/>
      <c r="Z6" s="1420"/>
    </row>
    <row r="7" spans="1:26" ht="2.1" customHeight="1">
      <c r="A7" s="1418"/>
      <c r="B7" s="1431"/>
      <c r="C7" s="1442"/>
      <c r="D7" s="1493"/>
      <c r="E7" s="1949"/>
      <c r="F7" s="1949"/>
      <c r="G7" s="1949"/>
      <c r="H7" s="1949"/>
      <c r="I7" s="1949"/>
      <c r="J7" s="1949"/>
      <c r="K7" s="1949"/>
      <c r="L7" s="1949"/>
      <c r="M7" s="1949"/>
      <c r="N7" s="1949"/>
      <c r="O7" s="1949"/>
      <c r="P7" s="1949"/>
      <c r="Q7" s="1440"/>
      <c r="R7" s="1441"/>
      <c r="S7" s="1430"/>
      <c r="T7" s="1424"/>
      <c r="U7" s="1944"/>
      <c r="V7" s="1032"/>
      <c r="W7" s="1950"/>
      <c r="X7" s="1950"/>
      <c r="Y7" s="1950"/>
      <c r="Z7" s="1420"/>
    </row>
    <row r="8" spans="1:26" ht="14.1" customHeight="1">
      <c r="A8" s="1418"/>
      <c r="B8" s="1431"/>
      <c r="C8" s="1442"/>
      <c r="D8" s="2418" t="s">
        <v>1167</v>
      </c>
      <c r="E8" s="2419"/>
      <c r="F8" s="2419"/>
      <c r="G8" s="2419"/>
      <c r="H8" s="2420"/>
      <c r="I8" s="2420"/>
      <c r="J8" s="2420"/>
      <c r="K8" s="2420"/>
      <c r="L8" s="2419"/>
      <c r="M8" s="2419"/>
      <c r="N8" s="2419"/>
      <c r="O8" s="2419"/>
      <c r="P8" s="2396" t="s">
        <v>1166</v>
      </c>
      <c r="Q8" s="1440"/>
      <c r="R8" s="144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1440"/>
      <c r="R9" s="144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1440"/>
      <c r="R10" s="144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1440"/>
      <c r="R11" s="1441"/>
      <c r="S11" s="1430"/>
      <c r="T11" s="1424"/>
      <c r="U11" s="1944"/>
      <c r="V11" s="3100" t="s">
        <v>965</v>
      </c>
      <c r="W11" s="1966"/>
      <c r="X11" s="2036"/>
      <c r="Y11" s="2036"/>
      <c r="Z11" s="1420"/>
    </row>
    <row r="12" spans="1:26" ht="12" customHeight="1">
      <c r="A12" s="1418"/>
      <c r="B12" s="1431"/>
      <c r="C12" s="1442"/>
      <c r="D12" s="2430" t="s">
        <v>20</v>
      </c>
      <c r="E12" s="2265"/>
      <c r="F12" s="1462"/>
      <c r="G12" s="1462">
        <v>0</v>
      </c>
      <c r="H12" s="1462"/>
      <c r="I12" s="1462">
        <v>1</v>
      </c>
      <c r="J12" s="1462"/>
      <c r="K12" s="1462"/>
      <c r="L12" s="1462">
        <v>1</v>
      </c>
      <c r="M12" s="1462"/>
      <c r="N12" s="1462"/>
      <c r="O12" s="1462">
        <v>1</v>
      </c>
      <c r="P12" s="1998">
        <f>E12+F12+G12+H12+I12+J12+K12+L12+M12+N12+O12</f>
        <v>3</v>
      </c>
      <c r="Q12" s="1440"/>
      <c r="R12" s="1441"/>
      <c r="S12" s="1430"/>
      <c r="T12" s="1424"/>
      <c r="U12" s="1944"/>
      <c r="V12" s="4452" t="str">
        <f>IF(('الصفحة 1'!$Q$14&gt;0),((IF((P12&gt;'الصفحة 14'!$L$13),"العدد غيرمطابق",IF((P12&lt;='الصفحة 14'!$L$13)," ")))),"")</f>
        <v xml:space="preserve"> </v>
      </c>
      <c r="W12" s="4453"/>
      <c r="X12" s="3097"/>
      <c r="Y12" s="3096"/>
      <c r="Z12" s="1420"/>
    </row>
    <row r="13" spans="1:26" ht="12" customHeight="1">
      <c r="A13" s="1418"/>
      <c r="B13" s="1431"/>
      <c r="C13" s="1442"/>
      <c r="D13" s="2430" t="s">
        <v>672</v>
      </c>
      <c r="E13" s="2265"/>
      <c r="F13" s="2265"/>
      <c r="G13" s="2265"/>
      <c r="H13" s="2265"/>
      <c r="I13" s="2265">
        <v>1</v>
      </c>
      <c r="J13" s="2265"/>
      <c r="K13" s="2265"/>
      <c r="L13" s="2265">
        <v>1</v>
      </c>
      <c r="M13" s="2265"/>
      <c r="N13" s="2265"/>
      <c r="O13" s="2265">
        <v>1</v>
      </c>
      <c r="P13" s="1998">
        <f>E13+F13+G13+H13+I13+J13+K13+L13+M13+N13+O13</f>
        <v>3</v>
      </c>
      <c r="Q13" s="1440"/>
      <c r="R13" s="144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1440"/>
      <c r="R14" s="1441"/>
      <c r="S14" s="1430"/>
      <c r="T14" s="1424"/>
      <c r="U14" s="1944"/>
      <c r="V14" s="3100" t="s">
        <v>964</v>
      </c>
      <c r="W14" s="2036"/>
      <c r="X14" s="2036"/>
      <c r="Y14" s="2036"/>
      <c r="Z14" s="1420"/>
    </row>
    <row r="15" spans="1:26" ht="12" customHeight="1">
      <c r="A15" s="1418"/>
      <c r="B15" s="1431"/>
      <c r="C15" s="1442"/>
      <c r="D15" s="2430" t="s">
        <v>20</v>
      </c>
      <c r="E15" s="2265"/>
      <c r="F15" s="1462"/>
      <c r="G15" s="1462"/>
      <c r="H15" s="1462"/>
      <c r="I15" s="1462"/>
      <c r="J15" s="1462"/>
      <c r="K15" s="1462"/>
      <c r="L15" s="1462"/>
      <c r="M15" s="1462"/>
      <c r="N15" s="1462"/>
      <c r="O15" s="1462"/>
      <c r="P15" s="1998">
        <f>E15+F15+G15+H15+I15+J15+K15+L15+M15+N15+O15</f>
        <v>0</v>
      </c>
      <c r="Q15" s="1440"/>
      <c r="R15" s="1441"/>
      <c r="S15" s="1430"/>
      <c r="T15" s="1424"/>
      <c r="U15" s="1944"/>
      <c r="V15" s="4452" t="str">
        <f>IF(('الصفحة 1'!$Q$14&gt;0),((IF((P15&gt;'الصفحة 14'!$L$15),"العدد غيرمطابق",IF((P15&lt;='الصفحة 14'!$L$15)," ")))),"")</f>
        <v xml:space="preserve"> </v>
      </c>
      <c r="W15" s="4453"/>
      <c r="X15" s="3097"/>
      <c r="Y15" s="2036"/>
      <c r="Z15" s="1420"/>
    </row>
    <row r="16" spans="1:26" ht="12" customHeight="1">
      <c r="A16" s="1418"/>
      <c r="B16" s="1431"/>
      <c r="C16" s="1442"/>
      <c r="D16" s="2430" t="s">
        <v>672</v>
      </c>
      <c r="E16" s="2265"/>
      <c r="F16" s="2265"/>
      <c r="G16" s="2265"/>
      <c r="H16" s="2265"/>
      <c r="I16" s="2265"/>
      <c r="J16" s="2265"/>
      <c r="K16" s="2265"/>
      <c r="L16" s="2265"/>
      <c r="M16" s="2265"/>
      <c r="N16" s="2265"/>
      <c r="O16" s="2265"/>
      <c r="P16" s="1998">
        <f>E16+F16+G16+H16+I16+J16+K16+L16+M16+N16+O16</f>
        <v>0</v>
      </c>
      <c r="Q16" s="1440"/>
      <c r="R16" s="144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1440"/>
      <c r="R17" s="144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52" t="str">
        <f>IF(('الصفحة 1'!$Q$14&gt;0),((IF((P18&gt;'الصفحة 14'!$L$17),"العدد غيرمطابق",IF((P18&lt;='الصفحة 14'!$L$17),"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1440"/>
      <c r="R20" s="1441"/>
      <c r="S20" s="1430"/>
      <c r="T20" s="1424"/>
      <c r="U20" s="1944"/>
      <c r="V20" s="3100" t="s">
        <v>962</v>
      </c>
      <c r="W20" s="2039"/>
      <c r="X20" s="3052"/>
      <c r="Y20" s="3052"/>
      <c r="Z20" s="1420"/>
    </row>
    <row r="21" spans="1:26" ht="12" customHeight="1">
      <c r="A21" s="1418"/>
      <c r="B21" s="1431"/>
      <c r="C21" s="1442"/>
      <c r="D21" s="2430" t="s">
        <v>20</v>
      </c>
      <c r="E21" s="2265"/>
      <c r="F21" s="1462"/>
      <c r="G21" s="1462"/>
      <c r="H21" s="1462"/>
      <c r="I21" s="1462"/>
      <c r="J21" s="1462"/>
      <c r="K21" s="1462"/>
      <c r="L21" s="1462"/>
      <c r="M21" s="1462"/>
      <c r="N21" s="1462"/>
      <c r="O21" s="1462"/>
      <c r="P21" s="1998">
        <f>E21+F21+G21+H21+I21+J21+K21+L21+M21+N21+O21</f>
        <v>0</v>
      </c>
      <c r="Q21" s="1440"/>
      <c r="R21" s="1441"/>
      <c r="S21" s="1430"/>
      <c r="T21" s="1424"/>
      <c r="U21" s="1944"/>
      <c r="V21" s="4452" t="str">
        <f>IF(('الصفحة 1'!$Q$14&gt;0),((IF((P21&gt;'الصفحة 14'!$L$19),"العدد غيرمطابق",IF((P21&lt;='الصفحة 14'!$L$19)," ")))),"")</f>
        <v xml:space="preserve"> </v>
      </c>
      <c r="W21" s="4453"/>
      <c r="X21" s="3097"/>
      <c r="Y21" s="3052"/>
      <c r="Z21" s="1420"/>
    </row>
    <row r="22" spans="1:26" ht="12" customHeight="1">
      <c r="A22" s="1418"/>
      <c r="B22" s="1431"/>
      <c r="C22" s="1442"/>
      <c r="D22" s="2430" t="s">
        <v>672</v>
      </c>
      <c r="E22" s="2265"/>
      <c r="F22" s="2265"/>
      <c r="G22" s="2265"/>
      <c r="H22" s="2265"/>
      <c r="I22" s="2265"/>
      <c r="J22" s="2265"/>
      <c r="K22" s="2265"/>
      <c r="L22" s="2265"/>
      <c r="M22" s="2265"/>
      <c r="N22" s="2265"/>
      <c r="O22" s="2265"/>
      <c r="P22" s="1998">
        <f>E22+F22+G22+H22+I22+J22+K22+L22+M22+N22+O22</f>
        <v>0</v>
      </c>
      <c r="Q22" s="1440"/>
      <c r="R22" s="144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1440"/>
      <c r="R23" s="144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52" t="str">
        <f>IF(('الصفحة 1'!$Q$14&gt;0),((IF((P24&gt;'الصفحة 14'!$L$21),"العدد غيرمطابق",IF((P24&lt;='الصفحة 14'!$L$21),"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1440"/>
      <c r="R26" s="1441"/>
      <c r="S26" s="1430"/>
      <c r="T26" s="1424"/>
      <c r="U26" s="1944"/>
      <c r="V26" s="3109" t="s">
        <v>1083</v>
      </c>
      <c r="W26" s="1966"/>
      <c r="X26" s="3052"/>
      <c r="Y26" s="3052"/>
      <c r="Z26" s="1420"/>
    </row>
    <row r="27" spans="1:26" ht="12" customHeight="1">
      <c r="A27" s="1418"/>
      <c r="B27" s="1431"/>
      <c r="C27" s="1442"/>
      <c r="D27" s="2430" t="s">
        <v>20</v>
      </c>
      <c r="E27" s="1996">
        <f>(E12+E15+E18+E21+E24)</f>
        <v>0</v>
      </c>
      <c r="F27" s="1997">
        <f t="shared" ref="F27:O27" si="0">(F12+F15+F18+F21+F24)</f>
        <v>0</v>
      </c>
      <c r="G27" s="1997">
        <f t="shared" si="0"/>
        <v>0</v>
      </c>
      <c r="H27" s="1997">
        <f t="shared" si="0"/>
        <v>0</v>
      </c>
      <c r="I27" s="1997">
        <f t="shared" si="0"/>
        <v>1</v>
      </c>
      <c r="J27" s="1997">
        <f t="shared" si="0"/>
        <v>0</v>
      </c>
      <c r="K27" s="1997">
        <f t="shared" si="0"/>
        <v>0</v>
      </c>
      <c r="L27" s="1997">
        <f t="shared" si="0"/>
        <v>1</v>
      </c>
      <c r="M27" s="1997">
        <f t="shared" si="0"/>
        <v>0</v>
      </c>
      <c r="N27" s="1997">
        <f t="shared" si="0"/>
        <v>0</v>
      </c>
      <c r="O27" s="1997">
        <f t="shared" si="0"/>
        <v>1</v>
      </c>
      <c r="P27" s="1998">
        <f>E27+F27+G27+H27+I27+J27+K27+L27+M27+N27+O27</f>
        <v>3</v>
      </c>
      <c r="Q27" s="1440"/>
      <c r="R27" s="1441"/>
      <c r="S27" s="1430"/>
      <c r="T27" s="1424"/>
      <c r="U27" s="1944"/>
      <c r="V27" s="4452" t="str">
        <f>IF(('الصفحة 1'!$Q$14&gt;0),((IF((P27&gt;'الصفحة 14'!$L$23),"العدد غيرمطابق",IF((P27&lt;='الصفحة 14'!$L$23)," ")))),"")</f>
        <v xml:space="preserve"> </v>
      </c>
      <c r="W27" s="4453"/>
      <c r="X27" s="3097"/>
      <c r="Y27" s="3052"/>
      <c r="Z27" s="1420"/>
    </row>
    <row r="28" spans="1:26" ht="12" customHeight="1">
      <c r="A28" s="1418"/>
      <c r="B28" s="1431"/>
      <c r="C28" s="1442"/>
      <c r="D28" s="2430" t="s">
        <v>672</v>
      </c>
      <c r="E28" s="1996">
        <f t="shared" ref="E28:O28" si="1">(E13+E16+E19+E22+E25)</f>
        <v>0</v>
      </c>
      <c r="F28" s="1996">
        <f t="shared" si="1"/>
        <v>0</v>
      </c>
      <c r="G28" s="1996">
        <f t="shared" si="1"/>
        <v>0</v>
      </c>
      <c r="H28" s="1996">
        <f t="shared" si="1"/>
        <v>0</v>
      </c>
      <c r="I28" s="1996">
        <f t="shared" si="1"/>
        <v>1</v>
      </c>
      <c r="J28" s="1996">
        <f t="shared" si="1"/>
        <v>0</v>
      </c>
      <c r="K28" s="1996">
        <f t="shared" si="1"/>
        <v>0</v>
      </c>
      <c r="L28" s="1996">
        <f t="shared" si="1"/>
        <v>1</v>
      </c>
      <c r="M28" s="1996">
        <f t="shared" si="1"/>
        <v>0</v>
      </c>
      <c r="N28" s="1996">
        <f t="shared" si="1"/>
        <v>0</v>
      </c>
      <c r="O28" s="1996">
        <f t="shared" si="1"/>
        <v>1</v>
      </c>
      <c r="P28" s="1998">
        <f>E28+F28+G28+H28+I28+J28+K28+L28+M28+N28+O28</f>
        <v>3</v>
      </c>
      <c r="Q28" s="1440"/>
      <c r="R28" s="144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1440"/>
      <c r="R29" s="144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64"/>
      <c r="W31" s="4464"/>
      <c r="X31" s="3052"/>
      <c r="Y31" s="3052"/>
      <c r="Z31" s="1420"/>
    </row>
    <row r="32" spans="1:26" ht="11.1" customHeight="1">
      <c r="A32" s="1418"/>
      <c r="B32" s="1431"/>
      <c r="C32" s="1442"/>
      <c r="D32" s="2437" t="s">
        <v>1168</v>
      </c>
      <c r="E32" s="2000"/>
      <c r="F32" s="2000"/>
      <c r="G32" s="2000"/>
      <c r="H32" s="2000"/>
      <c r="I32" s="2000"/>
      <c r="J32" s="2000"/>
      <c r="K32" s="2000"/>
      <c r="L32" s="2000"/>
      <c r="M32" s="2000"/>
      <c r="N32" s="2000"/>
      <c r="O32" s="2000"/>
      <c r="P32" s="2403" t="s">
        <v>1169</v>
      </c>
      <c r="Q32" s="1440"/>
      <c r="R32" s="1441"/>
      <c r="S32" s="1430"/>
      <c r="T32" s="1424"/>
      <c r="U32" s="1944"/>
      <c r="V32" s="2177"/>
      <c r="W32" s="1966"/>
      <c r="X32" s="3052"/>
      <c r="Y32" s="3052"/>
      <c r="Z32" s="1420"/>
    </row>
    <row r="33" spans="1:26" ht="12.9" customHeight="1">
      <c r="A33" s="1418"/>
      <c r="B33" s="1431"/>
      <c r="C33" s="1442"/>
      <c r="D33" s="2430" t="s">
        <v>20</v>
      </c>
      <c r="E33" s="2265"/>
      <c r="F33" s="1462"/>
      <c r="G33" s="1462"/>
      <c r="H33" s="1462"/>
      <c r="I33" s="1462"/>
      <c r="J33" s="1462"/>
      <c r="K33" s="1462"/>
      <c r="L33" s="1462"/>
      <c r="M33" s="1462"/>
      <c r="N33" s="1462"/>
      <c r="O33" s="1462"/>
      <c r="P33" s="1998">
        <f>E33+F33+G33+H33+I33+J33+K33+L33+M33+N33+O33</f>
        <v>0</v>
      </c>
      <c r="Q33" s="1440"/>
      <c r="R33" s="1441"/>
      <c r="S33" s="1430"/>
      <c r="T33" s="1424"/>
      <c r="U33" s="1944"/>
      <c r="V33" s="4464"/>
      <c r="W33" s="4464"/>
      <c r="X33" s="3052"/>
      <c r="Y33" s="3052"/>
      <c r="Z33" s="1420"/>
    </row>
    <row r="34" spans="1:26" ht="12" customHeight="1">
      <c r="A34" s="1418"/>
      <c r="B34" s="1431"/>
      <c r="C34" s="1442"/>
      <c r="D34" s="2430" t="s">
        <v>672</v>
      </c>
      <c r="E34" s="2265"/>
      <c r="F34" s="2265"/>
      <c r="G34" s="2265"/>
      <c r="H34" s="2265"/>
      <c r="I34" s="2265"/>
      <c r="J34" s="2265"/>
      <c r="K34" s="2265"/>
      <c r="L34" s="2265"/>
      <c r="M34" s="2265"/>
      <c r="N34" s="2265"/>
      <c r="O34" s="2265"/>
      <c r="P34" s="1998">
        <f>E34+F34+G34+H34+I34+J34+K34+L34+M34+N34+O34</f>
        <v>0</v>
      </c>
      <c r="Q34" s="1440"/>
      <c r="R34" s="144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1440"/>
      <c r="R35" s="1441"/>
      <c r="S35" s="1430"/>
      <c r="T35" s="1424"/>
      <c r="U35" s="1944"/>
      <c r="V35" s="2176"/>
      <c r="W35" s="1966"/>
      <c r="X35" s="3052"/>
      <c r="Y35" s="3052"/>
      <c r="Z35" s="1420"/>
    </row>
    <row r="36" spans="1:26" ht="12.9" customHeight="1">
      <c r="A36" s="1418"/>
      <c r="B36" s="1431"/>
      <c r="C36" s="1442"/>
      <c r="D36" s="2430" t="s">
        <v>20</v>
      </c>
      <c r="E36" s="1996">
        <f>(E27+E33)</f>
        <v>0</v>
      </c>
      <c r="F36" s="1997">
        <f t="shared" ref="F36:O36" si="2">(F27+F33)</f>
        <v>0</v>
      </c>
      <c r="G36" s="1997">
        <f t="shared" si="2"/>
        <v>0</v>
      </c>
      <c r="H36" s="1997">
        <f t="shared" si="2"/>
        <v>0</v>
      </c>
      <c r="I36" s="1997">
        <f t="shared" si="2"/>
        <v>1</v>
      </c>
      <c r="J36" s="1997">
        <f t="shared" si="2"/>
        <v>0</v>
      </c>
      <c r="K36" s="1997">
        <f t="shared" si="2"/>
        <v>0</v>
      </c>
      <c r="L36" s="1997">
        <f t="shared" si="2"/>
        <v>1</v>
      </c>
      <c r="M36" s="1997">
        <f t="shared" si="2"/>
        <v>0</v>
      </c>
      <c r="N36" s="1997">
        <f t="shared" si="2"/>
        <v>0</v>
      </c>
      <c r="O36" s="1997">
        <f t="shared" si="2"/>
        <v>1</v>
      </c>
      <c r="P36" s="1998">
        <f>E36+F36+G36+H36+I36+J36+K36+L36+M36+N36+O36</f>
        <v>3</v>
      </c>
      <c r="Q36" s="1440"/>
      <c r="R36" s="1441"/>
      <c r="S36" s="1430"/>
      <c r="T36" s="1424"/>
      <c r="U36" s="1944"/>
      <c r="V36" s="4464"/>
      <c r="W36" s="4464"/>
      <c r="X36" s="3052"/>
      <c r="Y36" s="3052"/>
      <c r="Z36" s="1420"/>
    </row>
    <row r="37" spans="1:26" ht="12.9" customHeight="1">
      <c r="A37" s="1418"/>
      <c r="B37" s="1431"/>
      <c r="C37" s="1442"/>
      <c r="D37" s="2430" t="s">
        <v>672</v>
      </c>
      <c r="E37" s="1996">
        <f t="shared" ref="E37:O37" si="3">(E28+E34)</f>
        <v>0</v>
      </c>
      <c r="F37" s="1996">
        <f t="shared" si="3"/>
        <v>0</v>
      </c>
      <c r="G37" s="1996">
        <f t="shared" si="3"/>
        <v>0</v>
      </c>
      <c r="H37" s="1996">
        <f t="shared" si="3"/>
        <v>0</v>
      </c>
      <c r="I37" s="1996">
        <f t="shared" si="3"/>
        <v>1</v>
      </c>
      <c r="J37" s="1996">
        <f t="shared" si="3"/>
        <v>0</v>
      </c>
      <c r="K37" s="1996">
        <f t="shared" si="3"/>
        <v>0</v>
      </c>
      <c r="L37" s="1996">
        <f t="shared" si="3"/>
        <v>1</v>
      </c>
      <c r="M37" s="1996">
        <f t="shared" si="3"/>
        <v>0</v>
      </c>
      <c r="N37" s="1996">
        <f t="shared" si="3"/>
        <v>0</v>
      </c>
      <c r="O37" s="1996">
        <f t="shared" si="3"/>
        <v>1</v>
      </c>
      <c r="P37" s="1998">
        <f>E37+F37+G37+H37+I37+J37+K37+L37+M37+N37+O37</f>
        <v>3</v>
      </c>
      <c r="Q37" s="1440"/>
      <c r="R37" s="144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1440"/>
      <c r="R38" s="1441"/>
      <c r="S38" s="1430"/>
      <c r="T38" s="1424"/>
      <c r="U38" s="1944"/>
      <c r="V38" s="2038"/>
      <c r="W38" s="1966"/>
      <c r="X38" s="3052"/>
      <c r="Y38" s="3052"/>
      <c r="Z38" s="1420"/>
    </row>
    <row r="39" spans="1:26" ht="15" customHeight="1">
      <c r="A39" s="1418"/>
      <c r="B39" s="1431"/>
      <c r="C39" s="1442"/>
      <c r="D39" s="2441" t="s">
        <v>1142</v>
      </c>
      <c r="E39" s="2419"/>
      <c r="F39" s="2419"/>
      <c r="G39" s="2419"/>
      <c r="H39" s="2442" t="s">
        <v>1257</v>
      </c>
      <c r="I39" s="2420"/>
      <c r="J39" s="2420"/>
      <c r="K39" s="2420"/>
      <c r="L39" s="2419"/>
      <c r="M39" s="2419"/>
      <c r="N39" s="2419"/>
      <c r="O39" s="2419"/>
      <c r="P39" s="2443" t="s">
        <v>1203</v>
      </c>
      <c r="Q39" s="1440"/>
      <c r="R39" s="144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1440"/>
      <c r="R40" s="144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1440"/>
      <c r="R41" s="1441"/>
      <c r="S41" s="1430"/>
      <c r="T41" s="1424"/>
      <c r="U41" s="1944"/>
      <c r="V41" s="2179" t="s">
        <v>1085</v>
      </c>
      <c r="W41" s="1966"/>
      <c r="X41" s="2037"/>
      <c r="Y41" s="2037"/>
      <c r="Z41" s="1420"/>
    </row>
    <row r="42" spans="1:26" ht="14.1" customHeight="1">
      <c r="A42" s="1418"/>
      <c r="B42" s="1431"/>
      <c r="C42" s="1442"/>
      <c r="D42" s="2430" t="s">
        <v>20</v>
      </c>
      <c r="E42" s="2265"/>
      <c r="F42" s="1462">
        <v>3</v>
      </c>
      <c r="G42" s="1462"/>
      <c r="H42" s="1462"/>
      <c r="I42" s="1462"/>
      <c r="J42" s="1462"/>
      <c r="K42" s="1462"/>
      <c r="L42" s="1462"/>
      <c r="M42" s="2453">
        <f>E42+F42+G42+H42+I42+J42+K42+L42</f>
        <v>3</v>
      </c>
      <c r="N42" s="2452"/>
      <c r="O42" s="2452"/>
      <c r="P42" s="2452"/>
      <c r="Q42" s="1440"/>
      <c r="R42" s="1441"/>
      <c r="S42" s="1430"/>
      <c r="T42" s="1424"/>
      <c r="U42" s="1944"/>
      <c r="V42" s="4452" t="str">
        <f>IF(('الصفحة 1'!$Q$14&gt;0),((IF((M42&gt;'الصفحة 14'!$L$23),"العدد غيرمطابق",IF((M42&lt;='الصفحة 14'!$L$23)," ")))),"")</f>
        <v xml:space="preserve"> </v>
      </c>
      <c r="W42" s="4453"/>
      <c r="X42" s="1975" t="str">
        <f>IF(('الصفحة 1'!$Q$14&gt;0),((IF((M42&lt;&gt;P27),"العدد غيرمطابق",IF((M42=P27)," ")))),"")</f>
        <v xml:space="preserve"> </v>
      </c>
      <c r="Y42" s="2037"/>
      <c r="Z42" s="1420"/>
    </row>
    <row r="43" spans="1:26" ht="14.1" customHeight="1">
      <c r="A43" s="1418"/>
      <c r="B43" s="1431"/>
      <c r="C43" s="1442"/>
      <c r="D43" s="2430" t="s">
        <v>672</v>
      </c>
      <c r="E43" s="2265"/>
      <c r="F43" s="2265">
        <v>3</v>
      </c>
      <c r="G43" s="2265"/>
      <c r="H43" s="2265"/>
      <c r="I43" s="2265"/>
      <c r="J43" s="2265"/>
      <c r="K43" s="2265"/>
      <c r="L43" s="2265"/>
      <c r="M43" s="2453">
        <f>E43+F43+G43+H43+I43+J43+K43+L43</f>
        <v>3</v>
      </c>
      <c r="N43" s="2452"/>
      <c r="O43" s="2452"/>
      <c r="P43" s="2452"/>
      <c r="Q43" s="1440"/>
      <c r="R43" s="1441"/>
      <c r="S43" s="1430"/>
      <c r="T43" s="1424"/>
      <c r="U43" s="1944"/>
      <c r="V43" s="4452" t="str">
        <f>IF(('الصفحة 1'!$Q$14&gt;0),((IF((M43&gt;'الصفحة 14'!$L$23),"العدد غيرمطابق",IF((M43&lt;='الصفحة 14'!$L$23)," ")))),"")</f>
        <v xml:space="preserve"> </v>
      </c>
      <c r="W43" s="4453"/>
      <c r="X43" s="1975" t="str">
        <f>IF(('الصفحة 1'!$Q$14&gt;0),((IF((M43&lt;&gt;P28),"العدد غيرمطابق",IF((M43=P28)," ")))),"")</f>
        <v xml:space="preserve"> </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1440"/>
      <c r="R44" s="144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1440"/>
      <c r="R45" s="1441"/>
      <c r="S45" s="1430"/>
      <c r="T45" s="1424"/>
      <c r="U45" s="1944"/>
      <c r="V45" s="2038"/>
      <c r="W45" s="1966"/>
      <c r="X45" s="2037"/>
      <c r="Y45" s="2037"/>
      <c r="Z45" s="1420"/>
    </row>
    <row r="46" spans="1:26" ht="15" customHeight="1">
      <c r="A46" s="1418"/>
      <c r="B46" s="1431"/>
      <c r="C46" s="1442"/>
      <c r="D46" s="2441" t="s">
        <v>1143</v>
      </c>
      <c r="E46" s="2457"/>
      <c r="F46" s="2457"/>
      <c r="G46" s="2457"/>
      <c r="H46" s="2442" t="s">
        <v>1257</v>
      </c>
      <c r="I46" s="2458"/>
      <c r="J46" s="2458"/>
      <c r="K46" s="2458"/>
      <c r="L46" s="2457"/>
      <c r="M46" s="2457"/>
      <c r="N46" s="2457"/>
      <c r="O46" s="2457"/>
      <c r="P46" s="2459" t="s">
        <v>1144</v>
      </c>
      <c r="Q46" s="1440"/>
      <c r="R46" s="144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1440"/>
      <c r="R47" s="144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1440"/>
      <c r="R48" s="144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1440"/>
      <c r="R49" s="1441"/>
      <c r="S49" s="1430"/>
      <c r="T49" s="1424"/>
      <c r="U49" s="1944"/>
      <c r="V49" s="4452" t="str">
        <f>IF(('الصفحة 1'!$Q$14&gt;0),((IF((O49&gt;'الصفحة 14'!$L$23),"العدد غيرمطابق",IF((O49&lt;='الصفحة 14'!$L$23)," ")))),"")</f>
        <v xml:space="preserve"> </v>
      </c>
      <c r="W49" s="4453"/>
      <c r="X49" s="1975" t="str">
        <f>IF(('الصفحة 1'!$Q$14&gt;0),((IF((O49&lt;&gt;P27),"العدد غيرمطابق",IF((O49=P27)," ")))),"")</f>
        <v>العدد غيرمطابق</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1440"/>
      <c r="R50" s="1441"/>
      <c r="S50" s="1430"/>
      <c r="T50" s="1424"/>
      <c r="U50" s="1944"/>
      <c r="V50" s="4452" t="str">
        <f>IF(('الصفحة 1'!$Q$14&gt;0),((IF((O50&gt;'الصفحة 14'!$L$23),"العدد غيرمطابق",IF((O50&lt;='الصفحة 14'!$L$23)," ")))),"")</f>
        <v xml:space="preserve"> </v>
      </c>
      <c r="W50" s="4453"/>
      <c r="X50" s="1975" t="str">
        <f>IF(('الصفحة 1'!$Q$14&gt;0),((IF((O50&lt;&gt;P28),"العدد غيرمطابق",IF((O50=P28)," ")))),"")</f>
        <v>العدد غيرمطابق</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22</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5:W15"/>
    <mergeCell ref="V2:X6"/>
    <mergeCell ref="V10:W10"/>
    <mergeCell ref="V12:W12"/>
    <mergeCell ref="V13:W13"/>
    <mergeCell ref="V8:W8"/>
    <mergeCell ref="V33:W33"/>
    <mergeCell ref="V16:W16"/>
    <mergeCell ref="V18:W18"/>
    <mergeCell ref="V19:W19"/>
    <mergeCell ref="V21:W21"/>
    <mergeCell ref="V22:W22"/>
    <mergeCell ref="V24:W24"/>
    <mergeCell ref="V25:W25"/>
    <mergeCell ref="V27:W27"/>
    <mergeCell ref="V28:W28"/>
    <mergeCell ref="V30:W30"/>
    <mergeCell ref="V31:W31"/>
    <mergeCell ref="V34:W34"/>
    <mergeCell ref="V36:W36"/>
    <mergeCell ref="V37:W37"/>
    <mergeCell ref="V42:W42"/>
    <mergeCell ref="V43:W43"/>
    <mergeCell ref="O48:P48"/>
    <mergeCell ref="E49:F49"/>
    <mergeCell ref="G49:H49"/>
    <mergeCell ref="I49:J49"/>
    <mergeCell ref="K49:L49"/>
    <mergeCell ref="M49:N49"/>
    <mergeCell ref="O49:P49"/>
    <mergeCell ref="E48:F48"/>
    <mergeCell ref="G48:H48"/>
    <mergeCell ref="I48:J48"/>
    <mergeCell ref="K48:L48"/>
    <mergeCell ref="M48:N48"/>
    <mergeCell ref="C53:R53"/>
    <mergeCell ref="V49:W49"/>
    <mergeCell ref="E50:F50"/>
    <mergeCell ref="G50:H50"/>
    <mergeCell ref="I50:J50"/>
    <mergeCell ref="K50:L50"/>
    <mergeCell ref="M50:N50"/>
    <mergeCell ref="O50:P50"/>
    <mergeCell ref="V50:W50"/>
  </mergeCells>
  <conditionalFormatting sqref="G49 I49:I50 K49:K50 M49:M50 O49:O50 V49:V50 X49:X50 E49 X42:X43 E42:P42 V42:V43 E27:P27 E12:P12 E15:P15 E18:P18 E21:P21 V12:V13 V15:V16 V18:V19 E30:P30 X12:X13 X15:X16 X18:X19 E24:P24 X21:X25 V21:V22 V24:V25 X27:X28 V27:V28 E33:P33 E36:P36">
    <cfRule type="cellIs" dxfId="10569" priority="1781" operator="equal">
      <formula>0</formula>
    </cfRule>
  </conditionalFormatting>
  <conditionalFormatting sqref="E13 E43:P44 V50 X50">
    <cfRule type="cellIs" dxfId="10568" priority="1779" operator="greaterThan">
      <formula>E12</formula>
    </cfRule>
    <cfRule type="cellIs" dxfId="10567" priority="1780" operator="equal">
      <formula>0</formula>
    </cfRule>
  </conditionalFormatting>
  <conditionalFormatting sqref="F13">
    <cfRule type="cellIs" dxfId="10566" priority="1777" operator="greaterThan">
      <formula>F12</formula>
    </cfRule>
    <cfRule type="cellIs" dxfId="10565" priority="1778" operator="equal">
      <formula>0</formula>
    </cfRule>
  </conditionalFormatting>
  <conditionalFormatting sqref="G13">
    <cfRule type="cellIs" dxfId="10564" priority="1775" operator="greaterThan">
      <formula>G12</formula>
    </cfRule>
    <cfRule type="cellIs" dxfId="10563" priority="1776" operator="equal">
      <formula>0</formula>
    </cfRule>
  </conditionalFormatting>
  <conditionalFormatting sqref="H13">
    <cfRule type="cellIs" dxfId="10562" priority="1773" operator="greaterThan">
      <formula>H12</formula>
    </cfRule>
    <cfRule type="cellIs" dxfId="10561" priority="1774" operator="equal">
      <formula>0</formula>
    </cfRule>
  </conditionalFormatting>
  <conditionalFormatting sqref="I13">
    <cfRule type="cellIs" dxfId="10560" priority="1771" operator="greaterThan">
      <formula>I12</formula>
    </cfRule>
    <cfRule type="cellIs" dxfId="10559" priority="1772" operator="equal">
      <formula>0</formula>
    </cfRule>
  </conditionalFormatting>
  <conditionalFormatting sqref="J13">
    <cfRule type="cellIs" dxfId="10558" priority="1769" operator="greaterThan">
      <formula>J12</formula>
    </cfRule>
    <cfRule type="cellIs" dxfId="10557" priority="1770" operator="equal">
      <formula>0</formula>
    </cfRule>
  </conditionalFormatting>
  <conditionalFormatting sqref="K13">
    <cfRule type="cellIs" dxfId="10556" priority="1767" operator="greaterThan">
      <formula>K12</formula>
    </cfRule>
    <cfRule type="cellIs" dxfId="10555" priority="1768" operator="equal">
      <formula>0</formula>
    </cfRule>
  </conditionalFormatting>
  <conditionalFormatting sqref="L13">
    <cfRule type="cellIs" dxfId="10554" priority="1765" operator="greaterThan">
      <formula>L12</formula>
    </cfRule>
    <cfRule type="cellIs" dxfId="10553" priority="1766" operator="equal">
      <formula>0</formula>
    </cfRule>
  </conditionalFormatting>
  <conditionalFormatting sqref="M13">
    <cfRule type="cellIs" dxfId="10552" priority="1763" operator="greaterThan">
      <formula>M12</formula>
    </cfRule>
    <cfRule type="cellIs" dxfId="10551" priority="1764" operator="equal">
      <formula>0</formula>
    </cfRule>
  </conditionalFormatting>
  <conditionalFormatting sqref="N13">
    <cfRule type="cellIs" dxfId="10550" priority="1761" operator="greaterThan">
      <formula>N12</formula>
    </cfRule>
    <cfRule type="cellIs" dxfId="10549" priority="1762" operator="equal">
      <formula>0</formula>
    </cfRule>
  </conditionalFormatting>
  <conditionalFormatting sqref="O13">
    <cfRule type="cellIs" dxfId="10548" priority="1759" operator="greaterThan">
      <formula>O12</formula>
    </cfRule>
    <cfRule type="cellIs" dxfId="10547" priority="1760" operator="equal">
      <formula>0</formula>
    </cfRule>
  </conditionalFormatting>
  <conditionalFormatting sqref="P13">
    <cfRule type="cellIs" dxfId="10546" priority="1757" operator="greaterThan">
      <formula>P12</formula>
    </cfRule>
    <cfRule type="cellIs" dxfId="10545" priority="1758" operator="equal">
      <formula>0</formula>
    </cfRule>
  </conditionalFormatting>
  <conditionalFormatting sqref="E16">
    <cfRule type="cellIs" dxfId="10544" priority="1755" operator="greaterThan">
      <formula>E15</formula>
    </cfRule>
    <cfRule type="cellIs" dxfId="10543" priority="1756" operator="equal">
      <formula>0</formula>
    </cfRule>
  </conditionalFormatting>
  <conditionalFormatting sqref="F16">
    <cfRule type="cellIs" dxfId="10542" priority="1753" operator="greaterThan">
      <formula>F15</formula>
    </cfRule>
    <cfRule type="cellIs" dxfId="10541" priority="1754" operator="equal">
      <formula>0</formula>
    </cfRule>
  </conditionalFormatting>
  <conditionalFormatting sqref="G16">
    <cfRule type="cellIs" dxfId="10540" priority="1751" operator="greaterThan">
      <formula>G15</formula>
    </cfRule>
    <cfRule type="cellIs" dxfId="10539" priority="1752" operator="equal">
      <formula>0</formula>
    </cfRule>
  </conditionalFormatting>
  <conditionalFormatting sqref="H16">
    <cfRule type="cellIs" dxfId="10538" priority="1749" operator="greaterThan">
      <formula>H15</formula>
    </cfRule>
    <cfRule type="cellIs" dxfId="10537" priority="1750" operator="equal">
      <formula>0</formula>
    </cfRule>
  </conditionalFormatting>
  <conditionalFormatting sqref="I16">
    <cfRule type="cellIs" dxfId="10536" priority="1747" operator="greaterThan">
      <formula>I15</formula>
    </cfRule>
    <cfRule type="cellIs" dxfId="10535" priority="1748" operator="equal">
      <formula>0</formula>
    </cfRule>
  </conditionalFormatting>
  <conditionalFormatting sqref="J16">
    <cfRule type="cellIs" dxfId="10534" priority="1745" operator="greaterThan">
      <formula>J15</formula>
    </cfRule>
    <cfRule type="cellIs" dxfId="10533" priority="1746" operator="equal">
      <formula>0</formula>
    </cfRule>
  </conditionalFormatting>
  <conditionalFormatting sqref="K16">
    <cfRule type="cellIs" dxfId="10532" priority="1743" operator="greaterThan">
      <formula>K15</formula>
    </cfRule>
    <cfRule type="cellIs" dxfId="10531" priority="1744" operator="equal">
      <formula>0</formula>
    </cfRule>
  </conditionalFormatting>
  <conditionalFormatting sqref="L16">
    <cfRule type="cellIs" dxfId="10530" priority="1741" operator="greaterThan">
      <formula>L15</formula>
    </cfRule>
    <cfRule type="cellIs" dxfId="10529" priority="1742" operator="equal">
      <formula>0</formula>
    </cfRule>
  </conditionalFormatting>
  <conditionalFormatting sqref="M16">
    <cfRule type="cellIs" dxfId="10528" priority="1739" operator="greaterThan">
      <formula>M15</formula>
    </cfRule>
    <cfRule type="cellIs" dxfId="10527" priority="1740" operator="equal">
      <formula>0</formula>
    </cfRule>
  </conditionalFormatting>
  <conditionalFormatting sqref="N16">
    <cfRule type="cellIs" dxfId="10526" priority="1737" operator="greaterThan">
      <formula>N15</formula>
    </cfRule>
    <cfRule type="cellIs" dxfId="10525" priority="1738" operator="equal">
      <formula>0</formula>
    </cfRule>
  </conditionalFormatting>
  <conditionalFormatting sqref="O16">
    <cfRule type="cellIs" dxfId="10524" priority="1735" operator="greaterThan">
      <formula>O15</formula>
    </cfRule>
    <cfRule type="cellIs" dxfId="10523" priority="1736" operator="equal">
      <formula>0</formula>
    </cfRule>
  </conditionalFormatting>
  <conditionalFormatting sqref="P16">
    <cfRule type="cellIs" dxfId="10522" priority="1733" operator="greaterThan">
      <formula>P15</formula>
    </cfRule>
    <cfRule type="cellIs" dxfId="10521" priority="1734" operator="equal">
      <formula>0</formula>
    </cfRule>
  </conditionalFormatting>
  <conditionalFormatting sqref="E19">
    <cfRule type="cellIs" dxfId="10520" priority="1731" operator="greaterThan">
      <formula>E18</formula>
    </cfRule>
    <cfRule type="cellIs" dxfId="10519" priority="1732" operator="equal">
      <formula>0</formula>
    </cfRule>
  </conditionalFormatting>
  <conditionalFormatting sqref="F19">
    <cfRule type="cellIs" dxfId="10518" priority="1729" operator="greaterThan">
      <formula>F18</formula>
    </cfRule>
    <cfRule type="cellIs" dxfId="10517" priority="1730" operator="equal">
      <formula>0</formula>
    </cfRule>
  </conditionalFormatting>
  <conditionalFormatting sqref="G19">
    <cfRule type="cellIs" dxfId="10516" priority="1727" operator="greaterThan">
      <formula>G18</formula>
    </cfRule>
    <cfRule type="cellIs" dxfId="10515" priority="1728" operator="equal">
      <formula>0</formula>
    </cfRule>
  </conditionalFormatting>
  <conditionalFormatting sqref="H19">
    <cfRule type="cellIs" dxfId="10514" priority="1725" operator="greaterThan">
      <formula>H18</formula>
    </cfRule>
    <cfRule type="cellIs" dxfId="10513" priority="1726" operator="equal">
      <formula>0</formula>
    </cfRule>
  </conditionalFormatting>
  <conditionalFormatting sqref="I19">
    <cfRule type="cellIs" dxfId="10512" priority="1723" operator="greaterThan">
      <formula>I18</formula>
    </cfRule>
    <cfRule type="cellIs" dxfId="10511" priority="1724" operator="equal">
      <formula>0</formula>
    </cfRule>
  </conditionalFormatting>
  <conditionalFormatting sqref="J19">
    <cfRule type="cellIs" dxfId="10510" priority="1721" operator="greaterThan">
      <formula>J18</formula>
    </cfRule>
    <cfRule type="cellIs" dxfId="10509" priority="1722" operator="equal">
      <formula>0</formula>
    </cfRule>
  </conditionalFormatting>
  <conditionalFormatting sqref="K19">
    <cfRule type="cellIs" dxfId="10508" priority="1719" operator="greaterThan">
      <formula>K18</formula>
    </cfRule>
    <cfRule type="cellIs" dxfId="10507" priority="1720" operator="equal">
      <formula>0</formula>
    </cfRule>
  </conditionalFormatting>
  <conditionalFormatting sqref="L19">
    <cfRule type="cellIs" dxfId="10506" priority="1717" operator="greaterThan">
      <formula>L18</formula>
    </cfRule>
    <cfRule type="cellIs" dxfId="10505" priority="1718" operator="equal">
      <formula>0</formula>
    </cfRule>
  </conditionalFormatting>
  <conditionalFormatting sqref="M19">
    <cfRule type="cellIs" dxfId="10504" priority="1715" operator="greaterThan">
      <formula>M18</formula>
    </cfRule>
    <cfRule type="cellIs" dxfId="10503" priority="1716" operator="equal">
      <formula>0</formula>
    </cfRule>
  </conditionalFormatting>
  <conditionalFormatting sqref="N19">
    <cfRule type="cellIs" dxfId="10502" priority="1713" operator="greaterThan">
      <formula>N18</formula>
    </cfRule>
    <cfRule type="cellIs" dxfId="10501" priority="1714" operator="equal">
      <formula>0</formula>
    </cfRule>
  </conditionalFormatting>
  <conditionalFormatting sqref="O19">
    <cfRule type="cellIs" dxfId="10500" priority="1711" operator="greaterThan">
      <formula>O18</formula>
    </cfRule>
    <cfRule type="cellIs" dxfId="10499" priority="1712" operator="equal">
      <formula>0</formula>
    </cfRule>
  </conditionalFormatting>
  <conditionalFormatting sqref="P19">
    <cfRule type="cellIs" dxfId="10498" priority="1709" operator="greaterThan">
      <formula>P18</formula>
    </cfRule>
    <cfRule type="cellIs" dxfId="10497" priority="1710" operator="equal">
      <formula>0</formula>
    </cfRule>
  </conditionalFormatting>
  <conditionalFormatting sqref="E22">
    <cfRule type="cellIs" dxfId="10496" priority="1707" operator="greaterThan">
      <formula>E21</formula>
    </cfRule>
    <cfRule type="cellIs" dxfId="10495" priority="1708" operator="equal">
      <formula>0</formula>
    </cfRule>
  </conditionalFormatting>
  <conditionalFormatting sqref="F22">
    <cfRule type="cellIs" dxfId="10494" priority="1705" operator="greaterThan">
      <formula>F21</formula>
    </cfRule>
    <cfRule type="cellIs" dxfId="10493" priority="1706" operator="equal">
      <formula>0</formula>
    </cfRule>
  </conditionalFormatting>
  <conditionalFormatting sqref="G22">
    <cfRule type="cellIs" dxfId="10492" priority="1703" operator="greaterThan">
      <formula>G21</formula>
    </cfRule>
    <cfRule type="cellIs" dxfId="10491" priority="1704" operator="equal">
      <formula>0</formula>
    </cfRule>
  </conditionalFormatting>
  <conditionalFormatting sqref="H22">
    <cfRule type="cellIs" dxfId="10490" priority="1701" operator="greaterThan">
      <formula>H21</formula>
    </cfRule>
    <cfRule type="cellIs" dxfId="10489" priority="1702" operator="equal">
      <formula>0</formula>
    </cfRule>
  </conditionalFormatting>
  <conditionalFormatting sqref="I22">
    <cfRule type="cellIs" dxfId="10488" priority="1699" operator="greaterThan">
      <formula>I21</formula>
    </cfRule>
    <cfRule type="cellIs" dxfId="10487" priority="1700" operator="equal">
      <formula>0</formula>
    </cfRule>
  </conditionalFormatting>
  <conditionalFormatting sqref="J22">
    <cfRule type="cellIs" dxfId="10486" priority="1697" operator="greaterThan">
      <formula>J21</formula>
    </cfRule>
    <cfRule type="cellIs" dxfId="10485" priority="1698" operator="equal">
      <formula>0</formula>
    </cfRule>
  </conditionalFormatting>
  <conditionalFormatting sqref="K22">
    <cfRule type="cellIs" dxfId="10484" priority="1695" operator="greaterThan">
      <formula>K21</formula>
    </cfRule>
    <cfRule type="cellIs" dxfId="10483" priority="1696" operator="equal">
      <formula>0</formula>
    </cfRule>
  </conditionalFormatting>
  <conditionalFormatting sqref="L22">
    <cfRule type="cellIs" dxfId="10482" priority="1693" operator="greaterThan">
      <formula>L21</formula>
    </cfRule>
    <cfRule type="cellIs" dxfId="10481" priority="1694" operator="equal">
      <formula>0</formula>
    </cfRule>
  </conditionalFormatting>
  <conditionalFormatting sqref="M22">
    <cfRule type="cellIs" dxfId="10480" priority="1691" operator="greaterThan">
      <formula>M21</formula>
    </cfRule>
    <cfRule type="cellIs" dxfId="10479" priority="1692" operator="equal">
      <formula>0</formula>
    </cfRule>
  </conditionalFormatting>
  <conditionalFormatting sqref="N22">
    <cfRule type="cellIs" dxfId="10478" priority="1689" operator="greaterThan">
      <formula>N21</formula>
    </cfRule>
    <cfRule type="cellIs" dxfId="10477" priority="1690" operator="equal">
      <formula>0</formula>
    </cfRule>
  </conditionalFormatting>
  <conditionalFormatting sqref="O22">
    <cfRule type="cellIs" dxfId="10476" priority="1687" operator="greaterThan">
      <formula>O21</formula>
    </cfRule>
    <cfRule type="cellIs" dxfId="10475" priority="1688" operator="equal">
      <formula>0</formula>
    </cfRule>
  </conditionalFormatting>
  <conditionalFormatting sqref="P22">
    <cfRule type="cellIs" dxfId="10474" priority="1685" operator="greaterThan">
      <formula>P21</formula>
    </cfRule>
    <cfRule type="cellIs" dxfId="10473" priority="1686" operator="equal">
      <formula>0</formula>
    </cfRule>
  </conditionalFormatting>
  <conditionalFormatting sqref="E28">
    <cfRule type="cellIs" dxfId="10472" priority="1683" operator="greaterThan">
      <formula>E27</formula>
    </cfRule>
    <cfRule type="cellIs" dxfId="10471" priority="1684" operator="equal">
      <formula>0</formula>
    </cfRule>
  </conditionalFormatting>
  <conditionalFormatting sqref="F28">
    <cfRule type="cellIs" dxfId="10470" priority="1681" operator="greaterThan">
      <formula>F27</formula>
    </cfRule>
    <cfRule type="cellIs" dxfId="10469" priority="1682" operator="equal">
      <formula>0</formula>
    </cfRule>
  </conditionalFormatting>
  <conditionalFormatting sqref="G28">
    <cfRule type="cellIs" dxfId="10468" priority="1679" operator="greaterThan">
      <formula>G27</formula>
    </cfRule>
    <cfRule type="cellIs" dxfId="10467" priority="1680" operator="equal">
      <formula>0</formula>
    </cfRule>
  </conditionalFormatting>
  <conditionalFormatting sqref="H28">
    <cfRule type="cellIs" dxfId="10466" priority="1677" operator="greaterThan">
      <formula>H27</formula>
    </cfRule>
    <cfRule type="cellIs" dxfId="10465" priority="1678" operator="equal">
      <formula>0</formula>
    </cfRule>
  </conditionalFormatting>
  <conditionalFormatting sqref="I28">
    <cfRule type="cellIs" dxfId="10464" priority="1675" operator="greaterThan">
      <formula>I27</formula>
    </cfRule>
    <cfRule type="cellIs" dxfId="10463" priority="1676" operator="equal">
      <formula>0</formula>
    </cfRule>
  </conditionalFormatting>
  <conditionalFormatting sqref="J28">
    <cfRule type="cellIs" dxfId="10462" priority="1673" operator="greaterThan">
      <formula>J27</formula>
    </cfRule>
    <cfRule type="cellIs" dxfId="10461" priority="1674" operator="equal">
      <formula>0</formula>
    </cfRule>
  </conditionalFormatting>
  <conditionalFormatting sqref="K28">
    <cfRule type="cellIs" dxfId="10460" priority="1671" operator="greaterThan">
      <formula>K27</formula>
    </cfRule>
    <cfRule type="cellIs" dxfId="10459" priority="1672" operator="equal">
      <formula>0</formula>
    </cfRule>
  </conditionalFormatting>
  <conditionalFormatting sqref="L28">
    <cfRule type="cellIs" dxfId="10458" priority="1669" operator="greaterThan">
      <formula>L27</formula>
    </cfRule>
    <cfRule type="cellIs" dxfId="10457" priority="1670" operator="equal">
      <formula>0</formula>
    </cfRule>
  </conditionalFormatting>
  <conditionalFormatting sqref="M28">
    <cfRule type="cellIs" dxfId="10456" priority="1667" operator="greaterThan">
      <formula>M27</formula>
    </cfRule>
    <cfRule type="cellIs" dxfId="10455" priority="1668" operator="equal">
      <formula>0</formula>
    </cfRule>
  </conditionalFormatting>
  <conditionalFormatting sqref="N28">
    <cfRule type="cellIs" dxfId="10454" priority="1665" operator="greaterThan">
      <formula>N27</formula>
    </cfRule>
    <cfRule type="cellIs" dxfId="10453" priority="1666" operator="equal">
      <formula>0</formula>
    </cfRule>
  </conditionalFormatting>
  <conditionalFormatting sqref="O28">
    <cfRule type="cellIs" dxfId="10452" priority="1663" operator="greaterThan">
      <formula>O27</formula>
    </cfRule>
    <cfRule type="cellIs" dxfId="10451" priority="1664" operator="equal">
      <formula>0</formula>
    </cfRule>
  </conditionalFormatting>
  <conditionalFormatting sqref="P28">
    <cfRule type="cellIs" dxfId="10450" priority="1661" operator="greaterThan">
      <formula>P27</formula>
    </cfRule>
    <cfRule type="cellIs" dxfId="10449" priority="1662" operator="equal">
      <formula>0</formula>
    </cfRule>
  </conditionalFormatting>
  <conditionalFormatting sqref="E47:P47">
    <cfRule type="cellIs" dxfId="10448" priority="1659" operator="greaterThan">
      <formula>E45</formula>
    </cfRule>
    <cfRule type="cellIs" dxfId="10447" priority="1660" operator="equal">
      <formula>0</formula>
    </cfRule>
  </conditionalFormatting>
  <conditionalFormatting sqref="G50 I50 K50 M50 O50 E50">
    <cfRule type="cellIs" dxfId="10446" priority="1657" operator="greaterThan">
      <formula>E49</formula>
    </cfRule>
    <cfRule type="cellIs" dxfId="10445" priority="1658" operator="equal">
      <formula>0</formula>
    </cfRule>
  </conditionalFormatting>
  <conditionalFormatting sqref="E51:P51">
    <cfRule type="cellIs" dxfId="10444" priority="1655" operator="greaterThan">
      <formula>E45</formula>
    </cfRule>
    <cfRule type="cellIs" dxfId="10443" priority="1656" operator="equal">
      <formula>0</formula>
    </cfRule>
  </conditionalFormatting>
  <conditionalFormatting sqref="V28">
    <cfRule type="cellIs" dxfId="10442" priority="1653" operator="greaterThan">
      <formula>V27</formula>
    </cfRule>
    <cfRule type="cellIs" dxfId="10441" priority="1654" operator="equal">
      <formula>0</formula>
    </cfRule>
  </conditionalFormatting>
  <conditionalFormatting sqref="V43">
    <cfRule type="cellIs" dxfId="10440" priority="1651" operator="greaterThan">
      <formula>V42</formula>
    </cfRule>
    <cfRule type="cellIs" dxfId="10439" priority="1652" operator="equal">
      <formula>0</formula>
    </cfRule>
  </conditionalFormatting>
  <conditionalFormatting sqref="X43">
    <cfRule type="cellIs" dxfId="10438" priority="1649" operator="greaterThan">
      <formula>X42</formula>
    </cfRule>
    <cfRule type="cellIs" dxfId="10437" priority="1650" operator="equal">
      <formula>0</formula>
    </cfRule>
  </conditionalFormatting>
  <conditionalFormatting sqref="V27">
    <cfRule type="cellIs" dxfId="10436" priority="1647" operator="greaterThan">
      <formula>V26</formula>
    </cfRule>
    <cfRule type="cellIs" dxfId="10435" priority="1648" operator="equal">
      <formula>0</formula>
    </cfRule>
  </conditionalFormatting>
  <conditionalFormatting sqref="E51:N51">
    <cfRule type="cellIs" dxfId="10434" priority="1645" operator="greaterThan">
      <formula>G50</formula>
    </cfRule>
    <cfRule type="cellIs" dxfId="10433" priority="1646" operator="equal">
      <formula>0</formula>
    </cfRule>
  </conditionalFormatting>
  <conditionalFormatting sqref="O51:P51">
    <cfRule type="cellIs" dxfId="10432" priority="1643" operator="greaterThan">
      <formula>#REF!</formula>
    </cfRule>
    <cfRule type="cellIs" dxfId="10431" priority="1644" operator="equal">
      <formula>0</formula>
    </cfRule>
  </conditionalFormatting>
  <conditionalFormatting sqref="V13">
    <cfRule type="cellIs" dxfId="10430" priority="1641" operator="greaterThan">
      <formula>V12</formula>
    </cfRule>
    <cfRule type="cellIs" dxfId="10429" priority="1642" operator="equal">
      <formula>0</formula>
    </cfRule>
  </conditionalFormatting>
  <conditionalFormatting sqref="V12">
    <cfRule type="cellIs" dxfId="10428" priority="1639" operator="greaterThan">
      <formula>V11</formula>
    </cfRule>
    <cfRule type="cellIs" dxfId="10427" priority="1640" operator="equal">
      <formula>0</formula>
    </cfRule>
  </conditionalFormatting>
  <conditionalFormatting sqref="V16">
    <cfRule type="cellIs" dxfId="10426" priority="1637" operator="greaterThan">
      <formula>V15</formula>
    </cfRule>
    <cfRule type="cellIs" dxfId="10425" priority="1638" operator="equal">
      <formula>0</formula>
    </cfRule>
  </conditionalFormatting>
  <conditionalFormatting sqref="V15">
    <cfRule type="cellIs" dxfId="10424" priority="1635" operator="greaterThan">
      <formula>V14</formula>
    </cfRule>
    <cfRule type="cellIs" dxfId="10423" priority="1636" operator="equal">
      <formula>0</formula>
    </cfRule>
  </conditionalFormatting>
  <conditionalFormatting sqref="V19">
    <cfRule type="cellIs" dxfId="10422" priority="1633" operator="greaterThan">
      <formula>V18</formula>
    </cfRule>
    <cfRule type="cellIs" dxfId="10421" priority="1634" operator="equal">
      <formula>0</formula>
    </cfRule>
  </conditionalFormatting>
  <conditionalFormatting sqref="V18">
    <cfRule type="cellIs" dxfId="10420" priority="1631" operator="greaterThan">
      <formula>V17</formula>
    </cfRule>
    <cfRule type="cellIs" dxfId="10419" priority="1632" operator="equal">
      <formula>0</formula>
    </cfRule>
  </conditionalFormatting>
  <conditionalFormatting sqref="V22 V24:V25">
    <cfRule type="cellIs" dxfId="10418" priority="1629" operator="greaterThan">
      <formula>V21</formula>
    </cfRule>
    <cfRule type="cellIs" dxfId="10417" priority="1630" operator="equal">
      <formula>0</formula>
    </cfRule>
  </conditionalFormatting>
  <conditionalFormatting sqref="V21">
    <cfRule type="cellIs" dxfId="10416" priority="1627" operator="greaterThan">
      <formula>V20</formula>
    </cfRule>
    <cfRule type="cellIs" dxfId="10415" priority="1628" operator="equal">
      <formula>0</formula>
    </cfRule>
  </conditionalFormatting>
  <conditionalFormatting sqref="E31">
    <cfRule type="cellIs" dxfId="10414" priority="1625" operator="greaterThan">
      <formula>E30</formula>
    </cfRule>
    <cfRule type="cellIs" dxfId="10413" priority="1626" operator="equal">
      <formula>0</formula>
    </cfRule>
  </conditionalFormatting>
  <conditionalFormatting sqref="F31">
    <cfRule type="cellIs" dxfId="10412" priority="1623" operator="greaterThan">
      <formula>F30</formula>
    </cfRule>
    <cfRule type="cellIs" dxfId="10411" priority="1624" operator="equal">
      <formula>0</formula>
    </cfRule>
  </conditionalFormatting>
  <conditionalFormatting sqref="G31">
    <cfRule type="cellIs" dxfId="10410" priority="1621" operator="greaterThan">
      <formula>G30</formula>
    </cfRule>
    <cfRule type="cellIs" dxfId="10409" priority="1622" operator="equal">
      <formula>0</formula>
    </cfRule>
  </conditionalFormatting>
  <conditionalFormatting sqref="H31">
    <cfRule type="cellIs" dxfId="10408" priority="1619" operator="greaterThan">
      <formula>H30</formula>
    </cfRule>
    <cfRule type="cellIs" dxfId="10407" priority="1620" operator="equal">
      <formula>0</formula>
    </cfRule>
  </conditionalFormatting>
  <conditionalFormatting sqref="I31">
    <cfRule type="cellIs" dxfId="10406" priority="1617" operator="greaterThan">
      <formula>I30</formula>
    </cfRule>
    <cfRule type="cellIs" dxfId="10405" priority="1618" operator="equal">
      <formula>0</formula>
    </cfRule>
  </conditionalFormatting>
  <conditionalFormatting sqref="J31">
    <cfRule type="cellIs" dxfId="10404" priority="1615" operator="greaterThan">
      <formula>J30</formula>
    </cfRule>
    <cfRule type="cellIs" dxfId="10403" priority="1616" operator="equal">
      <formula>0</formula>
    </cfRule>
  </conditionalFormatting>
  <conditionalFormatting sqref="K31">
    <cfRule type="cellIs" dxfId="10402" priority="1613" operator="greaterThan">
      <formula>K30</formula>
    </cfRule>
    <cfRule type="cellIs" dxfId="10401" priority="1614" operator="equal">
      <formula>0</formula>
    </cfRule>
  </conditionalFormatting>
  <conditionalFormatting sqref="L31">
    <cfRule type="cellIs" dxfId="10400" priority="1611" operator="greaterThan">
      <formula>L30</formula>
    </cfRule>
    <cfRule type="cellIs" dxfId="10399" priority="1612" operator="equal">
      <formula>0</formula>
    </cfRule>
  </conditionalFormatting>
  <conditionalFormatting sqref="M31">
    <cfRule type="cellIs" dxfId="10398" priority="1609" operator="greaterThan">
      <formula>M30</formula>
    </cfRule>
    <cfRule type="cellIs" dxfId="10397" priority="1610" operator="equal">
      <formula>0</formula>
    </cfRule>
  </conditionalFormatting>
  <conditionalFormatting sqref="N31">
    <cfRule type="cellIs" dxfId="10396" priority="1607" operator="greaterThan">
      <formula>N30</formula>
    </cfRule>
    <cfRule type="cellIs" dxfId="10395" priority="1608" operator="equal">
      <formula>0</formula>
    </cfRule>
  </conditionalFormatting>
  <conditionalFormatting sqref="O31">
    <cfRule type="cellIs" dxfId="10394" priority="1605" operator="greaterThan">
      <formula>O30</formula>
    </cfRule>
    <cfRule type="cellIs" dxfId="10393" priority="1606" operator="equal">
      <formula>0</formula>
    </cfRule>
  </conditionalFormatting>
  <conditionalFormatting sqref="P31">
    <cfRule type="cellIs" dxfId="10392" priority="1603" operator="greaterThan">
      <formula>P30</formula>
    </cfRule>
    <cfRule type="cellIs" dxfId="10391" priority="1604" operator="equal">
      <formula>0</formula>
    </cfRule>
  </conditionalFormatting>
  <conditionalFormatting sqref="E25">
    <cfRule type="cellIs" dxfId="10390" priority="1601" operator="greaterThan">
      <formula>E24</formula>
    </cfRule>
    <cfRule type="cellIs" dxfId="10389" priority="1602" operator="equal">
      <formula>0</formula>
    </cfRule>
  </conditionalFormatting>
  <conditionalFormatting sqref="F25">
    <cfRule type="cellIs" dxfId="10388" priority="1599" operator="greaterThan">
      <formula>F24</formula>
    </cfRule>
    <cfRule type="cellIs" dxfId="10387" priority="1600" operator="equal">
      <formula>0</formula>
    </cfRule>
  </conditionalFormatting>
  <conditionalFormatting sqref="G25">
    <cfRule type="cellIs" dxfId="10386" priority="1597" operator="greaterThan">
      <formula>G24</formula>
    </cfRule>
    <cfRule type="cellIs" dxfId="10385" priority="1598" operator="equal">
      <formula>0</formula>
    </cfRule>
  </conditionalFormatting>
  <conditionalFormatting sqref="H25">
    <cfRule type="cellIs" dxfId="10384" priority="1595" operator="greaterThan">
      <formula>H24</formula>
    </cfRule>
    <cfRule type="cellIs" dxfId="10383" priority="1596" operator="equal">
      <formula>0</formula>
    </cfRule>
  </conditionalFormatting>
  <conditionalFormatting sqref="I25">
    <cfRule type="cellIs" dxfId="10382" priority="1593" operator="greaterThan">
      <formula>I24</formula>
    </cfRule>
    <cfRule type="cellIs" dxfId="10381" priority="1594" operator="equal">
      <formula>0</formula>
    </cfRule>
  </conditionalFormatting>
  <conditionalFormatting sqref="J25">
    <cfRule type="cellIs" dxfId="10380" priority="1591" operator="greaterThan">
      <formula>J24</formula>
    </cfRule>
    <cfRule type="cellIs" dxfId="10379" priority="1592" operator="equal">
      <formula>0</formula>
    </cfRule>
  </conditionalFormatting>
  <conditionalFormatting sqref="K25">
    <cfRule type="cellIs" dxfId="10378" priority="1589" operator="greaterThan">
      <formula>K24</formula>
    </cfRule>
    <cfRule type="cellIs" dxfId="10377" priority="1590" operator="equal">
      <formula>0</formula>
    </cfRule>
  </conditionalFormatting>
  <conditionalFormatting sqref="L25">
    <cfRule type="cellIs" dxfId="10376" priority="1587" operator="greaterThan">
      <formula>L24</formula>
    </cfRule>
    <cfRule type="cellIs" dxfId="10375" priority="1588" operator="equal">
      <formula>0</formula>
    </cfRule>
  </conditionalFormatting>
  <conditionalFormatting sqref="M25">
    <cfRule type="cellIs" dxfId="10374" priority="1585" operator="greaterThan">
      <formula>M24</formula>
    </cfRule>
    <cfRule type="cellIs" dxfId="10373" priority="1586" operator="equal">
      <formula>0</formula>
    </cfRule>
  </conditionalFormatting>
  <conditionalFormatting sqref="N25">
    <cfRule type="cellIs" dxfId="10372" priority="1583" operator="greaterThan">
      <formula>N24</formula>
    </cfRule>
    <cfRule type="cellIs" dxfId="10371" priority="1584" operator="equal">
      <formula>0</formula>
    </cfRule>
  </conditionalFormatting>
  <conditionalFormatting sqref="O25">
    <cfRule type="cellIs" dxfId="10370" priority="1581" operator="greaterThan">
      <formula>O24</formula>
    </cfRule>
    <cfRule type="cellIs" dxfId="10369" priority="1582" operator="equal">
      <formula>0</formula>
    </cfRule>
  </conditionalFormatting>
  <conditionalFormatting sqref="P25">
    <cfRule type="cellIs" dxfId="10368" priority="1579" operator="greaterThan">
      <formula>P24</formula>
    </cfRule>
    <cfRule type="cellIs" dxfId="10367" priority="1580" operator="equal">
      <formula>0</formula>
    </cfRule>
  </conditionalFormatting>
  <conditionalFormatting sqref="E45:P45 E46:O46">
    <cfRule type="cellIs" dxfId="10366" priority="1577" operator="greaterThan">
      <formula>#REF!</formula>
    </cfRule>
    <cfRule type="cellIs" dxfId="10365" priority="1578" operator="equal">
      <formula>0</formula>
    </cfRule>
  </conditionalFormatting>
  <conditionalFormatting sqref="E34">
    <cfRule type="cellIs" dxfId="10364" priority="1574" operator="greaterThan">
      <formula>E33</formula>
    </cfRule>
    <cfRule type="cellIs" dxfId="10363" priority="1575" operator="equal">
      <formula>0</formula>
    </cfRule>
  </conditionalFormatting>
  <conditionalFormatting sqref="F34">
    <cfRule type="cellIs" dxfId="10362" priority="1572" operator="greaterThan">
      <formula>F33</formula>
    </cfRule>
    <cfRule type="cellIs" dxfId="10361" priority="1573" operator="equal">
      <formula>0</formula>
    </cfRule>
  </conditionalFormatting>
  <conditionalFormatting sqref="G34">
    <cfRule type="cellIs" dxfId="10360" priority="1570" operator="greaterThan">
      <formula>G33</formula>
    </cfRule>
    <cfRule type="cellIs" dxfId="10359" priority="1571" operator="equal">
      <formula>0</formula>
    </cfRule>
  </conditionalFormatting>
  <conditionalFormatting sqref="H34">
    <cfRule type="cellIs" dxfId="10358" priority="1568" operator="greaterThan">
      <formula>H33</formula>
    </cfRule>
    <cfRule type="cellIs" dxfId="10357" priority="1569" operator="equal">
      <formula>0</formula>
    </cfRule>
  </conditionalFormatting>
  <conditionalFormatting sqref="I34">
    <cfRule type="cellIs" dxfId="10356" priority="1566" operator="greaterThan">
      <formula>I33</formula>
    </cfRule>
    <cfRule type="cellIs" dxfId="10355" priority="1567" operator="equal">
      <formula>0</formula>
    </cfRule>
  </conditionalFormatting>
  <conditionalFormatting sqref="J34">
    <cfRule type="cellIs" dxfId="10354" priority="1564" operator="greaterThan">
      <formula>J33</formula>
    </cfRule>
    <cfRule type="cellIs" dxfId="10353" priority="1565" operator="equal">
      <formula>0</formula>
    </cfRule>
  </conditionalFormatting>
  <conditionalFormatting sqref="K34">
    <cfRule type="cellIs" dxfId="10352" priority="1562" operator="greaterThan">
      <formula>K33</formula>
    </cfRule>
    <cfRule type="cellIs" dxfId="10351" priority="1563" operator="equal">
      <formula>0</formula>
    </cfRule>
  </conditionalFormatting>
  <conditionalFormatting sqref="L34">
    <cfRule type="cellIs" dxfId="10350" priority="1560" operator="greaterThan">
      <formula>L33</formula>
    </cfRule>
    <cfRule type="cellIs" dxfId="10349" priority="1561" operator="equal">
      <formula>0</formula>
    </cfRule>
  </conditionalFormatting>
  <conditionalFormatting sqref="M34">
    <cfRule type="cellIs" dxfId="10348" priority="1558" operator="greaterThan">
      <formula>M33</formula>
    </cfRule>
    <cfRule type="cellIs" dxfId="10347" priority="1559" operator="equal">
      <formula>0</formula>
    </cfRule>
  </conditionalFormatting>
  <conditionalFormatting sqref="N34">
    <cfRule type="cellIs" dxfId="10346" priority="1556" operator="greaterThan">
      <formula>N33</formula>
    </cfRule>
    <cfRule type="cellIs" dxfId="10345" priority="1557" operator="equal">
      <formula>0</formula>
    </cfRule>
  </conditionalFormatting>
  <conditionalFormatting sqref="O34">
    <cfRule type="cellIs" dxfId="10344" priority="1554" operator="greaterThan">
      <formula>O33</formula>
    </cfRule>
    <cfRule type="cellIs" dxfId="10343" priority="1555" operator="equal">
      <formula>0</formula>
    </cfRule>
  </conditionalFormatting>
  <conditionalFormatting sqref="P34">
    <cfRule type="cellIs" dxfId="10342" priority="1552" operator="greaterThan">
      <formula>P33</formula>
    </cfRule>
    <cfRule type="cellIs" dxfId="10341" priority="1553" operator="equal">
      <formula>0</formula>
    </cfRule>
  </conditionalFormatting>
  <conditionalFormatting sqref="E37">
    <cfRule type="cellIs" dxfId="10340" priority="1549" operator="greaterThan">
      <formula>E36</formula>
    </cfRule>
    <cfRule type="cellIs" dxfId="10339" priority="1550" operator="equal">
      <formula>0</formula>
    </cfRule>
  </conditionalFormatting>
  <conditionalFormatting sqref="F37">
    <cfRule type="cellIs" dxfId="10338" priority="1547" operator="greaterThan">
      <formula>F36</formula>
    </cfRule>
    <cfRule type="cellIs" dxfId="10337" priority="1548" operator="equal">
      <formula>0</formula>
    </cfRule>
  </conditionalFormatting>
  <conditionalFormatting sqref="G37">
    <cfRule type="cellIs" dxfId="10336" priority="1545" operator="greaterThan">
      <formula>G36</formula>
    </cfRule>
    <cfRule type="cellIs" dxfId="10335" priority="1546" operator="equal">
      <formula>0</formula>
    </cfRule>
  </conditionalFormatting>
  <conditionalFormatting sqref="H37">
    <cfRule type="cellIs" dxfId="10334" priority="1543" operator="greaterThan">
      <formula>H36</formula>
    </cfRule>
    <cfRule type="cellIs" dxfId="10333" priority="1544" operator="equal">
      <formula>0</formula>
    </cfRule>
  </conditionalFormatting>
  <conditionalFormatting sqref="I37">
    <cfRule type="cellIs" dxfId="10332" priority="1541" operator="greaterThan">
      <formula>I36</formula>
    </cfRule>
    <cfRule type="cellIs" dxfId="10331" priority="1542" operator="equal">
      <formula>0</formula>
    </cfRule>
  </conditionalFormatting>
  <conditionalFormatting sqref="J37">
    <cfRule type="cellIs" dxfId="10330" priority="1539" operator="greaterThan">
      <formula>J36</formula>
    </cfRule>
    <cfRule type="cellIs" dxfId="10329" priority="1540" operator="equal">
      <formula>0</formula>
    </cfRule>
  </conditionalFormatting>
  <conditionalFormatting sqref="K37">
    <cfRule type="cellIs" dxfId="10328" priority="1537" operator="greaterThan">
      <formula>K36</formula>
    </cfRule>
    <cfRule type="cellIs" dxfId="10327" priority="1538" operator="equal">
      <formula>0</formula>
    </cfRule>
  </conditionalFormatting>
  <conditionalFormatting sqref="L37">
    <cfRule type="cellIs" dxfId="10326" priority="1535" operator="greaterThan">
      <formula>L36</formula>
    </cfRule>
    <cfRule type="cellIs" dxfId="10325" priority="1536" operator="equal">
      <formula>0</formula>
    </cfRule>
  </conditionalFormatting>
  <conditionalFormatting sqref="M37">
    <cfRule type="cellIs" dxfId="10324" priority="1533" operator="greaterThan">
      <formula>M36</formula>
    </cfRule>
    <cfRule type="cellIs" dxfId="10323" priority="1534" operator="equal">
      <formula>0</formula>
    </cfRule>
  </conditionalFormatting>
  <conditionalFormatting sqref="N37">
    <cfRule type="cellIs" dxfId="10322" priority="1531" operator="greaterThan">
      <formula>N36</formula>
    </cfRule>
    <cfRule type="cellIs" dxfId="10321" priority="1532" operator="equal">
      <formula>0</formula>
    </cfRule>
  </conditionalFormatting>
  <conditionalFormatting sqref="O37">
    <cfRule type="cellIs" dxfId="10320" priority="1529" operator="greaterThan">
      <formula>O36</formula>
    </cfRule>
    <cfRule type="cellIs" dxfId="10319" priority="1530" operator="equal">
      <formula>0</formula>
    </cfRule>
  </conditionalFormatting>
  <conditionalFormatting sqref="P37">
    <cfRule type="cellIs" dxfId="10318" priority="1527" operator="greaterThan">
      <formula>P36</formula>
    </cfRule>
    <cfRule type="cellIs" dxfId="10317" priority="1528" operator="equal">
      <formula>0</formula>
    </cfRule>
  </conditionalFormatting>
  <conditionalFormatting sqref="V24">
    <cfRule type="cellIs" dxfId="10316" priority="1525" operator="greaterThan">
      <formula>V23</formula>
    </cfRule>
    <cfRule type="cellIs" dxfId="10315" priority="1526" operator="equal">
      <formula>0</formula>
    </cfRule>
  </conditionalFormatting>
  <conditionalFormatting sqref="V27:V28">
    <cfRule type="cellIs" dxfId="10314" priority="1523" operator="greaterThan">
      <formula>V26</formula>
    </cfRule>
    <cfRule type="cellIs" dxfId="10313" priority="1524" operator="equal">
      <formula>0</formula>
    </cfRule>
  </conditionalFormatting>
  <conditionalFormatting sqref="V27">
    <cfRule type="cellIs" dxfId="10312" priority="1521" operator="greaterThan">
      <formula>V26</formula>
    </cfRule>
    <cfRule type="cellIs" dxfId="10311" priority="1522" operator="equal">
      <formula>0</formula>
    </cfRule>
  </conditionalFormatting>
  <conditionalFormatting sqref="P42 P27 P12 P15 P18 P21 P30 P24">
    <cfRule type="cellIs" dxfId="10310" priority="1520" operator="equal">
      <formula>0</formula>
    </cfRule>
  </conditionalFormatting>
  <conditionalFormatting sqref="P43:P44">
    <cfRule type="cellIs" dxfId="10309" priority="1518" operator="greaterThan">
      <formula>P42</formula>
    </cfRule>
    <cfRule type="cellIs" dxfId="10308" priority="1519" operator="equal">
      <formula>0</formula>
    </cfRule>
  </conditionalFormatting>
  <conditionalFormatting sqref="P13">
    <cfRule type="cellIs" dxfId="10307" priority="1516" operator="greaterThan">
      <formula>P12</formula>
    </cfRule>
    <cfRule type="cellIs" dxfId="10306" priority="1517" operator="equal">
      <formula>0</formula>
    </cfRule>
  </conditionalFormatting>
  <conditionalFormatting sqref="P16">
    <cfRule type="cellIs" dxfId="10305" priority="1514" operator="greaterThan">
      <formula>P15</formula>
    </cfRule>
    <cfRule type="cellIs" dxfId="10304" priority="1515" operator="equal">
      <formula>0</formula>
    </cfRule>
  </conditionalFormatting>
  <conditionalFormatting sqref="P19">
    <cfRule type="cellIs" dxfId="10303" priority="1512" operator="greaterThan">
      <formula>P18</formula>
    </cfRule>
    <cfRule type="cellIs" dxfId="10302" priority="1513" operator="equal">
      <formula>0</formula>
    </cfRule>
  </conditionalFormatting>
  <conditionalFormatting sqref="P22">
    <cfRule type="cellIs" dxfId="10301" priority="1510" operator="greaterThan">
      <formula>P21</formula>
    </cfRule>
    <cfRule type="cellIs" dxfId="10300" priority="1511" operator="equal">
      <formula>0</formula>
    </cfRule>
  </conditionalFormatting>
  <conditionalFormatting sqref="P28">
    <cfRule type="cellIs" dxfId="10299" priority="1508" operator="greaterThan">
      <formula>P27</formula>
    </cfRule>
    <cfRule type="cellIs" dxfId="10298" priority="1509" operator="equal">
      <formula>0</formula>
    </cfRule>
  </conditionalFormatting>
  <conditionalFormatting sqref="P31">
    <cfRule type="cellIs" dxfId="10297" priority="1506" operator="greaterThan">
      <formula>P30</formula>
    </cfRule>
    <cfRule type="cellIs" dxfId="10296" priority="1507" operator="equal">
      <formula>0</formula>
    </cfRule>
  </conditionalFormatting>
  <conditionalFormatting sqref="P25">
    <cfRule type="cellIs" dxfId="10295" priority="1504" operator="greaterThan">
      <formula>P24</formula>
    </cfRule>
    <cfRule type="cellIs" dxfId="10294" priority="1505" operator="equal">
      <formula>0</formula>
    </cfRule>
  </conditionalFormatting>
  <conditionalFormatting sqref="P45">
    <cfRule type="cellIs" dxfId="10293" priority="1502" operator="greaterThan">
      <formula>#REF!</formula>
    </cfRule>
    <cfRule type="cellIs" dxfId="10292" priority="1503" operator="equal">
      <formula>0</formula>
    </cfRule>
  </conditionalFormatting>
  <conditionalFormatting sqref="P33">
    <cfRule type="cellIs" dxfId="10291" priority="1501" operator="equal">
      <formula>0</formula>
    </cfRule>
  </conditionalFormatting>
  <conditionalFormatting sqref="P34">
    <cfRule type="cellIs" dxfId="10290" priority="1499" operator="greaterThan">
      <formula>P33</formula>
    </cfRule>
    <cfRule type="cellIs" dxfId="10289" priority="1500" operator="equal">
      <formula>0</formula>
    </cfRule>
  </conditionalFormatting>
  <conditionalFormatting sqref="P36">
    <cfRule type="cellIs" dxfId="10288" priority="1498" operator="equal">
      <formula>0</formula>
    </cfRule>
  </conditionalFormatting>
  <conditionalFormatting sqref="P37">
    <cfRule type="cellIs" dxfId="10287" priority="1496" operator="greaterThan">
      <formula>P36</formula>
    </cfRule>
    <cfRule type="cellIs" dxfId="10286" priority="1497" operator="equal">
      <formula>0</formula>
    </cfRule>
  </conditionalFormatting>
  <conditionalFormatting sqref="E46:O46">
    <cfRule type="cellIs" dxfId="10285" priority="1494" operator="greaterThan">
      <formula>#REF!</formula>
    </cfRule>
    <cfRule type="cellIs" dxfId="10284" priority="1495" operator="equal">
      <formula>0</formula>
    </cfRule>
  </conditionalFormatting>
  <conditionalFormatting sqref="H42">
    <cfRule type="cellIs" dxfId="10283" priority="1493" operator="equal">
      <formula>0</formula>
    </cfRule>
  </conditionalFormatting>
  <conditionalFormatting sqref="H43:H44">
    <cfRule type="cellIs" dxfId="10282" priority="1491" operator="greaterThan">
      <formula>H42</formula>
    </cfRule>
    <cfRule type="cellIs" dxfId="10281" priority="1492" operator="equal">
      <formula>0</formula>
    </cfRule>
  </conditionalFormatting>
  <conditionalFormatting sqref="H45">
    <cfRule type="cellIs" dxfId="10280" priority="1489" operator="greaterThan">
      <formula>#REF!</formula>
    </cfRule>
    <cfRule type="cellIs" dxfId="10279" priority="1490" operator="equal">
      <formula>0</formula>
    </cfRule>
  </conditionalFormatting>
  <conditionalFormatting sqref="X49:X50 X42:X43 V42:V43 V12:V13 X12:X13 V15:V16 X15:X16 V18:V19 X18:X19 V21:V22 V24:V25 X21:X25 V27:V28 X27:X28 V49:V50">
    <cfRule type="cellIs" dxfId="10278" priority="1488" operator="equal">
      <formula>0</formula>
    </cfRule>
  </conditionalFormatting>
  <conditionalFormatting sqref="V50 X50">
    <cfRule type="cellIs" dxfId="10277" priority="1486" operator="greaterThan">
      <formula>V49</formula>
    </cfRule>
    <cfRule type="cellIs" dxfId="10276" priority="1487" operator="equal">
      <formula>0</formula>
    </cfRule>
  </conditionalFormatting>
  <conditionalFormatting sqref="V28">
    <cfRule type="cellIs" dxfId="10275" priority="1484" operator="greaterThan">
      <formula>V27</formula>
    </cfRule>
    <cfRule type="cellIs" dxfId="10274" priority="1485" operator="equal">
      <formula>0</formula>
    </cfRule>
  </conditionalFormatting>
  <conditionalFormatting sqref="V43">
    <cfRule type="cellIs" dxfId="10273" priority="1482" operator="greaterThan">
      <formula>V42</formula>
    </cfRule>
    <cfRule type="cellIs" dxfId="10272" priority="1483" operator="equal">
      <formula>0</formula>
    </cfRule>
  </conditionalFormatting>
  <conditionalFormatting sqref="X43">
    <cfRule type="cellIs" dxfId="10271" priority="1480" operator="greaterThan">
      <formula>X42</formula>
    </cfRule>
    <cfRule type="cellIs" dxfId="10270" priority="1481" operator="equal">
      <formula>0</formula>
    </cfRule>
  </conditionalFormatting>
  <conditionalFormatting sqref="V27">
    <cfRule type="cellIs" dxfId="10269" priority="1478" operator="greaterThan">
      <formula>V26</formula>
    </cfRule>
    <cfRule type="cellIs" dxfId="10268" priority="1479" operator="equal">
      <formula>0</formula>
    </cfRule>
  </conditionalFormatting>
  <conditionalFormatting sqref="V13">
    <cfRule type="cellIs" dxfId="10267" priority="1476" operator="greaterThan">
      <formula>V12</formula>
    </cfRule>
    <cfRule type="cellIs" dxfId="10266" priority="1477" operator="equal">
      <formula>0</formula>
    </cfRule>
  </conditionalFormatting>
  <conditionalFormatting sqref="V12">
    <cfRule type="cellIs" dxfId="10265" priority="1474" operator="greaterThan">
      <formula>V11</formula>
    </cfRule>
    <cfRule type="cellIs" dxfId="10264" priority="1475" operator="equal">
      <formula>0</formula>
    </cfRule>
  </conditionalFormatting>
  <conditionalFormatting sqref="V16">
    <cfRule type="cellIs" dxfId="10263" priority="1472" operator="greaterThan">
      <formula>V15</formula>
    </cfRule>
    <cfRule type="cellIs" dxfId="10262" priority="1473" operator="equal">
      <formula>0</formula>
    </cfRule>
  </conditionalFormatting>
  <conditionalFormatting sqref="V15">
    <cfRule type="cellIs" dxfId="10261" priority="1470" operator="greaterThan">
      <formula>V14</formula>
    </cfRule>
    <cfRule type="cellIs" dxfId="10260" priority="1471" operator="equal">
      <formula>0</formula>
    </cfRule>
  </conditionalFormatting>
  <conditionalFormatting sqref="V19">
    <cfRule type="cellIs" dxfId="10259" priority="1468" operator="greaterThan">
      <formula>V18</formula>
    </cfRule>
    <cfRule type="cellIs" dxfId="10258" priority="1469" operator="equal">
      <formula>0</formula>
    </cfRule>
  </conditionalFormatting>
  <conditionalFormatting sqref="V18">
    <cfRule type="cellIs" dxfId="10257" priority="1466" operator="greaterThan">
      <formula>V17</formula>
    </cfRule>
    <cfRule type="cellIs" dxfId="10256" priority="1467" operator="equal">
      <formula>0</formula>
    </cfRule>
  </conditionalFormatting>
  <conditionalFormatting sqref="V22 V24:V25">
    <cfRule type="cellIs" dxfId="10255" priority="1464" operator="greaterThan">
      <formula>V21</formula>
    </cfRule>
    <cfRule type="cellIs" dxfId="10254" priority="1465" operator="equal">
      <formula>0</formula>
    </cfRule>
  </conditionalFormatting>
  <conditionalFormatting sqref="V21">
    <cfRule type="cellIs" dxfId="10253" priority="1462" operator="greaterThan">
      <formula>V20</formula>
    </cfRule>
    <cfRule type="cellIs" dxfId="10252" priority="1463" operator="equal">
      <formula>0</formula>
    </cfRule>
  </conditionalFormatting>
  <conditionalFormatting sqref="V24">
    <cfRule type="cellIs" dxfId="10251" priority="1460" operator="greaterThan">
      <formula>V23</formula>
    </cfRule>
    <cfRule type="cellIs" dxfId="10250" priority="1461" operator="equal">
      <formula>0</formula>
    </cfRule>
  </conditionalFormatting>
  <conditionalFormatting sqref="V27:V28">
    <cfRule type="cellIs" dxfId="10249" priority="1458" operator="greaterThan">
      <formula>V26</formula>
    </cfRule>
    <cfRule type="cellIs" dxfId="10248" priority="1459" operator="equal">
      <formula>0</formula>
    </cfRule>
  </conditionalFormatting>
  <conditionalFormatting sqref="V27">
    <cfRule type="cellIs" dxfId="10247" priority="1456" operator="greaterThan">
      <formula>V26</formula>
    </cfRule>
    <cfRule type="cellIs" dxfId="10246" priority="1457" operator="equal">
      <formula>0</formula>
    </cfRule>
  </conditionalFormatting>
  <conditionalFormatting sqref="V16">
    <cfRule type="cellIs" dxfId="10245" priority="1454" operator="greaterThan">
      <formula>V15</formula>
    </cfRule>
    <cfRule type="cellIs" dxfId="10244" priority="1455" operator="equal">
      <formula>0</formula>
    </cfRule>
  </conditionalFormatting>
  <conditionalFormatting sqref="V15">
    <cfRule type="cellIs" dxfId="10243" priority="1452" operator="greaterThan">
      <formula>V14</formula>
    </cfRule>
    <cfRule type="cellIs" dxfId="10242" priority="1453" operator="equal">
      <formula>0</formula>
    </cfRule>
  </conditionalFormatting>
  <conditionalFormatting sqref="V19">
    <cfRule type="cellIs" dxfId="10241" priority="1450" operator="greaterThan">
      <formula>V18</formula>
    </cfRule>
    <cfRule type="cellIs" dxfId="10240" priority="1451" operator="equal">
      <formula>0</formula>
    </cfRule>
  </conditionalFormatting>
  <conditionalFormatting sqref="V18">
    <cfRule type="cellIs" dxfId="10239" priority="1448" operator="greaterThan">
      <formula>V17</formula>
    </cfRule>
    <cfRule type="cellIs" dxfId="10238" priority="1449" operator="equal">
      <formula>0</formula>
    </cfRule>
  </conditionalFormatting>
  <conditionalFormatting sqref="V22">
    <cfRule type="cellIs" dxfId="10237" priority="1446" operator="greaterThan">
      <formula>V21</formula>
    </cfRule>
    <cfRule type="cellIs" dxfId="10236" priority="1447" operator="equal">
      <formula>0</formula>
    </cfRule>
  </conditionalFormatting>
  <conditionalFormatting sqref="V21">
    <cfRule type="cellIs" dxfId="10235" priority="1444" operator="greaterThan">
      <formula>V20</formula>
    </cfRule>
    <cfRule type="cellIs" dxfId="10234" priority="1445" operator="equal">
      <formula>0</formula>
    </cfRule>
  </conditionalFormatting>
  <conditionalFormatting sqref="V25">
    <cfRule type="cellIs" dxfId="10233" priority="1442" operator="greaterThan">
      <formula>V24</formula>
    </cfRule>
    <cfRule type="cellIs" dxfId="10232" priority="1443" operator="equal">
      <formula>0</formula>
    </cfRule>
  </conditionalFormatting>
  <conditionalFormatting sqref="V24">
    <cfRule type="cellIs" dxfId="10231" priority="1440" operator="greaterThan">
      <formula>V23</formula>
    </cfRule>
    <cfRule type="cellIs" dxfId="10230" priority="1441" operator="equal">
      <formula>0</formula>
    </cfRule>
  </conditionalFormatting>
  <conditionalFormatting sqref="V28">
    <cfRule type="cellIs" dxfId="10229" priority="1438" operator="greaterThan">
      <formula>V27</formula>
    </cfRule>
    <cfRule type="cellIs" dxfId="10228" priority="1439" operator="equal">
      <formula>0</formula>
    </cfRule>
  </conditionalFormatting>
  <conditionalFormatting sqref="V27">
    <cfRule type="cellIs" dxfId="10227" priority="1436" operator="greaterThan">
      <formula>V26</formula>
    </cfRule>
    <cfRule type="cellIs" dxfId="10226" priority="1437" operator="equal">
      <formula>0</formula>
    </cfRule>
  </conditionalFormatting>
  <conditionalFormatting sqref="V30:V31 X30:X31">
    <cfRule type="cellIs" dxfId="10225" priority="1435" operator="equal">
      <formula>0</formula>
    </cfRule>
  </conditionalFormatting>
  <conditionalFormatting sqref="V31">
    <cfRule type="cellIs" dxfId="10224" priority="1433" operator="greaterThan">
      <formula>V30</formula>
    </cfRule>
    <cfRule type="cellIs" dxfId="10223" priority="1434" operator="equal">
      <formula>0</formula>
    </cfRule>
  </conditionalFormatting>
  <conditionalFormatting sqref="V30">
    <cfRule type="cellIs" dxfId="10222" priority="1431" operator="greaterThan">
      <formula>V29</formula>
    </cfRule>
    <cfRule type="cellIs" dxfId="10221" priority="1432" operator="equal">
      <formula>0</formula>
    </cfRule>
  </conditionalFormatting>
  <conditionalFormatting sqref="V33:V34 X33:X34">
    <cfRule type="cellIs" dxfId="10220" priority="1430" operator="equal">
      <formula>0</formula>
    </cfRule>
  </conditionalFormatting>
  <conditionalFormatting sqref="V34">
    <cfRule type="cellIs" dxfId="10219" priority="1428" operator="greaterThan">
      <formula>V33</formula>
    </cfRule>
    <cfRule type="cellIs" dxfId="10218" priority="1429" operator="equal">
      <formula>0</formula>
    </cfRule>
  </conditionalFormatting>
  <conditionalFormatting sqref="V33">
    <cfRule type="cellIs" dxfId="10217" priority="1426" operator="greaterThan">
      <formula>V32</formula>
    </cfRule>
    <cfRule type="cellIs" dxfId="10216" priority="1427" operator="equal">
      <formula>0</formula>
    </cfRule>
  </conditionalFormatting>
  <conditionalFormatting sqref="V36:V37 X36:X37">
    <cfRule type="cellIs" dxfId="10215" priority="1425" operator="equal">
      <formula>0</formula>
    </cfRule>
  </conditionalFormatting>
  <conditionalFormatting sqref="V37">
    <cfRule type="cellIs" dxfId="10214" priority="1423" operator="greaterThan">
      <formula>V36</formula>
    </cfRule>
    <cfRule type="cellIs" dxfId="10213" priority="1424" operator="equal">
      <formula>0</formula>
    </cfRule>
  </conditionalFormatting>
  <conditionalFormatting sqref="V36">
    <cfRule type="cellIs" dxfId="10212" priority="1421" operator="greaterThan">
      <formula>V35</formula>
    </cfRule>
    <cfRule type="cellIs" dxfId="10211" priority="1422" operator="equal">
      <formula>0</formula>
    </cfRule>
  </conditionalFormatting>
  <conditionalFormatting sqref="V16">
    <cfRule type="cellIs" dxfId="10210" priority="1419" operator="greaterThan">
      <formula>V15</formula>
    </cfRule>
    <cfRule type="cellIs" dxfId="10209" priority="1420" operator="equal">
      <formula>0</formula>
    </cfRule>
  </conditionalFormatting>
  <conditionalFormatting sqref="V15">
    <cfRule type="cellIs" dxfId="10208" priority="1417" operator="greaterThan">
      <formula>V14</formula>
    </cfRule>
    <cfRule type="cellIs" dxfId="10207" priority="1418" operator="equal">
      <formula>0</formula>
    </cfRule>
  </conditionalFormatting>
  <conditionalFormatting sqref="V16">
    <cfRule type="cellIs" dxfId="10206" priority="1415" operator="greaterThan">
      <formula>V15</formula>
    </cfRule>
    <cfRule type="cellIs" dxfId="10205" priority="1416" operator="equal">
      <formula>0</formula>
    </cfRule>
  </conditionalFormatting>
  <conditionalFormatting sqref="V15">
    <cfRule type="cellIs" dxfId="10204" priority="1413" operator="greaterThan">
      <formula>V14</formula>
    </cfRule>
    <cfRule type="cellIs" dxfId="10203" priority="1414" operator="equal">
      <formula>0</formula>
    </cfRule>
  </conditionalFormatting>
  <conditionalFormatting sqref="V19">
    <cfRule type="cellIs" dxfId="10202" priority="1411" operator="greaterThan">
      <formula>V18</formula>
    </cfRule>
    <cfRule type="cellIs" dxfId="10201" priority="1412" operator="equal">
      <formula>0</formula>
    </cfRule>
  </conditionalFormatting>
  <conditionalFormatting sqref="V18">
    <cfRule type="cellIs" dxfId="10200" priority="1409" operator="greaterThan">
      <formula>V17</formula>
    </cfRule>
    <cfRule type="cellIs" dxfId="10199" priority="1410" operator="equal">
      <formula>0</formula>
    </cfRule>
  </conditionalFormatting>
  <conditionalFormatting sqref="V19">
    <cfRule type="cellIs" dxfId="10198" priority="1407" operator="greaterThan">
      <formula>V18</formula>
    </cfRule>
    <cfRule type="cellIs" dxfId="10197" priority="1408" operator="equal">
      <formula>0</formula>
    </cfRule>
  </conditionalFormatting>
  <conditionalFormatting sqref="V18">
    <cfRule type="cellIs" dxfId="10196" priority="1405" operator="greaterThan">
      <formula>V17</formula>
    </cfRule>
    <cfRule type="cellIs" dxfId="10195" priority="1406" operator="equal">
      <formula>0</formula>
    </cfRule>
  </conditionalFormatting>
  <conditionalFormatting sqref="V19">
    <cfRule type="cellIs" dxfId="10194" priority="1403" operator="greaterThan">
      <formula>V18</formula>
    </cfRule>
    <cfRule type="cellIs" dxfId="10193" priority="1404" operator="equal">
      <formula>0</formula>
    </cfRule>
  </conditionalFormatting>
  <conditionalFormatting sqref="V18">
    <cfRule type="cellIs" dxfId="10192" priority="1401" operator="greaterThan">
      <formula>V17</formula>
    </cfRule>
    <cfRule type="cellIs" dxfId="10191" priority="1402" operator="equal">
      <formula>0</formula>
    </cfRule>
  </conditionalFormatting>
  <conditionalFormatting sqref="V19">
    <cfRule type="cellIs" dxfId="10190" priority="1399" operator="greaterThan">
      <formula>V18</formula>
    </cfRule>
    <cfRule type="cellIs" dxfId="10189" priority="1400" operator="equal">
      <formula>0</formula>
    </cfRule>
  </conditionalFormatting>
  <conditionalFormatting sqref="V18">
    <cfRule type="cellIs" dxfId="10188" priority="1397" operator="greaterThan">
      <formula>V17</formula>
    </cfRule>
    <cfRule type="cellIs" dxfId="10187" priority="1398" operator="equal">
      <formula>0</formula>
    </cfRule>
  </conditionalFormatting>
  <conditionalFormatting sqref="V22">
    <cfRule type="cellIs" dxfId="10186" priority="1395" operator="greaterThan">
      <formula>V21</formula>
    </cfRule>
    <cfRule type="cellIs" dxfId="10185" priority="1396" operator="equal">
      <formula>0</formula>
    </cfRule>
  </conditionalFormatting>
  <conditionalFormatting sqref="V21">
    <cfRule type="cellIs" dxfId="10184" priority="1393" operator="greaterThan">
      <formula>V20</formula>
    </cfRule>
    <cfRule type="cellIs" dxfId="10183" priority="1394" operator="equal">
      <formula>0</formula>
    </cfRule>
  </conditionalFormatting>
  <conditionalFormatting sqref="V22">
    <cfRule type="cellIs" dxfId="10182" priority="1391" operator="greaterThan">
      <formula>V21</formula>
    </cfRule>
    <cfRule type="cellIs" dxfId="10181" priority="1392" operator="equal">
      <formula>0</formula>
    </cfRule>
  </conditionalFormatting>
  <conditionalFormatting sqref="V21">
    <cfRule type="cellIs" dxfId="10180" priority="1389" operator="greaterThan">
      <formula>V20</formula>
    </cfRule>
    <cfRule type="cellIs" dxfId="10179" priority="1390" operator="equal">
      <formula>0</formula>
    </cfRule>
  </conditionalFormatting>
  <conditionalFormatting sqref="V22">
    <cfRule type="cellIs" dxfId="10178" priority="1387" operator="greaterThan">
      <formula>V21</formula>
    </cfRule>
    <cfRule type="cellIs" dxfId="10177" priority="1388" operator="equal">
      <formula>0</formula>
    </cfRule>
  </conditionalFormatting>
  <conditionalFormatting sqref="V21">
    <cfRule type="cellIs" dxfId="10176" priority="1385" operator="greaterThan">
      <formula>V20</formula>
    </cfRule>
    <cfRule type="cellIs" dxfId="10175" priority="1386" operator="equal">
      <formula>0</formula>
    </cfRule>
  </conditionalFormatting>
  <conditionalFormatting sqref="V22">
    <cfRule type="cellIs" dxfId="10174" priority="1383" operator="greaterThan">
      <formula>V21</formula>
    </cfRule>
    <cfRule type="cellIs" dxfId="10173" priority="1384" operator="equal">
      <formula>0</formula>
    </cfRule>
  </conditionalFormatting>
  <conditionalFormatting sqref="V21">
    <cfRule type="cellIs" dxfId="10172" priority="1381" operator="greaterThan">
      <formula>V20</formula>
    </cfRule>
    <cfRule type="cellIs" dxfId="10171" priority="1382" operator="equal">
      <formula>0</formula>
    </cfRule>
  </conditionalFormatting>
  <conditionalFormatting sqref="V22">
    <cfRule type="cellIs" dxfId="10170" priority="1379" operator="greaterThan">
      <formula>V21</formula>
    </cfRule>
    <cfRule type="cellIs" dxfId="10169" priority="1380" operator="equal">
      <formula>0</formula>
    </cfRule>
  </conditionalFormatting>
  <conditionalFormatting sqref="V21">
    <cfRule type="cellIs" dxfId="10168" priority="1377" operator="greaterThan">
      <formula>V20</formula>
    </cfRule>
    <cfRule type="cellIs" dxfId="10167" priority="1378" operator="equal">
      <formula>0</formula>
    </cfRule>
  </conditionalFormatting>
  <conditionalFormatting sqref="V22">
    <cfRule type="cellIs" dxfId="10166" priority="1375" operator="greaterThan">
      <formula>V21</formula>
    </cfRule>
    <cfRule type="cellIs" dxfId="10165" priority="1376" operator="equal">
      <formula>0</formula>
    </cfRule>
  </conditionalFormatting>
  <conditionalFormatting sqref="V21">
    <cfRule type="cellIs" dxfId="10164" priority="1373" operator="greaterThan">
      <formula>V20</formula>
    </cfRule>
    <cfRule type="cellIs" dxfId="10163" priority="1374" operator="equal">
      <formula>0</formula>
    </cfRule>
  </conditionalFormatting>
  <conditionalFormatting sqref="V24">
    <cfRule type="cellIs" dxfId="10162" priority="1371" operator="greaterThan">
      <formula>V23</formula>
    </cfRule>
    <cfRule type="cellIs" dxfId="10161" priority="1372" operator="equal">
      <formula>0</formula>
    </cfRule>
  </conditionalFormatting>
  <conditionalFormatting sqref="V25">
    <cfRule type="cellIs" dxfId="10160" priority="1369" operator="greaterThan">
      <formula>V24</formula>
    </cfRule>
    <cfRule type="cellIs" dxfId="10159" priority="1370" operator="equal">
      <formula>0</formula>
    </cfRule>
  </conditionalFormatting>
  <conditionalFormatting sqref="V24">
    <cfRule type="cellIs" dxfId="10158" priority="1367" operator="greaterThan">
      <formula>V23</formula>
    </cfRule>
    <cfRule type="cellIs" dxfId="10157" priority="1368" operator="equal">
      <formula>0</formula>
    </cfRule>
  </conditionalFormatting>
  <conditionalFormatting sqref="V25">
    <cfRule type="cellIs" dxfId="10156" priority="1365" operator="greaterThan">
      <formula>V24</formula>
    </cfRule>
    <cfRule type="cellIs" dxfId="10155" priority="1366" operator="equal">
      <formula>0</formula>
    </cfRule>
  </conditionalFormatting>
  <conditionalFormatting sqref="V24">
    <cfRule type="cellIs" dxfId="10154" priority="1363" operator="greaterThan">
      <formula>V23</formula>
    </cfRule>
    <cfRule type="cellIs" dxfId="10153" priority="1364" operator="equal">
      <formula>0</formula>
    </cfRule>
  </conditionalFormatting>
  <conditionalFormatting sqref="V25">
    <cfRule type="cellIs" dxfId="10152" priority="1361" operator="greaterThan">
      <formula>V24</formula>
    </cfRule>
    <cfRule type="cellIs" dxfId="10151" priority="1362" operator="equal">
      <formula>0</formula>
    </cfRule>
  </conditionalFormatting>
  <conditionalFormatting sqref="V24">
    <cfRule type="cellIs" dxfId="10150" priority="1359" operator="greaterThan">
      <formula>V23</formula>
    </cfRule>
    <cfRule type="cellIs" dxfId="10149" priority="1360" operator="equal">
      <formula>0</formula>
    </cfRule>
  </conditionalFormatting>
  <conditionalFormatting sqref="V25">
    <cfRule type="cellIs" dxfId="10148" priority="1357" operator="greaterThan">
      <formula>V24</formula>
    </cfRule>
    <cfRule type="cellIs" dxfId="10147" priority="1358" operator="equal">
      <formula>0</formula>
    </cfRule>
  </conditionalFormatting>
  <conditionalFormatting sqref="V24">
    <cfRule type="cellIs" dxfId="10146" priority="1355" operator="greaterThan">
      <formula>V23</formula>
    </cfRule>
    <cfRule type="cellIs" dxfId="10145" priority="1356" operator="equal">
      <formula>0</formula>
    </cfRule>
  </conditionalFormatting>
  <conditionalFormatting sqref="V25">
    <cfRule type="cellIs" dxfId="10144" priority="1353" operator="greaterThan">
      <formula>V24</formula>
    </cfRule>
    <cfRule type="cellIs" dxfId="10143" priority="1354" operator="equal">
      <formula>0</formula>
    </cfRule>
  </conditionalFormatting>
  <conditionalFormatting sqref="V24">
    <cfRule type="cellIs" dxfId="10142" priority="1351" operator="greaterThan">
      <formula>V23</formula>
    </cfRule>
    <cfRule type="cellIs" dxfId="10141" priority="1352" operator="equal">
      <formula>0</formula>
    </cfRule>
  </conditionalFormatting>
  <conditionalFormatting sqref="V25">
    <cfRule type="cellIs" dxfId="10140" priority="1349" operator="greaterThan">
      <formula>V24</formula>
    </cfRule>
    <cfRule type="cellIs" dxfId="10139" priority="1350" operator="equal">
      <formula>0</formula>
    </cfRule>
  </conditionalFormatting>
  <conditionalFormatting sqref="V24">
    <cfRule type="cellIs" dxfId="10138" priority="1347" operator="greaterThan">
      <formula>V23</formula>
    </cfRule>
    <cfRule type="cellIs" dxfId="10137" priority="1348" operator="equal">
      <formula>0</formula>
    </cfRule>
  </conditionalFormatting>
  <conditionalFormatting sqref="V25">
    <cfRule type="cellIs" dxfId="10136" priority="1345" operator="greaterThan">
      <formula>V24</formula>
    </cfRule>
    <cfRule type="cellIs" dxfId="10135" priority="1346" operator="equal">
      <formula>0</formula>
    </cfRule>
  </conditionalFormatting>
  <conditionalFormatting sqref="V24">
    <cfRule type="cellIs" dxfId="10134" priority="1343" operator="greaterThan">
      <formula>V23</formula>
    </cfRule>
    <cfRule type="cellIs" dxfId="10133" priority="1344" operator="equal">
      <formula>0</formula>
    </cfRule>
  </conditionalFormatting>
  <conditionalFormatting sqref="V27:V28">
    <cfRule type="cellIs" dxfId="10132" priority="1341" operator="greaterThan">
      <formula>V26</formula>
    </cfRule>
    <cfRule type="cellIs" dxfId="10131" priority="1342" operator="equal">
      <formula>0</formula>
    </cfRule>
  </conditionalFormatting>
  <conditionalFormatting sqref="V27">
    <cfRule type="cellIs" dxfId="10130" priority="1339" operator="greaterThan">
      <formula>V26</formula>
    </cfRule>
    <cfRule type="cellIs" dxfId="10129" priority="1340" operator="equal">
      <formula>0</formula>
    </cfRule>
  </conditionalFormatting>
  <conditionalFormatting sqref="V28">
    <cfRule type="cellIs" dxfId="10128" priority="1337" operator="greaterThan">
      <formula>V27</formula>
    </cfRule>
    <cfRule type="cellIs" dxfId="10127" priority="1338" operator="equal">
      <formula>0</formula>
    </cfRule>
  </conditionalFormatting>
  <conditionalFormatting sqref="V27">
    <cfRule type="cellIs" dxfId="10126" priority="1335" operator="greaterThan">
      <formula>V26</formula>
    </cfRule>
    <cfRule type="cellIs" dxfId="10125" priority="1336" operator="equal">
      <formula>0</formula>
    </cfRule>
  </conditionalFormatting>
  <conditionalFormatting sqref="V27">
    <cfRule type="cellIs" dxfId="10124" priority="1333" operator="greaterThan">
      <formula>V26</formula>
    </cfRule>
    <cfRule type="cellIs" dxfId="10123" priority="1334" operator="equal">
      <formula>0</formula>
    </cfRule>
  </conditionalFormatting>
  <conditionalFormatting sqref="V28">
    <cfRule type="cellIs" dxfId="10122" priority="1331" operator="greaterThan">
      <formula>V27</formula>
    </cfRule>
    <cfRule type="cellIs" dxfId="10121" priority="1332" operator="equal">
      <formula>0</formula>
    </cfRule>
  </conditionalFormatting>
  <conditionalFormatting sqref="V27">
    <cfRule type="cellIs" dxfId="10120" priority="1329" operator="greaterThan">
      <formula>V26</formula>
    </cfRule>
    <cfRule type="cellIs" dxfId="10119" priority="1330" operator="equal">
      <formula>0</formula>
    </cfRule>
  </conditionalFormatting>
  <conditionalFormatting sqref="V28">
    <cfRule type="cellIs" dxfId="10118" priority="1327" operator="greaterThan">
      <formula>V27</formula>
    </cfRule>
    <cfRule type="cellIs" dxfId="10117" priority="1328" operator="equal">
      <formula>0</formula>
    </cfRule>
  </conditionalFormatting>
  <conditionalFormatting sqref="V27">
    <cfRule type="cellIs" dxfId="10116" priority="1325" operator="greaterThan">
      <formula>V26</formula>
    </cfRule>
    <cfRule type="cellIs" dxfId="10115" priority="1326" operator="equal">
      <formula>0</formula>
    </cfRule>
  </conditionalFormatting>
  <conditionalFormatting sqref="V28">
    <cfRule type="cellIs" dxfId="10114" priority="1323" operator="greaterThan">
      <formula>V27</formula>
    </cfRule>
    <cfRule type="cellIs" dxfId="10113" priority="1324" operator="equal">
      <formula>0</formula>
    </cfRule>
  </conditionalFormatting>
  <conditionalFormatting sqref="V27">
    <cfRule type="cellIs" dxfId="10112" priority="1321" operator="greaterThan">
      <formula>V26</formula>
    </cfRule>
    <cfRule type="cellIs" dxfId="10111" priority="1322" operator="equal">
      <formula>0</formula>
    </cfRule>
  </conditionalFormatting>
  <conditionalFormatting sqref="V28">
    <cfRule type="cellIs" dxfId="10110" priority="1319" operator="greaterThan">
      <formula>V27</formula>
    </cfRule>
    <cfRule type="cellIs" dxfId="10109" priority="1320" operator="equal">
      <formula>0</formula>
    </cfRule>
  </conditionalFormatting>
  <conditionalFormatting sqref="V27">
    <cfRule type="cellIs" dxfId="10108" priority="1317" operator="greaterThan">
      <formula>V26</formula>
    </cfRule>
    <cfRule type="cellIs" dxfId="10107" priority="1318" operator="equal">
      <formula>0</formula>
    </cfRule>
  </conditionalFormatting>
  <conditionalFormatting sqref="V28">
    <cfRule type="cellIs" dxfId="10106" priority="1315" operator="greaterThan">
      <formula>V27</formula>
    </cfRule>
    <cfRule type="cellIs" dxfId="10105" priority="1316" operator="equal">
      <formula>0</formula>
    </cfRule>
  </conditionalFormatting>
  <conditionalFormatting sqref="V27">
    <cfRule type="cellIs" dxfId="10104" priority="1313" operator="greaterThan">
      <formula>V26</formula>
    </cfRule>
    <cfRule type="cellIs" dxfId="10103" priority="1314" operator="equal">
      <formula>0</formula>
    </cfRule>
  </conditionalFormatting>
  <conditionalFormatting sqref="V28">
    <cfRule type="cellIs" dxfId="10102" priority="1311" operator="greaterThan">
      <formula>V27</formula>
    </cfRule>
    <cfRule type="cellIs" dxfId="10101" priority="1312" operator="equal">
      <formula>0</formula>
    </cfRule>
  </conditionalFormatting>
  <conditionalFormatting sqref="V27">
    <cfRule type="cellIs" dxfId="10100" priority="1309" operator="greaterThan">
      <formula>V26</formula>
    </cfRule>
    <cfRule type="cellIs" dxfId="10099" priority="1310" operator="equal">
      <formula>0</formula>
    </cfRule>
  </conditionalFormatting>
  <conditionalFormatting sqref="V28">
    <cfRule type="cellIs" dxfId="10098" priority="1307" operator="greaterThan">
      <formula>V27</formula>
    </cfRule>
    <cfRule type="cellIs" dxfId="10097" priority="1308" operator="equal">
      <formula>0</formula>
    </cfRule>
  </conditionalFormatting>
  <conditionalFormatting sqref="V27">
    <cfRule type="cellIs" dxfId="10096" priority="1305" operator="greaterThan">
      <formula>V26</formula>
    </cfRule>
    <cfRule type="cellIs" dxfId="10095" priority="1306" operator="equal">
      <formula>0</formula>
    </cfRule>
  </conditionalFormatting>
  <conditionalFormatting sqref="V50">
    <cfRule type="cellIs" dxfId="10094" priority="1303" operator="greaterThan">
      <formula>V49</formula>
    </cfRule>
    <cfRule type="cellIs" dxfId="10093" priority="1304" operator="equal">
      <formula>0</formula>
    </cfRule>
  </conditionalFormatting>
  <conditionalFormatting sqref="V12:V13 X12:X13 X15:X16 X18:X19 X21:X25 X27:X28 V15:V16 V18:V19 V21:V22 V24:V25 V27:V28">
    <cfRule type="cellIs" dxfId="10092" priority="1302" operator="equal">
      <formula>0</formula>
    </cfRule>
  </conditionalFormatting>
  <conditionalFormatting sqref="V28">
    <cfRule type="cellIs" dxfId="10091" priority="1300" operator="greaterThan">
      <formula>V27</formula>
    </cfRule>
    <cfRule type="cellIs" dxfId="10090" priority="1301" operator="equal">
      <formula>0</formula>
    </cfRule>
  </conditionalFormatting>
  <conditionalFormatting sqref="V27">
    <cfRule type="cellIs" dxfId="10089" priority="1298" operator="greaterThan">
      <formula>V26</formula>
    </cfRule>
    <cfRule type="cellIs" dxfId="10088" priority="1299" operator="equal">
      <formula>0</formula>
    </cfRule>
  </conditionalFormatting>
  <conditionalFormatting sqref="V13">
    <cfRule type="cellIs" dxfId="10087" priority="1296" operator="greaterThan">
      <formula>V12</formula>
    </cfRule>
    <cfRule type="cellIs" dxfId="10086" priority="1297" operator="equal">
      <formula>0</formula>
    </cfRule>
  </conditionalFormatting>
  <conditionalFormatting sqref="V12">
    <cfRule type="cellIs" dxfId="10085" priority="1294" operator="greaterThan">
      <formula>V11</formula>
    </cfRule>
    <cfRule type="cellIs" dxfId="10084" priority="1295" operator="equal">
      <formula>0</formula>
    </cfRule>
  </conditionalFormatting>
  <conditionalFormatting sqref="V16">
    <cfRule type="cellIs" dxfId="10083" priority="1292" operator="greaterThan">
      <formula>V15</formula>
    </cfRule>
    <cfRule type="cellIs" dxfId="10082" priority="1293" operator="equal">
      <formula>0</formula>
    </cfRule>
  </conditionalFormatting>
  <conditionalFormatting sqref="V15">
    <cfRule type="cellIs" dxfId="10081" priority="1290" operator="greaterThan">
      <formula>V14</formula>
    </cfRule>
    <cfRule type="cellIs" dxfId="10080" priority="1291" operator="equal">
      <formula>0</formula>
    </cfRule>
  </conditionalFormatting>
  <conditionalFormatting sqref="V19">
    <cfRule type="cellIs" dxfId="10079" priority="1288" operator="greaterThan">
      <formula>V18</formula>
    </cfRule>
    <cfRule type="cellIs" dxfId="10078" priority="1289" operator="equal">
      <formula>0</formula>
    </cfRule>
  </conditionalFormatting>
  <conditionalFormatting sqref="V18">
    <cfRule type="cellIs" dxfId="10077" priority="1286" operator="greaterThan">
      <formula>V17</formula>
    </cfRule>
    <cfRule type="cellIs" dxfId="10076" priority="1287" operator="equal">
      <formula>0</formula>
    </cfRule>
  </conditionalFormatting>
  <conditionalFormatting sqref="V22 V24:V25">
    <cfRule type="cellIs" dxfId="10075" priority="1284" operator="greaterThan">
      <formula>V21</formula>
    </cfRule>
    <cfRule type="cellIs" dxfId="10074" priority="1285" operator="equal">
      <formula>0</formula>
    </cfRule>
  </conditionalFormatting>
  <conditionalFormatting sqref="V21">
    <cfRule type="cellIs" dxfId="10073" priority="1282" operator="greaterThan">
      <formula>V20</formula>
    </cfRule>
    <cfRule type="cellIs" dxfId="10072" priority="1283" operator="equal">
      <formula>0</formula>
    </cfRule>
  </conditionalFormatting>
  <conditionalFormatting sqref="V24">
    <cfRule type="cellIs" dxfId="10071" priority="1280" operator="greaterThan">
      <formula>V23</formula>
    </cfRule>
    <cfRule type="cellIs" dxfId="10070" priority="1281" operator="equal">
      <formula>0</formula>
    </cfRule>
  </conditionalFormatting>
  <conditionalFormatting sqref="V27:V28">
    <cfRule type="cellIs" dxfId="10069" priority="1278" operator="greaterThan">
      <formula>V26</formula>
    </cfRule>
    <cfRule type="cellIs" dxfId="10068" priority="1279" operator="equal">
      <formula>0</formula>
    </cfRule>
  </conditionalFormatting>
  <conditionalFormatting sqref="V27">
    <cfRule type="cellIs" dxfId="10067" priority="1276" operator="greaterThan">
      <formula>V26</formula>
    </cfRule>
    <cfRule type="cellIs" dxfId="10066" priority="1277" operator="equal">
      <formula>0</formula>
    </cfRule>
  </conditionalFormatting>
  <conditionalFormatting sqref="V16">
    <cfRule type="cellIs" dxfId="10065" priority="1274" operator="greaterThan">
      <formula>V15</formula>
    </cfRule>
    <cfRule type="cellIs" dxfId="10064" priority="1275" operator="equal">
      <formula>0</formula>
    </cfRule>
  </conditionalFormatting>
  <conditionalFormatting sqref="V15">
    <cfRule type="cellIs" dxfId="10063" priority="1272" operator="greaterThan">
      <formula>V14</formula>
    </cfRule>
    <cfRule type="cellIs" dxfId="10062" priority="1273" operator="equal">
      <formula>0</formula>
    </cfRule>
  </conditionalFormatting>
  <conditionalFormatting sqref="V19">
    <cfRule type="cellIs" dxfId="10061" priority="1270" operator="greaterThan">
      <formula>V18</formula>
    </cfRule>
    <cfRule type="cellIs" dxfId="10060" priority="1271" operator="equal">
      <formula>0</formula>
    </cfRule>
  </conditionalFormatting>
  <conditionalFormatting sqref="V18">
    <cfRule type="cellIs" dxfId="10059" priority="1268" operator="greaterThan">
      <formula>V17</formula>
    </cfRule>
    <cfRule type="cellIs" dxfId="10058" priority="1269" operator="equal">
      <formula>0</formula>
    </cfRule>
  </conditionalFormatting>
  <conditionalFormatting sqref="V22">
    <cfRule type="cellIs" dxfId="10057" priority="1266" operator="greaterThan">
      <formula>V21</formula>
    </cfRule>
    <cfRule type="cellIs" dxfId="10056" priority="1267" operator="equal">
      <formula>0</formula>
    </cfRule>
  </conditionalFormatting>
  <conditionalFormatting sqref="V21">
    <cfRule type="cellIs" dxfId="10055" priority="1264" operator="greaterThan">
      <formula>V20</formula>
    </cfRule>
    <cfRule type="cellIs" dxfId="10054" priority="1265" operator="equal">
      <formula>0</formula>
    </cfRule>
  </conditionalFormatting>
  <conditionalFormatting sqref="V25">
    <cfRule type="cellIs" dxfId="10053" priority="1262" operator="greaterThan">
      <formula>V24</formula>
    </cfRule>
    <cfRule type="cellIs" dxfId="10052" priority="1263" operator="equal">
      <formula>0</formula>
    </cfRule>
  </conditionalFormatting>
  <conditionalFormatting sqref="V24">
    <cfRule type="cellIs" dxfId="10051" priority="1260" operator="greaterThan">
      <formula>V23</formula>
    </cfRule>
    <cfRule type="cellIs" dxfId="10050" priority="1261" operator="equal">
      <formula>0</formula>
    </cfRule>
  </conditionalFormatting>
  <conditionalFormatting sqref="V28">
    <cfRule type="cellIs" dxfId="10049" priority="1258" operator="greaterThan">
      <formula>V27</formula>
    </cfRule>
    <cfRule type="cellIs" dxfId="10048" priority="1259" operator="equal">
      <formula>0</formula>
    </cfRule>
  </conditionalFormatting>
  <conditionalFormatting sqref="V27">
    <cfRule type="cellIs" dxfId="10047" priority="1256" operator="greaterThan">
      <formula>V26</formula>
    </cfRule>
    <cfRule type="cellIs" dxfId="10046" priority="1257" operator="equal">
      <formula>0</formula>
    </cfRule>
  </conditionalFormatting>
  <conditionalFormatting sqref="V30:V31 X30:X31">
    <cfRule type="cellIs" dxfId="10045" priority="1255" operator="equal">
      <formula>0</formula>
    </cfRule>
  </conditionalFormatting>
  <conditionalFormatting sqref="V31">
    <cfRule type="cellIs" dxfId="10044" priority="1253" operator="greaterThan">
      <formula>V30</formula>
    </cfRule>
    <cfRule type="cellIs" dxfId="10043" priority="1254" operator="equal">
      <formula>0</formula>
    </cfRule>
  </conditionalFormatting>
  <conditionalFormatting sqref="V30">
    <cfRule type="cellIs" dxfId="10042" priority="1251" operator="greaterThan">
      <formula>V29</formula>
    </cfRule>
    <cfRule type="cellIs" dxfId="10041" priority="1252" operator="equal">
      <formula>0</formula>
    </cfRule>
  </conditionalFormatting>
  <conditionalFormatting sqref="V33:V34 X33:X34">
    <cfRule type="cellIs" dxfId="10040" priority="1250" operator="equal">
      <formula>0</formula>
    </cfRule>
  </conditionalFormatting>
  <conditionalFormatting sqref="V34">
    <cfRule type="cellIs" dxfId="10039" priority="1248" operator="greaterThan">
      <formula>V33</formula>
    </cfRule>
    <cfRule type="cellIs" dxfId="10038" priority="1249" operator="equal">
      <formula>0</formula>
    </cfRule>
  </conditionalFormatting>
  <conditionalFormatting sqref="V33">
    <cfRule type="cellIs" dxfId="10037" priority="1246" operator="greaterThan">
      <formula>V32</formula>
    </cfRule>
    <cfRule type="cellIs" dxfId="10036" priority="1247" operator="equal">
      <formula>0</formula>
    </cfRule>
  </conditionalFormatting>
  <conditionalFormatting sqref="V36:V37 X36:X37">
    <cfRule type="cellIs" dxfId="10035" priority="1245" operator="equal">
      <formula>0</formula>
    </cfRule>
  </conditionalFormatting>
  <conditionalFormatting sqref="V37">
    <cfRule type="cellIs" dxfId="10034" priority="1243" operator="greaterThan">
      <formula>V36</formula>
    </cfRule>
    <cfRule type="cellIs" dxfId="10033" priority="1244" operator="equal">
      <formula>0</formula>
    </cfRule>
  </conditionalFormatting>
  <conditionalFormatting sqref="V36">
    <cfRule type="cellIs" dxfId="10032" priority="1241" operator="greaterThan">
      <formula>V35</formula>
    </cfRule>
    <cfRule type="cellIs" dxfId="10031" priority="1242" operator="equal">
      <formula>0</formula>
    </cfRule>
  </conditionalFormatting>
  <conditionalFormatting sqref="V16">
    <cfRule type="cellIs" dxfId="10030" priority="1239" operator="greaterThan">
      <formula>V15</formula>
    </cfRule>
    <cfRule type="cellIs" dxfId="10029" priority="1240" operator="equal">
      <formula>0</formula>
    </cfRule>
  </conditionalFormatting>
  <conditionalFormatting sqref="V15">
    <cfRule type="cellIs" dxfId="10028" priority="1237" operator="greaterThan">
      <formula>V14</formula>
    </cfRule>
    <cfRule type="cellIs" dxfId="10027" priority="1238" operator="equal">
      <formula>0</formula>
    </cfRule>
  </conditionalFormatting>
  <conditionalFormatting sqref="V16">
    <cfRule type="cellIs" dxfId="10026" priority="1235" operator="greaterThan">
      <formula>V15</formula>
    </cfRule>
    <cfRule type="cellIs" dxfId="10025" priority="1236" operator="equal">
      <formula>0</formula>
    </cfRule>
  </conditionalFormatting>
  <conditionalFormatting sqref="V15">
    <cfRule type="cellIs" dxfId="10024" priority="1233" operator="greaterThan">
      <formula>V14</formula>
    </cfRule>
    <cfRule type="cellIs" dxfId="10023" priority="1234" operator="equal">
      <formula>0</formula>
    </cfRule>
  </conditionalFormatting>
  <conditionalFormatting sqref="V19">
    <cfRule type="cellIs" dxfId="10022" priority="1231" operator="greaterThan">
      <formula>V18</formula>
    </cfRule>
    <cfRule type="cellIs" dxfId="10021" priority="1232" operator="equal">
      <formula>0</formula>
    </cfRule>
  </conditionalFormatting>
  <conditionalFormatting sqref="V18">
    <cfRule type="cellIs" dxfId="10020" priority="1229" operator="greaterThan">
      <formula>V17</formula>
    </cfRule>
    <cfRule type="cellIs" dxfId="10019" priority="1230" operator="equal">
      <formula>0</formula>
    </cfRule>
  </conditionalFormatting>
  <conditionalFormatting sqref="V19">
    <cfRule type="cellIs" dxfId="10018" priority="1227" operator="greaterThan">
      <formula>V18</formula>
    </cfRule>
    <cfRule type="cellIs" dxfId="10017" priority="1228" operator="equal">
      <formula>0</formula>
    </cfRule>
  </conditionalFormatting>
  <conditionalFormatting sqref="V18">
    <cfRule type="cellIs" dxfId="10016" priority="1225" operator="greaterThan">
      <formula>V17</formula>
    </cfRule>
    <cfRule type="cellIs" dxfId="10015" priority="1226" operator="equal">
      <formula>0</formula>
    </cfRule>
  </conditionalFormatting>
  <conditionalFormatting sqref="V19">
    <cfRule type="cellIs" dxfId="10014" priority="1223" operator="greaterThan">
      <formula>V18</formula>
    </cfRule>
    <cfRule type="cellIs" dxfId="10013" priority="1224" operator="equal">
      <formula>0</formula>
    </cfRule>
  </conditionalFormatting>
  <conditionalFormatting sqref="V18">
    <cfRule type="cellIs" dxfId="10012" priority="1221" operator="greaterThan">
      <formula>V17</formula>
    </cfRule>
    <cfRule type="cellIs" dxfId="10011" priority="1222" operator="equal">
      <formula>0</formula>
    </cfRule>
  </conditionalFormatting>
  <conditionalFormatting sqref="V19">
    <cfRule type="cellIs" dxfId="10010" priority="1219" operator="greaterThan">
      <formula>V18</formula>
    </cfRule>
    <cfRule type="cellIs" dxfId="10009" priority="1220" operator="equal">
      <formula>0</formula>
    </cfRule>
  </conditionalFormatting>
  <conditionalFormatting sqref="V18">
    <cfRule type="cellIs" dxfId="10008" priority="1217" operator="greaterThan">
      <formula>V17</formula>
    </cfRule>
    <cfRule type="cellIs" dxfId="10007" priority="1218" operator="equal">
      <formula>0</formula>
    </cfRule>
  </conditionalFormatting>
  <conditionalFormatting sqref="V22">
    <cfRule type="cellIs" dxfId="10006" priority="1215" operator="greaterThan">
      <formula>V21</formula>
    </cfRule>
    <cfRule type="cellIs" dxfId="10005" priority="1216" operator="equal">
      <formula>0</formula>
    </cfRule>
  </conditionalFormatting>
  <conditionalFormatting sqref="V21">
    <cfRule type="cellIs" dxfId="10004" priority="1213" operator="greaterThan">
      <formula>V20</formula>
    </cfRule>
    <cfRule type="cellIs" dxfId="10003" priority="1214" operator="equal">
      <formula>0</formula>
    </cfRule>
  </conditionalFormatting>
  <conditionalFormatting sqref="V22">
    <cfRule type="cellIs" dxfId="10002" priority="1211" operator="greaterThan">
      <formula>V21</formula>
    </cfRule>
    <cfRule type="cellIs" dxfId="10001" priority="1212" operator="equal">
      <formula>0</formula>
    </cfRule>
  </conditionalFormatting>
  <conditionalFormatting sqref="V21">
    <cfRule type="cellIs" dxfId="10000" priority="1209" operator="greaterThan">
      <formula>V20</formula>
    </cfRule>
    <cfRule type="cellIs" dxfId="9999" priority="1210" operator="equal">
      <formula>0</formula>
    </cfRule>
  </conditionalFormatting>
  <conditionalFormatting sqref="V22">
    <cfRule type="cellIs" dxfId="9998" priority="1207" operator="greaterThan">
      <formula>V21</formula>
    </cfRule>
    <cfRule type="cellIs" dxfId="9997" priority="1208" operator="equal">
      <formula>0</formula>
    </cfRule>
  </conditionalFormatting>
  <conditionalFormatting sqref="V21">
    <cfRule type="cellIs" dxfId="9996" priority="1205" operator="greaterThan">
      <formula>V20</formula>
    </cfRule>
    <cfRule type="cellIs" dxfId="9995" priority="1206" operator="equal">
      <formula>0</formula>
    </cfRule>
  </conditionalFormatting>
  <conditionalFormatting sqref="V22">
    <cfRule type="cellIs" dxfId="9994" priority="1203" operator="greaterThan">
      <formula>V21</formula>
    </cfRule>
    <cfRule type="cellIs" dxfId="9993" priority="1204" operator="equal">
      <formula>0</formula>
    </cfRule>
  </conditionalFormatting>
  <conditionalFormatting sqref="V21">
    <cfRule type="cellIs" dxfId="9992" priority="1201" operator="greaterThan">
      <formula>V20</formula>
    </cfRule>
    <cfRule type="cellIs" dxfId="9991" priority="1202" operator="equal">
      <formula>0</formula>
    </cfRule>
  </conditionalFormatting>
  <conditionalFormatting sqref="V22">
    <cfRule type="cellIs" dxfId="9990" priority="1199" operator="greaterThan">
      <formula>V21</formula>
    </cfRule>
    <cfRule type="cellIs" dxfId="9989" priority="1200" operator="equal">
      <formula>0</formula>
    </cfRule>
  </conditionalFormatting>
  <conditionalFormatting sqref="V21">
    <cfRule type="cellIs" dxfId="9988" priority="1197" operator="greaterThan">
      <formula>V20</formula>
    </cfRule>
    <cfRule type="cellIs" dxfId="9987" priority="1198" operator="equal">
      <formula>0</formula>
    </cfRule>
  </conditionalFormatting>
  <conditionalFormatting sqref="V22">
    <cfRule type="cellIs" dxfId="9986" priority="1195" operator="greaterThan">
      <formula>V21</formula>
    </cfRule>
    <cfRule type="cellIs" dxfId="9985" priority="1196" operator="equal">
      <formula>0</formula>
    </cfRule>
  </conditionalFormatting>
  <conditionalFormatting sqref="V21">
    <cfRule type="cellIs" dxfId="9984" priority="1193" operator="greaterThan">
      <formula>V20</formula>
    </cfRule>
    <cfRule type="cellIs" dxfId="9983" priority="1194" operator="equal">
      <formula>0</formula>
    </cfRule>
  </conditionalFormatting>
  <conditionalFormatting sqref="V24">
    <cfRule type="cellIs" dxfId="9982" priority="1191" operator="greaterThan">
      <formula>V23</formula>
    </cfRule>
    <cfRule type="cellIs" dxfId="9981" priority="1192" operator="equal">
      <formula>0</formula>
    </cfRule>
  </conditionalFormatting>
  <conditionalFormatting sqref="V25">
    <cfRule type="cellIs" dxfId="9980" priority="1189" operator="greaterThan">
      <formula>V24</formula>
    </cfRule>
    <cfRule type="cellIs" dxfId="9979" priority="1190" operator="equal">
      <formula>0</formula>
    </cfRule>
  </conditionalFormatting>
  <conditionalFormatting sqref="V24">
    <cfRule type="cellIs" dxfId="9978" priority="1187" operator="greaterThan">
      <formula>V23</formula>
    </cfRule>
    <cfRule type="cellIs" dxfId="9977" priority="1188" operator="equal">
      <formula>0</formula>
    </cfRule>
  </conditionalFormatting>
  <conditionalFormatting sqref="V25">
    <cfRule type="cellIs" dxfId="9976" priority="1185" operator="greaterThan">
      <formula>V24</formula>
    </cfRule>
    <cfRule type="cellIs" dxfId="9975" priority="1186" operator="equal">
      <formula>0</formula>
    </cfRule>
  </conditionalFormatting>
  <conditionalFormatting sqref="V24">
    <cfRule type="cellIs" dxfId="9974" priority="1183" operator="greaterThan">
      <formula>V23</formula>
    </cfRule>
    <cfRule type="cellIs" dxfId="9973" priority="1184" operator="equal">
      <formula>0</formula>
    </cfRule>
  </conditionalFormatting>
  <conditionalFormatting sqref="V25">
    <cfRule type="cellIs" dxfId="9972" priority="1181" operator="greaterThan">
      <formula>V24</formula>
    </cfRule>
    <cfRule type="cellIs" dxfId="9971" priority="1182" operator="equal">
      <formula>0</formula>
    </cfRule>
  </conditionalFormatting>
  <conditionalFormatting sqref="V24">
    <cfRule type="cellIs" dxfId="9970" priority="1179" operator="greaterThan">
      <formula>V23</formula>
    </cfRule>
    <cfRule type="cellIs" dxfId="9969" priority="1180" operator="equal">
      <formula>0</formula>
    </cfRule>
  </conditionalFormatting>
  <conditionalFormatting sqref="V25">
    <cfRule type="cellIs" dxfId="9968" priority="1177" operator="greaterThan">
      <formula>V24</formula>
    </cfRule>
    <cfRule type="cellIs" dxfId="9967" priority="1178" operator="equal">
      <formula>0</formula>
    </cfRule>
  </conditionalFormatting>
  <conditionalFormatting sqref="V24">
    <cfRule type="cellIs" dxfId="9966" priority="1175" operator="greaterThan">
      <formula>V23</formula>
    </cfRule>
    <cfRule type="cellIs" dxfId="9965" priority="1176" operator="equal">
      <formula>0</formula>
    </cfRule>
  </conditionalFormatting>
  <conditionalFormatting sqref="V25">
    <cfRule type="cellIs" dxfId="9964" priority="1173" operator="greaterThan">
      <formula>V24</formula>
    </cfRule>
    <cfRule type="cellIs" dxfId="9963" priority="1174" operator="equal">
      <formula>0</formula>
    </cfRule>
  </conditionalFormatting>
  <conditionalFormatting sqref="V24">
    <cfRule type="cellIs" dxfId="9962" priority="1171" operator="greaterThan">
      <formula>V23</formula>
    </cfRule>
    <cfRule type="cellIs" dxfId="9961" priority="1172" operator="equal">
      <formula>0</formula>
    </cfRule>
  </conditionalFormatting>
  <conditionalFormatting sqref="V25">
    <cfRule type="cellIs" dxfId="9960" priority="1169" operator="greaterThan">
      <formula>V24</formula>
    </cfRule>
    <cfRule type="cellIs" dxfId="9959" priority="1170" operator="equal">
      <formula>0</formula>
    </cfRule>
  </conditionalFormatting>
  <conditionalFormatting sqref="V24">
    <cfRule type="cellIs" dxfId="9958" priority="1167" operator="greaterThan">
      <formula>V23</formula>
    </cfRule>
    <cfRule type="cellIs" dxfId="9957" priority="1168" operator="equal">
      <formula>0</formula>
    </cfRule>
  </conditionalFormatting>
  <conditionalFormatting sqref="V25">
    <cfRule type="cellIs" dxfId="9956" priority="1165" operator="greaterThan">
      <formula>V24</formula>
    </cfRule>
    <cfRule type="cellIs" dxfId="9955" priority="1166" operator="equal">
      <formula>0</formula>
    </cfRule>
  </conditionalFormatting>
  <conditionalFormatting sqref="V24">
    <cfRule type="cellIs" dxfId="9954" priority="1163" operator="greaterThan">
      <formula>V23</formula>
    </cfRule>
    <cfRule type="cellIs" dxfId="9953" priority="1164" operator="equal">
      <formula>0</formula>
    </cfRule>
  </conditionalFormatting>
  <conditionalFormatting sqref="V27:V28">
    <cfRule type="cellIs" dxfId="9952" priority="1161" operator="greaterThan">
      <formula>V26</formula>
    </cfRule>
    <cfRule type="cellIs" dxfId="9951" priority="1162" operator="equal">
      <formula>0</formula>
    </cfRule>
  </conditionalFormatting>
  <conditionalFormatting sqref="V27">
    <cfRule type="cellIs" dxfId="9950" priority="1159" operator="greaterThan">
      <formula>V26</formula>
    </cfRule>
    <cfRule type="cellIs" dxfId="9949" priority="1160" operator="equal">
      <formula>0</formula>
    </cfRule>
  </conditionalFormatting>
  <conditionalFormatting sqref="V28">
    <cfRule type="cellIs" dxfId="9948" priority="1157" operator="greaterThan">
      <formula>V27</formula>
    </cfRule>
    <cfRule type="cellIs" dxfId="9947" priority="1158" operator="equal">
      <formula>0</formula>
    </cfRule>
  </conditionalFormatting>
  <conditionalFormatting sqref="V27">
    <cfRule type="cellIs" dxfId="9946" priority="1155" operator="greaterThan">
      <formula>V26</formula>
    </cfRule>
    <cfRule type="cellIs" dxfId="9945" priority="1156" operator="equal">
      <formula>0</formula>
    </cfRule>
  </conditionalFormatting>
  <conditionalFormatting sqref="V27">
    <cfRule type="cellIs" dxfId="9944" priority="1153" operator="greaterThan">
      <formula>V26</formula>
    </cfRule>
    <cfRule type="cellIs" dxfId="9943" priority="1154" operator="equal">
      <formula>0</formula>
    </cfRule>
  </conditionalFormatting>
  <conditionalFormatting sqref="V28">
    <cfRule type="cellIs" dxfId="9942" priority="1151" operator="greaterThan">
      <formula>V27</formula>
    </cfRule>
    <cfRule type="cellIs" dxfId="9941" priority="1152" operator="equal">
      <formula>0</formula>
    </cfRule>
  </conditionalFormatting>
  <conditionalFormatting sqref="V27">
    <cfRule type="cellIs" dxfId="9940" priority="1149" operator="greaterThan">
      <formula>V26</formula>
    </cfRule>
    <cfRule type="cellIs" dxfId="9939" priority="1150" operator="equal">
      <formula>0</formula>
    </cfRule>
  </conditionalFormatting>
  <conditionalFormatting sqref="V28">
    <cfRule type="cellIs" dxfId="9938" priority="1147" operator="greaterThan">
      <formula>V27</formula>
    </cfRule>
    <cfRule type="cellIs" dxfId="9937" priority="1148" operator="equal">
      <formula>0</formula>
    </cfRule>
  </conditionalFormatting>
  <conditionalFormatting sqref="V27">
    <cfRule type="cellIs" dxfId="9936" priority="1145" operator="greaterThan">
      <formula>V26</formula>
    </cfRule>
    <cfRule type="cellIs" dxfId="9935" priority="1146" operator="equal">
      <formula>0</formula>
    </cfRule>
  </conditionalFormatting>
  <conditionalFormatting sqref="V28">
    <cfRule type="cellIs" dxfId="9934" priority="1143" operator="greaterThan">
      <formula>V27</formula>
    </cfRule>
    <cfRule type="cellIs" dxfId="9933" priority="1144" operator="equal">
      <formula>0</formula>
    </cfRule>
  </conditionalFormatting>
  <conditionalFormatting sqref="V27">
    <cfRule type="cellIs" dxfId="9932" priority="1141" operator="greaterThan">
      <formula>V26</formula>
    </cfRule>
    <cfRule type="cellIs" dxfId="9931" priority="1142" operator="equal">
      <formula>0</formula>
    </cfRule>
  </conditionalFormatting>
  <conditionalFormatting sqref="V28">
    <cfRule type="cellIs" dxfId="9930" priority="1139" operator="greaterThan">
      <formula>V27</formula>
    </cfRule>
    <cfRule type="cellIs" dxfId="9929" priority="1140" operator="equal">
      <formula>0</formula>
    </cfRule>
  </conditionalFormatting>
  <conditionalFormatting sqref="V27">
    <cfRule type="cellIs" dxfId="9928" priority="1137" operator="greaterThan">
      <formula>V26</formula>
    </cfRule>
    <cfRule type="cellIs" dxfId="9927" priority="1138" operator="equal">
      <formula>0</formula>
    </cfRule>
  </conditionalFormatting>
  <conditionalFormatting sqref="V28">
    <cfRule type="cellIs" dxfId="9926" priority="1135" operator="greaterThan">
      <formula>V27</formula>
    </cfRule>
    <cfRule type="cellIs" dxfId="9925" priority="1136" operator="equal">
      <formula>0</formula>
    </cfRule>
  </conditionalFormatting>
  <conditionalFormatting sqref="V27">
    <cfRule type="cellIs" dxfId="9924" priority="1133" operator="greaterThan">
      <formula>V26</formula>
    </cfRule>
    <cfRule type="cellIs" dxfId="9923" priority="1134" operator="equal">
      <formula>0</formula>
    </cfRule>
  </conditionalFormatting>
  <conditionalFormatting sqref="V28">
    <cfRule type="cellIs" dxfId="9922" priority="1131" operator="greaterThan">
      <formula>V27</formula>
    </cfRule>
    <cfRule type="cellIs" dxfId="9921" priority="1132" operator="equal">
      <formula>0</formula>
    </cfRule>
  </conditionalFormatting>
  <conditionalFormatting sqref="V27">
    <cfRule type="cellIs" dxfId="9920" priority="1129" operator="greaterThan">
      <formula>V26</formula>
    </cfRule>
    <cfRule type="cellIs" dxfId="9919" priority="1130" operator="equal">
      <formula>0</formula>
    </cfRule>
  </conditionalFormatting>
  <conditionalFormatting sqref="V28">
    <cfRule type="cellIs" dxfId="9918" priority="1127" operator="greaterThan">
      <formula>V27</formula>
    </cfRule>
    <cfRule type="cellIs" dxfId="9917" priority="1128" operator="equal">
      <formula>0</formula>
    </cfRule>
  </conditionalFormatting>
  <conditionalFormatting sqref="V27">
    <cfRule type="cellIs" dxfId="9916" priority="1125" operator="greaterThan">
      <formula>V26</formula>
    </cfRule>
    <cfRule type="cellIs" dxfId="9915" priority="1126" operator="equal">
      <formula>0</formula>
    </cfRule>
  </conditionalFormatting>
  <conditionalFormatting sqref="V19">
    <cfRule type="cellIs" dxfId="9914" priority="1123" operator="greaterThan">
      <formula>V18</formula>
    </cfRule>
    <cfRule type="cellIs" dxfId="9913" priority="1124" operator="equal">
      <formula>0</formula>
    </cfRule>
  </conditionalFormatting>
  <conditionalFormatting sqref="V18">
    <cfRule type="cellIs" dxfId="9912" priority="1121" operator="greaterThan">
      <formula>V17</formula>
    </cfRule>
    <cfRule type="cellIs" dxfId="9911" priority="1122" operator="equal">
      <formula>0</formula>
    </cfRule>
  </conditionalFormatting>
  <conditionalFormatting sqref="V19">
    <cfRule type="cellIs" dxfId="9910" priority="1119" operator="greaterThan">
      <formula>V18</formula>
    </cfRule>
    <cfRule type="cellIs" dxfId="9909" priority="1120" operator="equal">
      <formula>0</formula>
    </cfRule>
  </conditionalFormatting>
  <conditionalFormatting sqref="V18">
    <cfRule type="cellIs" dxfId="9908" priority="1117" operator="greaterThan">
      <formula>V17</formula>
    </cfRule>
    <cfRule type="cellIs" dxfId="9907" priority="1118" operator="equal">
      <formula>0</formula>
    </cfRule>
  </conditionalFormatting>
  <conditionalFormatting sqref="V19">
    <cfRule type="cellIs" dxfId="9906" priority="1115" operator="greaterThan">
      <formula>V18</formula>
    </cfRule>
    <cfRule type="cellIs" dxfId="9905" priority="1116" operator="equal">
      <formula>0</formula>
    </cfRule>
  </conditionalFormatting>
  <conditionalFormatting sqref="V18">
    <cfRule type="cellIs" dxfId="9904" priority="1113" operator="greaterThan">
      <formula>V17</formula>
    </cfRule>
    <cfRule type="cellIs" dxfId="9903" priority="1114" operator="equal">
      <formula>0</formula>
    </cfRule>
  </conditionalFormatting>
  <conditionalFormatting sqref="V19">
    <cfRule type="cellIs" dxfId="9902" priority="1111" operator="greaterThan">
      <formula>V18</formula>
    </cfRule>
    <cfRule type="cellIs" dxfId="9901" priority="1112" operator="equal">
      <formula>0</formula>
    </cfRule>
  </conditionalFormatting>
  <conditionalFormatting sqref="V18">
    <cfRule type="cellIs" dxfId="9900" priority="1109" operator="greaterThan">
      <formula>V17</formula>
    </cfRule>
    <cfRule type="cellIs" dxfId="9899" priority="1110" operator="equal">
      <formula>0</formula>
    </cfRule>
  </conditionalFormatting>
  <conditionalFormatting sqref="V16">
    <cfRule type="cellIs" dxfId="9898" priority="1107" operator="greaterThan">
      <formula>V15</formula>
    </cfRule>
    <cfRule type="cellIs" dxfId="9897" priority="1108" operator="equal">
      <formula>0</formula>
    </cfRule>
  </conditionalFormatting>
  <conditionalFormatting sqref="V16">
    <cfRule type="cellIs" dxfId="9896" priority="1105" operator="greaterThan">
      <formula>V15</formula>
    </cfRule>
    <cfRule type="cellIs" dxfId="9895" priority="1106" operator="equal">
      <formula>0</formula>
    </cfRule>
  </conditionalFormatting>
  <conditionalFormatting sqref="V16">
    <cfRule type="cellIs" dxfId="9894" priority="1103" operator="greaterThan">
      <formula>V15</formula>
    </cfRule>
    <cfRule type="cellIs" dxfId="9893" priority="1104" operator="equal">
      <formula>0</formula>
    </cfRule>
  </conditionalFormatting>
  <conditionalFormatting sqref="V16">
    <cfRule type="cellIs" dxfId="9892" priority="1101" operator="greaterThan">
      <formula>V15</formula>
    </cfRule>
    <cfRule type="cellIs" dxfId="9891" priority="1102" operator="equal">
      <formula>0</formula>
    </cfRule>
  </conditionalFormatting>
  <conditionalFormatting sqref="V19">
    <cfRule type="cellIs" dxfId="9890" priority="1099" operator="greaterThan">
      <formula>V18</formula>
    </cfRule>
    <cfRule type="cellIs" dxfId="9889" priority="1100" operator="equal">
      <formula>0</formula>
    </cfRule>
  </conditionalFormatting>
  <conditionalFormatting sqref="V19">
    <cfRule type="cellIs" dxfId="9888" priority="1097" operator="greaterThan">
      <formula>V18</formula>
    </cfRule>
    <cfRule type="cellIs" dxfId="9887" priority="1098" operator="equal">
      <formula>0</formula>
    </cfRule>
  </conditionalFormatting>
  <conditionalFormatting sqref="V19">
    <cfRule type="cellIs" dxfId="9886" priority="1095" operator="greaterThan">
      <formula>V18</formula>
    </cfRule>
    <cfRule type="cellIs" dxfId="9885" priority="1096" operator="equal">
      <formula>0</formula>
    </cfRule>
  </conditionalFormatting>
  <conditionalFormatting sqref="V19">
    <cfRule type="cellIs" dxfId="9884" priority="1093" operator="greaterThan">
      <formula>V18</formula>
    </cfRule>
    <cfRule type="cellIs" dxfId="9883" priority="1094" operator="equal">
      <formula>0</formula>
    </cfRule>
  </conditionalFormatting>
  <conditionalFormatting sqref="V19">
    <cfRule type="cellIs" dxfId="9882" priority="1091" operator="greaterThan">
      <formula>V18</formula>
    </cfRule>
    <cfRule type="cellIs" dxfId="9881" priority="1092" operator="equal">
      <formula>0</formula>
    </cfRule>
  </conditionalFormatting>
  <conditionalFormatting sqref="V19">
    <cfRule type="cellIs" dxfId="9880" priority="1089" operator="greaterThan">
      <formula>V18</formula>
    </cfRule>
    <cfRule type="cellIs" dxfId="9879" priority="1090" operator="equal">
      <formula>0</formula>
    </cfRule>
  </conditionalFormatting>
  <conditionalFormatting sqref="V19">
    <cfRule type="cellIs" dxfId="9878" priority="1087" operator="greaterThan">
      <formula>V18</formula>
    </cfRule>
    <cfRule type="cellIs" dxfId="9877" priority="1088" operator="equal">
      <formula>0</formula>
    </cfRule>
  </conditionalFormatting>
  <conditionalFormatting sqref="V19">
    <cfRule type="cellIs" dxfId="9876" priority="1085" operator="greaterThan">
      <formula>V18</formula>
    </cfRule>
    <cfRule type="cellIs" dxfId="9875" priority="1086" operator="equal">
      <formula>0</formula>
    </cfRule>
  </conditionalFormatting>
  <conditionalFormatting sqref="V19">
    <cfRule type="cellIs" dxfId="9874" priority="1083" operator="greaterThan">
      <formula>V18</formula>
    </cfRule>
    <cfRule type="cellIs" dxfId="9873" priority="1084" operator="equal">
      <formula>0</formula>
    </cfRule>
  </conditionalFormatting>
  <conditionalFormatting sqref="V19">
    <cfRule type="cellIs" dxfId="9872" priority="1081" operator="greaterThan">
      <formula>V18</formula>
    </cfRule>
    <cfRule type="cellIs" dxfId="9871" priority="1082" operator="equal">
      <formula>0</formula>
    </cfRule>
  </conditionalFormatting>
  <conditionalFormatting sqref="V22">
    <cfRule type="cellIs" dxfId="9870" priority="1079" operator="greaterThan">
      <formula>V21</formula>
    </cfRule>
    <cfRule type="cellIs" dxfId="9869" priority="1080" operator="equal">
      <formula>0</formula>
    </cfRule>
  </conditionalFormatting>
  <conditionalFormatting sqref="V21">
    <cfRule type="cellIs" dxfId="9868" priority="1077" operator="greaterThan">
      <formula>V20</formula>
    </cfRule>
    <cfRule type="cellIs" dxfId="9867" priority="1078" operator="equal">
      <formula>0</formula>
    </cfRule>
  </conditionalFormatting>
  <conditionalFormatting sqref="V22">
    <cfRule type="cellIs" dxfId="9866" priority="1075" operator="greaterThan">
      <formula>V21</formula>
    </cfRule>
    <cfRule type="cellIs" dxfId="9865" priority="1076" operator="equal">
      <formula>0</formula>
    </cfRule>
  </conditionalFormatting>
  <conditionalFormatting sqref="V21">
    <cfRule type="cellIs" dxfId="9864" priority="1073" operator="greaterThan">
      <formula>V20</formula>
    </cfRule>
    <cfRule type="cellIs" dxfId="9863" priority="1074" operator="equal">
      <formula>0</formula>
    </cfRule>
  </conditionalFormatting>
  <conditionalFormatting sqref="V22">
    <cfRule type="cellIs" dxfId="9862" priority="1071" operator="greaterThan">
      <formula>V21</formula>
    </cfRule>
    <cfRule type="cellIs" dxfId="9861" priority="1072" operator="equal">
      <formula>0</formula>
    </cfRule>
  </conditionalFormatting>
  <conditionalFormatting sqref="V21">
    <cfRule type="cellIs" dxfId="9860" priority="1069" operator="greaterThan">
      <formula>V20</formula>
    </cfRule>
    <cfRule type="cellIs" dxfId="9859" priority="1070" operator="equal">
      <formula>0</formula>
    </cfRule>
  </conditionalFormatting>
  <conditionalFormatting sqref="V22">
    <cfRule type="cellIs" dxfId="9858" priority="1067" operator="greaterThan">
      <formula>V21</formula>
    </cfRule>
    <cfRule type="cellIs" dxfId="9857" priority="1068" operator="equal">
      <formula>0</formula>
    </cfRule>
  </conditionalFormatting>
  <conditionalFormatting sqref="V21">
    <cfRule type="cellIs" dxfId="9856" priority="1065" operator="greaterThan">
      <formula>V20</formula>
    </cfRule>
    <cfRule type="cellIs" dxfId="9855" priority="1066" operator="equal">
      <formula>0</formula>
    </cfRule>
  </conditionalFormatting>
  <conditionalFormatting sqref="V22">
    <cfRule type="cellIs" dxfId="9854" priority="1063" operator="greaterThan">
      <formula>V21</formula>
    </cfRule>
    <cfRule type="cellIs" dxfId="9853" priority="1064" operator="equal">
      <formula>0</formula>
    </cfRule>
  </conditionalFormatting>
  <conditionalFormatting sqref="V21">
    <cfRule type="cellIs" dxfId="9852" priority="1061" operator="greaterThan">
      <formula>V20</formula>
    </cfRule>
    <cfRule type="cellIs" dxfId="9851" priority="1062" operator="equal">
      <formula>0</formula>
    </cfRule>
  </conditionalFormatting>
  <conditionalFormatting sqref="V22">
    <cfRule type="cellIs" dxfId="9850" priority="1059" operator="greaterThan">
      <formula>V21</formula>
    </cfRule>
    <cfRule type="cellIs" dxfId="9849" priority="1060" operator="equal">
      <formula>0</formula>
    </cfRule>
  </conditionalFormatting>
  <conditionalFormatting sqref="V21">
    <cfRule type="cellIs" dxfId="9848" priority="1057" operator="greaterThan">
      <formula>V20</formula>
    </cfRule>
    <cfRule type="cellIs" dxfId="9847" priority="1058" operator="equal">
      <formula>0</formula>
    </cfRule>
  </conditionalFormatting>
  <conditionalFormatting sqref="V22">
    <cfRule type="cellIs" dxfId="9846" priority="1055" operator="greaterThan">
      <formula>V21</formula>
    </cfRule>
    <cfRule type="cellIs" dxfId="9845" priority="1056" operator="equal">
      <formula>0</formula>
    </cfRule>
  </conditionalFormatting>
  <conditionalFormatting sqref="V21">
    <cfRule type="cellIs" dxfId="9844" priority="1053" operator="greaterThan">
      <formula>V20</formula>
    </cfRule>
    <cfRule type="cellIs" dxfId="9843" priority="1054" operator="equal">
      <formula>0</formula>
    </cfRule>
  </conditionalFormatting>
  <conditionalFormatting sqref="V22">
    <cfRule type="cellIs" dxfId="9842" priority="1051" operator="greaterThan">
      <formula>V21</formula>
    </cfRule>
    <cfRule type="cellIs" dxfId="9841" priority="1052" operator="equal">
      <formula>0</formula>
    </cfRule>
  </conditionalFormatting>
  <conditionalFormatting sqref="V21">
    <cfRule type="cellIs" dxfId="9840" priority="1049" operator="greaterThan">
      <formula>V20</formula>
    </cfRule>
    <cfRule type="cellIs" dxfId="9839" priority="1050" operator="equal">
      <formula>0</formula>
    </cfRule>
  </conditionalFormatting>
  <conditionalFormatting sqref="V22">
    <cfRule type="cellIs" dxfId="9838" priority="1047" operator="greaterThan">
      <formula>V21</formula>
    </cfRule>
    <cfRule type="cellIs" dxfId="9837" priority="1048" operator="equal">
      <formula>0</formula>
    </cfRule>
  </conditionalFormatting>
  <conditionalFormatting sqref="V21">
    <cfRule type="cellIs" dxfId="9836" priority="1045" operator="greaterThan">
      <formula>V20</formula>
    </cfRule>
    <cfRule type="cellIs" dxfId="9835" priority="1046" operator="equal">
      <formula>0</formula>
    </cfRule>
  </conditionalFormatting>
  <conditionalFormatting sqref="V22">
    <cfRule type="cellIs" dxfId="9834" priority="1043" operator="greaterThan">
      <formula>V21</formula>
    </cfRule>
    <cfRule type="cellIs" dxfId="9833" priority="1044" operator="equal">
      <formula>0</formula>
    </cfRule>
  </conditionalFormatting>
  <conditionalFormatting sqref="V21">
    <cfRule type="cellIs" dxfId="9832" priority="1041" operator="greaterThan">
      <formula>V20</formula>
    </cfRule>
    <cfRule type="cellIs" dxfId="9831" priority="1042" operator="equal">
      <formula>0</formula>
    </cfRule>
  </conditionalFormatting>
  <conditionalFormatting sqref="V22">
    <cfRule type="cellIs" dxfId="9830" priority="1039" operator="greaterThan">
      <formula>V21</formula>
    </cfRule>
    <cfRule type="cellIs" dxfId="9829" priority="1040" operator="equal">
      <formula>0</formula>
    </cfRule>
  </conditionalFormatting>
  <conditionalFormatting sqref="V22">
    <cfRule type="cellIs" dxfId="9828" priority="1037" operator="greaterThan">
      <formula>V21</formula>
    </cfRule>
    <cfRule type="cellIs" dxfId="9827" priority="1038" operator="equal">
      <formula>0</formula>
    </cfRule>
  </conditionalFormatting>
  <conditionalFormatting sqref="V22">
    <cfRule type="cellIs" dxfId="9826" priority="1035" operator="greaterThan">
      <formula>V21</formula>
    </cfRule>
    <cfRule type="cellIs" dxfId="9825" priority="1036" operator="equal">
      <formula>0</formula>
    </cfRule>
  </conditionalFormatting>
  <conditionalFormatting sqref="V22">
    <cfRule type="cellIs" dxfId="9824" priority="1033" operator="greaterThan">
      <formula>V21</formula>
    </cfRule>
    <cfRule type="cellIs" dxfId="9823" priority="1034" operator="equal">
      <formula>0</formula>
    </cfRule>
  </conditionalFormatting>
  <conditionalFormatting sqref="V22">
    <cfRule type="cellIs" dxfId="9822" priority="1031" operator="greaterThan">
      <formula>V21</formula>
    </cfRule>
    <cfRule type="cellIs" dxfId="9821" priority="1032" operator="equal">
      <formula>0</formula>
    </cfRule>
  </conditionalFormatting>
  <conditionalFormatting sqref="V22">
    <cfRule type="cellIs" dxfId="9820" priority="1029" operator="greaterThan">
      <formula>V21</formula>
    </cfRule>
    <cfRule type="cellIs" dxfId="9819" priority="1030" operator="equal">
      <formula>0</formula>
    </cfRule>
  </conditionalFormatting>
  <conditionalFormatting sqref="V22">
    <cfRule type="cellIs" dxfId="9818" priority="1027" operator="greaterThan">
      <formula>V21</formula>
    </cfRule>
    <cfRule type="cellIs" dxfId="9817" priority="1028" operator="equal">
      <formula>0</formula>
    </cfRule>
  </conditionalFormatting>
  <conditionalFormatting sqref="V22">
    <cfRule type="cellIs" dxfId="9816" priority="1025" operator="greaterThan">
      <formula>V21</formula>
    </cfRule>
    <cfRule type="cellIs" dxfId="9815" priority="1026" operator="equal">
      <formula>0</formula>
    </cfRule>
  </conditionalFormatting>
  <conditionalFormatting sqref="V22">
    <cfRule type="cellIs" dxfId="9814" priority="1023" operator="greaterThan">
      <formula>V21</formula>
    </cfRule>
    <cfRule type="cellIs" dxfId="9813" priority="1024" operator="equal">
      <formula>0</formula>
    </cfRule>
  </conditionalFormatting>
  <conditionalFormatting sqref="V22">
    <cfRule type="cellIs" dxfId="9812" priority="1021" operator="greaterThan">
      <formula>V21</formula>
    </cfRule>
    <cfRule type="cellIs" dxfId="9811" priority="1022" operator="equal">
      <formula>0</formula>
    </cfRule>
  </conditionalFormatting>
  <conditionalFormatting sqref="V22">
    <cfRule type="cellIs" dxfId="9810" priority="1019" operator="greaterThan">
      <formula>V21</formula>
    </cfRule>
    <cfRule type="cellIs" dxfId="9809" priority="1020" operator="equal">
      <formula>0</formula>
    </cfRule>
  </conditionalFormatting>
  <conditionalFormatting sqref="V22">
    <cfRule type="cellIs" dxfId="9808" priority="1017" operator="greaterThan">
      <formula>V21</formula>
    </cfRule>
    <cfRule type="cellIs" dxfId="9807" priority="1018" operator="equal">
      <formula>0</formula>
    </cfRule>
  </conditionalFormatting>
  <conditionalFormatting sqref="V22">
    <cfRule type="cellIs" dxfId="9806" priority="1015" operator="greaterThan">
      <formula>V21</formula>
    </cfRule>
    <cfRule type="cellIs" dxfId="9805" priority="1016" operator="equal">
      <formula>0</formula>
    </cfRule>
  </conditionalFormatting>
  <conditionalFormatting sqref="V22">
    <cfRule type="cellIs" dxfId="9804" priority="1013" operator="greaterThan">
      <formula>V21</formula>
    </cfRule>
    <cfRule type="cellIs" dxfId="9803" priority="1014" operator="equal">
      <formula>0</formula>
    </cfRule>
  </conditionalFormatting>
  <conditionalFormatting sqref="V22">
    <cfRule type="cellIs" dxfId="9802" priority="1011" operator="greaterThan">
      <formula>V21</formula>
    </cfRule>
    <cfRule type="cellIs" dxfId="9801" priority="1012" operator="equal">
      <formula>0</formula>
    </cfRule>
  </conditionalFormatting>
  <conditionalFormatting sqref="V22">
    <cfRule type="cellIs" dxfId="9800" priority="1009" operator="greaterThan">
      <formula>V21</formula>
    </cfRule>
    <cfRule type="cellIs" dxfId="9799" priority="1010" operator="equal">
      <formula>0</formula>
    </cfRule>
  </conditionalFormatting>
  <conditionalFormatting sqref="V22">
    <cfRule type="cellIs" dxfId="9798" priority="1007" operator="greaterThan">
      <formula>V21</formula>
    </cfRule>
    <cfRule type="cellIs" dxfId="9797" priority="1008" operator="equal">
      <formula>0</formula>
    </cfRule>
  </conditionalFormatting>
  <conditionalFormatting sqref="V22">
    <cfRule type="cellIs" dxfId="9796" priority="1005" operator="greaterThan">
      <formula>V21</formula>
    </cfRule>
    <cfRule type="cellIs" dxfId="9795" priority="1006" operator="equal">
      <formula>0</formula>
    </cfRule>
  </conditionalFormatting>
  <conditionalFormatting sqref="V22">
    <cfRule type="cellIs" dxfId="9794" priority="1003" operator="greaterThan">
      <formula>V21</formula>
    </cfRule>
    <cfRule type="cellIs" dxfId="9793" priority="1004" operator="equal">
      <formula>0</formula>
    </cfRule>
  </conditionalFormatting>
  <conditionalFormatting sqref="V22">
    <cfRule type="cellIs" dxfId="9792" priority="1001" operator="greaterThan">
      <formula>V21</formula>
    </cfRule>
    <cfRule type="cellIs" dxfId="9791" priority="1002" operator="equal">
      <formula>0</formula>
    </cfRule>
  </conditionalFormatting>
  <conditionalFormatting sqref="V22">
    <cfRule type="cellIs" dxfId="9790" priority="999" operator="greaterThan">
      <formula>V21</formula>
    </cfRule>
    <cfRule type="cellIs" dxfId="9789" priority="1000" operator="equal">
      <formula>0</formula>
    </cfRule>
  </conditionalFormatting>
  <conditionalFormatting sqref="V22">
    <cfRule type="cellIs" dxfId="9788" priority="997" operator="greaterThan">
      <formula>V21</formula>
    </cfRule>
    <cfRule type="cellIs" dxfId="9787" priority="998" operator="equal">
      <formula>0</formula>
    </cfRule>
  </conditionalFormatting>
  <conditionalFormatting sqref="V22">
    <cfRule type="cellIs" dxfId="9786" priority="995" operator="greaterThan">
      <formula>V21</formula>
    </cfRule>
    <cfRule type="cellIs" dxfId="9785" priority="996" operator="equal">
      <formula>0</formula>
    </cfRule>
  </conditionalFormatting>
  <conditionalFormatting sqref="V22">
    <cfRule type="cellIs" dxfId="9784" priority="993" operator="greaterThan">
      <formula>V21</formula>
    </cfRule>
    <cfRule type="cellIs" dxfId="9783" priority="994" operator="equal">
      <formula>0</formula>
    </cfRule>
  </conditionalFormatting>
  <conditionalFormatting sqref="V22">
    <cfRule type="cellIs" dxfId="9782" priority="991" operator="greaterThan">
      <formula>V21</formula>
    </cfRule>
    <cfRule type="cellIs" dxfId="9781" priority="992" operator="equal">
      <formula>0</formula>
    </cfRule>
  </conditionalFormatting>
  <conditionalFormatting sqref="V22">
    <cfRule type="cellIs" dxfId="9780" priority="989" operator="greaterThan">
      <formula>V21</formula>
    </cfRule>
    <cfRule type="cellIs" dxfId="9779" priority="990" operator="equal">
      <formula>0</formula>
    </cfRule>
  </conditionalFormatting>
  <conditionalFormatting sqref="V22">
    <cfRule type="cellIs" dxfId="9778" priority="987" operator="greaterThan">
      <formula>V21</formula>
    </cfRule>
    <cfRule type="cellIs" dxfId="9777" priority="988" operator="equal">
      <formula>0</formula>
    </cfRule>
  </conditionalFormatting>
  <conditionalFormatting sqref="V22">
    <cfRule type="cellIs" dxfId="9776" priority="985" operator="greaterThan">
      <formula>V21</formula>
    </cfRule>
    <cfRule type="cellIs" dxfId="9775" priority="986" operator="equal">
      <formula>0</formula>
    </cfRule>
  </conditionalFormatting>
  <conditionalFormatting sqref="V24">
    <cfRule type="cellIs" dxfId="9774" priority="983" operator="greaterThan">
      <formula>V23</formula>
    </cfRule>
    <cfRule type="cellIs" dxfId="9773" priority="984" operator="equal">
      <formula>0</formula>
    </cfRule>
  </conditionalFormatting>
  <conditionalFormatting sqref="V24">
    <cfRule type="cellIs" dxfId="9772" priority="981" operator="greaterThan">
      <formula>V23</formula>
    </cfRule>
    <cfRule type="cellIs" dxfId="9771" priority="982" operator="equal">
      <formula>0</formula>
    </cfRule>
  </conditionalFormatting>
  <conditionalFormatting sqref="V24">
    <cfRule type="cellIs" dxfId="9770" priority="979" operator="greaterThan">
      <formula>V23</formula>
    </cfRule>
    <cfRule type="cellIs" dxfId="9769" priority="980" operator="equal">
      <formula>0</formula>
    </cfRule>
  </conditionalFormatting>
  <conditionalFormatting sqref="V24">
    <cfRule type="cellIs" dxfId="9768" priority="977" operator="greaterThan">
      <formula>V23</formula>
    </cfRule>
    <cfRule type="cellIs" dxfId="9767" priority="978" operator="equal">
      <formula>0</formula>
    </cfRule>
  </conditionalFormatting>
  <conditionalFormatting sqref="V24">
    <cfRule type="cellIs" dxfId="9766" priority="975" operator="greaterThan">
      <formula>V23</formula>
    </cfRule>
    <cfRule type="cellIs" dxfId="9765" priority="976" operator="equal">
      <formula>0</formula>
    </cfRule>
  </conditionalFormatting>
  <conditionalFormatting sqref="V24">
    <cfRule type="cellIs" dxfId="9764" priority="973" operator="greaterThan">
      <formula>V23</formula>
    </cfRule>
    <cfRule type="cellIs" dxfId="9763" priority="974" operator="equal">
      <formula>0</formula>
    </cfRule>
  </conditionalFormatting>
  <conditionalFormatting sqref="V24">
    <cfRule type="cellIs" dxfId="9762" priority="971" operator="greaterThan">
      <formula>V23</formula>
    </cfRule>
    <cfRule type="cellIs" dxfId="9761" priority="972" operator="equal">
      <formula>0</formula>
    </cfRule>
  </conditionalFormatting>
  <conditionalFormatting sqref="V24">
    <cfRule type="cellIs" dxfId="9760" priority="969" operator="greaterThan">
      <formula>V23</formula>
    </cfRule>
    <cfRule type="cellIs" dxfId="9759" priority="970" operator="equal">
      <formula>0</formula>
    </cfRule>
  </conditionalFormatting>
  <conditionalFormatting sqref="V24">
    <cfRule type="cellIs" dxfId="9758" priority="967" operator="greaterThan">
      <formula>V23</formula>
    </cfRule>
    <cfRule type="cellIs" dxfId="9757" priority="968" operator="equal">
      <formula>0</formula>
    </cfRule>
  </conditionalFormatting>
  <conditionalFormatting sqref="V24">
    <cfRule type="cellIs" dxfId="9756" priority="965" operator="greaterThan">
      <formula>V23</formula>
    </cfRule>
    <cfRule type="cellIs" dxfId="9755" priority="966" operator="equal">
      <formula>0</formula>
    </cfRule>
  </conditionalFormatting>
  <conditionalFormatting sqref="V24">
    <cfRule type="cellIs" dxfId="9754" priority="963" operator="greaterThan">
      <formula>V23</formula>
    </cfRule>
    <cfRule type="cellIs" dxfId="9753" priority="964" operator="equal">
      <formula>0</formula>
    </cfRule>
  </conditionalFormatting>
  <conditionalFormatting sqref="V24">
    <cfRule type="cellIs" dxfId="9752" priority="961" operator="greaterThan">
      <formula>V23</formula>
    </cfRule>
    <cfRule type="cellIs" dxfId="9751" priority="962" operator="equal">
      <formula>0</formula>
    </cfRule>
  </conditionalFormatting>
  <conditionalFormatting sqref="V24">
    <cfRule type="cellIs" dxfId="9750" priority="959" operator="greaterThan">
      <formula>V23</formula>
    </cfRule>
    <cfRule type="cellIs" dxfId="9749" priority="960" operator="equal">
      <formula>0</formula>
    </cfRule>
  </conditionalFormatting>
  <conditionalFormatting sqref="V24">
    <cfRule type="cellIs" dxfId="9748" priority="957" operator="greaterThan">
      <formula>V23</formula>
    </cfRule>
    <cfRule type="cellIs" dxfId="9747" priority="958" operator="equal">
      <formula>0</formula>
    </cfRule>
  </conditionalFormatting>
  <conditionalFormatting sqref="V24">
    <cfRule type="cellIs" dxfId="9746" priority="955" operator="greaterThan">
      <formula>V23</formula>
    </cfRule>
    <cfRule type="cellIs" dxfId="9745" priority="956" operator="equal">
      <formula>0</formula>
    </cfRule>
  </conditionalFormatting>
  <conditionalFormatting sqref="V24">
    <cfRule type="cellIs" dxfId="9744" priority="953" operator="greaterThan">
      <formula>V23</formula>
    </cfRule>
    <cfRule type="cellIs" dxfId="9743" priority="954" operator="equal">
      <formula>0</formula>
    </cfRule>
  </conditionalFormatting>
  <conditionalFormatting sqref="V24">
    <cfRule type="cellIs" dxfId="9742" priority="951" operator="greaterThan">
      <formula>V23</formula>
    </cfRule>
    <cfRule type="cellIs" dxfId="9741" priority="952" operator="equal">
      <formula>0</formula>
    </cfRule>
  </conditionalFormatting>
  <conditionalFormatting sqref="V24">
    <cfRule type="cellIs" dxfId="9740" priority="949" operator="greaterThan">
      <formula>V23</formula>
    </cfRule>
    <cfRule type="cellIs" dxfId="9739" priority="950" operator="equal">
      <formula>0</formula>
    </cfRule>
  </conditionalFormatting>
  <conditionalFormatting sqref="V25">
    <cfRule type="cellIs" dxfId="9738" priority="947" operator="greaterThan">
      <formula>V24</formula>
    </cfRule>
    <cfRule type="cellIs" dxfId="9737" priority="948" operator="equal">
      <formula>0</formula>
    </cfRule>
  </conditionalFormatting>
  <conditionalFormatting sqref="V25">
    <cfRule type="cellIs" dxfId="9736" priority="945" operator="greaterThan">
      <formula>V24</formula>
    </cfRule>
    <cfRule type="cellIs" dxfId="9735" priority="946" operator="equal">
      <formula>0</formula>
    </cfRule>
  </conditionalFormatting>
  <conditionalFormatting sqref="V25">
    <cfRule type="cellIs" dxfId="9734" priority="943" operator="greaterThan">
      <formula>V24</formula>
    </cfRule>
    <cfRule type="cellIs" dxfId="9733" priority="944" operator="equal">
      <formula>0</formula>
    </cfRule>
  </conditionalFormatting>
  <conditionalFormatting sqref="V25">
    <cfRule type="cellIs" dxfId="9732" priority="941" operator="greaterThan">
      <formula>V24</formula>
    </cfRule>
    <cfRule type="cellIs" dxfId="9731" priority="942" operator="equal">
      <formula>0</formula>
    </cfRule>
  </conditionalFormatting>
  <conditionalFormatting sqref="V25">
    <cfRule type="cellIs" dxfId="9730" priority="939" operator="greaterThan">
      <formula>V24</formula>
    </cfRule>
    <cfRule type="cellIs" dxfId="9729" priority="940" operator="equal">
      <formula>0</formula>
    </cfRule>
  </conditionalFormatting>
  <conditionalFormatting sqref="V25">
    <cfRule type="cellIs" dxfId="9728" priority="937" operator="greaterThan">
      <formula>V24</formula>
    </cfRule>
    <cfRule type="cellIs" dxfId="9727" priority="938" operator="equal">
      <formula>0</formula>
    </cfRule>
  </conditionalFormatting>
  <conditionalFormatting sqref="V25">
    <cfRule type="cellIs" dxfId="9726" priority="935" operator="greaterThan">
      <formula>V24</formula>
    </cfRule>
    <cfRule type="cellIs" dxfId="9725" priority="936" operator="equal">
      <formula>0</formula>
    </cfRule>
  </conditionalFormatting>
  <conditionalFormatting sqref="V25">
    <cfRule type="cellIs" dxfId="9724" priority="933" operator="greaterThan">
      <formula>V24</formula>
    </cfRule>
    <cfRule type="cellIs" dxfId="9723" priority="934" operator="equal">
      <formula>0</formula>
    </cfRule>
  </conditionalFormatting>
  <conditionalFormatting sqref="V25">
    <cfRule type="cellIs" dxfId="9722" priority="931" operator="greaterThan">
      <formula>V24</formula>
    </cfRule>
    <cfRule type="cellIs" dxfId="9721" priority="932" operator="equal">
      <formula>0</formula>
    </cfRule>
  </conditionalFormatting>
  <conditionalFormatting sqref="V25">
    <cfRule type="cellIs" dxfId="9720" priority="929" operator="greaterThan">
      <formula>V24</formula>
    </cfRule>
    <cfRule type="cellIs" dxfId="9719" priority="930" operator="equal">
      <formula>0</formula>
    </cfRule>
  </conditionalFormatting>
  <conditionalFormatting sqref="V25">
    <cfRule type="cellIs" dxfId="9718" priority="927" operator="greaterThan">
      <formula>V24</formula>
    </cfRule>
    <cfRule type="cellIs" dxfId="9717" priority="928" operator="equal">
      <formula>0</formula>
    </cfRule>
  </conditionalFormatting>
  <conditionalFormatting sqref="V25">
    <cfRule type="cellIs" dxfId="9716" priority="925" operator="greaterThan">
      <formula>V24</formula>
    </cfRule>
    <cfRule type="cellIs" dxfId="9715" priority="926" operator="equal">
      <formula>0</formula>
    </cfRule>
  </conditionalFormatting>
  <conditionalFormatting sqref="V25">
    <cfRule type="cellIs" dxfId="9714" priority="923" operator="greaterThan">
      <formula>V24</formula>
    </cfRule>
    <cfRule type="cellIs" dxfId="9713" priority="924" operator="equal">
      <formula>0</formula>
    </cfRule>
  </conditionalFormatting>
  <conditionalFormatting sqref="V25">
    <cfRule type="cellIs" dxfId="9712" priority="921" operator="greaterThan">
      <formula>V24</formula>
    </cfRule>
    <cfRule type="cellIs" dxfId="9711" priority="922" operator="equal">
      <formula>0</formula>
    </cfRule>
  </conditionalFormatting>
  <conditionalFormatting sqref="V25">
    <cfRule type="cellIs" dxfId="9710" priority="919" operator="greaterThan">
      <formula>V24</formula>
    </cfRule>
    <cfRule type="cellIs" dxfId="9709" priority="920" operator="equal">
      <formula>0</formula>
    </cfRule>
  </conditionalFormatting>
  <conditionalFormatting sqref="V25">
    <cfRule type="cellIs" dxfId="9708" priority="917" operator="greaterThan">
      <formula>V24</formula>
    </cfRule>
    <cfRule type="cellIs" dxfId="9707" priority="918" operator="equal">
      <formula>0</formula>
    </cfRule>
  </conditionalFormatting>
  <conditionalFormatting sqref="V25">
    <cfRule type="cellIs" dxfId="9706" priority="915" operator="greaterThan">
      <formula>V24</formula>
    </cfRule>
    <cfRule type="cellIs" dxfId="9705" priority="916" operator="equal">
      <formula>0</formula>
    </cfRule>
  </conditionalFormatting>
  <conditionalFormatting sqref="V25">
    <cfRule type="cellIs" dxfId="9704" priority="913" operator="greaterThan">
      <formula>V24</formula>
    </cfRule>
    <cfRule type="cellIs" dxfId="9703" priority="914" operator="equal">
      <formula>0</formula>
    </cfRule>
  </conditionalFormatting>
  <conditionalFormatting sqref="V25">
    <cfRule type="cellIs" dxfId="9702" priority="911" operator="greaterThan">
      <formula>V24</formula>
    </cfRule>
    <cfRule type="cellIs" dxfId="9701" priority="912" operator="equal">
      <formula>0</formula>
    </cfRule>
  </conditionalFormatting>
  <conditionalFormatting sqref="V25">
    <cfRule type="cellIs" dxfId="9700" priority="909" operator="greaterThan">
      <formula>V24</formula>
    </cfRule>
    <cfRule type="cellIs" dxfId="9699" priority="910" operator="equal">
      <formula>0</formula>
    </cfRule>
  </conditionalFormatting>
  <conditionalFormatting sqref="V25">
    <cfRule type="cellIs" dxfId="9698" priority="907" operator="greaterThan">
      <formula>V24</formula>
    </cfRule>
    <cfRule type="cellIs" dxfId="9697" priority="908" operator="equal">
      <formula>0</formula>
    </cfRule>
  </conditionalFormatting>
  <conditionalFormatting sqref="V25">
    <cfRule type="cellIs" dxfId="9696" priority="905" operator="greaterThan">
      <formula>V24</formula>
    </cfRule>
    <cfRule type="cellIs" dxfId="9695" priority="906" operator="equal">
      <formula>0</formula>
    </cfRule>
  </conditionalFormatting>
  <conditionalFormatting sqref="V25">
    <cfRule type="cellIs" dxfId="9694" priority="903" operator="greaterThan">
      <formula>V24</formula>
    </cfRule>
    <cfRule type="cellIs" dxfId="9693" priority="904" operator="equal">
      <formula>0</formula>
    </cfRule>
  </conditionalFormatting>
  <conditionalFormatting sqref="V25">
    <cfRule type="cellIs" dxfId="9692" priority="901" operator="greaterThan">
      <formula>V24</formula>
    </cfRule>
    <cfRule type="cellIs" dxfId="9691" priority="902" operator="equal">
      <formula>0</formula>
    </cfRule>
  </conditionalFormatting>
  <conditionalFormatting sqref="V25">
    <cfRule type="cellIs" dxfId="9690" priority="899" operator="greaterThan">
      <formula>V24</formula>
    </cfRule>
    <cfRule type="cellIs" dxfId="9689" priority="900" operator="equal">
      <formula>0</formula>
    </cfRule>
  </conditionalFormatting>
  <conditionalFormatting sqref="V25">
    <cfRule type="cellIs" dxfId="9688" priority="897" operator="greaterThan">
      <formula>V24</formula>
    </cfRule>
    <cfRule type="cellIs" dxfId="9687" priority="898" operator="equal">
      <formula>0</formula>
    </cfRule>
  </conditionalFormatting>
  <conditionalFormatting sqref="V25">
    <cfRule type="cellIs" dxfId="9686" priority="895" operator="greaterThan">
      <formula>V24</formula>
    </cfRule>
    <cfRule type="cellIs" dxfId="9685" priority="896" operator="equal">
      <formula>0</formula>
    </cfRule>
  </conditionalFormatting>
  <conditionalFormatting sqref="V25">
    <cfRule type="cellIs" dxfId="9684" priority="893" operator="greaterThan">
      <formula>V24</formula>
    </cfRule>
    <cfRule type="cellIs" dxfId="9683" priority="894" operator="equal">
      <formula>0</formula>
    </cfRule>
  </conditionalFormatting>
  <conditionalFormatting sqref="V27">
    <cfRule type="cellIs" dxfId="9682" priority="891" operator="greaterThan">
      <formula>V26</formula>
    </cfRule>
    <cfRule type="cellIs" dxfId="9681" priority="892" operator="equal">
      <formula>0</formula>
    </cfRule>
  </conditionalFormatting>
  <conditionalFormatting sqref="V27">
    <cfRule type="cellIs" dxfId="9680" priority="889" operator="greaterThan">
      <formula>V26</formula>
    </cfRule>
    <cfRule type="cellIs" dxfId="9679" priority="890" operator="equal">
      <formula>0</formula>
    </cfRule>
  </conditionalFormatting>
  <conditionalFormatting sqref="V27">
    <cfRule type="cellIs" dxfId="9678" priority="887" operator="greaterThan">
      <formula>V26</formula>
    </cfRule>
    <cfRule type="cellIs" dxfId="9677" priority="888" operator="equal">
      <formula>0</formula>
    </cfRule>
  </conditionalFormatting>
  <conditionalFormatting sqref="V27">
    <cfRule type="cellIs" dxfId="9676" priority="885" operator="greaterThan">
      <formula>V26</formula>
    </cfRule>
    <cfRule type="cellIs" dxfId="9675" priority="886" operator="equal">
      <formula>0</formula>
    </cfRule>
  </conditionalFormatting>
  <conditionalFormatting sqref="V27">
    <cfRule type="cellIs" dxfId="9674" priority="883" operator="greaterThan">
      <formula>V26</formula>
    </cfRule>
    <cfRule type="cellIs" dxfId="9673" priority="884" operator="equal">
      <formula>0</formula>
    </cfRule>
  </conditionalFormatting>
  <conditionalFormatting sqref="V27">
    <cfRule type="cellIs" dxfId="9672" priority="881" operator="greaterThan">
      <formula>V26</formula>
    </cfRule>
    <cfRule type="cellIs" dxfId="9671" priority="882" operator="equal">
      <formula>0</formula>
    </cfRule>
  </conditionalFormatting>
  <conditionalFormatting sqref="V27">
    <cfRule type="cellIs" dxfId="9670" priority="879" operator="greaterThan">
      <formula>V26</formula>
    </cfRule>
    <cfRule type="cellIs" dxfId="9669" priority="880" operator="equal">
      <formula>0</formula>
    </cfRule>
  </conditionalFormatting>
  <conditionalFormatting sqref="V27">
    <cfRule type="cellIs" dxfId="9668" priority="877" operator="greaterThan">
      <formula>V26</formula>
    </cfRule>
    <cfRule type="cellIs" dxfId="9667" priority="878" operator="equal">
      <formula>0</formula>
    </cfRule>
  </conditionalFormatting>
  <conditionalFormatting sqref="V27">
    <cfRule type="cellIs" dxfId="9666" priority="875" operator="greaterThan">
      <formula>V26</formula>
    </cfRule>
    <cfRule type="cellIs" dxfId="9665" priority="876" operator="equal">
      <formula>0</formula>
    </cfRule>
  </conditionalFormatting>
  <conditionalFormatting sqref="V27">
    <cfRule type="cellIs" dxfId="9664" priority="873" operator="greaterThan">
      <formula>V26</formula>
    </cfRule>
    <cfRule type="cellIs" dxfId="9663" priority="874" operator="equal">
      <formula>0</formula>
    </cfRule>
  </conditionalFormatting>
  <conditionalFormatting sqref="V27">
    <cfRule type="cellIs" dxfId="9662" priority="871" operator="greaterThan">
      <formula>V26</formula>
    </cfRule>
    <cfRule type="cellIs" dxfId="9661" priority="872" operator="equal">
      <formula>0</formula>
    </cfRule>
  </conditionalFormatting>
  <conditionalFormatting sqref="V27">
    <cfRule type="cellIs" dxfId="9660" priority="869" operator="greaterThan">
      <formula>V26</formula>
    </cfRule>
    <cfRule type="cellIs" dxfId="9659" priority="870" operator="equal">
      <formula>0</formula>
    </cfRule>
  </conditionalFormatting>
  <conditionalFormatting sqref="V27">
    <cfRule type="cellIs" dxfId="9658" priority="867" operator="greaterThan">
      <formula>V26</formula>
    </cfRule>
    <cfRule type="cellIs" dxfId="9657" priority="868" operator="equal">
      <formula>0</formula>
    </cfRule>
  </conditionalFormatting>
  <conditionalFormatting sqref="V27">
    <cfRule type="cellIs" dxfId="9656" priority="865" operator="greaterThan">
      <formula>V26</formula>
    </cfRule>
    <cfRule type="cellIs" dxfId="9655" priority="866" operator="equal">
      <formula>0</formula>
    </cfRule>
  </conditionalFormatting>
  <conditionalFormatting sqref="V27">
    <cfRule type="cellIs" dxfId="9654" priority="863" operator="greaterThan">
      <formula>V26</formula>
    </cfRule>
    <cfRule type="cellIs" dxfId="9653" priority="864" operator="equal">
      <formula>0</formula>
    </cfRule>
  </conditionalFormatting>
  <conditionalFormatting sqref="V27">
    <cfRule type="cellIs" dxfId="9652" priority="861" operator="greaterThan">
      <formula>V26</formula>
    </cfRule>
    <cfRule type="cellIs" dxfId="9651" priority="862" operator="equal">
      <formula>0</formula>
    </cfRule>
  </conditionalFormatting>
  <conditionalFormatting sqref="V27">
    <cfRule type="cellIs" dxfId="9650" priority="859" operator="greaterThan">
      <formula>V26</formula>
    </cfRule>
    <cfRule type="cellIs" dxfId="9649" priority="860" operator="equal">
      <formula>0</formula>
    </cfRule>
  </conditionalFormatting>
  <conditionalFormatting sqref="V27">
    <cfRule type="cellIs" dxfId="9648" priority="857" operator="greaterThan">
      <formula>V26</formula>
    </cfRule>
    <cfRule type="cellIs" dxfId="9647" priority="858" operator="equal">
      <formula>0</formula>
    </cfRule>
  </conditionalFormatting>
  <conditionalFormatting sqref="V27">
    <cfRule type="cellIs" dxfId="9646" priority="855" operator="greaterThan">
      <formula>V26</formula>
    </cfRule>
    <cfRule type="cellIs" dxfId="9645" priority="856" operator="equal">
      <formula>0</formula>
    </cfRule>
  </conditionalFormatting>
  <conditionalFormatting sqref="V27">
    <cfRule type="cellIs" dxfId="9644" priority="853" operator="greaterThan">
      <formula>V26</formula>
    </cfRule>
    <cfRule type="cellIs" dxfId="9643" priority="854" operator="equal">
      <formula>0</formula>
    </cfRule>
  </conditionalFormatting>
  <conditionalFormatting sqref="V27">
    <cfRule type="cellIs" dxfId="9642" priority="851" operator="greaterThan">
      <formula>V26</formula>
    </cfRule>
    <cfRule type="cellIs" dxfId="9641" priority="852" operator="equal">
      <formula>0</formula>
    </cfRule>
  </conditionalFormatting>
  <conditionalFormatting sqref="V27">
    <cfRule type="cellIs" dxfId="9640" priority="849" operator="greaterThan">
      <formula>V26</formula>
    </cfRule>
    <cfRule type="cellIs" dxfId="9639" priority="850" operator="equal">
      <formula>0</formula>
    </cfRule>
  </conditionalFormatting>
  <conditionalFormatting sqref="V27">
    <cfRule type="cellIs" dxfId="9638" priority="847" operator="greaterThan">
      <formula>V26</formula>
    </cfRule>
    <cfRule type="cellIs" dxfId="9637" priority="848" operator="equal">
      <formula>0</formula>
    </cfRule>
  </conditionalFormatting>
  <conditionalFormatting sqref="V27">
    <cfRule type="cellIs" dxfId="9636" priority="845" operator="greaterThan">
      <formula>V26</formula>
    </cfRule>
    <cfRule type="cellIs" dxfId="9635" priority="846" operator="equal">
      <formula>0</formula>
    </cfRule>
  </conditionalFormatting>
  <conditionalFormatting sqref="V27">
    <cfRule type="cellIs" dxfId="9634" priority="843" operator="greaterThan">
      <formula>V26</formula>
    </cfRule>
    <cfRule type="cellIs" dxfId="9633" priority="844" operator="equal">
      <formula>0</formula>
    </cfRule>
  </conditionalFormatting>
  <conditionalFormatting sqref="V27">
    <cfRule type="cellIs" dxfId="9632" priority="841" operator="greaterThan">
      <formula>V26</formula>
    </cfRule>
    <cfRule type="cellIs" dxfId="9631" priority="842" operator="equal">
      <formula>0</formula>
    </cfRule>
  </conditionalFormatting>
  <conditionalFormatting sqref="V27">
    <cfRule type="cellIs" dxfId="9630" priority="839" operator="greaterThan">
      <formula>V26</formula>
    </cfRule>
    <cfRule type="cellIs" dxfId="9629" priority="840" operator="equal">
      <formula>0</formula>
    </cfRule>
  </conditionalFormatting>
  <conditionalFormatting sqref="V27">
    <cfRule type="cellIs" dxfId="9628" priority="837" operator="greaterThan">
      <formula>V26</formula>
    </cfRule>
    <cfRule type="cellIs" dxfId="9627" priority="838" operator="equal">
      <formula>0</formula>
    </cfRule>
  </conditionalFormatting>
  <conditionalFormatting sqref="V27">
    <cfRule type="cellIs" dxfId="9626" priority="835" operator="greaterThan">
      <formula>V26</formula>
    </cfRule>
    <cfRule type="cellIs" dxfId="9625" priority="836" operator="equal">
      <formula>0</formula>
    </cfRule>
  </conditionalFormatting>
  <conditionalFormatting sqref="V28">
    <cfRule type="cellIs" dxfId="9624" priority="833" operator="greaterThan">
      <formula>V27</formula>
    </cfRule>
    <cfRule type="cellIs" dxfId="9623" priority="834" operator="equal">
      <formula>0</formula>
    </cfRule>
  </conditionalFormatting>
  <conditionalFormatting sqref="V28">
    <cfRule type="cellIs" dxfId="9622" priority="831" operator="greaterThan">
      <formula>V27</formula>
    </cfRule>
    <cfRule type="cellIs" dxfId="9621" priority="832" operator="equal">
      <formula>0</formula>
    </cfRule>
  </conditionalFormatting>
  <conditionalFormatting sqref="V28">
    <cfRule type="cellIs" dxfId="9620" priority="829" operator="greaterThan">
      <formula>V27</formula>
    </cfRule>
    <cfRule type="cellIs" dxfId="9619" priority="830" operator="equal">
      <formula>0</formula>
    </cfRule>
  </conditionalFormatting>
  <conditionalFormatting sqref="V28">
    <cfRule type="cellIs" dxfId="9618" priority="827" operator="greaterThan">
      <formula>V27</formula>
    </cfRule>
    <cfRule type="cellIs" dxfId="9617" priority="828" operator="equal">
      <formula>0</formula>
    </cfRule>
  </conditionalFormatting>
  <conditionalFormatting sqref="V28">
    <cfRule type="cellIs" dxfId="9616" priority="825" operator="greaterThan">
      <formula>V27</formula>
    </cfRule>
    <cfRule type="cellIs" dxfId="9615" priority="826" operator="equal">
      <formula>0</formula>
    </cfRule>
  </conditionalFormatting>
  <conditionalFormatting sqref="V28">
    <cfRule type="cellIs" dxfId="9614" priority="823" operator="greaterThan">
      <formula>V27</formula>
    </cfRule>
    <cfRule type="cellIs" dxfId="9613" priority="824" operator="equal">
      <formula>0</formula>
    </cfRule>
  </conditionalFormatting>
  <conditionalFormatting sqref="V28">
    <cfRule type="cellIs" dxfId="9612" priority="821" operator="greaterThan">
      <formula>V27</formula>
    </cfRule>
    <cfRule type="cellIs" dxfId="9611" priority="822" operator="equal">
      <formula>0</formula>
    </cfRule>
  </conditionalFormatting>
  <conditionalFormatting sqref="V28">
    <cfRule type="cellIs" dxfId="9610" priority="819" operator="greaterThan">
      <formula>V27</formula>
    </cfRule>
    <cfRule type="cellIs" dxfId="9609" priority="820" operator="equal">
      <formula>0</formula>
    </cfRule>
  </conditionalFormatting>
  <conditionalFormatting sqref="V28">
    <cfRule type="cellIs" dxfId="9608" priority="817" operator="greaterThan">
      <formula>V27</formula>
    </cfRule>
    <cfRule type="cellIs" dxfId="9607" priority="818" operator="equal">
      <formula>0</formula>
    </cfRule>
  </conditionalFormatting>
  <conditionalFormatting sqref="V28">
    <cfRule type="cellIs" dxfId="9606" priority="815" operator="greaterThan">
      <formula>V27</formula>
    </cfRule>
    <cfRule type="cellIs" dxfId="9605" priority="816" operator="equal">
      <formula>0</formula>
    </cfRule>
  </conditionalFormatting>
  <conditionalFormatting sqref="V28">
    <cfRule type="cellIs" dxfId="9604" priority="813" operator="greaterThan">
      <formula>V27</formula>
    </cfRule>
    <cfRule type="cellIs" dxfId="9603" priority="814" operator="equal">
      <formula>0</formula>
    </cfRule>
  </conditionalFormatting>
  <conditionalFormatting sqref="V28">
    <cfRule type="cellIs" dxfId="9602" priority="811" operator="greaterThan">
      <formula>V27</formula>
    </cfRule>
    <cfRule type="cellIs" dxfId="9601" priority="812" operator="equal">
      <formula>0</formula>
    </cfRule>
  </conditionalFormatting>
  <conditionalFormatting sqref="V28">
    <cfRule type="cellIs" dxfId="9600" priority="809" operator="greaterThan">
      <formula>V27</formula>
    </cfRule>
    <cfRule type="cellIs" dxfId="9599" priority="810" operator="equal">
      <formula>0</formula>
    </cfRule>
  </conditionalFormatting>
  <conditionalFormatting sqref="V28">
    <cfRule type="cellIs" dxfId="9598" priority="807" operator="greaterThan">
      <formula>V27</formula>
    </cfRule>
    <cfRule type="cellIs" dxfId="9597" priority="808" operator="equal">
      <formula>0</formula>
    </cfRule>
  </conditionalFormatting>
  <conditionalFormatting sqref="V28">
    <cfRule type="cellIs" dxfId="9596" priority="805" operator="greaterThan">
      <formula>V27</formula>
    </cfRule>
    <cfRule type="cellIs" dxfId="9595" priority="806" operator="equal">
      <formula>0</formula>
    </cfRule>
  </conditionalFormatting>
  <conditionalFormatting sqref="V28">
    <cfRule type="cellIs" dxfId="9594" priority="803" operator="greaterThan">
      <formula>V27</formula>
    </cfRule>
    <cfRule type="cellIs" dxfId="9593" priority="804" operator="equal">
      <formula>0</formula>
    </cfRule>
  </conditionalFormatting>
  <conditionalFormatting sqref="V28">
    <cfRule type="cellIs" dxfId="9592" priority="801" operator="greaterThan">
      <formula>V27</formula>
    </cfRule>
    <cfRule type="cellIs" dxfId="9591" priority="802" operator="equal">
      <formula>0</formula>
    </cfRule>
  </conditionalFormatting>
  <conditionalFormatting sqref="V28">
    <cfRule type="cellIs" dxfId="9590" priority="799" operator="greaterThan">
      <formula>V27</formula>
    </cfRule>
    <cfRule type="cellIs" dxfId="9589" priority="800" operator="equal">
      <formula>0</formula>
    </cfRule>
  </conditionalFormatting>
  <conditionalFormatting sqref="V28">
    <cfRule type="cellIs" dxfId="9588" priority="797" operator="greaterThan">
      <formula>V27</formula>
    </cfRule>
    <cfRule type="cellIs" dxfId="9587" priority="798" operator="equal">
      <formula>0</formula>
    </cfRule>
  </conditionalFormatting>
  <conditionalFormatting sqref="V28">
    <cfRule type="cellIs" dxfId="9586" priority="795" operator="greaterThan">
      <formula>V27</formula>
    </cfRule>
    <cfRule type="cellIs" dxfId="9585" priority="796" operator="equal">
      <formula>0</formula>
    </cfRule>
  </conditionalFormatting>
  <conditionalFormatting sqref="V28">
    <cfRule type="cellIs" dxfId="9584" priority="793" operator="greaterThan">
      <formula>V27</formula>
    </cfRule>
    <cfRule type="cellIs" dxfId="9583" priority="794" operator="equal">
      <formula>0</formula>
    </cfRule>
  </conditionalFormatting>
  <conditionalFormatting sqref="V28">
    <cfRule type="cellIs" dxfId="9582" priority="791" operator="greaterThan">
      <formula>V27</formula>
    </cfRule>
    <cfRule type="cellIs" dxfId="9581" priority="792" operator="equal">
      <formula>0</formula>
    </cfRule>
  </conditionalFormatting>
  <conditionalFormatting sqref="V28">
    <cfRule type="cellIs" dxfId="9580" priority="789" operator="greaterThan">
      <formula>V27</formula>
    </cfRule>
    <cfRule type="cellIs" dxfId="9579" priority="790" operator="equal">
      <formula>0</formula>
    </cfRule>
  </conditionalFormatting>
  <conditionalFormatting sqref="V28">
    <cfRule type="cellIs" dxfId="9578" priority="787" operator="greaterThan">
      <formula>V27</formula>
    </cfRule>
    <cfRule type="cellIs" dxfId="9577" priority="788" operator="equal">
      <formula>0</formula>
    </cfRule>
  </conditionalFormatting>
  <conditionalFormatting sqref="V28">
    <cfRule type="cellIs" dxfId="9576" priority="785" operator="greaterThan">
      <formula>V27</formula>
    </cfRule>
    <cfRule type="cellIs" dxfId="9575" priority="786" operator="equal">
      <formula>0</formula>
    </cfRule>
  </conditionalFormatting>
  <conditionalFormatting sqref="V28">
    <cfRule type="cellIs" dxfId="9574" priority="783" operator="greaterThan">
      <formula>V27</formula>
    </cfRule>
    <cfRule type="cellIs" dxfId="9573" priority="784" operator="equal">
      <formula>0</formula>
    </cfRule>
  </conditionalFormatting>
  <conditionalFormatting sqref="V28">
    <cfRule type="cellIs" dxfId="9572" priority="781" operator="greaterThan">
      <formula>V27</formula>
    </cfRule>
    <cfRule type="cellIs" dxfId="9571" priority="782" operator="equal">
      <formula>0</formula>
    </cfRule>
  </conditionalFormatting>
  <conditionalFormatting sqref="V28">
    <cfRule type="cellIs" dxfId="9570" priority="779" operator="greaterThan">
      <formula>V27</formula>
    </cfRule>
    <cfRule type="cellIs" dxfId="9569" priority="780" operator="equal">
      <formula>0</formula>
    </cfRule>
  </conditionalFormatting>
  <conditionalFormatting sqref="V28">
    <cfRule type="cellIs" dxfId="9568" priority="777" operator="greaterThan">
      <formula>V27</formula>
    </cfRule>
    <cfRule type="cellIs" dxfId="9567" priority="778" operator="equal">
      <formula>0</formula>
    </cfRule>
  </conditionalFormatting>
  <conditionalFormatting sqref="V28">
    <cfRule type="cellIs" dxfId="9566" priority="775" operator="greaterThan">
      <formula>V27</formula>
    </cfRule>
    <cfRule type="cellIs" dxfId="9565" priority="776" operator="equal">
      <formula>0</formula>
    </cfRule>
  </conditionalFormatting>
  <conditionalFormatting sqref="V28">
    <cfRule type="cellIs" dxfId="9564" priority="773" operator="greaterThan">
      <formula>V27</formula>
    </cfRule>
    <cfRule type="cellIs" dxfId="9563" priority="774" operator="equal">
      <formula>0</formula>
    </cfRule>
  </conditionalFormatting>
  <conditionalFormatting sqref="V28">
    <cfRule type="cellIs" dxfId="9562" priority="771" operator="greaterThan">
      <formula>V27</formula>
    </cfRule>
    <cfRule type="cellIs" dxfId="9561" priority="772" operator="equal">
      <formula>0</formula>
    </cfRule>
  </conditionalFormatting>
  <conditionalFormatting sqref="V28">
    <cfRule type="cellIs" dxfId="9560" priority="769" operator="greaterThan">
      <formula>V27</formula>
    </cfRule>
    <cfRule type="cellIs" dxfId="9559" priority="770" operator="equal">
      <formula>0</formula>
    </cfRule>
  </conditionalFormatting>
  <conditionalFormatting sqref="V28">
    <cfRule type="cellIs" dxfId="9558" priority="767" operator="greaterThan">
      <formula>V27</formula>
    </cfRule>
    <cfRule type="cellIs" dxfId="9557" priority="768" operator="equal">
      <formula>0</formula>
    </cfRule>
  </conditionalFormatting>
  <conditionalFormatting sqref="V28">
    <cfRule type="cellIs" dxfId="9556" priority="765" operator="greaterThan">
      <formula>V27</formula>
    </cfRule>
    <cfRule type="cellIs" dxfId="9555" priority="766" operator="equal">
      <formula>0</formula>
    </cfRule>
  </conditionalFormatting>
  <conditionalFormatting sqref="V28">
    <cfRule type="cellIs" dxfId="9554" priority="763" operator="greaterThan">
      <formula>V27</formula>
    </cfRule>
    <cfRule type="cellIs" dxfId="9553" priority="764" operator="equal">
      <formula>0</formula>
    </cfRule>
  </conditionalFormatting>
  <conditionalFormatting sqref="V28">
    <cfRule type="cellIs" dxfId="9552" priority="761" operator="greaterThan">
      <formula>V27</formula>
    </cfRule>
    <cfRule type="cellIs" dxfId="9551" priority="762" operator="equal">
      <formula>0</formula>
    </cfRule>
  </conditionalFormatting>
  <conditionalFormatting sqref="V28">
    <cfRule type="cellIs" dxfId="9550" priority="759" operator="greaterThan">
      <formula>V27</formula>
    </cfRule>
    <cfRule type="cellIs" dxfId="9549" priority="760" operator="equal">
      <formula>0</formula>
    </cfRule>
  </conditionalFormatting>
  <conditionalFormatting sqref="V28">
    <cfRule type="cellIs" dxfId="9548" priority="757" operator="greaterThan">
      <formula>V27</formula>
    </cfRule>
    <cfRule type="cellIs" dxfId="9547" priority="758" operator="equal">
      <formula>0</formula>
    </cfRule>
  </conditionalFormatting>
  <conditionalFormatting sqref="V28">
    <cfRule type="cellIs" dxfId="9546" priority="755" operator="greaterThan">
      <formula>V27</formula>
    </cfRule>
    <cfRule type="cellIs" dxfId="9545" priority="756" operator="equal">
      <formula>0</formula>
    </cfRule>
  </conditionalFormatting>
  <conditionalFormatting sqref="V28">
    <cfRule type="cellIs" dxfId="9544" priority="753" operator="greaterThan">
      <formula>V27</formula>
    </cfRule>
    <cfRule type="cellIs" dxfId="9543" priority="754" operator="equal">
      <formula>0</formula>
    </cfRule>
  </conditionalFormatting>
  <conditionalFormatting sqref="V28">
    <cfRule type="cellIs" dxfId="9542" priority="751" operator="greaterThan">
      <formula>V27</formula>
    </cfRule>
    <cfRule type="cellIs" dxfId="9541" priority="752" operator="equal">
      <formula>0</formula>
    </cfRule>
  </conditionalFormatting>
  <conditionalFormatting sqref="V28">
    <cfRule type="cellIs" dxfId="9540" priority="749" operator="greaterThan">
      <formula>V27</formula>
    </cfRule>
    <cfRule type="cellIs" dxfId="9539" priority="750" operator="equal">
      <formula>0</formula>
    </cfRule>
  </conditionalFormatting>
  <conditionalFormatting sqref="V28">
    <cfRule type="cellIs" dxfId="9538" priority="747" operator="greaterThan">
      <formula>V27</formula>
    </cfRule>
    <cfRule type="cellIs" dxfId="9537" priority="748" operator="equal">
      <formula>0</formula>
    </cfRule>
  </conditionalFormatting>
  <conditionalFormatting sqref="V28">
    <cfRule type="cellIs" dxfId="9536" priority="745" operator="greaterThan">
      <formula>V27</formula>
    </cfRule>
    <cfRule type="cellIs" dxfId="9535" priority="746" operator="equal">
      <formula>0</formula>
    </cfRule>
  </conditionalFormatting>
  <conditionalFormatting sqref="V28">
    <cfRule type="cellIs" dxfId="9534" priority="743" operator="greaterThan">
      <formula>V27</formula>
    </cfRule>
    <cfRule type="cellIs" dxfId="9533" priority="744" operator="equal">
      <formula>0</formula>
    </cfRule>
  </conditionalFormatting>
  <conditionalFormatting sqref="V28">
    <cfRule type="cellIs" dxfId="9532" priority="741" operator="greaterThan">
      <formula>V27</formula>
    </cfRule>
    <cfRule type="cellIs" dxfId="9531" priority="742" operator="equal">
      <formula>0</formula>
    </cfRule>
  </conditionalFormatting>
  <conditionalFormatting sqref="V28">
    <cfRule type="cellIs" dxfId="9530" priority="739" operator="greaterThan">
      <formula>V27</formula>
    </cfRule>
    <cfRule type="cellIs" dxfId="9529" priority="740" operator="equal">
      <formula>0</formula>
    </cfRule>
  </conditionalFormatting>
  <conditionalFormatting sqref="V28">
    <cfRule type="cellIs" dxfId="9528" priority="737" operator="greaterThan">
      <formula>V27</formula>
    </cfRule>
    <cfRule type="cellIs" dxfId="9527" priority="738" operator="equal">
      <formula>0</formula>
    </cfRule>
  </conditionalFormatting>
  <conditionalFormatting sqref="V28">
    <cfRule type="cellIs" dxfId="9526" priority="735" operator="greaterThan">
      <formula>V27</formula>
    </cfRule>
    <cfRule type="cellIs" dxfId="9525" priority="736" operator="equal">
      <formula>0</formula>
    </cfRule>
  </conditionalFormatting>
  <conditionalFormatting sqref="V28">
    <cfRule type="cellIs" dxfId="9524" priority="733" operator="greaterThan">
      <formula>V27</formula>
    </cfRule>
    <cfRule type="cellIs" dxfId="9523" priority="734" operator="equal">
      <formula>0</formula>
    </cfRule>
  </conditionalFormatting>
  <conditionalFormatting sqref="V28">
    <cfRule type="cellIs" dxfId="9522" priority="731" operator="greaterThan">
      <formula>V27</formula>
    </cfRule>
    <cfRule type="cellIs" dxfId="9521" priority="732" operator="equal">
      <formula>0</formula>
    </cfRule>
  </conditionalFormatting>
  <conditionalFormatting sqref="V28">
    <cfRule type="cellIs" dxfId="9520" priority="729" operator="greaterThan">
      <formula>V27</formula>
    </cfRule>
    <cfRule type="cellIs" dxfId="9519" priority="730" operator="equal">
      <formula>0</formula>
    </cfRule>
  </conditionalFormatting>
  <conditionalFormatting sqref="V28">
    <cfRule type="cellIs" dxfId="9518" priority="727" operator="greaterThan">
      <formula>V27</formula>
    </cfRule>
    <cfRule type="cellIs" dxfId="9517" priority="728" operator="equal">
      <formula>0</formula>
    </cfRule>
  </conditionalFormatting>
  <conditionalFormatting sqref="V28">
    <cfRule type="cellIs" dxfId="9516" priority="725" operator="greaterThan">
      <formula>V27</formula>
    </cfRule>
    <cfRule type="cellIs" dxfId="9515" priority="726" operator="equal">
      <formula>0</formula>
    </cfRule>
  </conditionalFormatting>
  <conditionalFormatting sqref="V28">
    <cfRule type="cellIs" dxfId="9514" priority="723" operator="greaterThan">
      <formula>V27</formula>
    </cfRule>
    <cfRule type="cellIs" dxfId="9513" priority="724" operator="equal">
      <formula>0</formula>
    </cfRule>
  </conditionalFormatting>
  <conditionalFormatting sqref="V28">
    <cfRule type="cellIs" dxfId="9512" priority="721" operator="greaterThan">
      <formula>V27</formula>
    </cfRule>
    <cfRule type="cellIs" dxfId="9511" priority="722" operator="equal">
      <formula>0</formula>
    </cfRule>
  </conditionalFormatting>
  <conditionalFormatting sqref="V28">
    <cfRule type="cellIs" dxfId="9510" priority="719" operator="greaterThan">
      <formula>V27</formula>
    </cfRule>
    <cfRule type="cellIs" dxfId="9509" priority="720" operator="equal">
      <formula>0</formula>
    </cfRule>
  </conditionalFormatting>
  <conditionalFormatting sqref="V28">
    <cfRule type="cellIs" dxfId="9508" priority="717" operator="greaterThan">
      <formula>V27</formula>
    </cfRule>
    <cfRule type="cellIs" dxfId="9507" priority="718" operator="equal">
      <formula>0</formula>
    </cfRule>
  </conditionalFormatting>
  <conditionalFormatting sqref="V28">
    <cfRule type="cellIs" dxfId="9506" priority="715" operator="greaterThan">
      <formula>V27</formula>
    </cfRule>
    <cfRule type="cellIs" dxfId="9505" priority="716" operator="equal">
      <formula>0</formula>
    </cfRule>
  </conditionalFormatting>
  <conditionalFormatting sqref="V28">
    <cfRule type="cellIs" dxfId="9504" priority="713" operator="greaterThan">
      <formula>V27</formula>
    </cfRule>
    <cfRule type="cellIs" dxfId="9503" priority="714" operator="equal">
      <formula>0</formula>
    </cfRule>
  </conditionalFormatting>
  <conditionalFormatting sqref="V28">
    <cfRule type="cellIs" dxfId="9502" priority="711" operator="greaterThan">
      <formula>V27</formula>
    </cfRule>
    <cfRule type="cellIs" dxfId="9501" priority="712" operator="equal">
      <formula>0</formula>
    </cfRule>
  </conditionalFormatting>
  <conditionalFormatting sqref="V28">
    <cfRule type="cellIs" dxfId="9500" priority="709" operator="greaterThan">
      <formula>V27</formula>
    </cfRule>
    <cfRule type="cellIs" dxfId="9499" priority="710" operator="equal">
      <formula>0</formula>
    </cfRule>
  </conditionalFormatting>
  <conditionalFormatting sqref="V28">
    <cfRule type="cellIs" dxfId="9498" priority="707" operator="greaterThan">
      <formula>V27</formula>
    </cfRule>
    <cfRule type="cellIs" dxfId="9497" priority="708" operator="equal">
      <formula>0</formula>
    </cfRule>
  </conditionalFormatting>
  <conditionalFormatting sqref="V28">
    <cfRule type="cellIs" dxfId="9496" priority="705" operator="greaterThan">
      <formula>V27</formula>
    </cfRule>
    <cfRule type="cellIs" dxfId="9495" priority="706" operator="equal">
      <formula>0</formula>
    </cfRule>
  </conditionalFormatting>
  <conditionalFormatting sqref="V28">
    <cfRule type="cellIs" dxfId="9494" priority="703" operator="greaterThan">
      <formula>V27</formula>
    </cfRule>
    <cfRule type="cellIs" dxfId="9493" priority="704" operator="equal">
      <formula>0</formula>
    </cfRule>
  </conditionalFormatting>
  <conditionalFormatting sqref="V28">
    <cfRule type="cellIs" dxfId="9492" priority="701" operator="greaterThan">
      <formula>V27</formula>
    </cfRule>
    <cfRule type="cellIs" dxfId="9491" priority="702" operator="equal">
      <formula>0</formula>
    </cfRule>
  </conditionalFormatting>
  <conditionalFormatting sqref="V28">
    <cfRule type="cellIs" dxfId="9490" priority="699" operator="greaterThan">
      <formula>V27</formula>
    </cfRule>
    <cfRule type="cellIs" dxfId="9489" priority="700" operator="equal">
      <formula>0</formula>
    </cfRule>
  </conditionalFormatting>
  <conditionalFormatting sqref="V28">
    <cfRule type="cellIs" dxfId="9488" priority="697" operator="greaterThan">
      <formula>V27</formula>
    </cfRule>
    <cfRule type="cellIs" dxfId="9487" priority="698" operator="equal">
      <formula>0</formula>
    </cfRule>
  </conditionalFormatting>
  <conditionalFormatting sqref="V28">
    <cfRule type="cellIs" dxfId="9486" priority="695" operator="greaterThan">
      <formula>V27</formula>
    </cfRule>
    <cfRule type="cellIs" dxfId="9485" priority="696" operator="equal">
      <formula>0</formula>
    </cfRule>
  </conditionalFormatting>
  <conditionalFormatting sqref="V28">
    <cfRule type="cellIs" dxfId="9484" priority="693" operator="greaterThan">
      <formula>V27</formula>
    </cfRule>
    <cfRule type="cellIs" dxfId="9483" priority="694" operator="equal">
      <formula>0</formula>
    </cfRule>
  </conditionalFormatting>
  <conditionalFormatting sqref="V28">
    <cfRule type="cellIs" dxfId="9482" priority="691" operator="greaterThan">
      <formula>V27</formula>
    </cfRule>
    <cfRule type="cellIs" dxfId="9481" priority="692" operator="equal">
      <formula>0</formula>
    </cfRule>
  </conditionalFormatting>
  <conditionalFormatting sqref="V28">
    <cfRule type="cellIs" dxfId="9480" priority="689" operator="greaterThan">
      <formula>V27</formula>
    </cfRule>
    <cfRule type="cellIs" dxfId="9479" priority="690" operator="equal">
      <formula>0</formula>
    </cfRule>
  </conditionalFormatting>
  <conditionalFormatting sqref="V28">
    <cfRule type="cellIs" dxfId="9478" priority="687" operator="greaterThan">
      <formula>V27</formula>
    </cfRule>
    <cfRule type="cellIs" dxfId="9477" priority="688" operator="equal">
      <formula>0</formula>
    </cfRule>
  </conditionalFormatting>
  <conditionalFormatting sqref="V28">
    <cfRule type="cellIs" dxfId="9476" priority="685" operator="greaterThan">
      <formula>V27</formula>
    </cfRule>
    <cfRule type="cellIs" dxfId="9475" priority="686" operator="equal">
      <formula>0</formula>
    </cfRule>
  </conditionalFormatting>
  <conditionalFormatting sqref="V28">
    <cfRule type="cellIs" dxfId="9474" priority="683" operator="greaterThan">
      <formula>V27</formula>
    </cfRule>
    <cfRule type="cellIs" dxfId="9473" priority="684" operator="equal">
      <formula>0</formula>
    </cfRule>
  </conditionalFormatting>
  <conditionalFormatting sqref="V28">
    <cfRule type="cellIs" dxfId="9472" priority="681" operator="greaterThan">
      <formula>V27</formula>
    </cfRule>
    <cfRule type="cellIs" dxfId="9471" priority="682" operator="equal">
      <formula>0</formula>
    </cfRule>
  </conditionalFormatting>
  <conditionalFormatting sqref="V28">
    <cfRule type="cellIs" dxfId="9470" priority="679" operator="greaterThan">
      <formula>V27</formula>
    </cfRule>
    <cfRule type="cellIs" dxfId="9469" priority="680" operator="equal">
      <formula>0</formula>
    </cfRule>
  </conditionalFormatting>
  <conditionalFormatting sqref="V28">
    <cfRule type="cellIs" dxfId="9468" priority="677" operator="greaterThan">
      <formula>V27</formula>
    </cfRule>
    <cfRule type="cellIs" dxfId="9467" priority="678" operator="equal">
      <formula>0</formula>
    </cfRule>
  </conditionalFormatting>
  <conditionalFormatting sqref="V28">
    <cfRule type="cellIs" dxfId="9466" priority="675" operator="greaterThan">
      <formula>V27</formula>
    </cfRule>
    <cfRule type="cellIs" dxfId="9465" priority="676" operator="equal">
      <formula>0</formula>
    </cfRule>
  </conditionalFormatting>
  <conditionalFormatting sqref="V28">
    <cfRule type="cellIs" dxfId="9464" priority="673" operator="greaterThan">
      <formula>V27</formula>
    </cfRule>
    <cfRule type="cellIs" dxfId="9463" priority="674" operator="equal">
      <formula>0</formula>
    </cfRule>
  </conditionalFormatting>
  <conditionalFormatting sqref="V28">
    <cfRule type="cellIs" dxfId="9462" priority="671" operator="greaterThan">
      <formula>V27</formula>
    </cfRule>
    <cfRule type="cellIs" dxfId="9461" priority="672" operator="equal">
      <formula>0</formula>
    </cfRule>
  </conditionalFormatting>
  <conditionalFormatting sqref="V28">
    <cfRule type="cellIs" dxfId="9460" priority="669" operator="greaterThan">
      <formula>V27</formula>
    </cfRule>
    <cfRule type="cellIs" dxfId="9459" priority="670" operator="equal">
      <formula>0</formula>
    </cfRule>
  </conditionalFormatting>
  <conditionalFormatting sqref="V28">
    <cfRule type="cellIs" dxfId="9458" priority="667" operator="greaterThan">
      <formula>V27</formula>
    </cfRule>
    <cfRule type="cellIs" dxfId="9457" priority="668" operator="equal">
      <formula>0</formula>
    </cfRule>
  </conditionalFormatting>
  <conditionalFormatting sqref="V12:V13 X12:X13 X15:X16 X18:X19 X21:X25 X27:X28 V15:V16 V18:V19 V21:V22 V24:V25 V27:V28">
    <cfRule type="cellIs" dxfId="9456" priority="666" operator="equal">
      <formula>0</formula>
    </cfRule>
  </conditionalFormatting>
  <conditionalFormatting sqref="V28">
    <cfRule type="cellIs" dxfId="9455" priority="664" operator="greaterThan">
      <formula>V27</formula>
    </cfRule>
    <cfRule type="cellIs" dxfId="9454" priority="665" operator="equal">
      <formula>0</formula>
    </cfRule>
  </conditionalFormatting>
  <conditionalFormatting sqref="V27">
    <cfRule type="cellIs" dxfId="9453" priority="662" operator="greaterThan">
      <formula>V26</formula>
    </cfRule>
    <cfRule type="cellIs" dxfId="9452" priority="663" operator="equal">
      <formula>0</formula>
    </cfRule>
  </conditionalFormatting>
  <conditionalFormatting sqref="V13">
    <cfRule type="cellIs" dxfId="9451" priority="660" operator="greaterThan">
      <formula>V12</formula>
    </cfRule>
    <cfRule type="cellIs" dxfId="9450" priority="661" operator="equal">
      <formula>0</formula>
    </cfRule>
  </conditionalFormatting>
  <conditionalFormatting sqref="V12">
    <cfRule type="cellIs" dxfId="9449" priority="658" operator="greaterThan">
      <formula>V11</formula>
    </cfRule>
    <cfRule type="cellIs" dxfId="9448" priority="659" operator="equal">
      <formula>0</formula>
    </cfRule>
  </conditionalFormatting>
  <conditionalFormatting sqref="V16">
    <cfRule type="cellIs" dxfId="9447" priority="656" operator="greaterThan">
      <formula>V15</formula>
    </cfRule>
    <cfRule type="cellIs" dxfId="9446" priority="657" operator="equal">
      <formula>0</formula>
    </cfRule>
  </conditionalFormatting>
  <conditionalFormatting sqref="V15">
    <cfRule type="cellIs" dxfId="9445" priority="654" operator="greaterThan">
      <formula>V14</formula>
    </cfRule>
    <cfRule type="cellIs" dxfId="9444" priority="655" operator="equal">
      <formula>0</formula>
    </cfRule>
  </conditionalFormatting>
  <conditionalFormatting sqref="V19">
    <cfRule type="cellIs" dxfId="9443" priority="652" operator="greaterThan">
      <formula>V18</formula>
    </cfRule>
    <cfRule type="cellIs" dxfId="9442" priority="653" operator="equal">
      <formula>0</formula>
    </cfRule>
  </conditionalFormatting>
  <conditionalFormatting sqref="V18">
    <cfRule type="cellIs" dxfId="9441" priority="650" operator="greaterThan">
      <formula>V17</formula>
    </cfRule>
    <cfRule type="cellIs" dxfId="9440" priority="651" operator="equal">
      <formula>0</formula>
    </cfRule>
  </conditionalFormatting>
  <conditionalFormatting sqref="V22 V24:V25">
    <cfRule type="cellIs" dxfId="9439" priority="648" operator="greaterThan">
      <formula>V21</formula>
    </cfRule>
    <cfRule type="cellIs" dxfId="9438" priority="649" operator="equal">
      <formula>0</formula>
    </cfRule>
  </conditionalFormatting>
  <conditionalFormatting sqref="V21">
    <cfRule type="cellIs" dxfId="9437" priority="646" operator="greaterThan">
      <formula>V20</formula>
    </cfRule>
    <cfRule type="cellIs" dxfId="9436" priority="647" operator="equal">
      <formula>0</formula>
    </cfRule>
  </conditionalFormatting>
  <conditionalFormatting sqref="V24">
    <cfRule type="cellIs" dxfId="9435" priority="644" operator="greaterThan">
      <formula>V23</formula>
    </cfRule>
    <cfRule type="cellIs" dxfId="9434" priority="645" operator="equal">
      <formula>0</formula>
    </cfRule>
  </conditionalFormatting>
  <conditionalFormatting sqref="V27:V28">
    <cfRule type="cellIs" dxfId="9433" priority="642" operator="greaterThan">
      <formula>V26</formula>
    </cfRule>
    <cfRule type="cellIs" dxfId="9432" priority="643" operator="equal">
      <formula>0</formula>
    </cfRule>
  </conditionalFormatting>
  <conditionalFormatting sqref="V27">
    <cfRule type="cellIs" dxfId="9431" priority="640" operator="greaterThan">
      <formula>V26</formula>
    </cfRule>
    <cfRule type="cellIs" dxfId="9430" priority="641" operator="equal">
      <formula>0</formula>
    </cfRule>
  </conditionalFormatting>
  <conditionalFormatting sqref="V16">
    <cfRule type="cellIs" dxfId="9429" priority="638" operator="greaterThan">
      <formula>V15</formula>
    </cfRule>
    <cfRule type="cellIs" dxfId="9428" priority="639" operator="equal">
      <formula>0</formula>
    </cfRule>
  </conditionalFormatting>
  <conditionalFormatting sqref="V15">
    <cfRule type="cellIs" dxfId="9427" priority="636" operator="greaterThan">
      <formula>V14</formula>
    </cfRule>
    <cfRule type="cellIs" dxfId="9426" priority="637" operator="equal">
      <formula>0</formula>
    </cfRule>
  </conditionalFormatting>
  <conditionalFormatting sqref="V19">
    <cfRule type="cellIs" dxfId="9425" priority="634" operator="greaterThan">
      <formula>V18</formula>
    </cfRule>
    <cfRule type="cellIs" dxfId="9424" priority="635" operator="equal">
      <formula>0</formula>
    </cfRule>
  </conditionalFormatting>
  <conditionalFormatting sqref="V18">
    <cfRule type="cellIs" dxfId="9423" priority="632" operator="greaterThan">
      <formula>V17</formula>
    </cfRule>
    <cfRule type="cellIs" dxfId="9422" priority="633" operator="equal">
      <formula>0</formula>
    </cfRule>
  </conditionalFormatting>
  <conditionalFormatting sqref="V22">
    <cfRule type="cellIs" dxfId="9421" priority="630" operator="greaterThan">
      <formula>V21</formula>
    </cfRule>
    <cfRule type="cellIs" dxfId="9420" priority="631" operator="equal">
      <formula>0</formula>
    </cfRule>
  </conditionalFormatting>
  <conditionalFormatting sqref="V21">
    <cfRule type="cellIs" dxfId="9419" priority="628" operator="greaterThan">
      <formula>V20</formula>
    </cfRule>
    <cfRule type="cellIs" dxfId="9418" priority="629" operator="equal">
      <formula>0</formula>
    </cfRule>
  </conditionalFormatting>
  <conditionalFormatting sqref="V25">
    <cfRule type="cellIs" dxfId="9417" priority="626" operator="greaterThan">
      <formula>V24</formula>
    </cfRule>
    <cfRule type="cellIs" dxfId="9416" priority="627" operator="equal">
      <formula>0</formula>
    </cfRule>
  </conditionalFormatting>
  <conditionalFormatting sqref="V24">
    <cfRule type="cellIs" dxfId="9415" priority="624" operator="greaterThan">
      <formula>V23</formula>
    </cfRule>
    <cfRule type="cellIs" dxfId="9414" priority="625" operator="equal">
      <formula>0</formula>
    </cfRule>
  </conditionalFormatting>
  <conditionalFormatting sqref="V28">
    <cfRule type="cellIs" dxfId="9413" priority="622" operator="greaterThan">
      <formula>V27</formula>
    </cfRule>
    <cfRule type="cellIs" dxfId="9412" priority="623" operator="equal">
      <formula>0</formula>
    </cfRule>
  </conditionalFormatting>
  <conditionalFormatting sqref="V27">
    <cfRule type="cellIs" dxfId="9411" priority="620" operator="greaterThan">
      <formula>V26</formula>
    </cfRule>
    <cfRule type="cellIs" dxfId="9410" priority="621" operator="equal">
      <formula>0</formula>
    </cfRule>
  </conditionalFormatting>
  <conditionalFormatting sqref="V30:V31 X30:X31">
    <cfRule type="cellIs" dxfId="9409" priority="619" operator="equal">
      <formula>0</formula>
    </cfRule>
  </conditionalFormatting>
  <conditionalFormatting sqref="V31">
    <cfRule type="cellIs" dxfId="9408" priority="617" operator="greaterThan">
      <formula>V30</formula>
    </cfRule>
    <cfRule type="cellIs" dxfId="9407" priority="618" operator="equal">
      <formula>0</formula>
    </cfRule>
  </conditionalFormatting>
  <conditionalFormatting sqref="V30">
    <cfRule type="cellIs" dxfId="9406" priority="615" operator="greaterThan">
      <formula>V29</formula>
    </cfRule>
    <cfRule type="cellIs" dxfId="9405" priority="616" operator="equal">
      <formula>0</formula>
    </cfRule>
  </conditionalFormatting>
  <conditionalFormatting sqref="V33:V34 X33:X34">
    <cfRule type="cellIs" dxfId="9404" priority="614" operator="equal">
      <formula>0</formula>
    </cfRule>
  </conditionalFormatting>
  <conditionalFormatting sqref="V34">
    <cfRule type="cellIs" dxfId="9403" priority="612" operator="greaterThan">
      <formula>V33</formula>
    </cfRule>
    <cfRule type="cellIs" dxfId="9402" priority="613" operator="equal">
      <formula>0</formula>
    </cfRule>
  </conditionalFormatting>
  <conditionalFormatting sqref="V33">
    <cfRule type="cellIs" dxfId="9401" priority="610" operator="greaterThan">
      <formula>V32</formula>
    </cfRule>
    <cfRule type="cellIs" dxfId="9400" priority="611" operator="equal">
      <formula>0</formula>
    </cfRule>
  </conditionalFormatting>
  <conditionalFormatting sqref="V36:V37 X36:X37">
    <cfRule type="cellIs" dxfId="9399" priority="609" operator="equal">
      <formula>0</formula>
    </cfRule>
  </conditionalFormatting>
  <conditionalFormatting sqref="V37">
    <cfRule type="cellIs" dxfId="9398" priority="607" operator="greaterThan">
      <formula>V36</formula>
    </cfRule>
    <cfRule type="cellIs" dxfId="9397" priority="608" operator="equal">
      <formula>0</formula>
    </cfRule>
  </conditionalFormatting>
  <conditionalFormatting sqref="V36">
    <cfRule type="cellIs" dxfId="9396" priority="605" operator="greaterThan">
      <formula>V35</formula>
    </cfRule>
    <cfRule type="cellIs" dxfId="9395" priority="606" operator="equal">
      <formula>0</formula>
    </cfRule>
  </conditionalFormatting>
  <conditionalFormatting sqref="V16">
    <cfRule type="cellIs" dxfId="9394" priority="603" operator="greaterThan">
      <formula>V15</formula>
    </cfRule>
    <cfRule type="cellIs" dxfId="9393" priority="604" operator="equal">
      <formula>0</formula>
    </cfRule>
  </conditionalFormatting>
  <conditionalFormatting sqref="V15">
    <cfRule type="cellIs" dxfId="9392" priority="601" operator="greaterThan">
      <formula>V14</formula>
    </cfRule>
    <cfRule type="cellIs" dxfId="9391" priority="602" operator="equal">
      <formula>0</formula>
    </cfRule>
  </conditionalFormatting>
  <conditionalFormatting sqref="V16">
    <cfRule type="cellIs" dxfId="9390" priority="599" operator="greaterThan">
      <formula>V15</formula>
    </cfRule>
    <cfRule type="cellIs" dxfId="9389" priority="600" operator="equal">
      <formula>0</formula>
    </cfRule>
  </conditionalFormatting>
  <conditionalFormatting sqref="V15">
    <cfRule type="cellIs" dxfId="9388" priority="597" operator="greaterThan">
      <formula>V14</formula>
    </cfRule>
    <cfRule type="cellIs" dxfId="9387" priority="598" operator="equal">
      <formula>0</formula>
    </cfRule>
  </conditionalFormatting>
  <conditionalFormatting sqref="V19">
    <cfRule type="cellIs" dxfId="9386" priority="595" operator="greaterThan">
      <formula>V18</formula>
    </cfRule>
    <cfRule type="cellIs" dxfId="9385" priority="596" operator="equal">
      <formula>0</formula>
    </cfRule>
  </conditionalFormatting>
  <conditionalFormatting sqref="V18">
    <cfRule type="cellIs" dxfId="9384" priority="593" operator="greaterThan">
      <formula>V17</formula>
    </cfRule>
    <cfRule type="cellIs" dxfId="9383" priority="594" operator="equal">
      <formula>0</formula>
    </cfRule>
  </conditionalFormatting>
  <conditionalFormatting sqref="V19">
    <cfRule type="cellIs" dxfId="9382" priority="591" operator="greaterThan">
      <formula>V18</formula>
    </cfRule>
    <cfRule type="cellIs" dxfId="9381" priority="592" operator="equal">
      <formula>0</formula>
    </cfRule>
  </conditionalFormatting>
  <conditionalFormatting sqref="V18">
    <cfRule type="cellIs" dxfId="9380" priority="589" operator="greaterThan">
      <formula>V17</formula>
    </cfRule>
    <cfRule type="cellIs" dxfId="9379" priority="590" operator="equal">
      <formula>0</formula>
    </cfRule>
  </conditionalFormatting>
  <conditionalFormatting sqref="V19">
    <cfRule type="cellIs" dxfId="9378" priority="587" operator="greaterThan">
      <formula>V18</formula>
    </cfRule>
    <cfRule type="cellIs" dxfId="9377" priority="588" operator="equal">
      <formula>0</formula>
    </cfRule>
  </conditionalFormatting>
  <conditionalFormatting sqref="V18">
    <cfRule type="cellIs" dxfId="9376" priority="585" operator="greaterThan">
      <formula>V17</formula>
    </cfRule>
    <cfRule type="cellIs" dxfId="9375" priority="586" operator="equal">
      <formula>0</formula>
    </cfRule>
  </conditionalFormatting>
  <conditionalFormatting sqref="V19">
    <cfRule type="cellIs" dxfId="9374" priority="583" operator="greaterThan">
      <formula>V18</formula>
    </cfRule>
    <cfRule type="cellIs" dxfId="9373" priority="584" operator="equal">
      <formula>0</formula>
    </cfRule>
  </conditionalFormatting>
  <conditionalFormatting sqref="V18">
    <cfRule type="cellIs" dxfId="9372" priority="581" operator="greaterThan">
      <formula>V17</formula>
    </cfRule>
    <cfRule type="cellIs" dxfId="9371" priority="582" operator="equal">
      <formula>0</formula>
    </cfRule>
  </conditionalFormatting>
  <conditionalFormatting sqref="V22">
    <cfRule type="cellIs" dxfId="9370" priority="579" operator="greaterThan">
      <formula>V21</formula>
    </cfRule>
    <cfRule type="cellIs" dxfId="9369" priority="580" operator="equal">
      <formula>0</formula>
    </cfRule>
  </conditionalFormatting>
  <conditionalFormatting sqref="V21">
    <cfRule type="cellIs" dxfId="9368" priority="577" operator="greaterThan">
      <formula>V20</formula>
    </cfRule>
    <cfRule type="cellIs" dxfId="9367" priority="578" operator="equal">
      <formula>0</formula>
    </cfRule>
  </conditionalFormatting>
  <conditionalFormatting sqref="V22">
    <cfRule type="cellIs" dxfId="9366" priority="575" operator="greaterThan">
      <formula>V21</formula>
    </cfRule>
    <cfRule type="cellIs" dxfId="9365" priority="576" operator="equal">
      <formula>0</formula>
    </cfRule>
  </conditionalFormatting>
  <conditionalFormatting sqref="V21">
    <cfRule type="cellIs" dxfId="9364" priority="573" operator="greaterThan">
      <formula>V20</formula>
    </cfRule>
    <cfRule type="cellIs" dxfId="9363" priority="574" operator="equal">
      <formula>0</formula>
    </cfRule>
  </conditionalFormatting>
  <conditionalFormatting sqref="V22">
    <cfRule type="cellIs" dxfId="9362" priority="571" operator="greaterThan">
      <formula>V21</formula>
    </cfRule>
    <cfRule type="cellIs" dxfId="9361" priority="572" operator="equal">
      <formula>0</formula>
    </cfRule>
  </conditionalFormatting>
  <conditionalFormatting sqref="V21">
    <cfRule type="cellIs" dxfId="9360" priority="569" operator="greaterThan">
      <formula>V20</formula>
    </cfRule>
    <cfRule type="cellIs" dxfId="9359" priority="570" operator="equal">
      <formula>0</formula>
    </cfRule>
  </conditionalFormatting>
  <conditionalFormatting sqref="V22">
    <cfRule type="cellIs" dxfId="9358" priority="567" operator="greaterThan">
      <formula>V21</formula>
    </cfRule>
    <cfRule type="cellIs" dxfId="9357" priority="568" operator="equal">
      <formula>0</formula>
    </cfRule>
  </conditionalFormatting>
  <conditionalFormatting sqref="V21">
    <cfRule type="cellIs" dxfId="9356" priority="565" operator="greaterThan">
      <formula>V20</formula>
    </cfRule>
    <cfRule type="cellIs" dxfId="9355" priority="566" operator="equal">
      <formula>0</formula>
    </cfRule>
  </conditionalFormatting>
  <conditionalFormatting sqref="V22">
    <cfRule type="cellIs" dxfId="9354" priority="563" operator="greaterThan">
      <formula>V21</formula>
    </cfRule>
    <cfRule type="cellIs" dxfId="9353" priority="564" operator="equal">
      <formula>0</formula>
    </cfRule>
  </conditionalFormatting>
  <conditionalFormatting sqref="V21">
    <cfRule type="cellIs" dxfId="9352" priority="561" operator="greaterThan">
      <formula>V20</formula>
    </cfRule>
    <cfRule type="cellIs" dxfId="9351" priority="562" operator="equal">
      <formula>0</formula>
    </cfRule>
  </conditionalFormatting>
  <conditionalFormatting sqref="V22">
    <cfRule type="cellIs" dxfId="9350" priority="559" operator="greaterThan">
      <formula>V21</formula>
    </cfRule>
    <cfRule type="cellIs" dxfId="9349" priority="560" operator="equal">
      <formula>0</formula>
    </cfRule>
  </conditionalFormatting>
  <conditionalFormatting sqref="V21">
    <cfRule type="cellIs" dxfId="9348" priority="557" operator="greaterThan">
      <formula>V20</formula>
    </cfRule>
    <cfRule type="cellIs" dxfId="9347" priority="558" operator="equal">
      <formula>0</formula>
    </cfRule>
  </conditionalFormatting>
  <conditionalFormatting sqref="V24">
    <cfRule type="cellIs" dxfId="9346" priority="555" operator="greaterThan">
      <formula>V23</formula>
    </cfRule>
    <cfRule type="cellIs" dxfId="9345" priority="556" operator="equal">
      <formula>0</formula>
    </cfRule>
  </conditionalFormatting>
  <conditionalFormatting sqref="V25">
    <cfRule type="cellIs" dxfId="9344" priority="553" operator="greaterThan">
      <formula>V24</formula>
    </cfRule>
    <cfRule type="cellIs" dxfId="9343" priority="554" operator="equal">
      <formula>0</formula>
    </cfRule>
  </conditionalFormatting>
  <conditionalFormatting sqref="V24">
    <cfRule type="cellIs" dxfId="9342" priority="551" operator="greaterThan">
      <formula>V23</formula>
    </cfRule>
    <cfRule type="cellIs" dxfId="9341" priority="552" operator="equal">
      <formula>0</formula>
    </cfRule>
  </conditionalFormatting>
  <conditionalFormatting sqref="V25">
    <cfRule type="cellIs" dxfId="9340" priority="549" operator="greaterThan">
      <formula>V24</formula>
    </cfRule>
    <cfRule type="cellIs" dxfId="9339" priority="550" operator="equal">
      <formula>0</formula>
    </cfRule>
  </conditionalFormatting>
  <conditionalFormatting sqref="V24">
    <cfRule type="cellIs" dxfId="9338" priority="547" operator="greaterThan">
      <formula>V23</formula>
    </cfRule>
    <cfRule type="cellIs" dxfId="9337" priority="548" operator="equal">
      <formula>0</formula>
    </cfRule>
  </conditionalFormatting>
  <conditionalFormatting sqref="V25">
    <cfRule type="cellIs" dxfId="9336" priority="545" operator="greaterThan">
      <formula>V24</formula>
    </cfRule>
    <cfRule type="cellIs" dxfId="9335" priority="546" operator="equal">
      <formula>0</formula>
    </cfRule>
  </conditionalFormatting>
  <conditionalFormatting sqref="V24">
    <cfRule type="cellIs" dxfId="9334" priority="543" operator="greaterThan">
      <formula>V23</formula>
    </cfRule>
    <cfRule type="cellIs" dxfId="9333" priority="544" operator="equal">
      <formula>0</formula>
    </cfRule>
  </conditionalFormatting>
  <conditionalFormatting sqref="V25">
    <cfRule type="cellIs" dxfId="9332" priority="541" operator="greaterThan">
      <formula>V24</formula>
    </cfRule>
    <cfRule type="cellIs" dxfId="9331" priority="542" operator="equal">
      <formula>0</formula>
    </cfRule>
  </conditionalFormatting>
  <conditionalFormatting sqref="V24">
    <cfRule type="cellIs" dxfId="9330" priority="539" operator="greaterThan">
      <formula>V23</formula>
    </cfRule>
    <cfRule type="cellIs" dxfId="9329" priority="540" operator="equal">
      <formula>0</formula>
    </cfRule>
  </conditionalFormatting>
  <conditionalFormatting sqref="V25">
    <cfRule type="cellIs" dxfId="9328" priority="537" operator="greaterThan">
      <formula>V24</formula>
    </cfRule>
    <cfRule type="cellIs" dxfId="9327" priority="538" operator="equal">
      <formula>0</formula>
    </cfRule>
  </conditionalFormatting>
  <conditionalFormatting sqref="V24">
    <cfRule type="cellIs" dxfId="9326" priority="535" operator="greaterThan">
      <formula>V23</formula>
    </cfRule>
    <cfRule type="cellIs" dxfId="9325" priority="536" operator="equal">
      <formula>0</formula>
    </cfRule>
  </conditionalFormatting>
  <conditionalFormatting sqref="V25">
    <cfRule type="cellIs" dxfId="9324" priority="533" operator="greaterThan">
      <formula>V24</formula>
    </cfRule>
    <cfRule type="cellIs" dxfId="9323" priority="534" operator="equal">
      <formula>0</formula>
    </cfRule>
  </conditionalFormatting>
  <conditionalFormatting sqref="V24">
    <cfRule type="cellIs" dxfId="9322" priority="531" operator="greaterThan">
      <formula>V23</formula>
    </cfRule>
    <cfRule type="cellIs" dxfId="9321" priority="532" operator="equal">
      <formula>0</formula>
    </cfRule>
  </conditionalFormatting>
  <conditionalFormatting sqref="V25">
    <cfRule type="cellIs" dxfId="9320" priority="529" operator="greaterThan">
      <formula>V24</formula>
    </cfRule>
    <cfRule type="cellIs" dxfId="9319" priority="530" operator="equal">
      <formula>0</formula>
    </cfRule>
  </conditionalFormatting>
  <conditionalFormatting sqref="V24">
    <cfRule type="cellIs" dxfId="9318" priority="527" operator="greaterThan">
      <formula>V23</formula>
    </cfRule>
    <cfRule type="cellIs" dxfId="9317" priority="528" operator="equal">
      <formula>0</formula>
    </cfRule>
  </conditionalFormatting>
  <conditionalFormatting sqref="V27:V28">
    <cfRule type="cellIs" dxfId="9316" priority="525" operator="greaterThan">
      <formula>V26</formula>
    </cfRule>
    <cfRule type="cellIs" dxfId="9315" priority="526" operator="equal">
      <formula>0</formula>
    </cfRule>
  </conditionalFormatting>
  <conditionalFormatting sqref="V27">
    <cfRule type="cellIs" dxfId="9314" priority="523" operator="greaterThan">
      <formula>V26</formula>
    </cfRule>
    <cfRule type="cellIs" dxfId="9313" priority="524" operator="equal">
      <formula>0</formula>
    </cfRule>
  </conditionalFormatting>
  <conditionalFormatting sqref="V28">
    <cfRule type="cellIs" dxfId="9312" priority="521" operator="greaterThan">
      <formula>V27</formula>
    </cfRule>
    <cfRule type="cellIs" dxfId="9311" priority="522" operator="equal">
      <formula>0</formula>
    </cfRule>
  </conditionalFormatting>
  <conditionalFormatting sqref="V27">
    <cfRule type="cellIs" dxfId="9310" priority="519" operator="greaterThan">
      <formula>V26</formula>
    </cfRule>
    <cfRule type="cellIs" dxfId="9309" priority="520" operator="equal">
      <formula>0</formula>
    </cfRule>
  </conditionalFormatting>
  <conditionalFormatting sqref="V27">
    <cfRule type="cellIs" dxfId="9308" priority="517" operator="greaterThan">
      <formula>V26</formula>
    </cfRule>
    <cfRule type="cellIs" dxfId="9307" priority="518" operator="equal">
      <formula>0</formula>
    </cfRule>
  </conditionalFormatting>
  <conditionalFormatting sqref="V28">
    <cfRule type="cellIs" dxfId="9306" priority="515" operator="greaterThan">
      <formula>V27</formula>
    </cfRule>
    <cfRule type="cellIs" dxfId="9305" priority="516" operator="equal">
      <formula>0</formula>
    </cfRule>
  </conditionalFormatting>
  <conditionalFormatting sqref="V27">
    <cfRule type="cellIs" dxfId="9304" priority="513" operator="greaterThan">
      <formula>V26</formula>
    </cfRule>
    <cfRule type="cellIs" dxfId="9303" priority="514" operator="equal">
      <formula>0</formula>
    </cfRule>
  </conditionalFormatting>
  <conditionalFormatting sqref="V28">
    <cfRule type="cellIs" dxfId="9302" priority="511" operator="greaterThan">
      <formula>V27</formula>
    </cfRule>
    <cfRule type="cellIs" dxfId="9301" priority="512" operator="equal">
      <formula>0</formula>
    </cfRule>
  </conditionalFormatting>
  <conditionalFormatting sqref="V27">
    <cfRule type="cellIs" dxfId="9300" priority="509" operator="greaterThan">
      <formula>V26</formula>
    </cfRule>
    <cfRule type="cellIs" dxfId="9299" priority="510" operator="equal">
      <formula>0</formula>
    </cfRule>
  </conditionalFormatting>
  <conditionalFormatting sqref="V28">
    <cfRule type="cellIs" dxfId="9298" priority="507" operator="greaterThan">
      <formula>V27</formula>
    </cfRule>
    <cfRule type="cellIs" dxfId="9297" priority="508" operator="equal">
      <formula>0</formula>
    </cfRule>
  </conditionalFormatting>
  <conditionalFormatting sqref="V27">
    <cfRule type="cellIs" dxfId="9296" priority="505" operator="greaterThan">
      <formula>V26</formula>
    </cfRule>
    <cfRule type="cellIs" dxfId="9295" priority="506" operator="equal">
      <formula>0</formula>
    </cfRule>
  </conditionalFormatting>
  <conditionalFormatting sqref="V28">
    <cfRule type="cellIs" dxfId="9294" priority="503" operator="greaterThan">
      <formula>V27</formula>
    </cfRule>
    <cfRule type="cellIs" dxfId="9293" priority="504" operator="equal">
      <formula>0</formula>
    </cfRule>
  </conditionalFormatting>
  <conditionalFormatting sqref="V27">
    <cfRule type="cellIs" dxfId="9292" priority="501" operator="greaterThan">
      <formula>V26</formula>
    </cfRule>
    <cfRule type="cellIs" dxfId="9291" priority="502" operator="equal">
      <formula>0</formula>
    </cfRule>
  </conditionalFormatting>
  <conditionalFormatting sqref="V28">
    <cfRule type="cellIs" dxfId="9290" priority="499" operator="greaterThan">
      <formula>V27</formula>
    </cfRule>
    <cfRule type="cellIs" dxfId="9289" priority="500" operator="equal">
      <formula>0</formula>
    </cfRule>
  </conditionalFormatting>
  <conditionalFormatting sqref="V27">
    <cfRule type="cellIs" dxfId="9288" priority="497" operator="greaterThan">
      <formula>V26</formula>
    </cfRule>
    <cfRule type="cellIs" dxfId="9287" priority="498" operator="equal">
      <formula>0</formula>
    </cfRule>
  </conditionalFormatting>
  <conditionalFormatting sqref="V28">
    <cfRule type="cellIs" dxfId="9286" priority="495" operator="greaterThan">
      <formula>V27</formula>
    </cfRule>
    <cfRule type="cellIs" dxfId="9285" priority="496" operator="equal">
      <formula>0</formula>
    </cfRule>
  </conditionalFormatting>
  <conditionalFormatting sqref="V27">
    <cfRule type="cellIs" dxfId="9284" priority="493" operator="greaterThan">
      <formula>V26</formula>
    </cfRule>
    <cfRule type="cellIs" dxfId="9283" priority="494" operator="equal">
      <formula>0</formula>
    </cfRule>
  </conditionalFormatting>
  <conditionalFormatting sqref="V28">
    <cfRule type="cellIs" dxfId="9282" priority="491" operator="greaterThan">
      <formula>V27</formula>
    </cfRule>
    <cfRule type="cellIs" dxfId="9281" priority="492" operator="equal">
      <formula>0</formula>
    </cfRule>
  </conditionalFormatting>
  <conditionalFormatting sqref="V27">
    <cfRule type="cellIs" dxfId="9280" priority="489" operator="greaterThan">
      <formula>V26</formula>
    </cfRule>
    <cfRule type="cellIs" dxfId="9279" priority="490" operator="equal">
      <formula>0</formula>
    </cfRule>
  </conditionalFormatting>
  <conditionalFormatting sqref="V19">
    <cfRule type="cellIs" dxfId="9278" priority="487" operator="greaterThan">
      <formula>V18</formula>
    </cfRule>
    <cfRule type="cellIs" dxfId="9277" priority="488" operator="equal">
      <formula>0</formula>
    </cfRule>
  </conditionalFormatting>
  <conditionalFormatting sqref="V18">
    <cfRule type="cellIs" dxfId="9276" priority="485" operator="greaterThan">
      <formula>V17</formula>
    </cfRule>
    <cfRule type="cellIs" dxfId="9275" priority="486" operator="equal">
      <formula>0</formula>
    </cfRule>
  </conditionalFormatting>
  <conditionalFormatting sqref="V19">
    <cfRule type="cellIs" dxfId="9274" priority="483" operator="greaterThan">
      <formula>V18</formula>
    </cfRule>
    <cfRule type="cellIs" dxfId="9273" priority="484" operator="equal">
      <formula>0</formula>
    </cfRule>
  </conditionalFormatting>
  <conditionalFormatting sqref="V18">
    <cfRule type="cellIs" dxfId="9272" priority="481" operator="greaterThan">
      <formula>V17</formula>
    </cfRule>
    <cfRule type="cellIs" dxfId="9271" priority="482" operator="equal">
      <formula>0</formula>
    </cfRule>
  </conditionalFormatting>
  <conditionalFormatting sqref="V19">
    <cfRule type="cellIs" dxfId="9270" priority="479" operator="greaterThan">
      <formula>V18</formula>
    </cfRule>
    <cfRule type="cellIs" dxfId="9269" priority="480" operator="equal">
      <formula>0</formula>
    </cfRule>
  </conditionalFormatting>
  <conditionalFormatting sqref="V18">
    <cfRule type="cellIs" dxfId="9268" priority="477" operator="greaterThan">
      <formula>V17</formula>
    </cfRule>
    <cfRule type="cellIs" dxfId="9267" priority="478" operator="equal">
      <formula>0</formula>
    </cfRule>
  </conditionalFormatting>
  <conditionalFormatting sqref="V19">
    <cfRule type="cellIs" dxfId="9266" priority="475" operator="greaterThan">
      <formula>V18</formula>
    </cfRule>
    <cfRule type="cellIs" dxfId="9265" priority="476" operator="equal">
      <formula>0</formula>
    </cfRule>
  </conditionalFormatting>
  <conditionalFormatting sqref="V18">
    <cfRule type="cellIs" dxfId="9264" priority="473" operator="greaterThan">
      <formula>V17</formula>
    </cfRule>
    <cfRule type="cellIs" dxfId="9263" priority="474" operator="equal">
      <formula>0</formula>
    </cfRule>
  </conditionalFormatting>
  <conditionalFormatting sqref="V16">
    <cfRule type="cellIs" dxfId="9262" priority="471" operator="greaterThan">
      <formula>V15</formula>
    </cfRule>
    <cfRule type="cellIs" dxfId="9261" priority="472" operator="equal">
      <formula>0</formula>
    </cfRule>
  </conditionalFormatting>
  <conditionalFormatting sqref="V16">
    <cfRule type="cellIs" dxfId="9260" priority="469" operator="greaterThan">
      <formula>V15</formula>
    </cfRule>
    <cfRule type="cellIs" dxfId="9259" priority="470" operator="equal">
      <formula>0</formula>
    </cfRule>
  </conditionalFormatting>
  <conditionalFormatting sqref="V16">
    <cfRule type="cellIs" dxfId="9258" priority="467" operator="greaterThan">
      <formula>V15</formula>
    </cfRule>
    <cfRule type="cellIs" dxfId="9257" priority="468" operator="equal">
      <formula>0</formula>
    </cfRule>
  </conditionalFormatting>
  <conditionalFormatting sqref="V16">
    <cfRule type="cellIs" dxfId="9256" priority="465" operator="greaterThan">
      <formula>V15</formula>
    </cfRule>
    <cfRule type="cellIs" dxfId="9255" priority="466" operator="equal">
      <formula>0</formula>
    </cfRule>
  </conditionalFormatting>
  <conditionalFormatting sqref="V19">
    <cfRule type="cellIs" dxfId="9254" priority="463" operator="greaterThan">
      <formula>V18</formula>
    </cfRule>
    <cfRule type="cellIs" dxfId="9253" priority="464" operator="equal">
      <formula>0</formula>
    </cfRule>
  </conditionalFormatting>
  <conditionalFormatting sqref="V19">
    <cfRule type="cellIs" dxfId="9252" priority="461" operator="greaterThan">
      <formula>V18</formula>
    </cfRule>
    <cfRule type="cellIs" dxfId="9251" priority="462" operator="equal">
      <formula>0</formula>
    </cfRule>
  </conditionalFormatting>
  <conditionalFormatting sqref="V19">
    <cfRule type="cellIs" dxfId="9250" priority="459" operator="greaterThan">
      <formula>V18</formula>
    </cfRule>
    <cfRule type="cellIs" dxfId="9249" priority="460" operator="equal">
      <formula>0</formula>
    </cfRule>
  </conditionalFormatting>
  <conditionalFormatting sqref="V19">
    <cfRule type="cellIs" dxfId="9248" priority="457" operator="greaterThan">
      <formula>V18</formula>
    </cfRule>
    <cfRule type="cellIs" dxfId="9247" priority="458" operator="equal">
      <formula>0</formula>
    </cfRule>
  </conditionalFormatting>
  <conditionalFormatting sqref="V19">
    <cfRule type="cellIs" dxfId="9246" priority="455" operator="greaterThan">
      <formula>V18</formula>
    </cfRule>
    <cfRule type="cellIs" dxfId="9245" priority="456" operator="equal">
      <formula>0</formula>
    </cfRule>
  </conditionalFormatting>
  <conditionalFormatting sqref="V19">
    <cfRule type="cellIs" dxfId="9244" priority="453" operator="greaterThan">
      <formula>V18</formula>
    </cfRule>
    <cfRule type="cellIs" dxfId="9243" priority="454" operator="equal">
      <formula>0</formula>
    </cfRule>
  </conditionalFormatting>
  <conditionalFormatting sqref="V19">
    <cfRule type="cellIs" dxfId="9242" priority="451" operator="greaterThan">
      <formula>V18</formula>
    </cfRule>
    <cfRule type="cellIs" dxfId="9241" priority="452" operator="equal">
      <formula>0</formula>
    </cfRule>
  </conditionalFormatting>
  <conditionalFormatting sqref="V19">
    <cfRule type="cellIs" dxfId="9240" priority="449" operator="greaterThan">
      <formula>V18</formula>
    </cfRule>
    <cfRule type="cellIs" dxfId="9239" priority="450" operator="equal">
      <formula>0</formula>
    </cfRule>
  </conditionalFormatting>
  <conditionalFormatting sqref="V19">
    <cfRule type="cellIs" dxfId="9238" priority="447" operator="greaterThan">
      <formula>V18</formula>
    </cfRule>
    <cfRule type="cellIs" dxfId="9237" priority="448" operator="equal">
      <formula>0</formula>
    </cfRule>
  </conditionalFormatting>
  <conditionalFormatting sqref="V19">
    <cfRule type="cellIs" dxfId="9236" priority="445" operator="greaterThan">
      <formula>V18</formula>
    </cfRule>
    <cfRule type="cellIs" dxfId="9235" priority="446" operator="equal">
      <formula>0</formula>
    </cfRule>
  </conditionalFormatting>
  <conditionalFormatting sqref="V22">
    <cfRule type="cellIs" dxfId="9234" priority="443" operator="greaterThan">
      <formula>V21</formula>
    </cfRule>
    <cfRule type="cellIs" dxfId="9233" priority="444" operator="equal">
      <formula>0</formula>
    </cfRule>
  </conditionalFormatting>
  <conditionalFormatting sqref="V21">
    <cfRule type="cellIs" dxfId="9232" priority="441" operator="greaterThan">
      <formula>V20</formula>
    </cfRule>
    <cfRule type="cellIs" dxfId="9231" priority="442" operator="equal">
      <formula>0</formula>
    </cfRule>
  </conditionalFormatting>
  <conditionalFormatting sqref="V22">
    <cfRule type="cellIs" dxfId="9230" priority="439" operator="greaterThan">
      <formula>V21</formula>
    </cfRule>
    <cfRule type="cellIs" dxfId="9229" priority="440" operator="equal">
      <formula>0</formula>
    </cfRule>
  </conditionalFormatting>
  <conditionalFormatting sqref="V21">
    <cfRule type="cellIs" dxfId="9228" priority="437" operator="greaterThan">
      <formula>V20</formula>
    </cfRule>
    <cfRule type="cellIs" dxfId="9227" priority="438" operator="equal">
      <formula>0</formula>
    </cfRule>
  </conditionalFormatting>
  <conditionalFormatting sqref="V22">
    <cfRule type="cellIs" dxfId="9226" priority="435" operator="greaterThan">
      <formula>V21</formula>
    </cfRule>
    <cfRule type="cellIs" dxfId="9225" priority="436" operator="equal">
      <formula>0</formula>
    </cfRule>
  </conditionalFormatting>
  <conditionalFormatting sqref="V21">
    <cfRule type="cellIs" dxfId="9224" priority="433" operator="greaterThan">
      <formula>V20</formula>
    </cfRule>
    <cfRule type="cellIs" dxfId="9223" priority="434" operator="equal">
      <formula>0</formula>
    </cfRule>
  </conditionalFormatting>
  <conditionalFormatting sqref="V22">
    <cfRule type="cellIs" dxfId="9222" priority="431" operator="greaterThan">
      <formula>V21</formula>
    </cfRule>
    <cfRule type="cellIs" dxfId="9221" priority="432" operator="equal">
      <formula>0</formula>
    </cfRule>
  </conditionalFormatting>
  <conditionalFormatting sqref="V21">
    <cfRule type="cellIs" dxfId="9220" priority="429" operator="greaterThan">
      <formula>V20</formula>
    </cfRule>
    <cfRule type="cellIs" dxfId="9219" priority="430" operator="equal">
      <formula>0</formula>
    </cfRule>
  </conditionalFormatting>
  <conditionalFormatting sqref="V22">
    <cfRule type="cellIs" dxfId="9218" priority="427" operator="greaterThan">
      <formula>V21</formula>
    </cfRule>
    <cfRule type="cellIs" dxfId="9217" priority="428" operator="equal">
      <formula>0</formula>
    </cfRule>
  </conditionalFormatting>
  <conditionalFormatting sqref="V21">
    <cfRule type="cellIs" dxfId="9216" priority="425" operator="greaterThan">
      <formula>V20</formula>
    </cfRule>
    <cfRule type="cellIs" dxfId="9215" priority="426" operator="equal">
      <formula>0</formula>
    </cfRule>
  </conditionalFormatting>
  <conditionalFormatting sqref="V22">
    <cfRule type="cellIs" dxfId="9214" priority="423" operator="greaterThan">
      <formula>V21</formula>
    </cfRule>
    <cfRule type="cellIs" dxfId="9213" priority="424" operator="equal">
      <formula>0</formula>
    </cfRule>
  </conditionalFormatting>
  <conditionalFormatting sqref="V21">
    <cfRule type="cellIs" dxfId="9212" priority="421" operator="greaterThan">
      <formula>V20</formula>
    </cfRule>
    <cfRule type="cellIs" dxfId="9211" priority="422" operator="equal">
      <formula>0</formula>
    </cfRule>
  </conditionalFormatting>
  <conditionalFormatting sqref="V22">
    <cfRule type="cellIs" dxfId="9210" priority="419" operator="greaterThan">
      <formula>V21</formula>
    </cfRule>
    <cfRule type="cellIs" dxfId="9209" priority="420" operator="equal">
      <formula>0</formula>
    </cfRule>
  </conditionalFormatting>
  <conditionalFormatting sqref="V21">
    <cfRule type="cellIs" dxfId="9208" priority="417" operator="greaterThan">
      <formula>V20</formula>
    </cfRule>
    <cfRule type="cellIs" dxfId="9207" priority="418" operator="equal">
      <formula>0</formula>
    </cfRule>
  </conditionalFormatting>
  <conditionalFormatting sqref="V22">
    <cfRule type="cellIs" dxfId="9206" priority="415" operator="greaterThan">
      <formula>V21</formula>
    </cfRule>
    <cfRule type="cellIs" dxfId="9205" priority="416" operator="equal">
      <formula>0</formula>
    </cfRule>
  </conditionalFormatting>
  <conditionalFormatting sqref="V21">
    <cfRule type="cellIs" dxfId="9204" priority="413" operator="greaterThan">
      <formula>V20</formula>
    </cfRule>
    <cfRule type="cellIs" dxfId="9203" priority="414" operator="equal">
      <formula>0</formula>
    </cfRule>
  </conditionalFormatting>
  <conditionalFormatting sqref="V22">
    <cfRule type="cellIs" dxfId="9202" priority="411" operator="greaterThan">
      <formula>V21</formula>
    </cfRule>
    <cfRule type="cellIs" dxfId="9201" priority="412" operator="equal">
      <formula>0</formula>
    </cfRule>
  </conditionalFormatting>
  <conditionalFormatting sqref="V21">
    <cfRule type="cellIs" dxfId="9200" priority="409" operator="greaterThan">
      <formula>V20</formula>
    </cfRule>
    <cfRule type="cellIs" dxfId="9199" priority="410" operator="equal">
      <formula>0</formula>
    </cfRule>
  </conditionalFormatting>
  <conditionalFormatting sqref="V22">
    <cfRule type="cellIs" dxfId="9198" priority="407" operator="greaterThan">
      <formula>V21</formula>
    </cfRule>
    <cfRule type="cellIs" dxfId="9197" priority="408" operator="equal">
      <formula>0</formula>
    </cfRule>
  </conditionalFormatting>
  <conditionalFormatting sqref="V21">
    <cfRule type="cellIs" dxfId="9196" priority="405" operator="greaterThan">
      <formula>V20</formula>
    </cfRule>
    <cfRule type="cellIs" dxfId="9195" priority="406" operator="equal">
      <formula>0</formula>
    </cfRule>
  </conditionalFormatting>
  <conditionalFormatting sqref="V22">
    <cfRule type="cellIs" dxfId="9194" priority="403" operator="greaterThan">
      <formula>V21</formula>
    </cfRule>
    <cfRule type="cellIs" dxfId="9193" priority="404" operator="equal">
      <formula>0</formula>
    </cfRule>
  </conditionalFormatting>
  <conditionalFormatting sqref="V22">
    <cfRule type="cellIs" dxfId="9192" priority="401" operator="greaterThan">
      <formula>V21</formula>
    </cfRule>
    <cfRule type="cellIs" dxfId="9191" priority="402" operator="equal">
      <formula>0</formula>
    </cfRule>
  </conditionalFormatting>
  <conditionalFormatting sqref="V22">
    <cfRule type="cellIs" dxfId="9190" priority="399" operator="greaterThan">
      <formula>V21</formula>
    </cfRule>
    <cfRule type="cellIs" dxfId="9189" priority="400" operator="equal">
      <formula>0</formula>
    </cfRule>
  </conditionalFormatting>
  <conditionalFormatting sqref="V22">
    <cfRule type="cellIs" dxfId="9188" priority="397" operator="greaterThan">
      <formula>V21</formula>
    </cfRule>
    <cfRule type="cellIs" dxfId="9187" priority="398" operator="equal">
      <formula>0</formula>
    </cfRule>
  </conditionalFormatting>
  <conditionalFormatting sqref="V22">
    <cfRule type="cellIs" dxfId="9186" priority="395" operator="greaterThan">
      <formula>V21</formula>
    </cfRule>
    <cfRule type="cellIs" dxfId="9185" priority="396" operator="equal">
      <formula>0</formula>
    </cfRule>
  </conditionalFormatting>
  <conditionalFormatting sqref="V22">
    <cfRule type="cellIs" dxfId="9184" priority="393" operator="greaterThan">
      <formula>V21</formula>
    </cfRule>
    <cfRule type="cellIs" dxfId="9183" priority="394" operator="equal">
      <formula>0</formula>
    </cfRule>
  </conditionalFormatting>
  <conditionalFormatting sqref="V22">
    <cfRule type="cellIs" dxfId="9182" priority="391" operator="greaterThan">
      <formula>V21</formula>
    </cfRule>
    <cfRule type="cellIs" dxfId="9181" priority="392" operator="equal">
      <formula>0</formula>
    </cfRule>
  </conditionalFormatting>
  <conditionalFormatting sqref="V22">
    <cfRule type="cellIs" dxfId="9180" priority="389" operator="greaterThan">
      <formula>V21</formula>
    </cfRule>
    <cfRule type="cellIs" dxfId="9179" priority="390" operator="equal">
      <formula>0</formula>
    </cfRule>
  </conditionalFormatting>
  <conditionalFormatting sqref="V22">
    <cfRule type="cellIs" dxfId="9178" priority="387" operator="greaterThan">
      <formula>V21</formula>
    </cfRule>
    <cfRule type="cellIs" dxfId="9177" priority="388" operator="equal">
      <formula>0</formula>
    </cfRule>
  </conditionalFormatting>
  <conditionalFormatting sqref="V22">
    <cfRule type="cellIs" dxfId="9176" priority="385" operator="greaterThan">
      <formula>V21</formula>
    </cfRule>
    <cfRule type="cellIs" dxfId="9175" priority="386" operator="equal">
      <formula>0</formula>
    </cfRule>
  </conditionalFormatting>
  <conditionalFormatting sqref="V22">
    <cfRule type="cellIs" dxfId="9174" priority="383" operator="greaterThan">
      <formula>V21</formula>
    </cfRule>
    <cfRule type="cellIs" dxfId="9173" priority="384" operator="equal">
      <formula>0</formula>
    </cfRule>
  </conditionalFormatting>
  <conditionalFormatting sqref="V22">
    <cfRule type="cellIs" dxfId="9172" priority="381" operator="greaterThan">
      <formula>V21</formula>
    </cfRule>
    <cfRule type="cellIs" dxfId="9171" priority="382" operator="equal">
      <formula>0</formula>
    </cfRule>
  </conditionalFormatting>
  <conditionalFormatting sqref="V22">
    <cfRule type="cellIs" dxfId="9170" priority="379" operator="greaterThan">
      <formula>V21</formula>
    </cfRule>
    <cfRule type="cellIs" dxfId="9169" priority="380" operator="equal">
      <formula>0</formula>
    </cfRule>
  </conditionalFormatting>
  <conditionalFormatting sqref="V22">
    <cfRule type="cellIs" dxfId="9168" priority="377" operator="greaterThan">
      <formula>V21</formula>
    </cfRule>
    <cfRule type="cellIs" dxfId="9167" priority="378" operator="equal">
      <formula>0</formula>
    </cfRule>
  </conditionalFormatting>
  <conditionalFormatting sqref="V22">
    <cfRule type="cellIs" dxfId="9166" priority="375" operator="greaterThan">
      <formula>V21</formula>
    </cfRule>
    <cfRule type="cellIs" dxfId="9165" priority="376" operator="equal">
      <formula>0</formula>
    </cfRule>
  </conditionalFormatting>
  <conditionalFormatting sqref="V22">
    <cfRule type="cellIs" dxfId="9164" priority="373" operator="greaterThan">
      <formula>V21</formula>
    </cfRule>
    <cfRule type="cellIs" dxfId="9163" priority="374" operator="equal">
      <formula>0</formula>
    </cfRule>
  </conditionalFormatting>
  <conditionalFormatting sqref="V22">
    <cfRule type="cellIs" dxfId="9162" priority="371" operator="greaterThan">
      <formula>V21</formula>
    </cfRule>
    <cfRule type="cellIs" dxfId="9161" priority="372" operator="equal">
      <formula>0</formula>
    </cfRule>
  </conditionalFormatting>
  <conditionalFormatting sqref="V22">
    <cfRule type="cellIs" dxfId="9160" priority="369" operator="greaterThan">
      <formula>V21</formula>
    </cfRule>
    <cfRule type="cellIs" dxfId="9159" priority="370" operator="equal">
      <formula>0</formula>
    </cfRule>
  </conditionalFormatting>
  <conditionalFormatting sqref="V22">
    <cfRule type="cellIs" dxfId="9158" priority="367" operator="greaterThan">
      <formula>V21</formula>
    </cfRule>
    <cfRule type="cellIs" dxfId="9157" priority="368" operator="equal">
      <formula>0</formula>
    </cfRule>
  </conditionalFormatting>
  <conditionalFormatting sqref="V22">
    <cfRule type="cellIs" dxfId="9156" priority="365" operator="greaterThan">
      <formula>V21</formula>
    </cfRule>
    <cfRule type="cellIs" dxfId="9155" priority="366" operator="equal">
      <formula>0</formula>
    </cfRule>
  </conditionalFormatting>
  <conditionalFormatting sqref="V22">
    <cfRule type="cellIs" dxfId="9154" priority="363" operator="greaterThan">
      <formula>V21</formula>
    </cfRule>
    <cfRule type="cellIs" dxfId="9153" priority="364" operator="equal">
      <formula>0</formula>
    </cfRule>
  </conditionalFormatting>
  <conditionalFormatting sqref="V22">
    <cfRule type="cellIs" dxfId="9152" priority="361" operator="greaterThan">
      <formula>V21</formula>
    </cfRule>
    <cfRule type="cellIs" dxfId="9151" priority="362" operator="equal">
      <formula>0</formula>
    </cfRule>
  </conditionalFormatting>
  <conditionalFormatting sqref="V22">
    <cfRule type="cellIs" dxfId="9150" priority="359" operator="greaterThan">
      <formula>V21</formula>
    </cfRule>
    <cfRule type="cellIs" dxfId="9149" priority="360" operator="equal">
      <formula>0</formula>
    </cfRule>
  </conditionalFormatting>
  <conditionalFormatting sqref="V22">
    <cfRule type="cellIs" dxfId="9148" priority="357" operator="greaterThan">
      <formula>V21</formula>
    </cfRule>
    <cfRule type="cellIs" dxfId="9147" priority="358" operator="equal">
      <formula>0</formula>
    </cfRule>
  </conditionalFormatting>
  <conditionalFormatting sqref="V22">
    <cfRule type="cellIs" dxfId="9146" priority="355" operator="greaterThan">
      <formula>V21</formula>
    </cfRule>
    <cfRule type="cellIs" dxfId="9145" priority="356" operator="equal">
      <formula>0</formula>
    </cfRule>
  </conditionalFormatting>
  <conditionalFormatting sqref="V22">
    <cfRule type="cellIs" dxfId="9144" priority="353" operator="greaterThan">
      <formula>V21</formula>
    </cfRule>
    <cfRule type="cellIs" dxfId="9143" priority="354" operator="equal">
      <formula>0</formula>
    </cfRule>
  </conditionalFormatting>
  <conditionalFormatting sqref="V22">
    <cfRule type="cellIs" dxfId="9142" priority="351" operator="greaterThan">
      <formula>V21</formula>
    </cfRule>
    <cfRule type="cellIs" dxfId="9141" priority="352" operator="equal">
      <formula>0</formula>
    </cfRule>
  </conditionalFormatting>
  <conditionalFormatting sqref="V22">
    <cfRule type="cellIs" dxfId="9140" priority="349" operator="greaterThan">
      <formula>V21</formula>
    </cfRule>
    <cfRule type="cellIs" dxfId="9139" priority="350" operator="equal">
      <formula>0</formula>
    </cfRule>
  </conditionalFormatting>
  <conditionalFormatting sqref="V24">
    <cfRule type="cellIs" dxfId="9138" priority="347" operator="greaterThan">
      <formula>V23</formula>
    </cfRule>
    <cfRule type="cellIs" dxfId="9137" priority="348" operator="equal">
      <formula>0</formula>
    </cfRule>
  </conditionalFormatting>
  <conditionalFormatting sqref="V24">
    <cfRule type="cellIs" dxfId="9136" priority="345" operator="greaterThan">
      <formula>V23</formula>
    </cfRule>
    <cfRule type="cellIs" dxfId="9135" priority="346" operator="equal">
      <formula>0</formula>
    </cfRule>
  </conditionalFormatting>
  <conditionalFormatting sqref="V24">
    <cfRule type="cellIs" dxfId="9134" priority="343" operator="greaterThan">
      <formula>V23</formula>
    </cfRule>
    <cfRule type="cellIs" dxfId="9133" priority="344" operator="equal">
      <formula>0</formula>
    </cfRule>
  </conditionalFormatting>
  <conditionalFormatting sqref="V24">
    <cfRule type="cellIs" dxfId="9132" priority="341" operator="greaterThan">
      <formula>V23</formula>
    </cfRule>
    <cfRule type="cellIs" dxfId="9131" priority="342" operator="equal">
      <formula>0</formula>
    </cfRule>
  </conditionalFormatting>
  <conditionalFormatting sqref="V24">
    <cfRule type="cellIs" dxfId="9130" priority="339" operator="greaterThan">
      <formula>V23</formula>
    </cfRule>
    <cfRule type="cellIs" dxfId="9129" priority="340" operator="equal">
      <formula>0</formula>
    </cfRule>
  </conditionalFormatting>
  <conditionalFormatting sqref="V24">
    <cfRule type="cellIs" dxfId="9128" priority="337" operator="greaterThan">
      <formula>V23</formula>
    </cfRule>
    <cfRule type="cellIs" dxfId="9127" priority="338" operator="equal">
      <formula>0</formula>
    </cfRule>
  </conditionalFormatting>
  <conditionalFormatting sqref="V24">
    <cfRule type="cellIs" dxfId="9126" priority="335" operator="greaterThan">
      <formula>V23</formula>
    </cfRule>
    <cfRule type="cellIs" dxfId="9125" priority="336" operator="equal">
      <formula>0</formula>
    </cfRule>
  </conditionalFormatting>
  <conditionalFormatting sqref="V24">
    <cfRule type="cellIs" dxfId="9124" priority="333" operator="greaterThan">
      <formula>V23</formula>
    </cfRule>
    <cfRule type="cellIs" dxfId="9123" priority="334" operator="equal">
      <formula>0</formula>
    </cfRule>
  </conditionalFormatting>
  <conditionalFormatting sqref="V24">
    <cfRule type="cellIs" dxfId="9122" priority="331" operator="greaterThan">
      <formula>V23</formula>
    </cfRule>
    <cfRule type="cellIs" dxfId="9121" priority="332" operator="equal">
      <formula>0</formula>
    </cfRule>
  </conditionalFormatting>
  <conditionalFormatting sqref="V24">
    <cfRule type="cellIs" dxfId="9120" priority="329" operator="greaterThan">
      <formula>V23</formula>
    </cfRule>
    <cfRule type="cellIs" dxfId="9119" priority="330" operator="equal">
      <formula>0</formula>
    </cfRule>
  </conditionalFormatting>
  <conditionalFormatting sqref="V24">
    <cfRule type="cellIs" dxfId="9118" priority="327" operator="greaterThan">
      <formula>V23</formula>
    </cfRule>
    <cfRule type="cellIs" dxfId="9117" priority="328" operator="equal">
      <formula>0</formula>
    </cfRule>
  </conditionalFormatting>
  <conditionalFormatting sqref="V24">
    <cfRule type="cellIs" dxfId="9116" priority="325" operator="greaterThan">
      <formula>V23</formula>
    </cfRule>
    <cfRule type="cellIs" dxfId="9115" priority="326" operator="equal">
      <formula>0</formula>
    </cfRule>
  </conditionalFormatting>
  <conditionalFormatting sqref="V24">
    <cfRule type="cellIs" dxfId="9114" priority="323" operator="greaterThan">
      <formula>V23</formula>
    </cfRule>
    <cfRule type="cellIs" dxfId="9113" priority="324" operator="equal">
      <formula>0</formula>
    </cfRule>
  </conditionalFormatting>
  <conditionalFormatting sqref="V24">
    <cfRule type="cellIs" dxfId="9112" priority="321" operator="greaterThan">
      <formula>V23</formula>
    </cfRule>
    <cfRule type="cellIs" dxfId="9111" priority="322" operator="equal">
      <formula>0</formula>
    </cfRule>
  </conditionalFormatting>
  <conditionalFormatting sqref="V24">
    <cfRule type="cellIs" dxfId="9110" priority="319" operator="greaterThan">
      <formula>V23</formula>
    </cfRule>
    <cfRule type="cellIs" dxfId="9109" priority="320" operator="equal">
      <formula>0</formula>
    </cfRule>
  </conditionalFormatting>
  <conditionalFormatting sqref="V24">
    <cfRule type="cellIs" dxfId="9108" priority="317" operator="greaterThan">
      <formula>V23</formula>
    </cfRule>
    <cfRule type="cellIs" dxfId="9107" priority="318" operator="equal">
      <formula>0</formula>
    </cfRule>
  </conditionalFormatting>
  <conditionalFormatting sqref="V24">
    <cfRule type="cellIs" dxfId="9106" priority="315" operator="greaterThan">
      <formula>V23</formula>
    </cfRule>
    <cfRule type="cellIs" dxfId="9105" priority="316" operator="equal">
      <formula>0</formula>
    </cfRule>
  </conditionalFormatting>
  <conditionalFormatting sqref="V24">
    <cfRule type="cellIs" dxfId="9104" priority="313" operator="greaterThan">
      <formula>V23</formula>
    </cfRule>
    <cfRule type="cellIs" dxfId="9103" priority="314" operator="equal">
      <formula>0</formula>
    </cfRule>
  </conditionalFormatting>
  <conditionalFormatting sqref="V25">
    <cfRule type="cellIs" dxfId="9102" priority="311" operator="greaterThan">
      <formula>V24</formula>
    </cfRule>
    <cfRule type="cellIs" dxfId="9101" priority="312" operator="equal">
      <formula>0</formula>
    </cfRule>
  </conditionalFormatting>
  <conditionalFormatting sqref="V25">
    <cfRule type="cellIs" dxfId="9100" priority="309" operator="greaterThan">
      <formula>V24</formula>
    </cfRule>
    <cfRule type="cellIs" dxfId="9099" priority="310" operator="equal">
      <formula>0</formula>
    </cfRule>
  </conditionalFormatting>
  <conditionalFormatting sqref="V25">
    <cfRule type="cellIs" dxfId="9098" priority="307" operator="greaterThan">
      <formula>V24</formula>
    </cfRule>
    <cfRule type="cellIs" dxfId="9097" priority="308" operator="equal">
      <formula>0</formula>
    </cfRule>
  </conditionalFormatting>
  <conditionalFormatting sqref="V25">
    <cfRule type="cellIs" dxfId="9096" priority="305" operator="greaterThan">
      <formula>V24</formula>
    </cfRule>
    <cfRule type="cellIs" dxfId="9095" priority="306" operator="equal">
      <formula>0</formula>
    </cfRule>
  </conditionalFormatting>
  <conditionalFormatting sqref="V25">
    <cfRule type="cellIs" dxfId="9094" priority="303" operator="greaterThan">
      <formula>V24</formula>
    </cfRule>
    <cfRule type="cellIs" dxfId="9093" priority="304" operator="equal">
      <formula>0</formula>
    </cfRule>
  </conditionalFormatting>
  <conditionalFormatting sqref="V25">
    <cfRule type="cellIs" dxfId="9092" priority="301" operator="greaterThan">
      <formula>V24</formula>
    </cfRule>
    <cfRule type="cellIs" dxfId="9091" priority="302" operator="equal">
      <formula>0</formula>
    </cfRule>
  </conditionalFormatting>
  <conditionalFormatting sqref="V25">
    <cfRule type="cellIs" dxfId="9090" priority="299" operator="greaterThan">
      <formula>V24</formula>
    </cfRule>
    <cfRule type="cellIs" dxfId="9089" priority="300" operator="equal">
      <formula>0</formula>
    </cfRule>
  </conditionalFormatting>
  <conditionalFormatting sqref="V25">
    <cfRule type="cellIs" dxfId="9088" priority="297" operator="greaterThan">
      <formula>V24</formula>
    </cfRule>
    <cfRule type="cellIs" dxfId="9087" priority="298" operator="equal">
      <formula>0</formula>
    </cfRule>
  </conditionalFormatting>
  <conditionalFormatting sqref="V25">
    <cfRule type="cellIs" dxfId="9086" priority="295" operator="greaterThan">
      <formula>V24</formula>
    </cfRule>
    <cfRule type="cellIs" dxfId="9085" priority="296" operator="equal">
      <formula>0</formula>
    </cfRule>
  </conditionalFormatting>
  <conditionalFormatting sqref="V25">
    <cfRule type="cellIs" dxfId="9084" priority="293" operator="greaterThan">
      <formula>V24</formula>
    </cfRule>
    <cfRule type="cellIs" dxfId="9083" priority="294" operator="equal">
      <formula>0</formula>
    </cfRule>
  </conditionalFormatting>
  <conditionalFormatting sqref="V25">
    <cfRule type="cellIs" dxfId="9082" priority="291" operator="greaterThan">
      <formula>V24</formula>
    </cfRule>
    <cfRule type="cellIs" dxfId="9081" priority="292" operator="equal">
      <formula>0</formula>
    </cfRule>
  </conditionalFormatting>
  <conditionalFormatting sqref="V25">
    <cfRule type="cellIs" dxfId="9080" priority="289" operator="greaterThan">
      <formula>V24</formula>
    </cfRule>
    <cfRule type="cellIs" dxfId="9079" priority="290" operator="equal">
      <formula>0</formula>
    </cfRule>
  </conditionalFormatting>
  <conditionalFormatting sqref="V25">
    <cfRule type="cellIs" dxfId="9078" priority="287" operator="greaterThan">
      <formula>V24</formula>
    </cfRule>
    <cfRule type="cellIs" dxfId="9077" priority="288" operator="equal">
      <formula>0</formula>
    </cfRule>
  </conditionalFormatting>
  <conditionalFormatting sqref="V25">
    <cfRule type="cellIs" dxfId="9076" priority="285" operator="greaterThan">
      <formula>V24</formula>
    </cfRule>
    <cfRule type="cellIs" dxfId="9075" priority="286" operator="equal">
      <formula>0</formula>
    </cfRule>
  </conditionalFormatting>
  <conditionalFormatting sqref="V25">
    <cfRule type="cellIs" dxfId="9074" priority="283" operator="greaterThan">
      <formula>V24</formula>
    </cfRule>
    <cfRule type="cellIs" dxfId="9073" priority="284" operator="equal">
      <formula>0</formula>
    </cfRule>
  </conditionalFormatting>
  <conditionalFormatting sqref="V25">
    <cfRule type="cellIs" dxfId="9072" priority="281" operator="greaterThan">
      <formula>V24</formula>
    </cfRule>
    <cfRule type="cellIs" dxfId="9071" priority="282" operator="equal">
      <formula>0</formula>
    </cfRule>
  </conditionalFormatting>
  <conditionalFormatting sqref="V25">
    <cfRule type="cellIs" dxfId="9070" priority="279" operator="greaterThan">
      <formula>V24</formula>
    </cfRule>
    <cfRule type="cellIs" dxfId="9069" priority="280" operator="equal">
      <formula>0</formula>
    </cfRule>
  </conditionalFormatting>
  <conditionalFormatting sqref="V25">
    <cfRule type="cellIs" dxfId="9068" priority="277" operator="greaterThan">
      <formula>V24</formula>
    </cfRule>
    <cfRule type="cellIs" dxfId="9067" priority="278" operator="equal">
      <formula>0</formula>
    </cfRule>
  </conditionalFormatting>
  <conditionalFormatting sqref="V25">
    <cfRule type="cellIs" dxfId="9066" priority="275" operator="greaterThan">
      <formula>V24</formula>
    </cfRule>
    <cfRule type="cellIs" dxfId="9065" priority="276" operator="equal">
      <formula>0</formula>
    </cfRule>
  </conditionalFormatting>
  <conditionalFormatting sqref="V25">
    <cfRule type="cellIs" dxfId="9064" priority="273" operator="greaterThan">
      <formula>V24</formula>
    </cfRule>
    <cfRule type="cellIs" dxfId="9063" priority="274" operator="equal">
      <formula>0</formula>
    </cfRule>
  </conditionalFormatting>
  <conditionalFormatting sqref="V25">
    <cfRule type="cellIs" dxfId="9062" priority="271" operator="greaterThan">
      <formula>V24</formula>
    </cfRule>
    <cfRule type="cellIs" dxfId="9061" priority="272" operator="equal">
      <formula>0</formula>
    </cfRule>
  </conditionalFormatting>
  <conditionalFormatting sqref="V25">
    <cfRule type="cellIs" dxfId="9060" priority="269" operator="greaterThan">
      <formula>V24</formula>
    </cfRule>
    <cfRule type="cellIs" dxfId="9059" priority="270" operator="equal">
      <formula>0</formula>
    </cfRule>
  </conditionalFormatting>
  <conditionalFormatting sqref="V25">
    <cfRule type="cellIs" dxfId="9058" priority="267" operator="greaterThan">
      <formula>V24</formula>
    </cfRule>
    <cfRule type="cellIs" dxfId="9057" priority="268" operator="equal">
      <formula>0</formula>
    </cfRule>
  </conditionalFormatting>
  <conditionalFormatting sqref="V25">
    <cfRule type="cellIs" dxfId="9056" priority="265" operator="greaterThan">
      <formula>V24</formula>
    </cfRule>
    <cfRule type="cellIs" dxfId="9055" priority="266" operator="equal">
      <formula>0</formula>
    </cfRule>
  </conditionalFormatting>
  <conditionalFormatting sqref="V25">
    <cfRule type="cellIs" dxfId="9054" priority="263" operator="greaterThan">
      <formula>V24</formula>
    </cfRule>
    <cfRule type="cellIs" dxfId="9053" priority="264" operator="equal">
      <formula>0</formula>
    </cfRule>
  </conditionalFormatting>
  <conditionalFormatting sqref="V25">
    <cfRule type="cellIs" dxfId="9052" priority="261" operator="greaterThan">
      <formula>V24</formula>
    </cfRule>
    <cfRule type="cellIs" dxfId="9051" priority="262" operator="equal">
      <formula>0</formula>
    </cfRule>
  </conditionalFormatting>
  <conditionalFormatting sqref="V25">
    <cfRule type="cellIs" dxfId="9050" priority="259" operator="greaterThan">
      <formula>V24</formula>
    </cfRule>
    <cfRule type="cellIs" dxfId="9049" priority="260" operator="equal">
      <formula>0</formula>
    </cfRule>
  </conditionalFormatting>
  <conditionalFormatting sqref="V25">
    <cfRule type="cellIs" dxfId="9048" priority="257" operator="greaterThan">
      <formula>V24</formula>
    </cfRule>
    <cfRule type="cellIs" dxfId="9047" priority="258" operator="equal">
      <formula>0</formula>
    </cfRule>
  </conditionalFormatting>
  <conditionalFormatting sqref="V27">
    <cfRule type="cellIs" dxfId="9046" priority="255" operator="greaterThan">
      <formula>V26</formula>
    </cfRule>
    <cfRule type="cellIs" dxfId="9045" priority="256" operator="equal">
      <formula>0</formula>
    </cfRule>
  </conditionalFormatting>
  <conditionalFormatting sqref="V27">
    <cfRule type="cellIs" dxfId="9044" priority="253" operator="greaterThan">
      <formula>V26</formula>
    </cfRule>
    <cfRule type="cellIs" dxfId="9043" priority="254" operator="equal">
      <formula>0</formula>
    </cfRule>
  </conditionalFormatting>
  <conditionalFormatting sqref="V27">
    <cfRule type="cellIs" dxfId="9042" priority="251" operator="greaterThan">
      <formula>V26</formula>
    </cfRule>
    <cfRule type="cellIs" dxfId="9041" priority="252" operator="equal">
      <formula>0</formula>
    </cfRule>
  </conditionalFormatting>
  <conditionalFormatting sqref="V27">
    <cfRule type="cellIs" dxfId="9040" priority="249" operator="greaterThan">
      <formula>V26</formula>
    </cfRule>
    <cfRule type="cellIs" dxfId="9039" priority="250" operator="equal">
      <formula>0</formula>
    </cfRule>
  </conditionalFormatting>
  <conditionalFormatting sqref="V27">
    <cfRule type="cellIs" dxfId="9038" priority="247" operator="greaterThan">
      <formula>V26</formula>
    </cfRule>
    <cfRule type="cellIs" dxfId="9037" priority="248" operator="equal">
      <formula>0</formula>
    </cfRule>
  </conditionalFormatting>
  <conditionalFormatting sqref="V27">
    <cfRule type="cellIs" dxfId="9036" priority="245" operator="greaterThan">
      <formula>V26</formula>
    </cfRule>
    <cfRule type="cellIs" dxfId="9035" priority="246" operator="equal">
      <formula>0</formula>
    </cfRule>
  </conditionalFormatting>
  <conditionalFormatting sqref="V27">
    <cfRule type="cellIs" dxfId="9034" priority="243" operator="greaterThan">
      <formula>V26</formula>
    </cfRule>
    <cfRule type="cellIs" dxfId="9033" priority="244" operator="equal">
      <formula>0</formula>
    </cfRule>
  </conditionalFormatting>
  <conditionalFormatting sqref="V27">
    <cfRule type="cellIs" dxfId="9032" priority="241" operator="greaterThan">
      <formula>V26</formula>
    </cfRule>
    <cfRule type="cellIs" dxfId="9031" priority="242" operator="equal">
      <formula>0</formula>
    </cfRule>
  </conditionalFormatting>
  <conditionalFormatting sqref="V27">
    <cfRule type="cellIs" dxfId="9030" priority="239" operator="greaterThan">
      <formula>V26</formula>
    </cfRule>
    <cfRule type="cellIs" dxfId="9029" priority="240" operator="equal">
      <formula>0</formula>
    </cfRule>
  </conditionalFormatting>
  <conditionalFormatting sqref="V27">
    <cfRule type="cellIs" dxfId="9028" priority="237" operator="greaterThan">
      <formula>V26</formula>
    </cfRule>
    <cfRule type="cellIs" dxfId="9027" priority="238" operator="equal">
      <formula>0</formula>
    </cfRule>
  </conditionalFormatting>
  <conditionalFormatting sqref="V27">
    <cfRule type="cellIs" dxfId="9026" priority="235" operator="greaterThan">
      <formula>V26</formula>
    </cfRule>
    <cfRule type="cellIs" dxfId="9025" priority="236" operator="equal">
      <formula>0</formula>
    </cfRule>
  </conditionalFormatting>
  <conditionalFormatting sqref="V27">
    <cfRule type="cellIs" dxfId="9024" priority="233" operator="greaterThan">
      <formula>V26</formula>
    </cfRule>
    <cfRule type="cellIs" dxfId="9023" priority="234" operator="equal">
      <formula>0</formula>
    </cfRule>
  </conditionalFormatting>
  <conditionalFormatting sqref="V27">
    <cfRule type="cellIs" dxfId="9022" priority="231" operator="greaterThan">
      <formula>V26</formula>
    </cfRule>
    <cfRule type="cellIs" dxfId="9021" priority="232" operator="equal">
      <formula>0</formula>
    </cfRule>
  </conditionalFormatting>
  <conditionalFormatting sqref="V27">
    <cfRule type="cellIs" dxfId="9020" priority="229" operator="greaterThan">
      <formula>V26</formula>
    </cfRule>
    <cfRule type="cellIs" dxfId="9019" priority="230" operator="equal">
      <formula>0</formula>
    </cfRule>
  </conditionalFormatting>
  <conditionalFormatting sqref="V27">
    <cfRule type="cellIs" dxfId="9018" priority="227" operator="greaterThan">
      <formula>V26</formula>
    </cfRule>
    <cfRule type="cellIs" dxfId="9017" priority="228" operator="equal">
      <formula>0</formula>
    </cfRule>
  </conditionalFormatting>
  <conditionalFormatting sqref="V27">
    <cfRule type="cellIs" dxfId="9016" priority="225" operator="greaterThan">
      <formula>V26</formula>
    </cfRule>
    <cfRule type="cellIs" dxfId="9015" priority="226" operator="equal">
      <formula>0</formula>
    </cfRule>
  </conditionalFormatting>
  <conditionalFormatting sqref="V27">
    <cfRule type="cellIs" dxfId="9014" priority="223" operator="greaterThan">
      <formula>V26</formula>
    </cfRule>
    <cfRule type="cellIs" dxfId="9013" priority="224" operator="equal">
      <formula>0</formula>
    </cfRule>
  </conditionalFormatting>
  <conditionalFormatting sqref="V27">
    <cfRule type="cellIs" dxfId="9012" priority="221" operator="greaterThan">
      <formula>V26</formula>
    </cfRule>
    <cfRule type="cellIs" dxfId="9011" priority="222" operator="equal">
      <formula>0</formula>
    </cfRule>
  </conditionalFormatting>
  <conditionalFormatting sqref="V27">
    <cfRule type="cellIs" dxfId="9010" priority="219" operator="greaterThan">
      <formula>V26</formula>
    </cfRule>
    <cfRule type="cellIs" dxfId="9009" priority="220" operator="equal">
      <formula>0</formula>
    </cfRule>
  </conditionalFormatting>
  <conditionalFormatting sqref="V27">
    <cfRule type="cellIs" dxfId="9008" priority="217" operator="greaterThan">
      <formula>V26</formula>
    </cfRule>
    <cfRule type="cellIs" dxfId="9007" priority="218" operator="equal">
      <formula>0</formula>
    </cfRule>
  </conditionalFormatting>
  <conditionalFormatting sqref="V27">
    <cfRule type="cellIs" dxfId="9006" priority="215" operator="greaterThan">
      <formula>V26</formula>
    </cfRule>
    <cfRule type="cellIs" dxfId="9005" priority="216" operator="equal">
      <formula>0</formula>
    </cfRule>
  </conditionalFormatting>
  <conditionalFormatting sqref="V27">
    <cfRule type="cellIs" dxfId="9004" priority="213" operator="greaterThan">
      <formula>V26</formula>
    </cfRule>
    <cfRule type="cellIs" dxfId="9003" priority="214" operator="equal">
      <formula>0</formula>
    </cfRule>
  </conditionalFormatting>
  <conditionalFormatting sqref="V27">
    <cfRule type="cellIs" dxfId="9002" priority="211" operator="greaterThan">
      <formula>V26</formula>
    </cfRule>
    <cfRule type="cellIs" dxfId="9001" priority="212" operator="equal">
      <formula>0</formula>
    </cfRule>
  </conditionalFormatting>
  <conditionalFormatting sqref="V27">
    <cfRule type="cellIs" dxfId="9000" priority="209" operator="greaterThan">
      <formula>V26</formula>
    </cfRule>
    <cfRule type="cellIs" dxfId="8999" priority="210" operator="equal">
      <formula>0</formula>
    </cfRule>
  </conditionalFormatting>
  <conditionalFormatting sqref="V27">
    <cfRule type="cellIs" dxfId="8998" priority="207" operator="greaterThan">
      <formula>V26</formula>
    </cfRule>
    <cfRule type="cellIs" dxfId="8997" priority="208" operator="equal">
      <formula>0</formula>
    </cfRule>
  </conditionalFormatting>
  <conditionalFormatting sqref="V27">
    <cfRule type="cellIs" dxfId="8996" priority="205" operator="greaterThan">
      <formula>V26</formula>
    </cfRule>
    <cfRule type="cellIs" dxfId="8995" priority="206" operator="equal">
      <formula>0</formula>
    </cfRule>
  </conditionalFormatting>
  <conditionalFormatting sqref="V27">
    <cfRule type="cellIs" dxfId="8994" priority="203" operator="greaterThan">
      <formula>V26</formula>
    </cfRule>
    <cfRule type="cellIs" dxfId="8993" priority="204" operator="equal">
      <formula>0</formula>
    </cfRule>
  </conditionalFormatting>
  <conditionalFormatting sqref="V27">
    <cfRule type="cellIs" dxfId="8992" priority="201" operator="greaterThan">
      <formula>V26</formula>
    </cfRule>
    <cfRule type="cellIs" dxfId="8991" priority="202" operator="equal">
      <formula>0</formula>
    </cfRule>
  </conditionalFormatting>
  <conditionalFormatting sqref="V27">
    <cfRule type="cellIs" dxfId="8990" priority="199" operator="greaterThan">
      <formula>V26</formula>
    </cfRule>
    <cfRule type="cellIs" dxfId="8989" priority="200" operator="equal">
      <formula>0</formula>
    </cfRule>
  </conditionalFormatting>
  <conditionalFormatting sqref="V28">
    <cfRule type="cellIs" dxfId="8988" priority="197" operator="greaterThan">
      <formula>V27</formula>
    </cfRule>
    <cfRule type="cellIs" dxfId="8987" priority="198" operator="equal">
      <formula>0</formula>
    </cfRule>
  </conditionalFormatting>
  <conditionalFormatting sqref="V28">
    <cfRule type="cellIs" dxfId="8986" priority="195" operator="greaterThan">
      <formula>V27</formula>
    </cfRule>
    <cfRule type="cellIs" dxfId="8985" priority="196" operator="equal">
      <formula>0</formula>
    </cfRule>
  </conditionalFormatting>
  <conditionalFormatting sqref="V28">
    <cfRule type="cellIs" dxfId="8984" priority="193" operator="greaterThan">
      <formula>V27</formula>
    </cfRule>
    <cfRule type="cellIs" dxfId="8983" priority="194" operator="equal">
      <formula>0</formula>
    </cfRule>
  </conditionalFormatting>
  <conditionalFormatting sqref="V28">
    <cfRule type="cellIs" dxfId="8982" priority="191" operator="greaterThan">
      <formula>V27</formula>
    </cfRule>
    <cfRule type="cellIs" dxfId="8981" priority="192" operator="equal">
      <formula>0</formula>
    </cfRule>
  </conditionalFormatting>
  <conditionalFormatting sqref="V28">
    <cfRule type="cellIs" dxfId="8980" priority="189" operator="greaterThan">
      <formula>V27</formula>
    </cfRule>
    <cfRule type="cellIs" dxfId="8979" priority="190" operator="equal">
      <formula>0</formula>
    </cfRule>
  </conditionalFormatting>
  <conditionalFormatting sqref="V28">
    <cfRule type="cellIs" dxfId="8978" priority="187" operator="greaterThan">
      <formula>V27</formula>
    </cfRule>
    <cfRule type="cellIs" dxfId="8977" priority="188" operator="equal">
      <formula>0</formula>
    </cfRule>
  </conditionalFormatting>
  <conditionalFormatting sqref="V28">
    <cfRule type="cellIs" dxfId="8976" priority="185" operator="greaterThan">
      <formula>V27</formula>
    </cfRule>
    <cfRule type="cellIs" dxfId="8975" priority="186" operator="equal">
      <formula>0</formula>
    </cfRule>
  </conditionalFormatting>
  <conditionalFormatting sqref="V28">
    <cfRule type="cellIs" dxfId="8974" priority="183" operator="greaterThan">
      <formula>V27</formula>
    </cfRule>
    <cfRule type="cellIs" dxfId="8973" priority="184" operator="equal">
      <formula>0</formula>
    </cfRule>
  </conditionalFormatting>
  <conditionalFormatting sqref="V28">
    <cfRule type="cellIs" dxfId="8972" priority="181" operator="greaterThan">
      <formula>V27</formula>
    </cfRule>
    <cfRule type="cellIs" dxfId="8971" priority="182" operator="equal">
      <formula>0</formula>
    </cfRule>
  </conditionalFormatting>
  <conditionalFormatting sqref="V28">
    <cfRule type="cellIs" dxfId="8970" priority="179" operator="greaterThan">
      <formula>V27</formula>
    </cfRule>
    <cfRule type="cellIs" dxfId="8969" priority="180" operator="equal">
      <formula>0</formula>
    </cfRule>
  </conditionalFormatting>
  <conditionalFormatting sqref="V28">
    <cfRule type="cellIs" dxfId="8968" priority="177" operator="greaterThan">
      <formula>V27</formula>
    </cfRule>
    <cfRule type="cellIs" dxfId="8967" priority="178" operator="equal">
      <formula>0</formula>
    </cfRule>
  </conditionalFormatting>
  <conditionalFormatting sqref="V28">
    <cfRule type="cellIs" dxfId="8966" priority="175" operator="greaterThan">
      <formula>V27</formula>
    </cfRule>
    <cfRule type="cellIs" dxfId="8965" priority="176" operator="equal">
      <formula>0</formula>
    </cfRule>
  </conditionalFormatting>
  <conditionalFormatting sqref="V28">
    <cfRule type="cellIs" dxfId="8964" priority="173" operator="greaterThan">
      <formula>V27</formula>
    </cfRule>
    <cfRule type="cellIs" dxfId="8963" priority="174" operator="equal">
      <formula>0</formula>
    </cfRule>
  </conditionalFormatting>
  <conditionalFormatting sqref="V28">
    <cfRule type="cellIs" dxfId="8962" priority="171" operator="greaterThan">
      <formula>V27</formula>
    </cfRule>
    <cfRule type="cellIs" dxfId="8961" priority="172" operator="equal">
      <formula>0</formula>
    </cfRule>
  </conditionalFormatting>
  <conditionalFormatting sqref="V28">
    <cfRule type="cellIs" dxfId="8960" priority="169" operator="greaterThan">
      <formula>V27</formula>
    </cfRule>
    <cfRule type="cellIs" dxfId="8959" priority="170" operator="equal">
      <formula>0</formula>
    </cfRule>
  </conditionalFormatting>
  <conditionalFormatting sqref="V28">
    <cfRule type="cellIs" dxfId="8958" priority="167" operator="greaterThan">
      <formula>V27</formula>
    </cfRule>
    <cfRule type="cellIs" dxfId="8957" priority="168" operator="equal">
      <formula>0</formula>
    </cfRule>
  </conditionalFormatting>
  <conditionalFormatting sqref="V28">
    <cfRule type="cellIs" dxfId="8956" priority="165" operator="greaterThan">
      <formula>V27</formula>
    </cfRule>
    <cfRule type="cellIs" dxfId="8955" priority="166" operator="equal">
      <formula>0</formula>
    </cfRule>
  </conditionalFormatting>
  <conditionalFormatting sqref="V28">
    <cfRule type="cellIs" dxfId="8954" priority="163" operator="greaterThan">
      <formula>V27</formula>
    </cfRule>
    <cfRule type="cellIs" dxfId="8953" priority="164" operator="equal">
      <formula>0</formula>
    </cfRule>
  </conditionalFormatting>
  <conditionalFormatting sqref="V28">
    <cfRule type="cellIs" dxfId="8952" priority="161" operator="greaterThan">
      <formula>V27</formula>
    </cfRule>
    <cfRule type="cellIs" dxfId="8951" priority="162" operator="equal">
      <formula>0</formula>
    </cfRule>
  </conditionalFormatting>
  <conditionalFormatting sqref="V28">
    <cfRule type="cellIs" dxfId="8950" priority="159" operator="greaterThan">
      <formula>V27</formula>
    </cfRule>
    <cfRule type="cellIs" dxfId="8949" priority="160" operator="equal">
      <formula>0</formula>
    </cfRule>
  </conditionalFormatting>
  <conditionalFormatting sqref="V28">
    <cfRule type="cellIs" dxfId="8948" priority="157" operator="greaterThan">
      <formula>V27</formula>
    </cfRule>
    <cfRule type="cellIs" dxfId="8947" priority="158" operator="equal">
      <formula>0</formula>
    </cfRule>
  </conditionalFormatting>
  <conditionalFormatting sqref="V28">
    <cfRule type="cellIs" dxfId="8946" priority="155" operator="greaterThan">
      <formula>V27</formula>
    </cfRule>
    <cfRule type="cellIs" dxfId="8945" priority="156" operator="equal">
      <formula>0</formula>
    </cfRule>
  </conditionalFormatting>
  <conditionalFormatting sqref="V28">
    <cfRule type="cellIs" dxfId="8944" priority="153" operator="greaterThan">
      <formula>V27</formula>
    </cfRule>
    <cfRule type="cellIs" dxfId="8943" priority="154" operator="equal">
      <formula>0</formula>
    </cfRule>
  </conditionalFormatting>
  <conditionalFormatting sqref="V28">
    <cfRule type="cellIs" dxfId="8942" priority="151" operator="greaterThan">
      <formula>V27</formula>
    </cfRule>
    <cfRule type="cellIs" dxfId="8941" priority="152" operator="equal">
      <formula>0</formula>
    </cfRule>
  </conditionalFormatting>
  <conditionalFormatting sqref="V28">
    <cfRule type="cellIs" dxfId="8940" priority="149" operator="greaterThan">
      <formula>V27</formula>
    </cfRule>
    <cfRule type="cellIs" dxfId="8939" priority="150" operator="equal">
      <formula>0</formula>
    </cfRule>
  </conditionalFormatting>
  <conditionalFormatting sqref="V28">
    <cfRule type="cellIs" dxfId="8938" priority="147" operator="greaterThan">
      <formula>V27</formula>
    </cfRule>
    <cfRule type="cellIs" dxfId="8937" priority="148" operator="equal">
      <formula>0</formula>
    </cfRule>
  </conditionalFormatting>
  <conditionalFormatting sqref="V28">
    <cfRule type="cellIs" dxfId="8936" priority="145" operator="greaterThan">
      <formula>V27</formula>
    </cfRule>
    <cfRule type="cellIs" dxfId="8935" priority="146" operator="equal">
      <formula>0</formula>
    </cfRule>
  </conditionalFormatting>
  <conditionalFormatting sqref="V28">
    <cfRule type="cellIs" dxfId="8934" priority="143" operator="greaterThan">
      <formula>V27</formula>
    </cfRule>
    <cfRule type="cellIs" dxfId="8933" priority="144" operator="equal">
      <formula>0</formula>
    </cfRule>
  </conditionalFormatting>
  <conditionalFormatting sqref="V28">
    <cfRule type="cellIs" dxfId="8932" priority="141" operator="greaterThan">
      <formula>V27</formula>
    </cfRule>
    <cfRule type="cellIs" dxfId="8931" priority="142" operator="equal">
      <formula>0</formula>
    </cfRule>
  </conditionalFormatting>
  <conditionalFormatting sqref="V28">
    <cfRule type="cellIs" dxfId="8930" priority="139" operator="greaterThan">
      <formula>V27</formula>
    </cfRule>
    <cfRule type="cellIs" dxfId="8929" priority="140" operator="equal">
      <formula>0</formula>
    </cfRule>
  </conditionalFormatting>
  <conditionalFormatting sqref="V28">
    <cfRule type="cellIs" dxfId="8928" priority="137" operator="greaterThan">
      <formula>V27</formula>
    </cfRule>
    <cfRule type="cellIs" dxfId="8927" priority="138" operator="equal">
      <formula>0</formula>
    </cfRule>
  </conditionalFormatting>
  <conditionalFormatting sqref="V28">
    <cfRule type="cellIs" dxfId="8926" priority="135" operator="greaterThan">
      <formula>V27</formula>
    </cfRule>
    <cfRule type="cellIs" dxfId="8925" priority="136" operator="equal">
      <formula>0</formula>
    </cfRule>
  </conditionalFormatting>
  <conditionalFormatting sqref="V28">
    <cfRule type="cellIs" dxfId="8924" priority="133" operator="greaterThan">
      <formula>V27</formula>
    </cfRule>
    <cfRule type="cellIs" dxfId="8923" priority="134" operator="equal">
      <formula>0</formula>
    </cfRule>
  </conditionalFormatting>
  <conditionalFormatting sqref="V28">
    <cfRule type="cellIs" dxfId="8922" priority="131" operator="greaterThan">
      <formula>V27</formula>
    </cfRule>
    <cfRule type="cellIs" dxfId="8921" priority="132" operator="equal">
      <formula>0</formula>
    </cfRule>
  </conditionalFormatting>
  <conditionalFormatting sqref="V28">
    <cfRule type="cellIs" dxfId="8920" priority="129" operator="greaterThan">
      <formula>V27</formula>
    </cfRule>
    <cfRule type="cellIs" dxfId="8919" priority="130" operator="equal">
      <formula>0</formula>
    </cfRule>
  </conditionalFormatting>
  <conditionalFormatting sqref="V28">
    <cfRule type="cellIs" dxfId="8918" priority="127" operator="greaterThan">
      <formula>V27</formula>
    </cfRule>
    <cfRule type="cellIs" dxfId="8917" priority="128" operator="equal">
      <formula>0</formula>
    </cfRule>
  </conditionalFormatting>
  <conditionalFormatting sqref="V28">
    <cfRule type="cellIs" dxfId="8916" priority="125" operator="greaterThan">
      <formula>V27</formula>
    </cfRule>
    <cfRule type="cellIs" dxfId="8915" priority="126" operator="equal">
      <formula>0</formula>
    </cfRule>
  </conditionalFormatting>
  <conditionalFormatting sqref="V28">
    <cfRule type="cellIs" dxfId="8914" priority="123" operator="greaterThan">
      <formula>V27</formula>
    </cfRule>
    <cfRule type="cellIs" dxfId="8913" priority="124" operator="equal">
      <formula>0</formula>
    </cfRule>
  </conditionalFormatting>
  <conditionalFormatting sqref="V28">
    <cfRule type="cellIs" dxfId="8912" priority="121" operator="greaterThan">
      <formula>V27</formula>
    </cfRule>
    <cfRule type="cellIs" dxfId="8911" priority="122" operator="equal">
      <formula>0</formula>
    </cfRule>
  </conditionalFormatting>
  <conditionalFormatting sqref="V28">
    <cfRule type="cellIs" dxfId="8910" priority="119" operator="greaterThan">
      <formula>V27</formula>
    </cfRule>
    <cfRule type="cellIs" dxfId="8909" priority="120" operator="equal">
      <formula>0</formula>
    </cfRule>
  </conditionalFormatting>
  <conditionalFormatting sqref="V28">
    <cfRule type="cellIs" dxfId="8908" priority="117" operator="greaterThan">
      <formula>V27</formula>
    </cfRule>
    <cfRule type="cellIs" dxfId="8907" priority="118" operator="equal">
      <formula>0</formula>
    </cfRule>
  </conditionalFormatting>
  <conditionalFormatting sqref="V28">
    <cfRule type="cellIs" dxfId="8906" priority="115" operator="greaterThan">
      <formula>V27</formula>
    </cfRule>
    <cfRule type="cellIs" dxfId="8905" priority="116" operator="equal">
      <formula>0</formula>
    </cfRule>
  </conditionalFormatting>
  <conditionalFormatting sqref="V28">
    <cfRule type="cellIs" dxfId="8904" priority="113" operator="greaterThan">
      <formula>V27</formula>
    </cfRule>
    <cfRule type="cellIs" dxfId="8903" priority="114" operator="equal">
      <formula>0</formula>
    </cfRule>
  </conditionalFormatting>
  <conditionalFormatting sqref="V28">
    <cfRule type="cellIs" dxfId="8902" priority="111" operator="greaterThan">
      <formula>V27</formula>
    </cfRule>
    <cfRule type="cellIs" dxfId="8901" priority="112" operator="equal">
      <formula>0</formula>
    </cfRule>
  </conditionalFormatting>
  <conditionalFormatting sqref="V28">
    <cfRule type="cellIs" dxfId="8900" priority="109" operator="greaterThan">
      <formula>V27</formula>
    </cfRule>
    <cfRule type="cellIs" dxfId="8899" priority="110" operator="equal">
      <formula>0</formula>
    </cfRule>
  </conditionalFormatting>
  <conditionalFormatting sqref="V28">
    <cfRule type="cellIs" dxfId="8898" priority="107" operator="greaterThan">
      <formula>V27</formula>
    </cfRule>
    <cfRule type="cellIs" dxfId="8897" priority="108" operator="equal">
      <formula>0</formula>
    </cfRule>
  </conditionalFormatting>
  <conditionalFormatting sqref="V28">
    <cfRule type="cellIs" dxfId="8896" priority="105" operator="greaterThan">
      <formula>V27</formula>
    </cfRule>
    <cfRule type="cellIs" dxfId="8895" priority="106" operator="equal">
      <formula>0</formula>
    </cfRule>
  </conditionalFormatting>
  <conditionalFormatting sqref="V28">
    <cfRule type="cellIs" dxfId="8894" priority="103" operator="greaterThan">
      <formula>V27</formula>
    </cfRule>
    <cfRule type="cellIs" dxfId="8893" priority="104" operator="equal">
      <formula>0</formula>
    </cfRule>
  </conditionalFormatting>
  <conditionalFormatting sqref="V28">
    <cfRule type="cellIs" dxfId="8892" priority="101" operator="greaterThan">
      <formula>V27</formula>
    </cfRule>
    <cfRule type="cellIs" dxfId="8891" priority="102" operator="equal">
      <formula>0</formula>
    </cfRule>
  </conditionalFormatting>
  <conditionalFormatting sqref="V28">
    <cfRule type="cellIs" dxfId="8890" priority="99" operator="greaterThan">
      <formula>V27</formula>
    </cfRule>
    <cfRule type="cellIs" dxfId="8889" priority="100" operator="equal">
      <formula>0</formula>
    </cfRule>
  </conditionalFormatting>
  <conditionalFormatting sqref="V28">
    <cfRule type="cellIs" dxfId="8888" priority="97" operator="greaterThan">
      <formula>V27</formula>
    </cfRule>
    <cfRule type="cellIs" dxfId="8887" priority="98" operator="equal">
      <formula>0</formula>
    </cfRule>
  </conditionalFormatting>
  <conditionalFormatting sqref="V28">
    <cfRule type="cellIs" dxfId="8886" priority="95" operator="greaterThan">
      <formula>V27</formula>
    </cfRule>
    <cfRule type="cellIs" dxfId="8885" priority="96" operator="equal">
      <formula>0</formula>
    </cfRule>
  </conditionalFormatting>
  <conditionalFormatting sqref="V28">
    <cfRule type="cellIs" dxfId="8884" priority="93" operator="greaterThan">
      <formula>V27</formula>
    </cfRule>
    <cfRule type="cellIs" dxfId="8883" priority="94" operator="equal">
      <formula>0</formula>
    </cfRule>
  </conditionalFormatting>
  <conditionalFormatting sqref="V28">
    <cfRule type="cellIs" dxfId="8882" priority="91" operator="greaterThan">
      <formula>V27</formula>
    </cfRule>
    <cfRule type="cellIs" dxfId="8881" priority="92" operator="equal">
      <formula>0</formula>
    </cfRule>
  </conditionalFormatting>
  <conditionalFormatting sqref="V28">
    <cfRule type="cellIs" dxfId="8880" priority="89" operator="greaterThan">
      <formula>V27</formula>
    </cfRule>
    <cfRule type="cellIs" dxfId="8879" priority="90" operator="equal">
      <formula>0</formula>
    </cfRule>
  </conditionalFormatting>
  <conditionalFormatting sqref="V28">
    <cfRule type="cellIs" dxfId="8878" priority="87" operator="greaterThan">
      <formula>V27</formula>
    </cfRule>
    <cfRule type="cellIs" dxfId="8877" priority="88" operator="equal">
      <formula>0</formula>
    </cfRule>
  </conditionalFormatting>
  <conditionalFormatting sqref="V28">
    <cfRule type="cellIs" dxfId="8876" priority="85" operator="greaterThan">
      <formula>V27</formula>
    </cfRule>
    <cfRule type="cellIs" dxfId="8875" priority="86" operator="equal">
      <formula>0</formula>
    </cfRule>
  </conditionalFormatting>
  <conditionalFormatting sqref="V28">
    <cfRule type="cellIs" dxfId="8874" priority="83" operator="greaterThan">
      <formula>V27</formula>
    </cfRule>
    <cfRule type="cellIs" dxfId="8873" priority="84" operator="equal">
      <formula>0</formula>
    </cfRule>
  </conditionalFormatting>
  <conditionalFormatting sqref="V28">
    <cfRule type="cellIs" dxfId="8872" priority="81" operator="greaterThan">
      <formula>V27</formula>
    </cfRule>
    <cfRule type="cellIs" dxfId="8871" priority="82" operator="equal">
      <formula>0</formula>
    </cfRule>
  </conditionalFormatting>
  <conditionalFormatting sqref="V28">
    <cfRule type="cellIs" dxfId="8870" priority="79" operator="greaterThan">
      <formula>V27</formula>
    </cfRule>
    <cfRule type="cellIs" dxfId="8869" priority="80" operator="equal">
      <formula>0</formula>
    </cfRule>
  </conditionalFormatting>
  <conditionalFormatting sqref="V28">
    <cfRule type="cellIs" dxfId="8868" priority="77" operator="greaterThan">
      <formula>V27</formula>
    </cfRule>
    <cfRule type="cellIs" dxfId="8867" priority="78" operator="equal">
      <formula>0</formula>
    </cfRule>
  </conditionalFormatting>
  <conditionalFormatting sqref="V28">
    <cfRule type="cellIs" dxfId="8866" priority="75" operator="greaterThan">
      <formula>V27</formula>
    </cfRule>
    <cfRule type="cellIs" dxfId="8865" priority="76" operator="equal">
      <formula>0</formula>
    </cfRule>
  </conditionalFormatting>
  <conditionalFormatting sqref="V28">
    <cfRule type="cellIs" dxfId="8864" priority="73" operator="greaterThan">
      <formula>V27</formula>
    </cfRule>
    <cfRule type="cellIs" dxfId="8863" priority="74" operator="equal">
      <formula>0</formula>
    </cfRule>
  </conditionalFormatting>
  <conditionalFormatting sqref="V28">
    <cfRule type="cellIs" dxfId="8862" priority="71" operator="greaterThan">
      <formula>V27</formula>
    </cfRule>
    <cfRule type="cellIs" dxfId="8861" priority="72" operator="equal">
      <formula>0</formula>
    </cfRule>
  </conditionalFormatting>
  <conditionalFormatting sqref="V28">
    <cfRule type="cellIs" dxfId="8860" priority="69" operator="greaterThan">
      <formula>V27</formula>
    </cfRule>
    <cfRule type="cellIs" dxfId="8859" priority="70" operator="equal">
      <formula>0</formula>
    </cfRule>
  </conditionalFormatting>
  <conditionalFormatting sqref="V28">
    <cfRule type="cellIs" dxfId="8858" priority="67" operator="greaterThan">
      <formula>V27</formula>
    </cfRule>
    <cfRule type="cellIs" dxfId="8857" priority="68" operator="equal">
      <formula>0</formula>
    </cfRule>
  </conditionalFormatting>
  <conditionalFormatting sqref="V28">
    <cfRule type="cellIs" dxfId="8856" priority="65" operator="greaterThan">
      <formula>V27</formula>
    </cfRule>
    <cfRule type="cellIs" dxfId="8855" priority="66" operator="equal">
      <formula>0</formula>
    </cfRule>
  </conditionalFormatting>
  <conditionalFormatting sqref="V28">
    <cfRule type="cellIs" dxfId="8854" priority="63" operator="greaterThan">
      <formula>V27</formula>
    </cfRule>
    <cfRule type="cellIs" dxfId="8853" priority="64" operator="equal">
      <formula>0</formula>
    </cfRule>
  </conditionalFormatting>
  <conditionalFormatting sqref="V28">
    <cfRule type="cellIs" dxfId="8852" priority="61" operator="greaterThan">
      <formula>V27</formula>
    </cfRule>
    <cfRule type="cellIs" dxfId="8851" priority="62" operator="equal">
      <formula>0</formula>
    </cfRule>
  </conditionalFormatting>
  <conditionalFormatting sqref="V28">
    <cfRule type="cellIs" dxfId="8850" priority="59" operator="greaterThan">
      <formula>V27</formula>
    </cfRule>
    <cfRule type="cellIs" dxfId="8849" priority="60" operator="equal">
      <formula>0</formula>
    </cfRule>
  </conditionalFormatting>
  <conditionalFormatting sqref="V28">
    <cfRule type="cellIs" dxfId="8848" priority="57" operator="greaterThan">
      <formula>V27</formula>
    </cfRule>
    <cfRule type="cellIs" dxfId="8847" priority="58" operator="equal">
      <formula>0</formula>
    </cfRule>
  </conditionalFormatting>
  <conditionalFormatting sqref="V28">
    <cfRule type="cellIs" dxfId="8846" priority="55" operator="greaterThan">
      <formula>V27</formula>
    </cfRule>
    <cfRule type="cellIs" dxfId="8845" priority="56" operator="equal">
      <formula>0</formula>
    </cfRule>
  </conditionalFormatting>
  <conditionalFormatting sqref="V28">
    <cfRule type="cellIs" dxfId="8844" priority="53" operator="greaterThan">
      <formula>V27</formula>
    </cfRule>
    <cfRule type="cellIs" dxfId="8843" priority="54" operator="equal">
      <formula>0</formula>
    </cfRule>
  </conditionalFormatting>
  <conditionalFormatting sqref="V28">
    <cfRule type="cellIs" dxfId="8842" priority="51" operator="greaterThan">
      <formula>V27</formula>
    </cfRule>
    <cfRule type="cellIs" dxfId="8841" priority="52" operator="equal">
      <formula>0</formula>
    </cfRule>
  </conditionalFormatting>
  <conditionalFormatting sqref="V28">
    <cfRule type="cellIs" dxfId="8840" priority="49" operator="greaterThan">
      <formula>V27</formula>
    </cfRule>
    <cfRule type="cellIs" dxfId="8839" priority="50" operator="equal">
      <formula>0</formula>
    </cfRule>
  </conditionalFormatting>
  <conditionalFormatting sqref="V28">
    <cfRule type="cellIs" dxfId="8838" priority="47" operator="greaterThan">
      <formula>V27</formula>
    </cfRule>
    <cfRule type="cellIs" dxfId="8837" priority="48" operator="equal">
      <formula>0</formula>
    </cfRule>
  </conditionalFormatting>
  <conditionalFormatting sqref="V28">
    <cfRule type="cellIs" dxfId="8836" priority="45" operator="greaterThan">
      <formula>V27</formula>
    </cfRule>
    <cfRule type="cellIs" dxfId="8835" priority="46" operator="equal">
      <formula>0</formula>
    </cfRule>
  </conditionalFormatting>
  <conditionalFormatting sqref="V28">
    <cfRule type="cellIs" dxfId="8834" priority="43" operator="greaterThan">
      <formula>V27</formula>
    </cfRule>
    <cfRule type="cellIs" dxfId="8833" priority="44" operator="equal">
      <formula>0</formula>
    </cfRule>
  </conditionalFormatting>
  <conditionalFormatting sqref="V28">
    <cfRule type="cellIs" dxfId="8832" priority="41" operator="greaterThan">
      <formula>V27</formula>
    </cfRule>
    <cfRule type="cellIs" dxfId="8831" priority="42" operator="equal">
      <formula>0</formula>
    </cfRule>
  </conditionalFormatting>
  <conditionalFormatting sqref="V28">
    <cfRule type="cellIs" dxfId="8830" priority="39" operator="greaterThan">
      <formula>V27</formula>
    </cfRule>
    <cfRule type="cellIs" dxfId="8829" priority="40" operator="equal">
      <formula>0</formula>
    </cfRule>
  </conditionalFormatting>
  <conditionalFormatting sqref="V28">
    <cfRule type="cellIs" dxfId="8828" priority="37" operator="greaterThan">
      <formula>V27</formula>
    </cfRule>
    <cfRule type="cellIs" dxfId="8827" priority="38" operator="equal">
      <formula>0</formula>
    </cfRule>
  </conditionalFormatting>
  <conditionalFormatting sqref="V28">
    <cfRule type="cellIs" dxfId="8826" priority="35" operator="greaterThan">
      <formula>V27</formula>
    </cfRule>
    <cfRule type="cellIs" dxfId="8825" priority="36" operator="equal">
      <formula>0</formula>
    </cfRule>
  </conditionalFormatting>
  <conditionalFormatting sqref="V28">
    <cfRule type="cellIs" dxfId="8824" priority="33" operator="greaterThan">
      <formula>V27</formula>
    </cfRule>
    <cfRule type="cellIs" dxfId="8823" priority="34" operator="equal">
      <formula>0</formula>
    </cfRule>
  </conditionalFormatting>
  <conditionalFormatting sqref="V28">
    <cfRule type="cellIs" dxfId="8822" priority="31" operator="greaterThan">
      <formula>V27</formula>
    </cfRule>
    <cfRule type="cellIs" dxfId="8821" priority="32" operator="equal">
      <formula>0</formula>
    </cfRule>
  </conditionalFormatting>
  <conditionalFormatting sqref="V13">
    <cfRule type="cellIs" dxfId="8820" priority="30" operator="equal">
      <formula>0</formula>
    </cfRule>
  </conditionalFormatting>
  <conditionalFormatting sqref="V13">
    <cfRule type="cellIs" dxfId="8819" priority="28" operator="greaterThan">
      <formula>V12</formula>
    </cfRule>
    <cfRule type="cellIs" dxfId="8818" priority="29" operator="equal">
      <formula>0</formula>
    </cfRule>
  </conditionalFormatting>
  <conditionalFormatting sqref="V13">
    <cfRule type="cellIs" dxfId="8817" priority="26" operator="greaterThan">
      <formula>V12</formula>
    </cfRule>
    <cfRule type="cellIs" dxfId="8816" priority="27" operator="equal">
      <formula>0</formula>
    </cfRule>
  </conditionalFormatting>
  <conditionalFormatting sqref="V16">
    <cfRule type="cellIs" dxfId="8815" priority="25" operator="equal">
      <formula>0</formula>
    </cfRule>
  </conditionalFormatting>
  <conditionalFormatting sqref="V16">
    <cfRule type="cellIs" dxfId="8814" priority="23" operator="greaterThan">
      <formula>V15</formula>
    </cfRule>
    <cfRule type="cellIs" dxfId="8813" priority="24" operator="equal">
      <formula>0</formula>
    </cfRule>
  </conditionalFormatting>
  <conditionalFormatting sqref="V16">
    <cfRule type="cellIs" dxfId="8812" priority="21" operator="greaterThan">
      <formula>V15</formula>
    </cfRule>
    <cfRule type="cellIs" dxfId="8811" priority="22" operator="equal">
      <formula>0</formula>
    </cfRule>
  </conditionalFormatting>
  <conditionalFormatting sqref="V19">
    <cfRule type="cellIs" dxfId="8810" priority="20" operator="equal">
      <formula>0</formula>
    </cfRule>
  </conditionalFormatting>
  <conditionalFormatting sqref="V19">
    <cfRule type="cellIs" dxfId="8809" priority="18" operator="greaterThan">
      <formula>V18</formula>
    </cfRule>
    <cfRule type="cellIs" dxfId="8808" priority="19" operator="equal">
      <formula>0</formula>
    </cfRule>
  </conditionalFormatting>
  <conditionalFormatting sqref="V19">
    <cfRule type="cellIs" dxfId="8807" priority="16" operator="greaterThan">
      <formula>V18</formula>
    </cfRule>
    <cfRule type="cellIs" dxfId="8806" priority="17" operator="equal">
      <formula>0</formula>
    </cfRule>
  </conditionalFormatting>
  <conditionalFormatting sqref="V22">
    <cfRule type="cellIs" dxfId="8805" priority="15" operator="equal">
      <formula>0</formula>
    </cfRule>
  </conditionalFormatting>
  <conditionalFormatting sqref="V22">
    <cfRule type="cellIs" dxfId="8804" priority="13" operator="greaterThan">
      <formula>V21</formula>
    </cfRule>
    <cfRule type="cellIs" dxfId="8803" priority="14" operator="equal">
      <formula>0</formula>
    </cfRule>
  </conditionalFormatting>
  <conditionalFormatting sqref="V22">
    <cfRule type="cellIs" dxfId="8802" priority="11" operator="greaterThan">
      <formula>V21</formula>
    </cfRule>
    <cfRule type="cellIs" dxfId="8801" priority="12" operator="equal">
      <formula>0</formula>
    </cfRule>
  </conditionalFormatting>
  <conditionalFormatting sqref="V25">
    <cfRule type="cellIs" dxfId="8800" priority="10" operator="equal">
      <formula>0</formula>
    </cfRule>
  </conditionalFormatting>
  <conditionalFormatting sqref="V25">
    <cfRule type="cellIs" dxfId="8799" priority="8" operator="greaterThan">
      <formula>V24</formula>
    </cfRule>
    <cfRule type="cellIs" dxfId="8798" priority="9" operator="equal">
      <formula>0</formula>
    </cfRule>
  </conditionalFormatting>
  <conditionalFormatting sqref="V25">
    <cfRule type="cellIs" dxfId="8797" priority="6" operator="greaterThan">
      <formula>V24</formula>
    </cfRule>
    <cfRule type="cellIs" dxfId="8796" priority="7" operator="equal">
      <formula>0</formula>
    </cfRule>
  </conditionalFormatting>
  <conditionalFormatting sqref="V28">
    <cfRule type="cellIs" dxfId="8795" priority="5" operator="equal">
      <formula>0</formula>
    </cfRule>
  </conditionalFormatting>
  <conditionalFormatting sqref="V28">
    <cfRule type="cellIs" dxfId="8794" priority="3" operator="greaterThan">
      <formula>V27</formula>
    </cfRule>
    <cfRule type="cellIs" dxfId="8793" priority="4" operator="equal">
      <formula>0</formula>
    </cfRule>
  </conditionalFormatting>
  <conditionalFormatting sqref="V28">
    <cfRule type="cellIs" dxfId="8792" priority="1" operator="greaterThan">
      <formula>V27</formula>
    </cfRule>
    <cfRule type="cellIs" dxfId="8791" priority="2" operator="equal">
      <formula>0</formula>
    </cfRule>
  </conditionalFormatting>
  <dataValidations count="25">
    <dataValidation type="whole" allowBlank="1" showInputMessage="1" showErrorMessage="1" sqref="X51 X44:X48 Y16:Y51 X38:X41 X17 X20 X23 X26 X29 X32 X35">
      <formula1>0</formula1>
      <formula2>5000</formula2>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operator="greaterThanOrEqual" allowBlank="1" showInputMessage="1" showErrorMessage="1" errorTitle="المجموع" error="العدد المناسب" sqref="O49 M42 P33 P30 P12 P15 P18 P21 P27 P24 P36">
      <formula1>0</formula1>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&amp;R&amp;"-,Gras"&amp;8&amp;K00-019Echamil V.08      &amp;F                                        &amp;K00-016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6">
    <tabColor rgb="FF00B050"/>
  </sheetPr>
  <dimension ref="A1:Z54"/>
  <sheetViews>
    <sheetView showGridLines="0" rightToLeft="1" zoomScale="115" zoomScaleNormal="115" workbookViewId="0">
      <selection activeCell="B2" sqref="B2"/>
    </sheetView>
  </sheetViews>
  <sheetFormatPr baseColWidth="10" defaultColWidth="0" defaultRowHeight="14.4" zeroHeight="1"/>
  <cols>
    <col min="1" max="1" width="1"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s="1041" customFormat="1"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s="1041" customFormat="1"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9" t="s">
        <v>603</v>
      </c>
      <c r="W2" s="4459"/>
      <c r="X2" s="4459"/>
      <c r="Y2" s="1945"/>
      <c r="Z2" s="1420"/>
    </row>
    <row r="3" spans="1:26" s="1041" customFormat="1"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9"/>
      <c r="W3" s="4459"/>
      <c r="X3" s="4459"/>
      <c r="Y3" s="1945"/>
      <c r="Z3" s="1420"/>
    </row>
    <row r="4" spans="1:26" ht="20.100000000000001" customHeight="1">
      <c r="A4" s="1418"/>
      <c r="B4" s="1431"/>
      <c r="C4" s="1432"/>
      <c r="D4" s="1946" t="s">
        <v>1463</v>
      </c>
      <c r="E4" s="1434"/>
      <c r="F4" s="1434"/>
      <c r="M4" s="1947"/>
      <c r="N4" s="1438"/>
      <c r="O4" s="1438"/>
      <c r="P4" s="1948" t="s">
        <v>1464</v>
      </c>
      <c r="Q4" s="1948"/>
      <c r="R4" s="1441"/>
      <c r="S4" s="1430"/>
      <c r="T4" s="1424"/>
      <c r="U4" s="1944"/>
      <c r="V4" s="4459"/>
      <c r="W4" s="4459"/>
      <c r="X4" s="4459"/>
      <c r="Y4" s="1945"/>
      <c r="Z4" s="1420"/>
    </row>
    <row r="5" spans="1:26" ht="2.1" customHeight="1">
      <c r="A5" s="1418"/>
      <c r="B5" s="1431"/>
      <c r="C5" s="1442"/>
      <c r="D5" s="1434"/>
      <c r="E5" s="1434"/>
      <c r="F5" s="1434"/>
      <c r="G5" s="1434"/>
      <c r="H5" s="1444"/>
      <c r="I5" s="1445"/>
      <c r="J5" s="1445"/>
      <c r="K5" s="1445"/>
      <c r="L5" s="1446"/>
      <c r="M5" s="1438"/>
      <c r="N5" s="1438"/>
      <c r="O5" s="1438"/>
      <c r="P5" s="1443"/>
      <c r="Q5" s="1440"/>
      <c r="R5" s="1441"/>
      <c r="S5" s="1430"/>
      <c r="T5" s="1424"/>
      <c r="U5" s="1944"/>
      <c r="V5" s="4459"/>
      <c r="W5" s="4459"/>
      <c r="X5" s="4459"/>
      <c r="Y5" s="1945"/>
      <c r="Z5" s="1420"/>
    </row>
    <row r="6" spans="1:26" ht="15.9" customHeight="1">
      <c r="A6" s="1418"/>
      <c r="B6" s="1431"/>
      <c r="C6" s="1442"/>
      <c r="F6" s="1951"/>
      <c r="G6" s="1952" t="s">
        <v>936</v>
      </c>
      <c r="H6" s="1953" t="s">
        <v>1094</v>
      </c>
      <c r="I6" s="1954"/>
      <c r="J6" s="2041"/>
      <c r="K6" s="1955"/>
      <c r="L6" s="1956" t="s">
        <v>1107</v>
      </c>
      <c r="M6" s="1955"/>
      <c r="N6" s="1957"/>
      <c r="O6" s="1957" t="s">
        <v>937</v>
      </c>
      <c r="Q6" s="1440"/>
      <c r="R6" s="1441"/>
      <c r="S6" s="1430"/>
      <c r="T6" s="1424"/>
      <c r="U6" s="1944"/>
      <c r="V6" s="4459"/>
      <c r="W6" s="4459"/>
      <c r="X6" s="4459"/>
      <c r="Y6" s="1950"/>
      <c r="Z6" s="1420"/>
    </row>
    <row r="7" spans="1:26" ht="2.1" customHeight="1">
      <c r="A7" s="1418"/>
      <c r="B7" s="1431"/>
      <c r="C7" s="1442"/>
      <c r="D7" s="1493"/>
      <c r="E7" s="1949"/>
      <c r="F7" s="1949"/>
      <c r="G7" s="1949"/>
      <c r="H7" s="1949"/>
      <c r="I7" s="1949"/>
      <c r="J7" s="1949"/>
      <c r="K7" s="1949"/>
      <c r="L7" s="1949"/>
      <c r="M7" s="1949"/>
      <c r="N7" s="1949"/>
      <c r="O7" s="1949"/>
      <c r="P7" s="1949"/>
      <c r="Q7" s="1440"/>
      <c r="R7" s="1441"/>
      <c r="S7" s="1430"/>
      <c r="T7" s="1424"/>
      <c r="U7" s="1944"/>
      <c r="V7" s="1032"/>
      <c r="W7" s="1950"/>
      <c r="X7" s="1950"/>
      <c r="Y7" s="1950"/>
      <c r="Z7" s="1420"/>
    </row>
    <row r="8" spans="1:26" ht="14.1" customHeight="1">
      <c r="A8" s="1418"/>
      <c r="B8" s="1431"/>
      <c r="C8" s="1442"/>
      <c r="D8" s="2418" t="s">
        <v>1159</v>
      </c>
      <c r="E8" s="2419"/>
      <c r="F8" s="2419"/>
      <c r="G8" s="2419"/>
      <c r="H8" s="2420"/>
      <c r="I8" s="2420"/>
      <c r="J8" s="2420"/>
      <c r="K8" s="2420"/>
      <c r="L8" s="2419"/>
      <c r="M8" s="2419"/>
      <c r="N8" s="2419"/>
      <c r="O8" s="2419"/>
      <c r="P8" s="2396" t="s">
        <v>1158</v>
      </c>
      <c r="Q8" s="2452"/>
      <c r="R8" s="248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2452"/>
      <c r="R9" s="248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2452"/>
      <c r="R10" s="248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2452"/>
      <c r="R11" s="2481"/>
      <c r="S11" s="1430"/>
      <c r="T11" s="1424"/>
      <c r="U11" s="1944"/>
      <c r="V11" s="3100" t="s">
        <v>965</v>
      </c>
      <c r="W11" s="1966"/>
      <c r="X11" s="2036"/>
      <c r="Y11" s="2036"/>
      <c r="Z11" s="1420"/>
    </row>
    <row r="12" spans="1:26" ht="12" customHeight="1">
      <c r="A12" s="1418"/>
      <c r="B12" s="1431"/>
      <c r="C12" s="1442"/>
      <c r="D12" s="2430" t="s">
        <v>20</v>
      </c>
      <c r="E12" s="2265"/>
      <c r="F12" s="1462"/>
      <c r="G12" s="1462">
        <v>0</v>
      </c>
      <c r="H12" s="1462"/>
      <c r="I12" s="1462"/>
      <c r="J12" s="1462"/>
      <c r="K12" s="1462"/>
      <c r="L12" s="1462"/>
      <c r="M12" s="1462"/>
      <c r="N12" s="1462"/>
      <c r="O12" s="1462"/>
      <c r="P12" s="1998">
        <f>E12+F12+G12+H12+I12+J12+K12+L12+M12+N12+O12</f>
        <v>0</v>
      </c>
      <c r="Q12" s="2452"/>
      <c r="R12" s="2481"/>
      <c r="S12" s="1430"/>
      <c r="T12" s="1424"/>
      <c r="U12" s="1944"/>
      <c r="V12" s="4452" t="str">
        <f>IF(('الصفحة 1'!$Q$14&gt;0),((IF((P12&gt;'الصفحة 14'!$M$13),"العدد غيرمطابق",IF((P12&lt;='الصفحة 14'!$M$13)," ")))),"")</f>
        <v xml:space="preserve"> </v>
      </c>
      <c r="W12" s="4453"/>
      <c r="X12" s="3097"/>
      <c r="Y12" s="3096"/>
      <c r="Z12" s="1420"/>
    </row>
    <row r="13" spans="1:26" ht="12" customHeight="1">
      <c r="A13" s="1418"/>
      <c r="B13" s="1431"/>
      <c r="C13" s="1442"/>
      <c r="D13" s="2430" t="s">
        <v>672</v>
      </c>
      <c r="E13" s="2265"/>
      <c r="F13" s="2265"/>
      <c r="G13" s="2265"/>
      <c r="H13" s="2265"/>
      <c r="I13" s="2265"/>
      <c r="J13" s="2265"/>
      <c r="K13" s="2265"/>
      <c r="L13" s="2265"/>
      <c r="M13" s="2265"/>
      <c r="N13" s="2265"/>
      <c r="O13" s="2265"/>
      <c r="P13" s="1998">
        <f>E13+F13+G13+H13+I13+J13+K13+L13+M13+N13+O13</f>
        <v>0</v>
      </c>
      <c r="Q13" s="2452"/>
      <c r="R13" s="248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2452"/>
      <c r="R14" s="2481"/>
      <c r="S14" s="1430"/>
      <c r="T14" s="1424"/>
      <c r="U14" s="1944"/>
      <c r="V14" s="3100" t="s">
        <v>964</v>
      </c>
      <c r="W14" s="2036"/>
      <c r="X14" s="2036"/>
      <c r="Y14" s="2036"/>
      <c r="Z14" s="1420"/>
    </row>
    <row r="15" spans="1:26" ht="12" customHeight="1">
      <c r="A15" s="1418"/>
      <c r="B15" s="1431"/>
      <c r="C15" s="1442"/>
      <c r="D15" s="2430" t="s">
        <v>20</v>
      </c>
      <c r="E15" s="2265"/>
      <c r="F15" s="1462"/>
      <c r="G15" s="1462"/>
      <c r="H15" s="1462"/>
      <c r="I15" s="1462"/>
      <c r="J15" s="1462"/>
      <c r="K15" s="1462"/>
      <c r="L15" s="1462"/>
      <c r="M15" s="1462"/>
      <c r="N15" s="1462"/>
      <c r="O15" s="1462"/>
      <c r="P15" s="1998">
        <f>E15+F15+G15+H15+I15+J15+K15+L15+M15+N15+O15</f>
        <v>0</v>
      </c>
      <c r="Q15" s="2452"/>
      <c r="R15" s="2481"/>
      <c r="S15" s="1430"/>
      <c r="T15" s="1424"/>
      <c r="U15" s="1944"/>
      <c r="V15" s="4452" t="str">
        <f>IF(('الصفحة 1'!$Q$14&gt;0),((IF((P15&gt;'الصفحة 14'!$M$15),"العدد غيرمطابق",IF((P15&lt;='الصفحة 14'!$M$15)," ")))),"")</f>
        <v xml:space="preserve"> </v>
      </c>
      <c r="W15" s="4453"/>
      <c r="X15" s="3097"/>
      <c r="Y15" s="2036"/>
      <c r="Z15" s="1420"/>
    </row>
    <row r="16" spans="1:26" ht="12" customHeight="1">
      <c r="A16" s="1418"/>
      <c r="B16" s="1431"/>
      <c r="C16" s="1442"/>
      <c r="D16" s="2430" t="s">
        <v>672</v>
      </c>
      <c r="E16" s="2265"/>
      <c r="F16" s="2265"/>
      <c r="G16" s="2265"/>
      <c r="H16" s="2265"/>
      <c r="I16" s="2265"/>
      <c r="J16" s="2265"/>
      <c r="K16" s="2265"/>
      <c r="L16" s="2265"/>
      <c r="M16" s="2265"/>
      <c r="N16" s="2265"/>
      <c r="O16" s="2265"/>
      <c r="P16" s="1998">
        <f>E16+F16+G16+H16+I16+J16+K16+L16+M16+N16+O16</f>
        <v>0</v>
      </c>
      <c r="Q16" s="2452"/>
      <c r="R16" s="248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2452"/>
      <c r="R17" s="248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2452"/>
      <c r="R18" s="2481"/>
      <c r="S18" s="1430"/>
      <c r="T18" s="1424"/>
      <c r="U18" s="1944"/>
      <c r="V18" s="4452" t="str">
        <f>IF(('الصفحة 1'!$Q$14&gt;0),((IF((P18&gt;'الصفحة 14'!$M$17),"العدد غيرمطابق",IF((P18&lt;='الصفحة 14'!$M$17),"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2452"/>
      <c r="R19" s="248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2452"/>
      <c r="R20" s="2481"/>
      <c r="S20" s="1430"/>
      <c r="T20" s="1424"/>
      <c r="U20" s="1944"/>
      <c r="V20" s="3100" t="s">
        <v>962</v>
      </c>
      <c r="W20" s="2039"/>
      <c r="X20" s="3052"/>
      <c r="Y20" s="3052"/>
      <c r="Z20" s="1420"/>
    </row>
    <row r="21" spans="1:26" ht="12" customHeight="1">
      <c r="A21" s="1418"/>
      <c r="B21" s="1431"/>
      <c r="C21" s="1442"/>
      <c r="D21" s="2430" t="s">
        <v>20</v>
      </c>
      <c r="E21" s="2265"/>
      <c r="F21" s="1462"/>
      <c r="G21" s="1462"/>
      <c r="H21" s="1462"/>
      <c r="I21" s="1462"/>
      <c r="J21" s="1462"/>
      <c r="K21" s="1462"/>
      <c r="L21" s="1462"/>
      <c r="M21" s="1462"/>
      <c r="N21" s="1462"/>
      <c r="O21" s="1462"/>
      <c r="P21" s="1998">
        <f>E21+F21+G21+H21+I21+J21+K21+L21+M21+N21+O21</f>
        <v>0</v>
      </c>
      <c r="Q21" s="2452"/>
      <c r="R21" s="2481"/>
      <c r="S21" s="1430"/>
      <c r="T21" s="1424"/>
      <c r="U21" s="1944"/>
      <c r="V21" s="4452" t="str">
        <f>IF(('الصفحة 1'!$Q$14&gt;0),((IF((P21&gt;'الصفحة 14'!$M$19),"العدد غيرمطابق",IF((P21&lt;='الصفحة 14'!$M$19)," ")))),"")</f>
        <v xml:space="preserve"> </v>
      </c>
      <c r="W21" s="4453"/>
      <c r="X21" s="3097"/>
      <c r="Y21" s="3052"/>
      <c r="Z21" s="1420"/>
    </row>
    <row r="22" spans="1:26" ht="12" customHeight="1">
      <c r="A22" s="1418"/>
      <c r="B22" s="1431"/>
      <c r="C22" s="1442"/>
      <c r="D22" s="2430" t="s">
        <v>672</v>
      </c>
      <c r="E22" s="2265"/>
      <c r="F22" s="2265"/>
      <c r="G22" s="2265"/>
      <c r="H22" s="2265"/>
      <c r="I22" s="2265"/>
      <c r="J22" s="2265"/>
      <c r="K22" s="2265"/>
      <c r="L22" s="2265"/>
      <c r="M22" s="2265"/>
      <c r="N22" s="2265"/>
      <c r="O22" s="2265"/>
      <c r="P22" s="1998">
        <f>E22+F22+G22+H22+I22+J22+K22+L22+M22+N22+O22</f>
        <v>0</v>
      </c>
      <c r="Q22" s="2452"/>
      <c r="R22" s="248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2452"/>
      <c r="R23" s="248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2452"/>
      <c r="R24" s="2481"/>
      <c r="S24" s="1430"/>
      <c r="T24" s="1424"/>
      <c r="U24" s="1944"/>
      <c r="V24" s="4452" t="str">
        <f>IF(('الصفحة 1'!$Q$14&gt;0),((IF((P24&gt;'الصفحة 14'!$M$21),"العدد غيرمطابق",IF((P24&lt;='الصفحة 14'!$M$21),"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2452"/>
      <c r="R25" s="248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2452"/>
      <c r="R26" s="2481"/>
      <c r="S26" s="1430"/>
      <c r="T26" s="1424"/>
      <c r="U26" s="1944"/>
      <c r="V26" s="3109" t="s">
        <v>1083</v>
      </c>
      <c r="W26" s="1966"/>
      <c r="X26" s="3052"/>
      <c r="Y26" s="3052"/>
      <c r="Z26" s="1420"/>
    </row>
    <row r="27" spans="1:26" ht="12" customHeight="1">
      <c r="A27" s="1418"/>
      <c r="B27" s="1431"/>
      <c r="C27" s="1442"/>
      <c r="D27" s="2430" t="s">
        <v>20</v>
      </c>
      <c r="E27" s="1996">
        <f>(E12+E15+E18+E21+E24)</f>
        <v>0</v>
      </c>
      <c r="F27" s="1997">
        <f t="shared" ref="F27:O27" si="0">(F12+F15+F18+F21+F24)</f>
        <v>0</v>
      </c>
      <c r="G27" s="1997">
        <f t="shared" si="0"/>
        <v>0</v>
      </c>
      <c r="H27" s="1997">
        <f t="shared" si="0"/>
        <v>0</v>
      </c>
      <c r="I27" s="1997">
        <f t="shared" si="0"/>
        <v>0</v>
      </c>
      <c r="J27" s="1997">
        <f t="shared" si="0"/>
        <v>0</v>
      </c>
      <c r="K27" s="1997">
        <f t="shared" si="0"/>
        <v>0</v>
      </c>
      <c r="L27" s="1997">
        <f t="shared" si="0"/>
        <v>0</v>
      </c>
      <c r="M27" s="1997">
        <f t="shared" si="0"/>
        <v>0</v>
      </c>
      <c r="N27" s="1997">
        <f t="shared" si="0"/>
        <v>0</v>
      </c>
      <c r="O27" s="1997">
        <f t="shared" si="0"/>
        <v>0</v>
      </c>
      <c r="P27" s="1998">
        <f>E27+F27+G27+H27+I27+J27+K27+L27+M27+N27+O27</f>
        <v>0</v>
      </c>
      <c r="Q27" s="2452"/>
      <c r="R27" s="2481"/>
      <c r="S27" s="1430"/>
      <c r="T27" s="1424"/>
      <c r="U27" s="1944"/>
      <c r="V27" s="4452" t="str">
        <f>IF(('الصفحة 1'!$Q$14&gt;0),((IF((P27&gt;'الصفحة 14'!$M$23),"العدد غيرمطابق",IF((P27&lt;='الصفحة 14'!$M$23)," ")))),"")</f>
        <v xml:space="preserve"> </v>
      </c>
      <c r="W27" s="4453"/>
      <c r="X27" s="3097"/>
      <c r="Y27" s="3052"/>
      <c r="Z27" s="1420"/>
    </row>
    <row r="28" spans="1:26" ht="12" customHeight="1">
      <c r="A28" s="1418"/>
      <c r="B28" s="1431"/>
      <c r="C28" s="1442"/>
      <c r="D28" s="2430" t="s">
        <v>672</v>
      </c>
      <c r="E28" s="1996">
        <f t="shared" ref="E28:O28" si="1">(E13+E16+E19+E22+E25)</f>
        <v>0</v>
      </c>
      <c r="F28" s="1996">
        <f t="shared" si="1"/>
        <v>0</v>
      </c>
      <c r="G28" s="1996">
        <f t="shared" si="1"/>
        <v>0</v>
      </c>
      <c r="H28" s="1996">
        <f t="shared" si="1"/>
        <v>0</v>
      </c>
      <c r="I28" s="1996">
        <f t="shared" si="1"/>
        <v>0</v>
      </c>
      <c r="J28" s="1996">
        <f t="shared" si="1"/>
        <v>0</v>
      </c>
      <c r="K28" s="1996">
        <f t="shared" si="1"/>
        <v>0</v>
      </c>
      <c r="L28" s="1996">
        <f t="shared" si="1"/>
        <v>0</v>
      </c>
      <c r="M28" s="1996">
        <f t="shared" si="1"/>
        <v>0</v>
      </c>
      <c r="N28" s="1996">
        <f t="shared" si="1"/>
        <v>0</v>
      </c>
      <c r="O28" s="1996">
        <f t="shared" si="1"/>
        <v>0</v>
      </c>
      <c r="P28" s="1998">
        <f>E28+F28+G28+H28+I28+J28+K28+L28+M28+N28+O28</f>
        <v>0</v>
      </c>
      <c r="Q28" s="2452"/>
      <c r="R28" s="248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2452"/>
      <c r="R29" s="248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2452"/>
      <c r="R30" s="248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2452"/>
      <c r="R31" s="2481"/>
      <c r="S31" s="1430"/>
      <c r="T31" s="1424"/>
      <c r="U31" s="1944"/>
      <c r="V31" s="4464"/>
      <c r="W31" s="4464"/>
      <c r="X31" s="3052"/>
      <c r="Y31" s="3052"/>
      <c r="Z31" s="1420"/>
    </row>
    <row r="32" spans="1:26" ht="11.1" customHeight="1">
      <c r="A32" s="1418"/>
      <c r="B32" s="1431"/>
      <c r="C32" s="1442"/>
      <c r="D32" s="2437" t="s">
        <v>1160</v>
      </c>
      <c r="E32" s="2000"/>
      <c r="F32" s="2000"/>
      <c r="G32" s="2000"/>
      <c r="H32" s="2000"/>
      <c r="I32" s="2000"/>
      <c r="J32" s="2000"/>
      <c r="K32" s="2000"/>
      <c r="L32" s="2000"/>
      <c r="M32" s="2000"/>
      <c r="N32" s="2000"/>
      <c r="O32" s="2000"/>
      <c r="P32" s="2403" t="s">
        <v>1161</v>
      </c>
      <c r="Q32" s="2452"/>
      <c r="R32" s="2481"/>
      <c r="S32" s="1430"/>
      <c r="T32" s="1424"/>
      <c r="U32" s="1944"/>
      <c r="V32" s="2177"/>
      <c r="W32" s="1966"/>
      <c r="X32" s="3052"/>
      <c r="Y32" s="3052"/>
      <c r="Z32" s="1420"/>
    </row>
    <row r="33" spans="1:26" ht="12.9" customHeight="1">
      <c r="A33" s="1418"/>
      <c r="B33" s="1431"/>
      <c r="C33" s="1442"/>
      <c r="D33" s="2430" t="s">
        <v>20</v>
      </c>
      <c r="E33" s="2265"/>
      <c r="F33" s="1462"/>
      <c r="G33" s="1462"/>
      <c r="H33" s="1462"/>
      <c r="I33" s="1462"/>
      <c r="J33" s="1462"/>
      <c r="K33" s="1462"/>
      <c r="L33" s="1462"/>
      <c r="M33" s="1462"/>
      <c r="N33" s="1462"/>
      <c r="O33" s="1462"/>
      <c r="P33" s="1998">
        <f>E33+F33+G33+H33+I33+J33+K33+L33+M33+N33+O33</f>
        <v>0</v>
      </c>
      <c r="Q33" s="2452"/>
      <c r="R33" s="2481"/>
      <c r="S33" s="1430"/>
      <c r="T33" s="1424"/>
      <c r="U33" s="1944"/>
      <c r="V33" s="4464"/>
      <c r="W33" s="4464"/>
      <c r="X33" s="3052"/>
      <c r="Y33" s="3052"/>
      <c r="Z33" s="1420"/>
    </row>
    <row r="34" spans="1:26" ht="12" customHeight="1">
      <c r="A34" s="1418"/>
      <c r="B34" s="1431"/>
      <c r="C34" s="1442"/>
      <c r="D34" s="2430" t="s">
        <v>672</v>
      </c>
      <c r="E34" s="2265"/>
      <c r="F34" s="2265"/>
      <c r="G34" s="2265"/>
      <c r="H34" s="2265"/>
      <c r="I34" s="2265"/>
      <c r="J34" s="2265"/>
      <c r="K34" s="2265"/>
      <c r="L34" s="2265"/>
      <c r="M34" s="2265"/>
      <c r="N34" s="2265"/>
      <c r="O34" s="2265"/>
      <c r="P34" s="1998">
        <f>E34+F34+G34+H34+I34+J34+K34+L34+M34+N34+O34</f>
        <v>0</v>
      </c>
      <c r="Q34" s="2452"/>
      <c r="R34" s="248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2452"/>
      <c r="R35" s="2481"/>
      <c r="S35" s="1430"/>
      <c r="T35" s="1424"/>
      <c r="U35" s="1944"/>
      <c r="V35" s="2176"/>
      <c r="W35" s="1966"/>
      <c r="X35" s="3052"/>
      <c r="Y35" s="3052"/>
      <c r="Z35" s="1420"/>
    </row>
    <row r="36" spans="1:26" ht="12.9" customHeight="1">
      <c r="A36" s="1418"/>
      <c r="B36" s="1431"/>
      <c r="C36" s="1442"/>
      <c r="D36" s="2430" t="s">
        <v>20</v>
      </c>
      <c r="E36" s="1996">
        <f>(E27+E33)</f>
        <v>0</v>
      </c>
      <c r="F36" s="1997">
        <f t="shared" ref="F36:O36" si="2">(F27+F33)</f>
        <v>0</v>
      </c>
      <c r="G36" s="1997">
        <f t="shared" si="2"/>
        <v>0</v>
      </c>
      <c r="H36" s="1997">
        <f t="shared" si="2"/>
        <v>0</v>
      </c>
      <c r="I36" s="1997">
        <f t="shared" si="2"/>
        <v>0</v>
      </c>
      <c r="J36" s="1997">
        <f t="shared" si="2"/>
        <v>0</v>
      </c>
      <c r="K36" s="1997">
        <f t="shared" si="2"/>
        <v>0</v>
      </c>
      <c r="L36" s="1997">
        <f t="shared" si="2"/>
        <v>0</v>
      </c>
      <c r="M36" s="1997">
        <f t="shared" si="2"/>
        <v>0</v>
      </c>
      <c r="N36" s="1997">
        <f t="shared" si="2"/>
        <v>0</v>
      </c>
      <c r="O36" s="1997">
        <f t="shared" si="2"/>
        <v>0</v>
      </c>
      <c r="P36" s="1998">
        <f>E36+F36+G36+H36+I36+J36+K36+L36+M36+N36+O36</f>
        <v>0</v>
      </c>
      <c r="Q36" s="2452"/>
      <c r="R36" s="2481"/>
      <c r="S36" s="1430"/>
      <c r="T36" s="1424"/>
      <c r="U36" s="1944"/>
      <c r="V36" s="4464"/>
      <c r="W36" s="4464"/>
      <c r="X36" s="3052"/>
      <c r="Y36" s="3052"/>
      <c r="Z36" s="1420"/>
    </row>
    <row r="37" spans="1:26" ht="12.9" customHeight="1">
      <c r="A37" s="1418"/>
      <c r="B37" s="1431"/>
      <c r="C37" s="1442"/>
      <c r="D37" s="2430" t="s">
        <v>672</v>
      </c>
      <c r="E37" s="1996">
        <f t="shared" ref="E37:O37" si="3">(E28+E34)</f>
        <v>0</v>
      </c>
      <c r="F37" s="1996">
        <f t="shared" si="3"/>
        <v>0</v>
      </c>
      <c r="G37" s="1996">
        <f t="shared" si="3"/>
        <v>0</v>
      </c>
      <c r="H37" s="1996">
        <f t="shared" si="3"/>
        <v>0</v>
      </c>
      <c r="I37" s="1996">
        <f t="shared" si="3"/>
        <v>0</v>
      </c>
      <c r="J37" s="1996">
        <f t="shared" si="3"/>
        <v>0</v>
      </c>
      <c r="K37" s="1996">
        <f t="shared" si="3"/>
        <v>0</v>
      </c>
      <c r="L37" s="1996">
        <f t="shared" si="3"/>
        <v>0</v>
      </c>
      <c r="M37" s="1996">
        <f t="shared" si="3"/>
        <v>0</v>
      </c>
      <c r="N37" s="1996">
        <f t="shared" si="3"/>
        <v>0</v>
      </c>
      <c r="O37" s="1996">
        <f t="shared" si="3"/>
        <v>0</v>
      </c>
      <c r="P37" s="1998">
        <f>E37+F37+G37+H37+I37+J37+K37+L37+M37+N37+O37</f>
        <v>0</v>
      </c>
      <c r="Q37" s="2452"/>
      <c r="R37" s="248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2452"/>
      <c r="R38" s="2481"/>
      <c r="S38" s="1430"/>
      <c r="T38" s="1424"/>
      <c r="U38" s="1944"/>
      <c r="V38" s="2038"/>
      <c r="W38" s="1966"/>
      <c r="X38" s="3052"/>
      <c r="Y38" s="3052"/>
      <c r="Z38" s="1420"/>
    </row>
    <row r="39" spans="1:26" ht="15" customHeight="1">
      <c r="A39" s="1418"/>
      <c r="B39" s="1431"/>
      <c r="C39" s="1442"/>
      <c r="D39" s="2441" t="s">
        <v>1145</v>
      </c>
      <c r="E39" s="2419"/>
      <c r="F39" s="2419"/>
      <c r="G39" s="2419"/>
      <c r="H39" s="2442" t="s">
        <v>1257</v>
      </c>
      <c r="I39" s="2420"/>
      <c r="J39" s="2420"/>
      <c r="K39" s="2420"/>
      <c r="L39" s="2419"/>
      <c r="M39" s="2419"/>
      <c r="N39" s="2419"/>
      <c r="O39" s="2419"/>
      <c r="P39" s="2443" t="s">
        <v>1204</v>
      </c>
      <c r="Q39" s="2452"/>
      <c r="R39" s="248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2452"/>
      <c r="R40" s="248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2452"/>
      <c r="R41" s="2481"/>
      <c r="S41" s="1430"/>
      <c r="T41" s="1424"/>
      <c r="U41" s="1944"/>
      <c r="V41" s="2179" t="s">
        <v>1085</v>
      </c>
      <c r="W41" s="1966"/>
      <c r="X41" s="2037"/>
      <c r="Y41" s="2037"/>
      <c r="Z41" s="1420"/>
    </row>
    <row r="42" spans="1:26" ht="14.1" customHeight="1">
      <c r="A42" s="1418"/>
      <c r="B42" s="1431"/>
      <c r="C42" s="1442"/>
      <c r="D42" s="2430" t="s">
        <v>20</v>
      </c>
      <c r="E42" s="2265"/>
      <c r="F42" s="1462"/>
      <c r="G42" s="1462"/>
      <c r="H42" s="1462"/>
      <c r="I42" s="1462"/>
      <c r="J42" s="1462"/>
      <c r="K42" s="1462"/>
      <c r="L42" s="1462"/>
      <c r="M42" s="2453">
        <f>E42+F42+G42+H42+I42+J42+K42+L42</f>
        <v>0</v>
      </c>
      <c r="N42" s="2452"/>
      <c r="O42" s="2452"/>
      <c r="P42" s="2452"/>
      <c r="Q42" s="2452"/>
      <c r="R42" s="2481"/>
      <c r="S42" s="1430"/>
      <c r="T42" s="1424"/>
      <c r="U42" s="1944"/>
      <c r="V42" s="4452" t="str">
        <f>IF(('الصفحة 1'!$Q$14&gt;0),((IF((M42&gt;'الصفحة 14'!$M$23),"العدد غيرمطابق",IF((M42&lt;='الصفحة 14'!$M$23)," ")))),"")</f>
        <v xml:space="preserve"> </v>
      </c>
      <c r="W42" s="4453"/>
      <c r="X42" s="1975" t="str">
        <f>IF(('الصفحة 1'!$Q$14&gt;0),((IF((M42&lt;&gt;P27),"العدد غيرمطابق",IF((M42=P27)," ")))),"")</f>
        <v xml:space="preserve"> </v>
      </c>
      <c r="Y42" s="2037"/>
      <c r="Z42" s="1420"/>
    </row>
    <row r="43" spans="1:26" ht="14.1" customHeight="1">
      <c r="A43" s="1418"/>
      <c r="B43" s="1431"/>
      <c r="C43" s="1442"/>
      <c r="D43" s="2430" t="s">
        <v>672</v>
      </c>
      <c r="E43" s="2265"/>
      <c r="F43" s="2265"/>
      <c r="G43" s="2265"/>
      <c r="H43" s="2265"/>
      <c r="I43" s="2265"/>
      <c r="J43" s="2265"/>
      <c r="K43" s="2265"/>
      <c r="L43" s="2265"/>
      <c r="M43" s="2453">
        <f>E43+F43+G43+H43+I43+J43+K43+L43</f>
        <v>0</v>
      </c>
      <c r="N43" s="2452"/>
      <c r="O43" s="2452"/>
      <c r="P43" s="2452"/>
      <c r="Q43" s="2452"/>
      <c r="R43" s="2481"/>
      <c r="S43" s="1430"/>
      <c r="T43" s="1424"/>
      <c r="U43" s="1944"/>
      <c r="V43" s="4452" t="str">
        <f>IF(('الصفحة 1'!$Q$14&gt;0),((IF((M43&gt;'الصفحة 14'!$M$23),"العدد غيرمطابق",IF((M43&lt;='الصفحة 14'!$M$23)," ")))),"")</f>
        <v xml:space="preserve"> </v>
      </c>
      <c r="W43" s="4453"/>
      <c r="X43" s="1975" t="str">
        <f>IF(('الصفحة 1'!$Q$14&gt;0),((IF((M43&lt;&gt;P28),"العدد غيرمطابق",IF((M43=P28)," ")))),"")</f>
        <v xml:space="preserve"> </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2452"/>
      <c r="R44" s="248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2452"/>
      <c r="R45" s="2481"/>
      <c r="S45" s="1430"/>
      <c r="T45" s="1424"/>
      <c r="U45" s="1944"/>
      <c r="V45" s="2038"/>
      <c r="W45" s="1966"/>
      <c r="X45" s="2037"/>
      <c r="Y45" s="2037"/>
      <c r="Z45" s="1420"/>
    </row>
    <row r="46" spans="1:26" ht="15" customHeight="1">
      <c r="A46" s="1418"/>
      <c r="B46" s="1431"/>
      <c r="C46" s="1442"/>
      <c r="D46" s="2441" t="s">
        <v>1146</v>
      </c>
      <c r="E46" s="2457"/>
      <c r="F46" s="2457"/>
      <c r="G46" s="2457"/>
      <c r="H46" s="2442" t="s">
        <v>1257</v>
      </c>
      <c r="I46" s="2458"/>
      <c r="J46" s="2458"/>
      <c r="K46" s="2458"/>
      <c r="L46" s="2457"/>
      <c r="M46" s="2457"/>
      <c r="N46" s="2457"/>
      <c r="O46" s="2457"/>
      <c r="P46" s="2459" t="s">
        <v>1147</v>
      </c>
      <c r="Q46" s="2452"/>
      <c r="R46" s="248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2452"/>
      <c r="R47" s="248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2452"/>
      <c r="R48" s="248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2452"/>
      <c r="R49" s="2481"/>
      <c r="S49" s="1430"/>
      <c r="T49" s="1424"/>
      <c r="U49" s="1944"/>
      <c r="V49" s="4452" t="str">
        <f>IF(('الصفحة 1'!$Q$14&gt;0),((IF((O49&gt;'الصفحة 14'!$M$23),"العدد غيرمطابق",IF((O49&lt;='الصفحة 14'!$M$23)," ")))),"")</f>
        <v xml:space="preserve"> </v>
      </c>
      <c r="W49" s="4453"/>
      <c r="X49" s="1975" t="str">
        <f>IF(('الصفحة 1'!$Q$14&gt;0),((IF((O49&lt;&gt;P27),"العدد غيرمطابق",IF((O49=P27)," ")))),"")</f>
        <v xml:space="preserve"> </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2452"/>
      <c r="R50" s="2481"/>
      <c r="S50" s="1430"/>
      <c r="T50" s="1424"/>
      <c r="U50" s="1944"/>
      <c r="V50" s="4452" t="str">
        <f>IF(('الصفحة 1'!$Q$14&gt;0),((IF((O50&gt;'الصفحة 14'!$M$23),"العدد غيرمطابق",IF((O50&lt;='الصفحة 14'!$M$23)," ")))),"")</f>
        <v xml:space="preserve"> </v>
      </c>
      <c r="W50" s="4453"/>
      <c r="X50" s="1975" t="str">
        <f>IF(('الصفحة 1'!$Q$14&gt;0),((IF((O50&lt;&gt;P28),"العدد غيرمطابق",IF((O50=P28)," ")))),"")</f>
        <v xml:space="preserve"> </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23</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5:W15"/>
    <mergeCell ref="V2:X6"/>
    <mergeCell ref="V10:W10"/>
    <mergeCell ref="V12:W12"/>
    <mergeCell ref="V13:W13"/>
    <mergeCell ref="V8:W8"/>
    <mergeCell ref="V33:W33"/>
    <mergeCell ref="V16:W16"/>
    <mergeCell ref="V18:W18"/>
    <mergeCell ref="V19:W19"/>
    <mergeCell ref="V21:W21"/>
    <mergeCell ref="V22:W22"/>
    <mergeCell ref="V24:W24"/>
    <mergeCell ref="V25:W25"/>
    <mergeCell ref="V27:W27"/>
    <mergeCell ref="V28:W28"/>
    <mergeCell ref="V30:W30"/>
    <mergeCell ref="V31:W31"/>
    <mergeCell ref="V34:W34"/>
    <mergeCell ref="V36:W36"/>
    <mergeCell ref="V37:W37"/>
    <mergeCell ref="V42:W42"/>
    <mergeCell ref="V43:W43"/>
    <mergeCell ref="O48:P48"/>
    <mergeCell ref="E49:F49"/>
    <mergeCell ref="G49:H49"/>
    <mergeCell ref="I49:J49"/>
    <mergeCell ref="K49:L49"/>
    <mergeCell ref="M49:N49"/>
    <mergeCell ref="O49:P49"/>
    <mergeCell ref="E48:F48"/>
    <mergeCell ref="G48:H48"/>
    <mergeCell ref="I48:J48"/>
    <mergeCell ref="K48:L48"/>
    <mergeCell ref="M48:N48"/>
    <mergeCell ref="C53:R53"/>
    <mergeCell ref="V49:W49"/>
    <mergeCell ref="E50:F50"/>
    <mergeCell ref="G50:H50"/>
    <mergeCell ref="I50:J50"/>
    <mergeCell ref="K50:L50"/>
    <mergeCell ref="M50:N50"/>
    <mergeCell ref="O50:P50"/>
    <mergeCell ref="V50:W50"/>
  </mergeCells>
  <conditionalFormatting sqref="G49 I49:I50 K49:K50 M49:M50 O49:O50 V49:V50 X49:X50 E49 X42:X43 E42:P42 V42:V43 E27:P27 E12:P12 E15:P15 E18:P18 E21:P21 V12:V13 V15:V16 V18:V19 E30:P30 X12:X13 X15:X16 X18:X19 E24:P24 X21:X25 V21:V22 V24:V25 X27:X28 V27:V28">
    <cfRule type="cellIs" dxfId="8790" priority="1781" operator="equal">
      <formula>0</formula>
    </cfRule>
  </conditionalFormatting>
  <conditionalFormatting sqref="E13 E43:P44 V50 X50">
    <cfRule type="cellIs" dxfId="8789" priority="1779" operator="greaterThan">
      <formula>E12</formula>
    </cfRule>
    <cfRule type="cellIs" dxfId="8788" priority="1780" operator="equal">
      <formula>0</formula>
    </cfRule>
  </conditionalFormatting>
  <conditionalFormatting sqref="F13">
    <cfRule type="cellIs" dxfId="8787" priority="1777" operator="greaterThan">
      <formula>F12</formula>
    </cfRule>
    <cfRule type="cellIs" dxfId="8786" priority="1778" operator="equal">
      <formula>0</formula>
    </cfRule>
  </conditionalFormatting>
  <conditionalFormatting sqref="G13">
    <cfRule type="cellIs" dxfId="8785" priority="1775" operator="greaterThan">
      <formula>G12</formula>
    </cfRule>
    <cfRule type="cellIs" dxfId="8784" priority="1776" operator="equal">
      <formula>0</formula>
    </cfRule>
  </conditionalFormatting>
  <conditionalFormatting sqref="H13">
    <cfRule type="cellIs" dxfId="8783" priority="1773" operator="greaterThan">
      <formula>H12</formula>
    </cfRule>
    <cfRule type="cellIs" dxfId="8782" priority="1774" operator="equal">
      <formula>0</formula>
    </cfRule>
  </conditionalFormatting>
  <conditionalFormatting sqref="I13">
    <cfRule type="cellIs" dxfId="8781" priority="1771" operator="greaterThan">
      <formula>I12</formula>
    </cfRule>
    <cfRule type="cellIs" dxfId="8780" priority="1772" operator="equal">
      <formula>0</formula>
    </cfRule>
  </conditionalFormatting>
  <conditionalFormatting sqref="J13">
    <cfRule type="cellIs" dxfId="8779" priority="1769" operator="greaterThan">
      <formula>J12</formula>
    </cfRule>
    <cfRule type="cellIs" dxfId="8778" priority="1770" operator="equal">
      <formula>0</formula>
    </cfRule>
  </conditionalFormatting>
  <conditionalFormatting sqref="K13">
    <cfRule type="cellIs" dxfId="8777" priority="1767" operator="greaterThan">
      <formula>K12</formula>
    </cfRule>
    <cfRule type="cellIs" dxfId="8776" priority="1768" operator="equal">
      <formula>0</formula>
    </cfRule>
  </conditionalFormatting>
  <conditionalFormatting sqref="L13">
    <cfRule type="cellIs" dxfId="8775" priority="1765" operator="greaterThan">
      <formula>L12</formula>
    </cfRule>
    <cfRule type="cellIs" dxfId="8774" priority="1766" operator="equal">
      <formula>0</formula>
    </cfRule>
  </conditionalFormatting>
  <conditionalFormatting sqref="M13">
    <cfRule type="cellIs" dxfId="8773" priority="1763" operator="greaterThan">
      <formula>M12</formula>
    </cfRule>
    <cfRule type="cellIs" dxfId="8772" priority="1764" operator="equal">
      <formula>0</formula>
    </cfRule>
  </conditionalFormatting>
  <conditionalFormatting sqref="N13">
    <cfRule type="cellIs" dxfId="8771" priority="1761" operator="greaterThan">
      <formula>N12</formula>
    </cfRule>
    <cfRule type="cellIs" dxfId="8770" priority="1762" operator="equal">
      <formula>0</formula>
    </cfRule>
  </conditionalFormatting>
  <conditionalFormatting sqref="O13">
    <cfRule type="cellIs" dxfId="8769" priority="1759" operator="greaterThan">
      <formula>O12</formula>
    </cfRule>
    <cfRule type="cellIs" dxfId="8768" priority="1760" operator="equal">
      <formula>0</formula>
    </cfRule>
  </conditionalFormatting>
  <conditionalFormatting sqref="P13">
    <cfRule type="cellIs" dxfId="8767" priority="1757" operator="greaterThan">
      <formula>P12</formula>
    </cfRule>
    <cfRule type="cellIs" dxfId="8766" priority="1758" operator="equal">
      <formula>0</formula>
    </cfRule>
  </conditionalFormatting>
  <conditionalFormatting sqref="E16">
    <cfRule type="cellIs" dxfId="8765" priority="1755" operator="greaterThan">
      <formula>E15</formula>
    </cfRule>
    <cfRule type="cellIs" dxfId="8764" priority="1756" operator="equal">
      <formula>0</formula>
    </cfRule>
  </conditionalFormatting>
  <conditionalFormatting sqref="F16">
    <cfRule type="cellIs" dxfId="8763" priority="1753" operator="greaterThan">
      <formula>F15</formula>
    </cfRule>
    <cfRule type="cellIs" dxfId="8762" priority="1754" operator="equal">
      <formula>0</formula>
    </cfRule>
  </conditionalFormatting>
  <conditionalFormatting sqref="G16">
    <cfRule type="cellIs" dxfId="8761" priority="1751" operator="greaterThan">
      <formula>G15</formula>
    </cfRule>
    <cfRule type="cellIs" dxfId="8760" priority="1752" operator="equal">
      <formula>0</formula>
    </cfRule>
  </conditionalFormatting>
  <conditionalFormatting sqref="H16">
    <cfRule type="cellIs" dxfId="8759" priority="1749" operator="greaterThan">
      <formula>H15</formula>
    </cfRule>
    <cfRule type="cellIs" dxfId="8758" priority="1750" operator="equal">
      <formula>0</formula>
    </cfRule>
  </conditionalFormatting>
  <conditionalFormatting sqref="I16">
    <cfRule type="cellIs" dxfId="8757" priority="1747" operator="greaterThan">
      <formula>I15</formula>
    </cfRule>
    <cfRule type="cellIs" dxfId="8756" priority="1748" operator="equal">
      <formula>0</formula>
    </cfRule>
  </conditionalFormatting>
  <conditionalFormatting sqref="J16">
    <cfRule type="cellIs" dxfId="8755" priority="1745" operator="greaterThan">
      <formula>J15</formula>
    </cfRule>
    <cfRule type="cellIs" dxfId="8754" priority="1746" operator="equal">
      <formula>0</formula>
    </cfRule>
  </conditionalFormatting>
  <conditionalFormatting sqref="K16">
    <cfRule type="cellIs" dxfId="8753" priority="1743" operator="greaterThan">
      <formula>K15</formula>
    </cfRule>
    <cfRule type="cellIs" dxfId="8752" priority="1744" operator="equal">
      <formula>0</formula>
    </cfRule>
  </conditionalFormatting>
  <conditionalFormatting sqref="L16">
    <cfRule type="cellIs" dxfId="8751" priority="1741" operator="greaterThan">
      <formula>L15</formula>
    </cfRule>
    <cfRule type="cellIs" dxfId="8750" priority="1742" operator="equal">
      <formula>0</formula>
    </cfRule>
  </conditionalFormatting>
  <conditionalFormatting sqref="M16">
    <cfRule type="cellIs" dxfId="8749" priority="1739" operator="greaterThan">
      <formula>M15</formula>
    </cfRule>
    <cfRule type="cellIs" dxfId="8748" priority="1740" operator="equal">
      <formula>0</formula>
    </cfRule>
  </conditionalFormatting>
  <conditionalFormatting sqref="N16">
    <cfRule type="cellIs" dxfId="8747" priority="1737" operator="greaterThan">
      <formula>N15</formula>
    </cfRule>
    <cfRule type="cellIs" dxfId="8746" priority="1738" operator="equal">
      <formula>0</formula>
    </cfRule>
  </conditionalFormatting>
  <conditionalFormatting sqref="O16">
    <cfRule type="cellIs" dxfId="8745" priority="1735" operator="greaterThan">
      <formula>O15</formula>
    </cfRule>
    <cfRule type="cellIs" dxfId="8744" priority="1736" operator="equal">
      <formula>0</formula>
    </cfRule>
  </conditionalFormatting>
  <conditionalFormatting sqref="P16">
    <cfRule type="cellIs" dxfId="8743" priority="1733" operator="greaterThan">
      <formula>P15</formula>
    </cfRule>
    <cfRule type="cellIs" dxfId="8742" priority="1734" operator="equal">
      <formula>0</formula>
    </cfRule>
  </conditionalFormatting>
  <conditionalFormatting sqref="E19">
    <cfRule type="cellIs" dxfId="8741" priority="1731" operator="greaterThan">
      <formula>E18</formula>
    </cfRule>
    <cfRule type="cellIs" dxfId="8740" priority="1732" operator="equal">
      <formula>0</formula>
    </cfRule>
  </conditionalFormatting>
  <conditionalFormatting sqref="F19">
    <cfRule type="cellIs" dxfId="8739" priority="1729" operator="greaterThan">
      <formula>F18</formula>
    </cfRule>
    <cfRule type="cellIs" dxfId="8738" priority="1730" operator="equal">
      <formula>0</formula>
    </cfRule>
  </conditionalFormatting>
  <conditionalFormatting sqref="G19">
    <cfRule type="cellIs" dxfId="8737" priority="1727" operator="greaterThan">
      <formula>G18</formula>
    </cfRule>
    <cfRule type="cellIs" dxfId="8736" priority="1728" operator="equal">
      <formula>0</formula>
    </cfRule>
  </conditionalFormatting>
  <conditionalFormatting sqref="H19">
    <cfRule type="cellIs" dxfId="8735" priority="1725" operator="greaterThan">
      <formula>H18</formula>
    </cfRule>
    <cfRule type="cellIs" dxfId="8734" priority="1726" operator="equal">
      <formula>0</formula>
    </cfRule>
  </conditionalFormatting>
  <conditionalFormatting sqref="I19">
    <cfRule type="cellIs" dxfId="8733" priority="1723" operator="greaterThan">
      <formula>I18</formula>
    </cfRule>
    <cfRule type="cellIs" dxfId="8732" priority="1724" operator="equal">
      <formula>0</formula>
    </cfRule>
  </conditionalFormatting>
  <conditionalFormatting sqref="J19">
    <cfRule type="cellIs" dxfId="8731" priority="1721" operator="greaterThan">
      <formula>J18</formula>
    </cfRule>
    <cfRule type="cellIs" dxfId="8730" priority="1722" operator="equal">
      <formula>0</formula>
    </cfRule>
  </conditionalFormatting>
  <conditionalFormatting sqref="K19">
    <cfRule type="cellIs" dxfId="8729" priority="1719" operator="greaterThan">
      <formula>K18</formula>
    </cfRule>
    <cfRule type="cellIs" dxfId="8728" priority="1720" operator="equal">
      <formula>0</formula>
    </cfRule>
  </conditionalFormatting>
  <conditionalFormatting sqref="L19">
    <cfRule type="cellIs" dxfId="8727" priority="1717" operator="greaterThan">
      <formula>L18</formula>
    </cfRule>
    <cfRule type="cellIs" dxfId="8726" priority="1718" operator="equal">
      <formula>0</formula>
    </cfRule>
  </conditionalFormatting>
  <conditionalFormatting sqref="M19">
    <cfRule type="cellIs" dxfId="8725" priority="1715" operator="greaterThan">
      <formula>M18</formula>
    </cfRule>
    <cfRule type="cellIs" dxfId="8724" priority="1716" operator="equal">
      <formula>0</formula>
    </cfRule>
  </conditionalFormatting>
  <conditionalFormatting sqref="N19">
    <cfRule type="cellIs" dxfId="8723" priority="1713" operator="greaterThan">
      <formula>N18</formula>
    </cfRule>
    <cfRule type="cellIs" dxfId="8722" priority="1714" operator="equal">
      <formula>0</formula>
    </cfRule>
  </conditionalFormatting>
  <conditionalFormatting sqref="O19">
    <cfRule type="cellIs" dxfId="8721" priority="1711" operator="greaterThan">
      <formula>O18</formula>
    </cfRule>
    <cfRule type="cellIs" dxfId="8720" priority="1712" operator="equal">
      <formula>0</formula>
    </cfRule>
  </conditionalFormatting>
  <conditionalFormatting sqref="P19">
    <cfRule type="cellIs" dxfId="8719" priority="1709" operator="greaterThan">
      <formula>P18</formula>
    </cfRule>
    <cfRule type="cellIs" dxfId="8718" priority="1710" operator="equal">
      <formula>0</formula>
    </cfRule>
  </conditionalFormatting>
  <conditionalFormatting sqref="E22">
    <cfRule type="cellIs" dxfId="8717" priority="1707" operator="greaterThan">
      <formula>E21</formula>
    </cfRule>
    <cfRule type="cellIs" dxfId="8716" priority="1708" operator="equal">
      <formula>0</formula>
    </cfRule>
  </conditionalFormatting>
  <conditionalFormatting sqref="F22">
    <cfRule type="cellIs" dxfId="8715" priority="1705" operator="greaterThan">
      <formula>F21</formula>
    </cfRule>
    <cfRule type="cellIs" dxfId="8714" priority="1706" operator="equal">
      <formula>0</formula>
    </cfRule>
  </conditionalFormatting>
  <conditionalFormatting sqref="G22">
    <cfRule type="cellIs" dxfId="8713" priority="1703" operator="greaterThan">
      <formula>G21</formula>
    </cfRule>
    <cfRule type="cellIs" dxfId="8712" priority="1704" operator="equal">
      <formula>0</formula>
    </cfRule>
  </conditionalFormatting>
  <conditionalFormatting sqref="H22">
    <cfRule type="cellIs" dxfId="8711" priority="1701" operator="greaterThan">
      <formula>H21</formula>
    </cfRule>
    <cfRule type="cellIs" dxfId="8710" priority="1702" operator="equal">
      <formula>0</formula>
    </cfRule>
  </conditionalFormatting>
  <conditionalFormatting sqref="I22">
    <cfRule type="cellIs" dxfId="8709" priority="1699" operator="greaterThan">
      <formula>I21</formula>
    </cfRule>
    <cfRule type="cellIs" dxfId="8708" priority="1700" operator="equal">
      <formula>0</formula>
    </cfRule>
  </conditionalFormatting>
  <conditionalFormatting sqref="J22">
    <cfRule type="cellIs" dxfId="8707" priority="1697" operator="greaterThan">
      <formula>J21</formula>
    </cfRule>
    <cfRule type="cellIs" dxfId="8706" priority="1698" operator="equal">
      <formula>0</formula>
    </cfRule>
  </conditionalFormatting>
  <conditionalFormatting sqref="K22">
    <cfRule type="cellIs" dxfId="8705" priority="1695" operator="greaterThan">
      <formula>K21</formula>
    </cfRule>
    <cfRule type="cellIs" dxfId="8704" priority="1696" operator="equal">
      <formula>0</formula>
    </cfRule>
  </conditionalFormatting>
  <conditionalFormatting sqref="L22">
    <cfRule type="cellIs" dxfId="8703" priority="1693" operator="greaterThan">
      <formula>L21</formula>
    </cfRule>
    <cfRule type="cellIs" dxfId="8702" priority="1694" operator="equal">
      <formula>0</formula>
    </cfRule>
  </conditionalFormatting>
  <conditionalFormatting sqref="M22">
    <cfRule type="cellIs" dxfId="8701" priority="1691" operator="greaterThan">
      <formula>M21</formula>
    </cfRule>
    <cfRule type="cellIs" dxfId="8700" priority="1692" operator="equal">
      <formula>0</formula>
    </cfRule>
  </conditionalFormatting>
  <conditionalFormatting sqref="N22">
    <cfRule type="cellIs" dxfId="8699" priority="1689" operator="greaterThan">
      <formula>N21</formula>
    </cfRule>
    <cfRule type="cellIs" dxfId="8698" priority="1690" operator="equal">
      <formula>0</formula>
    </cfRule>
  </conditionalFormatting>
  <conditionalFormatting sqref="O22">
    <cfRule type="cellIs" dxfId="8697" priority="1687" operator="greaterThan">
      <formula>O21</formula>
    </cfRule>
    <cfRule type="cellIs" dxfId="8696" priority="1688" operator="equal">
      <formula>0</formula>
    </cfRule>
  </conditionalFormatting>
  <conditionalFormatting sqref="P22">
    <cfRule type="cellIs" dxfId="8695" priority="1685" operator="greaterThan">
      <formula>P21</formula>
    </cfRule>
    <cfRule type="cellIs" dxfId="8694" priority="1686" operator="equal">
      <formula>0</formula>
    </cfRule>
  </conditionalFormatting>
  <conditionalFormatting sqref="E28">
    <cfRule type="cellIs" dxfId="8693" priority="1683" operator="greaterThan">
      <formula>E27</formula>
    </cfRule>
    <cfRule type="cellIs" dxfId="8692" priority="1684" operator="equal">
      <formula>0</formula>
    </cfRule>
  </conditionalFormatting>
  <conditionalFormatting sqref="F28">
    <cfRule type="cellIs" dxfId="8691" priority="1681" operator="greaterThan">
      <formula>F27</formula>
    </cfRule>
    <cfRule type="cellIs" dxfId="8690" priority="1682" operator="equal">
      <formula>0</formula>
    </cfRule>
  </conditionalFormatting>
  <conditionalFormatting sqref="G28">
    <cfRule type="cellIs" dxfId="8689" priority="1679" operator="greaterThan">
      <formula>G27</formula>
    </cfRule>
    <cfRule type="cellIs" dxfId="8688" priority="1680" operator="equal">
      <formula>0</formula>
    </cfRule>
  </conditionalFormatting>
  <conditionalFormatting sqref="H28">
    <cfRule type="cellIs" dxfId="8687" priority="1677" operator="greaterThan">
      <formula>H27</formula>
    </cfRule>
    <cfRule type="cellIs" dxfId="8686" priority="1678" operator="equal">
      <formula>0</formula>
    </cfRule>
  </conditionalFormatting>
  <conditionalFormatting sqref="I28">
    <cfRule type="cellIs" dxfId="8685" priority="1675" operator="greaterThan">
      <formula>I27</formula>
    </cfRule>
    <cfRule type="cellIs" dxfId="8684" priority="1676" operator="equal">
      <formula>0</formula>
    </cfRule>
  </conditionalFormatting>
  <conditionalFormatting sqref="J28">
    <cfRule type="cellIs" dxfId="8683" priority="1673" operator="greaterThan">
      <formula>J27</formula>
    </cfRule>
    <cfRule type="cellIs" dxfId="8682" priority="1674" operator="equal">
      <formula>0</formula>
    </cfRule>
  </conditionalFormatting>
  <conditionalFormatting sqref="K28">
    <cfRule type="cellIs" dxfId="8681" priority="1671" operator="greaterThan">
      <formula>K27</formula>
    </cfRule>
    <cfRule type="cellIs" dxfId="8680" priority="1672" operator="equal">
      <formula>0</formula>
    </cfRule>
  </conditionalFormatting>
  <conditionalFormatting sqref="L28">
    <cfRule type="cellIs" dxfId="8679" priority="1669" operator="greaterThan">
      <formula>L27</formula>
    </cfRule>
    <cfRule type="cellIs" dxfId="8678" priority="1670" operator="equal">
      <formula>0</formula>
    </cfRule>
  </conditionalFormatting>
  <conditionalFormatting sqref="M28">
    <cfRule type="cellIs" dxfId="8677" priority="1667" operator="greaterThan">
      <formula>M27</formula>
    </cfRule>
    <cfRule type="cellIs" dxfId="8676" priority="1668" operator="equal">
      <formula>0</formula>
    </cfRule>
  </conditionalFormatting>
  <conditionalFormatting sqref="N28">
    <cfRule type="cellIs" dxfId="8675" priority="1665" operator="greaterThan">
      <formula>N27</formula>
    </cfRule>
    <cfRule type="cellIs" dxfId="8674" priority="1666" operator="equal">
      <formula>0</formula>
    </cfRule>
  </conditionalFormatting>
  <conditionalFormatting sqref="O28">
    <cfRule type="cellIs" dxfId="8673" priority="1663" operator="greaterThan">
      <formula>O27</formula>
    </cfRule>
    <cfRule type="cellIs" dxfId="8672" priority="1664" operator="equal">
      <formula>0</formula>
    </cfRule>
  </conditionalFormatting>
  <conditionalFormatting sqref="P28">
    <cfRule type="cellIs" dxfId="8671" priority="1661" operator="greaterThan">
      <formula>P27</formula>
    </cfRule>
    <cfRule type="cellIs" dxfId="8670" priority="1662" operator="equal">
      <formula>0</formula>
    </cfRule>
  </conditionalFormatting>
  <conditionalFormatting sqref="E47:P47">
    <cfRule type="cellIs" dxfId="8669" priority="1659" operator="greaterThan">
      <formula>E45</formula>
    </cfRule>
    <cfRule type="cellIs" dxfId="8668" priority="1660" operator="equal">
      <formula>0</formula>
    </cfRule>
  </conditionalFormatting>
  <conditionalFormatting sqref="G50 I50 K50 M50 O50 E50">
    <cfRule type="cellIs" dxfId="8667" priority="1657" operator="greaterThan">
      <formula>E49</formula>
    </cfRule>
    <cfRule type="cellIs" dxfId="8666" priority="1658" operator="equal">
      <formula>0</formula>
    </cfRule>
  </conditionalFormatting>
  <conditionalFormatting sqref="E51:P51">
    <cfRule type="cellIs" dxfId="8665" priority="1655" operator="greaterThan">
      <formula>E45</formula>
    </cfRule>
    <cfRule type="cellIs" dxfId="8664" priority="1656" operator="equal">
      <formula>0</formula>
    </cfRule>
  </conditionalFormatting>
  <conditionalFormatting sqref="V28">
    <cfRule type="cellIs" dxfId="8663" priority="1653" operator="greaterThan">
      <formula>V27</formula>
    </cfRule>
    <cfRule type="cellIs" dxfId="8662" priority="1654" operator="equal">
      <formula>0</formula>
    </cfRule>
  </conditionalFormatting>
  <conditionalFormatting sqref="V43">
    <cfRule type="cellIs" dxfId="8661" priority="1651" operator="greaterThan">
      <formula>V42</formula>
    </cfRule>
    <cfRule type="cellIs" dxfId="8660" priority="1652" operator="equal">
      <formula>0</formula>
    </cfRule>
  </conditionalFormatting>
  <conditionalFormatting sqref="X43">
    <cfRule type="cellIs" dxfId="8659" priority="1649" operator="greaterThan">
      <formula>X42</formula>
    </cfRule>
    <cfRule type="cellIs" dxfId="8658" priority="1650" operator="equal">
      <formula>0</formula>
    </cfRule>
  </conditionalFormatting>
  <conditionalFormatting sqref="V27">
    <cfRule type="cellIs" dxfId="8657" priority="1647" operator="greaterThan">
      <formula>V26</formula>
    </cfRule>
    <cfRule type="cellIs" dxfId="8656" priority="1648" operator="equal">
      <formula>0</formula>
    </cfRule>
  </conditionalFormatting>
  <conditionalFormatting sqref="E51:N51">
    <cfRule type="cellIs" dxfId="8655" priority="1645" operator="greaterThan">
      <formula>G50</formula>
    </cfRule>
    <cfRule type="cellIs" dxfId="8654" priority="1646" operator="equal">
      <formula>0</formula>
    </cfRule>
  </conditionalFormatting>
  <conditionalFormatting sqref="O51:P51">
    <cfRule type="cellIs" dxfId="8653" priority="1643" operator="greaterThan">
      <formula>#REF!</formula>
    </cfRule>
    <cfRule type="cellIs" dxfId="8652" priority="1644" operator="equal">
      <formula>0</formula>
    </cfRule>
  </conditionalFormatting>
  <conditionalFormatting sqref="V13">
    <cfRule type="cellIs" dxfId="8651" priority="1641" operator="greaterThan">
      <formula>V12</formula>
    </cfRule>
    <cfRule type="cellIs" dxfId="8650" priority="1642" operator="equal">
      <formula>0</formula>
    </cfRule>
  </conditionalFormatting>
  <conditionalFormatting sqref="V12">
    <cfRule type="cellIs" dxfId="8649" priority="1639" operator="greaterThan">
      <formula>V11</formula>
    </cfRule>
    <cfRule type="cellIs" dxfId="8648" priority="1640" operator="equal">
      <formula>0</formula>
    </cfRule>
  </conditionalFormatting>
  <conditionalFormatting sqref="V16">
    <cfRule type="cellIs" dxfId="8647" priority="1637" operator="greaterThan">
      <formula>V15</formula>
    </cfRule>
    <cfRule type="cellIs" dxfId="8646" priority="1638" operator="equal">
      <formula>0</formula>
    </cfRule>
  </conditionalFormatting>
  <conditionalFormatting sqref="V15">
    <cfRule type="cellIs" dxfId="8645" priority="1635" operator="greaterThan">
      <formula>V14</formula>
    </cfRule>
    <cfRule type="cellIs" dxfId="8644" priority="1636" operator="equal">
      <formula>0</formula>
    </cfRule>
  </conditionalFormatting>
  <conditionalFormatting sqref="V19">
    <cfRule type="cellIs" dxfId="8643" priority="1633" operator="greaterThan">
      <formula>V18</formula>
    </cfRule>
    <cfRule type="cellIs" dxfId="8642" priority="1634" operator="equal">
      <formula>0</formula>
    </cfRule>
  </conditionalFormatting>
  <conditionalFormatting sqref="V18">
    <cfRule type="cellIs" dxfId="8641" priority="1631" operator="greaterThan">
      <formula>V17</formula>
    </cfRule>
    <cfRule type="cellIs" dxfId="8640" priority="1632" operator="equal">
      <formula>0</formula>
    </cfRule>
  </conditionalFormatting>
  <conditionalFormatting sqref="V22 V24:V25">
    <cfRule type="cellIs" dxfId="8639" priority="1629" operator="greaterThan">
      <formula>V21</formula>
    </cfRule>
    <cfRule type="cellIs" dxfId="8638" priority="1630" operator="equal">
      <formula>0</formula>
    </cfRule>
  </conditionalFormatting>
  <conditionalFormatting sqref="V21">
    <cfRule type="cellIs" dxfId="8637" priority="1627" operator="greaterThan">
      <formula>V20</formula>
    </cfRule>
    <cfRule type="cellIs" dxfId="8636" priority="1628" operator="equal">
      <formula>0</formula>
    </cfRule>
  </conditionalFormatting>
  <conditionalFormatting sqref="E31">
    <cfRule type="cellIs" dxfId="8635" priority="1625" operator="greaterThan">
      <formula>E30</formula>
    </cfRule>
    <cfRule type="cellIs" dxfId="8634" priority="1626" operator="equal">
      <formula>0</formula>
    </cfRule>
  </conditionalFormatting>
  <conditionalFormatting sqref="F31">
    <cfRule type="cellIs" dxfId="8633" priority="1623" operator="greaterThan">
      <formula>F30</formula>
    </cfRule>
    <cfRule type="cellIs" dxfId="8632" priority="1624" operator="equal">
      <formula>0</formula>
    </cfRule>
  </conditionalFormatting>
  <conditionalFormatting sqref="G31">
    <cfRule type="cellIs" dxfId="8631" priority="1621" operator="greaterThan">
      <formula>G30</formula>
    </cfRule>
    <cfRule type="cellIs" dxfId="8630" priority="1622" operator="equal">
      <formula>0</formula>
    </cfRule>
  </conditionalFormatting>
  <conditionalFormatting sqref="H31">
    <cfRule type="cellIs" dxfId="8629" priority="1619" operator="greaterThan">
      <formula>H30</formula>
    </cfRule>
    <cfRule type="cellIs" dxfId="8628" priority="1620" operator="equal">
      <formula>0</formula>
    </cfRule>
  </conditionalFormatting>
  <conditionalFormatting sqref="I31">
    <cfRule type="cellIs" dxfId="8627" priority="1617" operator="greaterThan">
      <formula>I30</formula>
    </cfRule>
    <cfRule type="cellIs" dxfId="8626" priority="1618" operator="equal">
      <formula>0</formula>
    </cfRule>
  </conditionalFormatting>
  <conditionalFormatting sqref="J31">
    <cfRule type="cellIs" dxfId="8625" priority="1615" operator="greaterThan">
      <formula>J30</formula>
    </cfRule>
    <cfRule type="cellIs" dxfId="8624" priority="1616" operator="equal">
      <formula>0</formula>
    </cfRule>
  </conditionalFormatting>
  <conditionalFormatting sqref="K31">
    <cfRule type="cellIs" dxfId="8623" priority="1613" operator="greaterThan">
      <formula>K30</formula>
    </cfRule>
    <cfRule type="cellIs" dxfId="8622" priority="1614" operator="equal">
      <formula>0</formula>
    </cfRule>
  </conditionalFormatting>
  <conditionalFormatting sqref="L31">
    <cfRule type="cellIs" dxfId="8621" priority="1611" operator="greaterThan">
      <formula>L30</formula>
    </cfRule>
    <cfRule type="cellIs" dxfId="8620" priority="1612" operator="equal">
      <formula>0</formula>
    </cfRule>
  </conditionalFormatting>
  <conditionalFormatting sqref="M31">
    <cfRule type="cellIs" dxfId="8619" priority="1609" operator="greaterThan">
      <formula>M30</formula>
    </cfRule>
    <cfRule type="cellIs" dxfId="8618" priority="1610" operator="equal">
      <formula>0</formula>
    </cfRule>
  </conditionalFormatting>
  <conditionalFormatting sqref="N31">
    <cfRule type="cellIs" dxfId="8617" priority="1607" operator="greaterThan">
      <formula>N30</formula>
    </cfRule>
    <cfRule type="cellIs" dxfId="8616" priority="1608" operator="equal">
      <formula>0</formula>
    </cfRule>
  </conditionalFormatting>
  <conditionalFormatting sqref="O31">
    <cfRule type="cellIs" dxfId="8615" priority="1605" operator="greaterThan">
      <formula>O30</formula>
    </cfRule>
    <cfRule type="cellIs" dxfId="8614" priority="1606" operator="equal">
      <formula>0</formula>
    </cfRule>
  </conditionalFormatting>
  <conditionalFormatting sqref="P31">
    <cfRule type="cellIs" dxfId="8613" priority="1603" operator="greaterThan">
      <formula>P30</formula>
    </cfRule>
    <cfRule type="cellIs" dxfId="8612" priority="1604" operator="equal">
      <formula>0</formula>
    </cfRule>
  </conditionalFormatting>
  <conditionalFormatting sqref="E25">
    <cfRule type="cellIs" dxfId="8611" priority="1601" operator="greaterThan">
      <formula>E24</formula>
    </cfRule>
    <cfRule type="cellIs" dxfId="8610" priority="1602" operator="equal">
      <formula>0</formula>
    </cfRule>
  </conditionalFormatting>
  <conditionalFormatting sqref="F25">
    <cfRule type="cellIs" dxfId="8609" priority="1599" operator="greaterThan">
      <formula>F24</formula>
    </cfRule>
    <cfRule type="cellIs" dxfId="8608" priority="1600" operator="equal">
      <formula>0</formula>
    </cfRule>
  </conditionalFormatting>
  <conditionalFormatting sqref="G25">
    <cfRule type="cellIs" dxfId="8607" priority="1597" operator="greaterThan">
      <formula>G24</formula>
    </cfRule>
    <cfRule type="cellIs" dxfId="8606" priority="1598" operator="equal">
      <formula>0</formula>
    </cfRule>
  </conditionalFormatting>
  <conditionalFormatting sqref="H25">
    <cfRule type="cellIs" dxfId="8605" priority="1595" operator="greaterThan">
      <formula>H24</formula>
    </cfRule>
    <cfRule type="cellIs" dxfId="8604" priority="1596" operator="equal">
      <formula>0</formula>
    </cfRule>
  </conditionalFormatting>
  <conditionalFormatting sqref="I25">
    <cfRule type="cellIs" dxfId="8603" priority="1593" operator="greaterThan">
      <formula>I24</formula>
    </cfRule>
    <cfRule type="cellIs" dxfId="8602" priority="1594" operator="equal">
      <formula>0</formula>
    </cfRule>
  </conditionalFormatting>
  <conditionalFormatting sqref="J25">
    <cfRule type="cellIs" dxfId="8601" priority="1591" operator="greaterThan">
      <formula>J24</formula>
    </cfRule>
    <cfRule type="cellIs" dxfId="8600" priority="1592" operator="equal">
      <formula>0</formula>
    </cfRule>
  </conditionalFormatting>
  <conditionalFormatting sqref="K25">
    <cfRule type="cellIs" dxfId="8599" priority="1589" operator="greaterThan">
      <formula>K24</formula>
    </cfRule>
    <cfRule type="cellIs" dxfId="8598" priority="1590" operator="equal">
      <formula>0</formula>
    </cfRule>
  </conditionalFormatting>
  <conditionalFormatting sqref="L25">
    <cfRule type="cellIs" dxfId="8597" priority="1587" operator="greaterThan">
      <formula>L24</formula>
    </cfRule>
    <cfRule type="cellIs" dxfId="8596" priority="1588" operator="equal">
      <formula>0</formula>
    </cfRule>
  </conditionalFormatting>
  <conditionalFormatting sqref="M25">
    <cfRule type="cellIs" dxfId="8595" priority="1585" operator="greaterThan">
      <formula>M24</formula>
    </cfRule>
    <cfRule type="cellIs" dxfId="8594" priority="1586" operator="equal">
      <formula>0</formula>
    </cfRule>
  </conditionalFormatting>
  <conditionalFormatting sqref="N25">
    <cfRule type="cellIs" dxfId="8593" priority="1583" operator="greaterThan">
      <formula>N24</formula>
    </cfRule>
    <cfRule type="cellIs" dxfId="8592" priority="1584" operator="equal">
      <formula>0</formula>
    </cfRule>
  </conditionalFormatting>
  <conditionalFormatting sqref="O25">
    <cfRule type="cellIs" dxfId="8591" priority="1581" operator="greaterThan">
      <formula>O24</formula>
    </cfRule>
    <cfRule type="cellIs" dxfId="8590" priority="1582" operator="equal">
      <formula>0</formula>
    </cfRule>
  </conditionalFormatting>
  <conditionalFormatting sqref="P25">
    <cfRule type="cellIs" dxfId="8589" priority="1579" operator="greaterThan">
      <formula>P24</formula>
    </cfRule>
    <cfRule type="cellIs" dxfId="8588" priority="1580" operator="equal">
      <formula>0</formula>
    </cfRule>
  </conditionalFormatting>
  <conditionalFormatting sqref="E45:P45 E46:O46">
    <cfRule type="cellIs" dxfId="8587" priority="1577" operator="greaterThan">
      <formula>#REF!</formula>
    </cfRule>
    <cfRule type="cellIs" dxfId="8586" priority="1578" operator="equal">
      <formula>0</formula>
    </cfRule>
  </conditionalFormatting>
  <conditionalFormatting sqref="E33:P33">
    <cfRule type="cellIs" dxfId="8585" priority="1576" operator="equal">
      <formula>0</formula>
    </cfRule>
  </conditionalFormatting>
  <conditionalFormatting sqref="E34">
    <cfRule type="cellIs" dxfId="8584" priority="1574" operator="greaterThan">
      <formula>E33</formula>
    </cfRule>
    <cfRule type="cellIs" dxfId="8583" priority="1575" operator="equal">
      <formula>0</formula>
    </cfRule>
  </conditionalFormatting>
  <conditionalFormatting sqref="F34">
    <cfRule type="cellIs" dxfId="8582" priority="1572" operator="greaterThan">
      <formula>F33</formula>
    </cfRule>
    <cfRule type="cellIs" dxfId="8581" priority="1573" operator="equal">
      <formula>0</formula>
    </cfRule>
  </conditionalFormatting>
  <conditionalFormatting sqref="G34">
    <cfRule type="cellIs" dxfId="8580" priority="1570" operator="greaterThan">
      <formula>G33</formula>
    </cfRule>
    <cfRule type="cellIs" dxfId="8579" priority="1571" operator="equal">
      <formula>0</formula>
    </cfRule>
  </conditionalFormatting>
  <conditionalFormatting sqref="H34">
    <cfRule type="cellIs" dxfId="8578" priority="1568" operator="greaterThan">
      <formula>H33</formula>
    </cfRule>
    <cfRule type="cellIs" dxfId="8577" priority="1569" operator="equal">
      <formula>0</formula>
    </cfRule>
  </conditionalFormatting>
  <conditionalFormatting sqref="I34">
    <cfRule type="cellIs" dxfId="8576" priority="1566" operator="greaterThan">
      <formula>I33</formula>
    </cfRule>
    <cfRule type="cellIs" dxfId="8575" priority="1567" operator="equal">
      <formula>0</formula>
    </cfRule>
  </conditionalFormatting>
  <conditionalFormatting sqref="J34">
    <cfRule type="cellIs" dxfId="8574" priority="1564" operator="greaterThan">
      <formula>J33</formula>
    </cfRule>
    <cfRule type="cellIs" dxfId="8573" priority="1565" operator="equal">
      <formula>0</formula>
    </cfRule>
  </conditionalFormatting>
  <conditionalFormatting sqref="K34">
    <cfRule type="cellIs" dxfId="8572" priority="1562" operator="greaterThan">
      <formula>K33</formula>
    </cfRule>
    <cfRule type="cellIs" dxfId="8571" priority="1563" operator="equal">
      <formula>0</formula>
    </cfRule>
  </conditionalFormatting>
  <conditionalFormatting sqref="L34">
    <cfRule type="cellIs" dxfId="8570" priority="1560" operator="greaterThan">
      <formula>L33</formula>
    </cfRule>
    <cfRule type="cellIs" dxfId="8569" priority="1561" operator="equal">
      <formula>0</formula>
    </cfRule>
  </conditionalFormatting>
  <conditionalFormatting sqref="M34">
    <cfRule type="cellIs" dxfId="8568" priority="1558" operator="greaterThan">
      <formula>M33</formula>
    </cfRule>
    <cfRule type="cellIs" dxfId="8567" priority="1559" operator="equal">
      <formula>0</formula>
    </cfRule>
  </conditionalFormatting>
  <conditionalFormatting sqref="N34">
    <cfRule type="cellIs" dxfId="8566" priority="1556" operator="greaterThan">
      <formula>N33</formula>
    </cfRule>
    <cfRule type="cellIs" dxfId="8565" priority="1557" operator="equal">
      <formula>0</formula>
    </cfRule>
  </conditionalFormatting>
  <conditionalFormatting sqref="O34">
    <cfRule type="cellIs" dxfId="8564" priority="1554" operator="greaterThan">
      <formula>O33</formula>
    </cfRule>
    <cfRule type="cellIs" dxfId="8563" priority="1555" operator="equal">
      <formula>0</formula>
    </cfRule>
  </conditionalFormatting>
  <conditionalFormatting sqref="P34">
    <cfRule type="cellIs" dxfId="8562" priority="1552" operator="greaterThan">
      <formula>P33</formula>
    </cfRule>
    <cfRule type="cellIs" dxfId="8561" priority="1553" operator="equal">
      <formula>0</formula>
    </cfRule>
  </conditionalFormatting>
  <conditionalFormatting sqref="E36:P36">
    <cfRule type="cellIs" dxfId="8560" priority="1551" operator="equal">
      <formula>0</formula>
    </cfRule>
  </conditionalFormatting>
  <conditionalFormatting sqref="E37">
    <cfRule type="cellIs" dxfId="8559" priority="1549" operator="greaterThan">
      <formula>E36</formula>
    </cfRule>
    <cfRule type="cellIs" dxfId="8558" priority="1550" operator="equal">
      <formula>0</formula>
    </cfRule>
  </conditionalFormatting>
  <conditionalFormatting sqref="F37">
    <cfRule type="cellIs" dxfId="8557" priority="1547" operator="greaterThan">
      <formula>F36</formula>
    </cfRule>
    <cfRule type="cellIs" dxfId="8556" priority="1548" operator="equal">
      <formula>0</formula>
    </cfRule>
  </conditionalFormatting>
  <conditionalFormatting sqref="G37">
    <cfRule type="cellIs" dxfId="8555" priority="1545" operator="greaterThan">
      <formula>G36</formula>
    </cfRule>
    <cfRule type="cellIs" dxfId="8554" priority="1546" operator="equal">
      <formula>0</formula>
    </cfRule>
  </conditionalFormatting>
  <conditionalFormatting sqref="H37">
    <cfRule type="cellIs" dxfId="8553" priority="1543" operator="greaterThan">
      <formula>H36</formula>
    </cfRule>
    <cfRule type="cellIs" dxfId="8552" priority="1544" operator="equal">
      <formula>0</formula>
    </cfRule>
  </conditionalFormatting>
  <conditionalFormatting sqref="I37">
    <cfRule type="cellIs" dxfId="8551" priority="1541" operator="greaterThan">
      <formula>I36</formula>
    </cfRule>
    <cfRule type="cellIs" dxfId="8550" priority="1542" operator="equal">
      <formula>0</formula>
    </cfRule>
  </conditionalFormatting>
  <conditionalFormatting sqref="J37">
    <cfRule type="cellIs" dxfId="8549" priority="1539" operator="greaterThan">
      <formula>J36</formula>
    </cfRule>
    <cfRule type="cellIs" dxfId="8548" priority="1540" operator="equal">
      <formula>0</formula>
    </cfRule>
  </conditionalFormatting>
  <conditionalFormatting sqref="K37">
    <cfRule type="cellIs" dxfId="8547" priority="1537" operator="greaterThan">
      <formula>K36</formula>
    </cfRule>
    <cfRule type="cellIs" dxfId="8546" priority="1538" operator="equal">
      <formula>0</formula>
    </cfRule>
  </conditionalFormatting>
  <conditionalFormatting sqref="L37">
    <cfRule type="cellIs" dxfId="8545" priority="1535" operator="greaterThan">
      <formula>L36</formula>
    </cfRule>
    <cfRule type="cellIs" dxfId="8544" priority="1536" operator="equal">
      <formula>0</formula>
    </cfRule>
  </conditionalFormatting>
  <conditionalFormatting sqref="M37">
    <cfRule type="cellIs" dxfId="8543" priority="1533" operator="greaterThan">
      <formula>M36</formula>
    </cfRule>
    <cfRule type="cellIs" dxfId="8542" priority="1534" operator="equal">
      <formula>0</formula>
    </cfRule>
  </conditionalFormatting>
  <conditionalFormatting sqref="N37">
    <cfRule type="cellIs" dxfId="8541" priority="1531" operator="greaterThan">
      <formula>N36</formula>
    </cfRule>
    <cfRule type="cellIs" dxfId="8540" priority="1532" operator="equal">
      <formula>0</formula>
    </cfRule>
  </conditionalFormatting>
  <conditionalFormatting sqref="O37">
    <cfRule type="cellIs" dxfId="8539" priority="1529" operator="greaterThan">
      <formula>O36</formula>
    </cfRule>
    <cfRule type="cellIs" dxfId="8538" priority="1530" operator="equal">
      <formula>0</formula>
    </cfRule>
  </conditionalFormatting>
  <conditionalFormatting sqref="P37">
    <cfRule type="cellIs" dxfId="8537" priority="1527" operator="greaterThan">
      <formula>P36</formula>
    </cfRule>
    <cfRule type="cellIs" dxfId="8536" priority="1528" operator="equal">
      <formula>0</formula>
    </cfRule>
  </conditionalFormatting>
  <conditionalFormatting sqref="V24">
    <cfRule type="cellIs" dxfId="8535" priority="1525" operator="greaterThan">
      <formula>V23</formula>
    </cfRule>
    <cfRule type="cellIs" dxfId="8534" priority="1526" operator="equal">
      <formula>0</formula>
    </cfRule>
  </conditionalFormatting>
  <conditionalFormatting sqref="V27:V28">
    <cfRule type="cellIs" dxfId="8533" priority="1523" operator="greaterThan">
      <formula>V26</formula>
    </cfRule>
    <cfRule type="cellIs" dxfId="8532" priority="1524" operator="equal">
      <formula>0</formula>
    </cfRule>
  </conditionalFormatting>
  <conditionalFormatting sqref="V27">
    <cfRule type="cellIs" dxfId="8531" priority="1521" operator="greaterThan">
      <formula>V26</formula>
    </cfRule>
    <cfRule type="cellIs" dxfId="8530" priority="1522" operator="equal">
      <formula>0</formula>
    </cfRule>
  </conditionalFormatting>
  <conditionalFormatting sqref="P42 P27 P12 P15 P18 P21 P30 P24">
    <cfRule type="cellIs" dxfId="8529" priority="1520" operator="equal">
      <formula>0</formula>
    </cfRule>
  </conditionalFormatting>
  <conditionalFormatting sqref="P43:P44">
    <cfRule type="cellIs" dxfId="8528" priority="1518" operator="greaterThan">
      <formula>P42</formula>
    </cfRule>
    <cfRule type="cellIs" dxfId="8527" priority="1519" operator="equal">
      <formula>0</formula>
    </cfRule>
  </conditionalFormatting>
  <conditionalFormatting sqref="P13">
    <cfRule type="cellIs" dxfId="8526" priority="1516" operator="greaterThan">
      <formula>P12</formula>
    </cfRule>
    <cfRule type="cellIs" dxfId="8525" priority="1517" operator="equal">
      <formula>0</formula>
    </cfRule>
  </conditionalFormatting>
  <conditionalFormatting sqref="P16">
    <cfRule type="cellIs" dxfId="8524" priority="1514" operator="greaterThan">
      <formula>P15</formula>
    </cfRule>
    <cfRule type="cellIs" dxfId="8523" priority="1515" operator="equal">
      <formula>0</formula>
    </cfRule>
  </conditionalFormatting>
  <conditionalFormatting sqref="P19">
    <cfRule type="cellIs" dxfId="8522" priority="1512" operator="greaterThan">
      <formula>P18</formula>
    </cfRule>
    <cfRule type="cellIs" dxfId="8521" priority="1513" operator="equal">
      <formula>0</formula>
    </cfRule>
  </conditionalFormatting>
  <conditionalFormatting sqref="P22">
    <cfRule type="cellIs" dxfId="8520" priority="1510" operator="greaterThan">
      <formula>P21</formula>
    </cfRule>
    <cfRule type="cellIs" dxfId="8519" priority="1511" operator="equal">
      <formula>0</formula>
    </cfRule>
  </conditionalFormatting>
  <conditionalFormatting sqref="P28">
    <cfRule type="cellIs" dxfId="8518" priority="1508" operator="greaterThan">
      <formula>P27</formula>
    </cfRule>
    <cfRule type="cellIs" dxfId="8517" priority="1509" operator="equal">
      <formula>0</formula>
    </cfRule>
  </conditionalFormatting>
  <conditionalFormatting sqref="P31">
    <cfRule type="cellIs" dxfId="8516" priority="1506" operator="greaterThan">
      <formula>P30</formula>
    </cfRule>
    <cfRule type="cellIs" dxfId="8515" priority="1507" operator="equal">
      <formula>0</formula>
    </cfRule>
  </conditionalFormatting>
  <conditionalFormatting sqref="P25">
    <cfRule type="cellIs" dxfId="8514" priority="1504" operator="greaterThan">
      <formula>P24</formula>
    </cfRule>
    <cfRule type="cellIs" dxfId="8513" priority="1505" operator="equal">
      <formula>0</formula>
    </cfRule>
  </conditionalFormatting>
  <conditionalFormatting sqref="P45">
    <cfRule type="cellIs" dxfId="8512" priority="1502" operator="greaterThan">
      <formula>#REF!</formula>
    </cfRule>
    <cfRule type="cellIs" dxfId="8511" priority="1503" operator="equal">
      <formula>0</formula>
    </cfRule>
  </conditionalFormatting>
  <conditionalFormatting sqref="P33">
    <cfRule type="cellIs" dxfId="8510" priority="1501" operator="equal">
      <formula>0</formula>
    </cfRule>
  </conditionalFormatting>
  <conditionalFormatting sqref="P34">
    <cfRule type="cellIs" dxfId="8509" priority="1499" operator="greaterThan">
      <formula>P33</formula>
    </cfRule>
    <cfRule type="cellIs" dxfId="8508" priority="1500" operator="equal">
      <formula>0</formula>
    </cfRule>
  </conditionalFormatting>
  <conditionalFormatting sqref="P36">
    <cfRule type="cellIs" dxfId="8507" priority="1498" operator="equal">
      <formula>0</formula>
    </cfRule>
  </conditionalFormatting>
  <conditionalFormatting sqref="P37">
    <cfRule type="cellIs" dxfId="8506" priority="1496" operator="greaterThan">
      <formula>P36</formula>
    </cfRule>
    <cfRule type="cellIs" dxfId="8505" priority="1497" operator="equal">
      <formula>0</formula>
    </cfRule>
  </conditionalFormatting>
  <conditionalFormatting sqref="E46:O46">
    <cfRule type="cellIs" dxfId="8504" priority="1494" operator="greaterThan">
      <formula>#REF!</formula>
    </cfRule>
    <cfRule type="cellIs" dxfId="8503" priority="1495" operator="equal">
      <formula>0</formula>
    </cfRule>
  </conditionalFormatting>
  <conditionalFormatting sqref="H42">
    <cfRule type="cellIs" dxfId="8502" priority="1493" operator="equal">
      <formula>0</formula>
    </cfRule>
  </conditionalFormatting>
  <conditionalFormatting sqref="H43:H44">
    <cfRule type="cellIs" dxfId="8501" priority="1491" operator="greaterThan">
      <formula>H42</formula>
    </cfRule>
    <cfRule type="cellIs" dxfId="8500" priority="1492" operator="equal">
      <formula>0</formula>
    </cfRule>
  </conditionalFormatting>
  <conditionalFormatting sqref="H45">
    <cfRule type="cellIs" dxfId="8499" priority="1489" operator="greaterThan">
      <formula>#REF!</formula>
    </cfRule>
    <cfRule type="cellIs" dxfId="8498" priority="1490" operator="equal">
      <formula>0</formula>
    </cfRule>
  </conditionalFormatting>
  <conditionalFormatting sqref="X49:X50 X42:X43 V42:V43 V12:V13 X12:X13 V15:V16 X15:X16 V18:V19 X18:X19 V21:V22 V24:V25 X21:X25 V27:V28 X27:X28 V49:V50">
    <cfRule type="cellIs" dxfId="8497" priority="1488" operator="equal">
      <formula>0</formula>
    </cfRule>
  </conditionalFormatting>
  <conditionalFormatting sqref="V50 X50">
    <cfRule type="cellIs" dxfId="8496" priority="1486" operator="greaterThan">
      <formula>V49</formula>
    </cfRule>
    <cfRule type="cellIs" dxfId="8495" priority="1487" operator="equal">
      <formula>0</formula>
    </cfRule>
  </conditionalFormatting>
  <conditionalFormatting sqref="V28">
    <cfRule type="cellIs" dxfId="8494" priority="1484" operator="greaterThan">
      <formula>V27</formula>
    </cfRule>
    <cfRule type="cellIs" dxfId="8493" priority="1485" operator="equal">
      <formula>0</formula>
    </cfRule>
  </conditionalFormatting>
  <conditionalFormatting sqref="V43">
    <cfRule type="cellIs" dxfId="8492" priority="1482" operator="greaterThan">
      <formula>V42</formula>
    </cfRule>
    <cfRule type="cellIs" dxfId="8491" priority="1483" operator="equal">
      <formula>0</formula>
    </cfRule>
  </conditionalFormatting>
  <conditionalFormatting sqref="X43">
    <cfRule type="cellIs" dxfId="8490" priority="1480" operator="greaterThan">
      <formula>X42</formula>
    </cfRule>
    <cfRule type="cellIs" dxfId="8489" priority="1481" operator="equal">
      <formula>0</formula>
    </cfRule>
  </conditionalFormatting>
  <conditionalFormatting sqref="V27">
    <cfRule type="cellIs" dxfId="8488" priority="1478" operator="greaterThan">
      <formula>V26</formula>
    </cfRule>
    <cfRule type="cellIs" dxfId="8487" priority="1479" operator="equal">
      <formula>0</formula>
    </cfRule>
  </conditionalFormatting>
  <conditionalFormatting sqref="V13">
    <cfRule type="cellIs" dxfId="8486" priority="1476" operator="greaterThan">
      <formula>V12</formula>
    </cfRule>
    <cfRule type="cellIs" dxfId="8485" priority="1477" operator="equal">
      <formula>0</formula>
    </cfRule>
  </conditionalFormatting>
  <conditionalFormatting sqref="V12">
    <cfRule type="cellIs" dxfId="8484" priority="1474" operator="greaterThan">
      <formula>V11</formula>
    </cfRule>
    <cfRule type="cellIs" dxfId="8483" priority="1475" operator="equal">
      <formula>0</formula>
    </cfRule>
  </conditionalFormatting>
  <conditionalFormatting sqref="V16">
    <cfRule type="cellIs" dxfId="8482" priority="1472" operator="greaterThan">
      <formula>V15</formula>
    </cfRule>
    <cfRule type="cellIs" dxfId="8481" priority="1473" operator="equal">
      <formula>0</formula>
    </cfRule>
  </conditionalFormatting>
  <conditionalFormatting sqref="V15">
    <cfRule type="cellIs" dxfId="8480" priority="1470" operator="greaterThan">
      <formula>V14</formula>
    </cfRule>
    <cfRule type="cellIs" dxfId="8479" priority="1471" operator="equal">
      <formula>0</formula>
    </cfRule>
  </conditionalFormatting>
  <conditionalFormatting sqref="V19">
    <cfRule type="cellIs" dxfId="8478" priority="1468" operator="greaterThan">
      <formula>V18</formula>
    </cfRule>
    <cfRule type="cellIs" dxfId="8477" priority="1469" operator="equal">
      <formula>0</formula>
    </cfRule>
  </conditionalFormatting>
  <conditionalFormatting sqref="V18">
    <cfRule type="cellIs" dxfId="8476" priority="1466" operator="greaterThan">
      <formula>V17</formula>
    </cfRule>
    <cfRule type="cellIs" dxfId="8475" priority="1467" operator="equal">
      <formula>0</formula>
    </cfRule>
  </conditionalFormatting>
  <conditionalFormatting sqref="V22 V24:V25">
    <cfRule type="cellIs" dxfId="8474" priority="1464" operator="greaterThan">
      <formula>V21</formula>
    </cfRule>
    <cfRule type="cellIs" dxfId="8473" priority="1465" operator="equal">
      <formula>0</formula>
    </cfRule>
  </conditionalFormatting>
  <conditionalFormatting sqref="V21">
    <cfRule type="cellIs" dxfId="8472" priority="1462" operator="greaterThan">
      <formula>V20</formula>
    </cfRule>
    <cfRule type="cellIs" dxfId="8471" priority="1463" operator="equal">
      <formula>0</formula>
    </cfRule>
  </conditionalFormatting>
  <conditionalFormatting sqref="V24">
    <cfRule type="cellIs" dxfId="8470" priority="1460" operator="greaterThan">
      <formula>V23</formula>
    </cfRule>
    <cfRule type="cellIs" dxfId="8469" priority="1461" operator="equal">
      <formula>0</formula>
    </cfRule>
  </conditionalFormatting>
  <conditionalFormatting sqref="V27:V28">
    <cfRule type="cellIs" dxfId="8468" priority="1458" operator="greaterThan">
      <formula>V26</formula>
    </cfRule>
    <cfRule type="cellIs" dxfId="8467" priority="1459" operator="equal">
      <formula>0</formula>
    </cfRule>
  </conditionalFormatting>
  <conditionalFormatting sqref="V27">
    <cfRule type="cellIs" dxfId="8466" priority="1456" operator="greaterThan">
      <formula>V26</formula>
    </cfRule>
    <cfRule type="cellIs" dxfId="8465" priority="1457" operator="equal">
      <formula>0</formula>
    </cfRule>
  </conditionalFormatting>
  <conditionalFormatting sqref="V16">
    <cfRule type="cellIs" dxfId="8464" priority="1454" operator="greaterThan">
      <formula>V15</formula>
    </cfRule>
    <cfRule type="cellIs" dxfId="8463" priority="1455" operator="equal">
      <formula>0</formula>
    </cfRule>
  </conditionalFormatting>
  <conditionalFormatting sqref="V15">
    <cfRule type="cellIs" dxfId="8462" priority="1452" operator="greaterThan">
      <formula>V14</formula>
    </cfRule>
    <cfRule type="cellIs" dxfId="8461" priority="1453" operator="equal">
      <formula>0</formula>
    </cfRule>
  </conditionalFormatting>
  <conditionalFormatting sqref="V19">
    <cfRule type="cellIs" dxfId="8460" priority="1450" operator="greaterThan">
      <formula>V18</formula>
    </cfRule>
    <cfRule type="cellIs" dxfId="8459" priority="1451" operator="equal">
      <formula>0</formula>
    </cfRule>
  </conditionalFormatting>
  <conditionalFormatting sqref="V18">
    <cfRule type="cellIs" dxfId="8458" priority="1448" operator="greaterThan">
      <formula>V17</formula>
    </cfRule>
    <cfRule type="cellIs" dxfId="8457" priority="1449" operator="equal">
      <formula>0</formula>
    </cfRule>
  </conditionalFormatting>
  <conditionalFormatting sqref="V22">
    <cfRule type="cellIs" dxfId="8456" priority="1446" operator="greaterThan">
      <formula>V21</formula>
    </cfRule>
    <cfRule type="cellIs" dxfId="8455" priority="1447" operator="equal">
      <formula>0</formula>
    </cfRule>
  </conditionalFormatting>
  <conditionalFormatting sqref="V21">
    <cfRule type="cellIs" dxfId="8454" priority="1444" operator="greaterThan">
      <formula>V20</formula>
    </cfRule>
    <cfRule type="cellIs" dxfId="8453" priority="1445" operator="equal">
      <formula>0</formula>
    </cfRule>
  </conditionalFormatting>
  <conditionalFormatting sqref="V25">
    <cfRule type="cellIs" dxfId="8452" priority="1442" operator="greaterThan">
      <formula>V24</formula>
    </cfRule>
    <cfRule type="cellIs" dxfId="8451" priority="1443" operator="equal">
      <formula>0</formula>
    </cfRule>
  </conditionalFormatting>
  <conditionalFormatting sqref="V24">
    <cfRule type="cellIs" dxfId="8450" priority="1440" operator="greaterThan">
      <formula>V23</formula>
    </cfRule>
    <cfRule type="cellIs" dxfId="8449" priority="1441" operator="equal">
      <formula>0</formula>
    </cfRule>
  </conditionalFormatting>
  <conditionalFormatting sqref="V28">
    <cfRule type="cellIs" dxfId="8448" priority="1438" operator="greaterThan">
      <formula>V27</formula>
    </cfRule>
    <cfRule type="cellIs" dxfId="8447" priority="1439" operator="equal">
      <formula>0</formula>
    </cfRule>
  </conditionalFormatting>
  <conditionalFormatting sqref="V27">
    <cfRule type="cellIs" dxfId="8446" priority="1436" operator="greaterThan">
      <formula>V26</formula>
    </cfRule>
    <cfRule type="cellIs" dxfId="8445" priority="1437" operator="equal">
      <formula>0</formula>
    </cfRule>
  </conditionalFormatting>
  <conditionalFormatting sqref="V30:V31 X30:X31">
    <cfRule type="cellIs" dxfId="8444" priority="1435" operator="equal">
      <formula>0</formula>
    </cfRule>
  </conditionalFormatting>
  <conditionalFormatting sqref="V31">
    <cfRule type="cellIs" dxfId="8443" priority="1433" operator="greaterThan">
      <formula>V30</formula>
    </cfRule>
    <cfRule type="cellIs" dxfId="8442" priority="1434" operator="equal">
      <formula>0</formula>
    </cfRule>
  </conditionalFormatting>
  <conditionalFormatting sqref="V30">
    <cfRule type="cellIs" dxfId="8441" priority="1431" operator="greaterThan">
      <formula>V29</formula>
    </cfRule>
    <cfRule type="cellIs" dxfId="8440" priority="1432" operator="equal">
      <formula>0</formula>
    </cfRule>
  </conditionalFormatting>
  <conditionalFormatting sqref="V33:V34 X33:X34">
    <cfRule type="cellIs" dxfId="8439" priority="1430" operator="equal">
      <formula>0</formula>
    </cfRule>
  </conditionalFormatting>
  <conditionalFormatting sqref="V34">
    <cfRule type="cellIs" dxfId="8438" priority="1428" operator="greaterThan">
      <formula>V33</formula>
    </cfRule>
    <cfRule type="cellIs" dxfId="8437" priority="1429" operator="equal">
      <formula>0</formula>
    </cfRule>
  </conditionalFormatting>
  <conditionalFormatting sqref="V33">
    <cfRule type="cellIs" dxfId="8436" priority="1426" operator="greaterThan">
      <formula>V32</formula>
    </cfRule>
    <cfRule type="cellIs" dxfId="8435" priority="1427" operator="equal">
      <formula>0</formula>
    </cfRule>
  </conditionalFormatting>
  <conditionalFormatting sqref="V36:V37 X36:X37">
    <cfRule type="cellIs" dxfId="8434" priority="1425" operator="equal">
      <formula>0</formula>
    </cfRule>
  </conditionalFormatting>
  <conditionalFormatting sqref="V37">
    <cfRule type="cellIs" dxfId="8433" priority="1423" operator="greaterThan">
      <formula>V36</formula>
    </cfRule>
    <cfRule type="cellIs" dxfId="8432" priority="1424" operator="equal">
      <formula>0</formula>
    </cfRule>
  </conditionalFormatting>
  <conditionalFormatting sqref="V36">
    <cfRule type="cellIs" dxfId="8431" priority="1421" operator="greaterThan">
      <formula>V35</formula>
    </cfRule>
    <cfRule type="cellIs" dxfId="8430" priority="1422" operator="equal">
      <formula>0</formula>
    </cfRule>
  </conditionalFormatting>
  <conditionalFormatting sqref="V16">
    <cfRule type="cellIs" dxfId="8429" priority="1419" operator="greaterThan">
      <formula>V15</formula>
    </cfRule>
    <cfRule type="cellIs" dxfId="8428" priority="1420" operator="equal">
      <formula>0</formula>
    </cfRule>
  </conditionalFormatting>
  <conditionalFormatting sqref="V15">
    <cfRule type="cellIs" dxfId="8427" priority="1417" operator="greaterThan">
      <formula>V14</formula>
    </cfRule>
    <cfRule type="cellIs" dxfId="8426" priority="1418" operator="equal">
      <formula>0</formula>
    </cfRule>
  </conditionalFormatting>
  <conditionalFormatting sqref="V16">
    <cfRule type="cellIs" dxfId="8425" priority="1415" operator="greaterThan">
      <formula>V15</formula>
    </cfRule>
    <cfRule type="cellIs" dxfId="8424" priority="1416" operator="equal">
      <formula>0</formula>
    </cfRule>
  </conditionalFormatting>
  <conditionalFormatting sqref="V15">
    <cfRule type="cellIs" dxfId="8423" priority="1413" operator="greaterThan">
      <formula>V14</formula>
    </cfRule>
    <cfRule type="cellIs" dxfId="8422" priority="1414" operator="equal">
      <formula>0</formula>
    </cfRule>
  </conditionalFormatting>
  <conditionalFormatting sqref="V19">
    <cfRule type="cellIs" dxfId="8421" priority="1411" operator="greaterThan">
      <formula>V18</formula>
    </cfRule>
    <cfRule type="cellIs" dxfId="8420" priority="1412" operator="equal">
      <formula>0</formula>
    </cfRule>
  </conditionalFormatting>
  <conditionalFormatting sqref="V18">
    <cfRule type="cellIs" dxfId="8419" priority="1409" operator="greaterThan">
      <formula>V17</formula>
    </cfRule>
    <cfRule type="cellIs" dxfId="8418" priority="1410" operator="equal">
      <formula>0</formula>
    </cfRule>
  </conditionalFormatting>
  <conditionalFormatting sqref="V19">
    <cfRule type="cellIs" dxfId="8417" priority="1407" operator="greaterThan">
      <formula>V18</formula>
    </cfRule>
    <cfRule type="cellIs" dxfId="8416" priority="1408" operator="equal">
      <formula>0</formula>
    </cfRule>
  </conditionalFormatting>
  <conditionalFormatting sqref="V18">
    <cfRule type="cellIs" dxfId="8415" priority="1405" operator="greaterThan">
      <formula>V17</formula>
    </cfRule>
    <cfRule type="cellIs" dxfId="8414" priority="1406" operator="equal">
      <formula>0</formula>
    </cfRule>
  </conditionalFormatting>
  <conditionalFormatting sqref="V19">
    <cfRule type="cellIs" dxfId="8413" priority="1403" operator="greaterThan">
      <formula>V18</formula>
    </cfRule>
    <cfRule type="cellIs" dxfId="8412" priority="1404" operator="equal">
      <formula>0</formula>
    </cfRule>
  </conditionalFormatting>
  <conditionalFormatting sqref="V18">
    <cfRule type="cellIs" dxfId="8411" priority="1401" operator="greaterThan">
      <formula>V17</formula>
    </cfRule>
    <cfRule type="cellIs" dxfId="8410" priority="1402" operator="equal">
      <formula>0</formula>
    </cfRule>
  </conditionalFormatting>
  <conditionalFormatting sqref="V19">
    <cfRule type="cellIs" dxfId="8409" priority="1399" operator="greaterThan">
      <formula>V18</formula>
    </cfRule>
    <cfRule type="cellIs" dxfId="8408" priority="1400" operator="equal">
      <formula>0</formula>
    </cfRule>
  </conditionalFormatting>
  <conditionalFormatting sqref="V18">
    <cfRule type="cellIs" dxfId="8407" priority="1397" operator="greaterThan">
      <formula>V17</formula>
    </cfRule>
    <cfRule type="cellIs" dxfId="8406" priority="1398" operator="equal">
      <formula>0</formula>
    </cfRule>
  </conditionalFormatting>
  <conditionalFormatting sqref="V22">
    <cfRule type="cellIs" dxfId="8405" priority="1395" operator="greaterThan">
      <formula>V21</formula>
    </cfRule>
    <cfRule type="cellIs" dxfId="8404" priority="1396" operator="equal">
      <formula>0</formula>
    </cfRule>
  </conditionalFormatting>
  <conditionalFormatting sqref="V21">
    <cfRule type="cellIs" dxfId="8403" priority="1393" operator="greaterThan">
      <formula>V20</formula>
    </cfRule>
    <cfRule type="cellIs" dxfId="8402" priority="1394" operator="equal">
      <formula>0</formula>
    </cfRule>
  </conditionalFormatting>
  <conditionalFormatting sqref="V22">
    <cfRule type="cellIs" dxfId="8401" priority="1391" operator="greaterThan">
      <formula>V21</formula>
    </cfRule>
    <cfRule type="cellIs" dxfId="8400" priority="1392" operator="equal">
      <formula>0</formula>
    </cfRule>
  </conditionalFormatting>
  <conditionalFormatting sqref="V21">
    <cfRule type="cellIs" dxfId="8399" priority="1389" operator="greaterThan">
      <formula>V20</formula>
    </cfRule>
    <cfRule type="cellIs" dxfId="8398" priority="1390" operator="equal">
      <formula>0</formula>
    </cfRule>
  </conditionalFormatting>
  <conditionalFormatting sqref="V22">
    <cfRule type="cellIs" dxfId="8397" priority="1387" operator="greaterThan">
      <formula>V21</formula>
    </cfRule>
    <cfRule type="cellIs" dxfId="8396" priority="1388" operator="equal">
      <formula>0</formula>
    </cfRule>
  </conditionalFormatting>
  <conditionalFormatting sqref="V21">
    <cfRule type="cellIs" dxfId="8395" priority="1385" operator="greaterThan">
      <formula>V20</formula>
    </cfRule>
    <cfRule type="cellIs" dxfId="8394" priority="1386" operator="equal">
      <formula>0</formula>
    </cfRule>
  </conditionalFormatting>
  <conditionalFormatting sqref="V22">
    <cfRule type="cellIs" dxfId="8393" priority="1383" operator="greaterThan">
      <formula>V21</formula>
    </cfRule>
    <cfRule type="cellIs" dxfId="8392" priority="1384" operator="equal">
      <formula>0</formula>
    </cfRule>
  </conditionalFormatting>
  <conditionalFormatting sqref="V21">
    <cfRule type="cellIs" dxfId="8391" priority="1381" operator="greaterThan">
      <formula>V20</formula>
    </cfRule>
    <cfRule type="cellIs" dxfId="8390" priority="1382" operator="equal">
      <formula>0</formula>
    </cfRule>
  </conditionalFormatting>
  <conditionalFormatting sqref="V22">
    <cfRule type="cellIs" dxfId="8389" priority="1379" operator="greaterThan">
      <formula>V21</formula>
    </cfRule>
    <cfRule type="cellIs" dxfId="8388" priority="1380" operator="equal">
      <formula>0</formula>
    </cfRule>
  </conditionalFormatting>
  <conditionalFormatting sqref="V21">
    <cfRule type="cellIs" dxfId="8387" priority="1377" operator="greaterThan">
      <formula>V20</formula>
    </cfRule>
    <cfRule type="cellIs" dxfId="8386" priority="1378" operator="equal">
      <formula>0</formula>
    </cfRule>
  </conditionalFormatting>
  <conditionalFormatting sqref="V22">
    <cfRule type="cellIs" dxfId="8385" priority="1375" operator="greaterThan">
      <formula>V21</formula>
    </cfRule>
    <cfRule type="cellIs" dxfId="8384" priority="1376" operator="equal">
      <formula>0</formula>
    </cfRule>
  </conditionalFormatting>
  <conditionalFormatting sqref="V21">
    <cfRule type="cellIs" dxfId="8383" priority="1373" operator="greaterThan">
      <formula>V20</formula>
    </cfRule>
    <cfRule type="cellIs" dxfId="8382" priority="1374" operator="equal">
      <formula>0</formula>
    </cfRule>
  </conditionalFormatting>
  <conditionalFormatting sqref="V24">
    <cfRule type="cellIs" dxfId="8381" priority="1371" operator="greaterThan">
      <formula>V23</formula>
    </cfRule>
    <cfRule type="cellIs" dxfId="8380" priority="1372" operator="equal">
      <formula>0</formula>
    </cfRule>
  </conditionalFormatting>
  <conditionalFormatting sqref="V25">
    <cfRule type="cellIs" dxfId="8379" priority="1369" operator="greaterThan">
      <formula>V24</formula>
    </cfRule>
    <cfRule type="cellIs" dxfId="8378" priority="1370" operator="equal">
      <formula>0</formula>
    </cfRule>
  </conditionalFormatting>
  <conditionalFormatting sqref="V24">
    <cfRule type="cellIs" dxfId="8377" priority="1367" operator="greaterThan">
      <formula>V23</formula>
    </cfRule>
    <cfRule type="cellIs" dxfId="8376" priority="1368" operator="equal">
      <formula>0</formula>
    </cfRule>
  </conditionalFormatting>
  <conditionalFormatting sqref="V25">
    <cfRule type="cellIs" dxfId="8375" priority="1365" operator="greaterThan">
      <formula>V24</formula>
    </cfRule>
    <cfRule type="cellIs" dxfId="8374" priority="1366" operator="equal">
      <formula>0</formula>
    </cfRule>
  </conditionalFormatting>
  <conditionalFormatting sqref="V24">
    <cfRule type="cellIs" dxfId="8373" priority="1363" operator="greaterThan">
      <formula>V23</formula>
    </cfRule>
    <cfRule type="cellIs" dxfId="8372" priority="1364" operator="equal">
      <formula>0</formula>
    </cfRule>
  </conditionalFormatting>
  <conditionalFormatting sqref="V25">
    <cfRule type="cellIs" dxfId="8371" priority="1361" operator="greaterThan">
      <formula>V24</formula>
    </cfRule>
    <cfRule type="cellIs" dxfId="8370" priority="1362" operator="equal">
      <formula>0</formula>
    </cfRule>
  </conditionalFormatting>
  <conditionalFormatting sqref="V24">
    <cfRule type="cellIs" dxfId="8369" priority="1359" operator="greaterThan">
      <formula>V23</formula>
    </cfRule>
    <cfRule type="cellIs" dxfId="8368" priority="1360" operator="equal">
      <formula>0</formula>
    </cfRule>
  </conditionalFormatting>
  <conditionalFormatting sqref="V25">
    <cfRule type="cellIs" dxfId="8367" priority="1357" operator="greaterThan">
      <formula>V24</formula>
    </cfRule>
    <cfRule type="cellIs" dxfId="8366" priority="1358" operator="equal">
      <formula>0</formula>
    </cfRule>
  </conditionalFormatting>
  <conditionalFormatting sqref="V24">
    <cfRule type="cellIs" dxfId="8365" priority="1355" operator="greaterThan">
      <formula>V23</formula>
    </cfRule>
    <cfRule type="cellIs" dxfId="8364" priority="1356" operator="equal">
      <formula>0</formula>
    </cfRule>
  </conditionalFormatting>
  <conditionalFormatting sqref="V25">
    <cfRule type="cellIs" dxfId="8363" priority="1353" operator="greaterThan">
      <formula>V24</formula>
    </cfRule>
    <cfRule type="cellIs" dxfId="8362" priority="1354" operator="equal">
      <formula>0</formula>
    </cfRule>
  </conditionalFormatting>
  <conditionalFormatting sqref="V24">
    <cfRule type="cellIs" dxfId="8361" priority="1351" operator="greaterThan">
      <formula>V23</formula>
    </cfRule>
    <cfRule type="cellIs" dxfId="8360" priority="1352" operator="equal">
      <formula>0</formula>
    </cfRule>
  </conditionalFormatting>
  <conditionalFormatting sqref="V25">
    <cfRule type="cellIs" dxfId="8359" priority="1349" operator="greaterThan">
      <formula>V24</formula>
    </cfRule>
    <cfRule type="cellIs" dxfId="8358" priority="1350" operator="equal">
      <formula>0</formula>
    </cfRule>
  </conditionalFormatting>
  <conditionalFormatting sqref="V24">
    <cfRule type="cellIs" dxfId="8357" priority="1347" operator="greaterThan">
      <formula>V23</formula>
    </cfRule>
    <cfRule type="cellIs" dxfId="8356" priority="1348" operator="equal">
      <formula>0</formula>
    </cfRule>
  </conditionalFormatting>
  <conditionalFormatting sqref="V25">
    <cfRule type="cellIs" dxfId="8355" priority="1345" operator="greaterThan">
      <formula>V24</formula>
    </cfRule>
    <cfRule type="cellIs" dxfId="8354" priority="1346" operator="equal">
      <formula>0</formula>
    </cfRule>
  </conditionalFormatting>
  <conditionalFormatting sqref="V24">
    <cfRule type="cellIs" dxfId="8353" priority="1343" operator="greaterThan">
      <formula>V23</formula>
    </cfRule>
    <cfRule type="cellIs" dxfId="8352" priority="1344" operator="equal">
      <formula>0</formula>
    </cfRule>
  </conditionalFormatting>
  <conditionalFormatting sqref="V27:V28">
    <cfRule type="cellIs" dxfId="8351" priority="1341" operator="greaterThan">
      <formula>V26</formula>
    </cfRule>
    <cfRule type="cellIs" dxfId="8350" priority="1342" operator="equal">
      <formula>0</formula>
    </cfRule>
  </conditionalFormatting>
  <conditionalFormatting sqref="V27">
    <cfRule type="cellIs" dxfId="8349" priority="1339" operator="greaterThan">
      <formula>V26</formula>
    </cfRule>
    <cfRule type="cellIs" dxfId="8348" priority="1340" operator="equal">
      <formula>0</formula>
    </cfRule>
  </conditionalFormatting>
  <conditionalFormatting sqref="V28">
    <cfRule type="cellIs" dxfId="8347" priority="1337" operator="greaterThan">
      <formula>V27</formula>
    </cfRule>
    <cfRule type="cellIs" dxfId="8346" priority="1338" operator="equal">
      <formula>0</formula>
    </cfRule>
  </conditionalFormatting>
  <conditionalFormatting sqref="V27">
    <cfRule type="cellIs" dxfId="8345" priority="1335" operator="greaterThan">
      <formula>V26</formula>
    </cfRule>
    <cfRule type="cellIs" dxfId="8344" priority="1336" operator="equal">
      <formula>0</formula>
    </cfRule>
  </conditionalFormatting>
  <conditionalFormatting sqref="V27">
    <cfRule type="cellIs" dxfId="8343" priority="1333" operator="greaterThan">
      <formula>V26</formula>
    </cfRule>
    <cfRule type="cellIs" dxfId="8342" priority="1334" operator="equal">
      <formula>0</formula>
    </cfRule>
  </conditionalFormatting>
  <conditionalFormatting sqref="V28">
    <cfRule type="cellIs" dxfId="8341" priority="1331" operator="greaterThan">
      <formula>V27</formula>
    </cfRule>
    <cfRule type="cellIs" dxfId="8340" priority="1332" operator="equal">
      <formula>0</formula>
    </cfRule>
  </conditionalFormatting>
  <conditionalFormatting sqref="V27">
    <cfRule type="cellIs" dxfId="8339" priority="1329" operator="greaterThan">
      <formula>V26</formula>
    </cfRule>
    <cfRule type="cellIs" dxfId="8338" priority="1330" operator="equal">
      <formula>0</formula>
    </cfRule>
  </conditionalFormatting>
  <conditionalFormatting sqref="V28">
    <cfRule type="cellIs" dxfId="8337" priority="1327" operator="greaterThan">
      <formula>V27</formula>
    </cfRule>
    <cfRule type="cellIs" dxfId="8336" priority="1328" operator="equal">
      <formula>0</formula>
    </cfRule>
  </conditionalFormatting>
  <conditionalFormatting sqref="V27">
    <cfRule type="cellIs" dxfId="8335" priority="1325" operator="greaterThan">
      <formula>V26</formula>
    </cfRule>
    <cfRule type="cellIs" dxfId="8334" priority="1326" operator="equal">
      <formula>0</formula>
    </cfRule>
  </conditionalFormatting>
  <conditionalFormatting sqref="V28">
    <cfRule type="cellIs" dxfId="8333" priority="1323" operator="greaterThan">
      <formula>V27</formula>
    </cfRule>
    <cfRule type="cellIs" dxfId="8332" priority="1324" operator="equal">
      <formula>0</formula>
    </cfRule>
  </conditionalFormatting>
  <conditionalFormatting sqref="V27">
    <cfRule type="cellIs" dxfId="8331" priority="1321" operator="greaterThan">
      <formula>V26</formula>
    </cfRule>
    <cfRule type="cellIs" dxfId="8330" priority="1322" operator="equal">
      <formula>0</formula>
    </cfRule>
  </conditionalFormatting>
  <conditionalFormatting sqref="V28">
    <cfRule type="cellIs" dxfId="8329" priority="1319" operator="greaterThan">
      <formula>V27</formula>
    </cfRule>
    <cfRule type="cellIs" dxfId="8328" priority="1320" operator="equal">
      <formula>0</formula>
    </cfRule>
  </conditionalFormatting>
  <conditionalFormatting sqref="V27">
    <cfRule type="cellIs" dxfId="8327" priority="1317" operator="greaterThan">
      <formula>V26</formula>
    </cfRule>
    <cfRule type="cellIs" dxfId="8326" priority="1318" operator="equal">
      <formula>0</formula>
    </cfRule>
  </conditionalFormatting>
  <conditionalFormatting sqref="V28">
    <cfRule type="cellIs" dxfId="8325" priority="1315" operator="greaterThan">
      <formula>V27</formula>
    </cfRule>
    <cfRule type="cellIs" dxfId="8324" priority="1316" operator="equal">
      <formula>0</formula>
    </cfRule>
  </conditionalFormatting>
  <conditionalFormatting sqref="V27">
    <cfRule type="cellIs" dxfId="8323" priority="1313" operator="greaterThan">
      <formula>V26</formula>
    </cfRule>
    <cfRule type="cellIs" dxfId="8322" priority="1314" operator="equal">
      <formula>0</formula>
    </cfRule>
  </conditionalFormatting>
  <conditionalFormatting sqref="V28">
    <cfRule type="cellIs" dxfId="8321" priority="1311" operator="greaterThan">
      <formula>V27</formula>
    </cfRule>
    <cfRule type="cellIs" dxfId="8320" priority="1312" operator="equal">
      <formula>0</formula>
    </cfRule>
  </conditionalFormatting>
  <conditionalFormatting sqref="V27">
    <cfRule type="cellIs" dxfId="8319" priority="1309" operator="greaterThan">
      <formula>V26</formula>
    </cfRule>
    <cfRule type="cellIs" dxfId="8318" priority="1310" operator="equal">
      <formula>0</formula>
    </cfRule>
  </conditionalFormatting>
  <conditionalFormatting sqref="V28">
    <cfRule type="cellIs" dxfId="8317" priority="1307" operator="greaterThan">
      <formula>V27</formula>
    </cfRule>
    <cfRule type="cellIs" dxfId="8316" priority="1308" operator="equal">
      <formula>0</formula>
    </cfRule>
  </conditionalFormatting>
  <conditionalFormatting sqref="V27">
    <cfRule type="cellIs" dxfId="8315" priority="1305" operator="greaterThan">
      <formula>V26</formula>
    </cfRule>
    <cfRule type="cellIs" dxfId="8314" priority="1306" operator="equal">
      <formula>0</formula>
    </cfRule>
  </conditionalFormatting>
  <conditionalFormatting sqref="V50">
    <cfRule type="cellIs" dxfId="8313" priority="1303" operator="greaterThan">
      <formula>V49</formula>
    </cfRule>
    <cfRule type="cellIs" dxfId="8312" priority="1304" operator="equal">
      <formula>0</formula>
    </cfRule>
  </conditionalFormatting>
  <conditionalFormatting sqref="V12:V13 X12:X13 X15:X16 X18:X19 X21:X25 X27:X28 V15:V16 V18:V19 V21:V22 V24:V25 V27:V28">
    <cfRule type="cellIs" dxfId="8311" priority="1302" operator="equal">
      <formula>0</formula>
    </cfRule>
  </conditionalFormatting>
  <conditionalFormatting sqref="V28">
    <cfRule type="cellIs" dxfId="8310" priority="1300" operator="greaterThan">
      <formula>V27</formula>
    </cfRule>
    <cfRule type="cellIs" dxfId="8309" priority="1301" operator="equal">
      <formula>0</formula>
    </cfRule>
  </conditionalFormatting>
  <conditionalFormatting sqref="V27">
    <cfRule type="cellIs" dxfId="8308" priority="1298" operator="greaterThan">
      <formula>V26</formula>
    </cfRule>
    <cfRule type="cellIs" dxfId="8307" priority="1299" operator="equal">
      <formula>0</formula>
    </cfRule>
  </conditionalFormatting>
  <conditionalFormatting sqref="V13">
    <cfRule type="cellIs" dxfId="8306" priority="1296" operator="greaterThan">
      <formula>V12</formula>
    </cfRule>
    <cfRule type="cellIs" dxfId="8305" priority="1297" operator="equal">
      <formula>0</formula>
    </cfRule>
  </conditionalFormatting>
  <conditionalFormatting sqref="V12">
    <cfRule type="cellIs" dxfId="8304" priority="1294" operator="greaterThan">
      <formula>V11</formula>
    </cfRule>
    <cfRule type="cellIs" dxfId="8303" priority="1295" operator="equal">
      <formula>0</formula>
    </cfRule>
  </conditionalFormatting>
  <conditionalFormatting sqref="V16">
    <cfRule type="cellIs" dxfId="8302" priority="1292" operator="greaterThan">
      <formula>V15</formula>
    </cfRule>
    <cfRule type="cellIs" dxfId="8301" priority="1293" operator="equal">
      <formula>0</formula>
    </cfRule>
  </conditionalFormatting>
  <conditionalFormatting sqref="V15">
    <cfRule type="cellIs" dxfId="8300" priority="1290" operator="greaterThan">
      <formula>V14</formula>
    </cfRule>
    <cfRule type="cellIs" dxfId="8299" priority="1291" operator="equal">
      <formula>0</formula>
    </cfRule>
  </conditionalFormatting>
  <conditionalFormatting sqref="V19">
    <cfRule type="cellIs" dxfId="8298" priority="1288" operator="greaterThan">
      <formula>V18</formula>
    </cfRule>
    <cfRule type="cellIs" dxfId="8297" priority="1289" operator="equal">
      <formula>0</formula>
    </cfRule>
  </conditionalFormatting>
  <conditionalFormatting sqref="V18">
    <cfRule type="cellIs" dxfId="8296" priority="1286" operator="greaterThan">
      <formula>V17</formula>
    </cfRule>
    <cfRule type="cellIs" dxfId="8295" priority="1287" operator="equal">
      <formula>0</formula>
    </cfRule>
  </conditionalFormatting>
  <conditionalFormatting sqref="V22 V24:V25">
    <cfRule type="cellIs" dxfId="8294" priority="1284" operator="greaterThan">
      <formula>V21</formula>
    </cfRule>
    <cfRule type="cellIs" dxfId="8293" priority="1285" operator="equal">
      <formula>0</formula>
    </cfRule>
  </conditionalFormatting>
  <conditionalFormatting sqref="V21">
    <cfRule type="cellIs" dxfId="8292" priority="1282" operator="greaterThan">
      <formula>V20</formula>
    </cfRule>
    <cfRule type="cellIs" dxfId="8291" priority="1283" operator="equal">
      <formula>0</formula>
    </cfRule>
  </conditionalFormatting>
  <conditionalFormatting sqref="V24">
    <cfRule type="cellIs" dxfId="8290" priority="1280" operator="greaterThan">
      <formula>V23</formula>
    </cfRule>
    <cfRule type="cellIs" dxfId="8289" priority="1281" operator="equal">
      <formula>0</formula>
    </cfRule>
  </conditionalFormatting>
  <conditionalFormatting sqref="V27:V28">
    <cfRule type="cellIs" dxfId="8288" priority="1278" operator="greaterThan">
      <formula>V26</formula>
    </cfRule>
    <cfRule type="cellIs" dxfId="8287" priority="1279" operator="equal">
      <formula>0</formula>
    </cfRule>
  </conditionalFormatting>
  <conditionalFormatting sqref="V27">
    <cfRule type="cellIs" dxfId="8286" priority="1276" operator="greaterThan">
      <formula>V26</formula>
    </cfRule>
    <cfRule type="cellIs" dxfId="8285" priority="1277" operator="equal">
      <formula>0</formula>
    </cfRule>
  </conditionalFormatting>
  <conditionalFormatting sqref="V16">
    <cfRule type="cellIs" dxfId="8284" priority="1274" operator="greaterThan">
      <formula>V15</formula>
    </cfRule>
    <cfRule type="cellIs" dxfId="8283" priority="1275" operator="equal">
      <formula>0</formula>
    </cfRule>
  </conditionalFormatting>
  <conditionalFormatting sqref="V15">
    <cfRule type="cellIs" dxfId="8282" priority="1272" operator="greaterThan">
      <formula>V14</formula>
    </cfRule>
    <cfRule type="cellIs" dxfId="8281" priority="1273" operator="equal">
      <formula>0</formula>
    </cfRule>
  </conditionalFormatting>
  <conditionalFormatting sqref="V19">
    <cfRule type="cellIs" dxfId="8280" priority="1270" operator="greaterThan">
      <formula>V18</formula>
    </cfRule>
    <cfRule type="cellIs" dxfId="8279" priority="1271" operator="equal">
      <formula>0</formula>
    </cfRule>
  </conditionalFormatting>
  <conditionalFormatting sqref="V18">
    <cfRule type="cellIs" dxfId="8278" priority="1268" operator="greaterThan">
      <formula>V17</formula>
    </cfRule>
    <cfRule type="cellIs" dxfId="8277" priority="1269" operator="equal">
      <formula>0</formula>
    </cfRule>
  </conditionalFormatting>
  <conditionalFormatting sqref="V22">
    <cfRule type="cellIs" dxfId="8276" priority="1266" operator="greaterThan">
      <formula>V21</formula>
    </cfRule>
    <cfRule type="cellIs" dxfId="8275" priority="1267" operator="equal">
      <formula>0</formula>
    </cfRule>
  </conditionalFormatting>
  <conditionalFormatting sqref="V21">
    <cfRule type="cellIs" dxfId="8274" priority="1264" operator="greaterThan">
      <formula>V20</formula>
    </cfRule>
    <cfRule type="cellIs" dxfId="8273" priority="1265" operator="equal">
      <formula>0</formula>
    </cfRule>
  </conditionalFormatting>
  <conditionalFormatting sqref="V25">
    <cfRule type="cellIs" dxfId="8272" priority="1262" operator="greaterThan">
      <formula>V24</formula>
    </cfRule>
    <cfRule type="cellIs" dxfId="8271" priority="1263" operator="equal">
      <formula>0</formula>
    </cfRule>
  </conditionalFormatting>
  <conditionalFormatting sqref="V24">
    <cfRule type="cellIs" dxfId="8270" priority="1260" operator="greaterThan">
      <formula>V23</formula>
    </cfRule>
    <cfRule type="cellIs" dxfId="8269" priority="1261" operator="equal">
      <formula>0</formula>
    </cfRule>
  </conditionalFormatting>
  <conditionalFormatting sqref="V28">
    <cfRule type="cellIs" dxfId="8268" priority="1258" operator="greaterThan">
      <formula>V27</formula>
    </cfRule>
    <cfRule type="cellIs" dxfId="8267" priority="1259" operator="equal">
      <formula>0</formula>
    </cfRule>
  </conditionalFormatting>
  <conditionalFormatting sqref="V27">
    <cfRule type="cellIs" dxfId="8266" priority="1256" operator="greaterThan">
      <formula>V26</formula>
    </cfRule>
    <cfRule type="cellIs" dxfId="8265" priority="1257" operator="equal">
      <formula>0</formula>
    </cfRule>
  </conditionalFormatting>
  <conditionalFormatting sqref="V30:V31 X30:X31">
    <cfRule type="cellIs" dxfId="8264" priority="1255" operator="equal">
      <formula>0</formula>
    </cfRule>
  </conditionalFormatting>
  <conditionalFormatting sqref="V31">
    <cfRule type="cellIs" dxfId="8263" priority="1253" operator="greaterThan">
      <formula>V30</formula>
    </cfRule>
    <cfRule type="cellIs" dxfId="8262" priority="1254" operator="equal">
      <formula>0</formula>
    </cfRule>
  </conditionalFormatting>
  <conditionalFormatting sqref="V30">
    <cfRule type="cellIs" dxfId="8261" priority="1251" operator="greaterThan">
      <formula>V29</formula>
    </cfRule>
    <cfRule type="cellIs" dxfId="8260" priority="1252" operator="equal">
      <formula>0</formula>
    </cfRule>
  </conditionalFormatting>
  <conditionalFormatting sqref="V33:V34 X33:X34">
    <cfRule type="cellIs" dxfId="8259" priority="1250" operator="equal">
      <formula>0</formula>
    </cfRule>
  </conditionalFormatting>
  <conditionalFormatting sqref="V34">
    <cfRule type="cellIs" dxfId="8258" priority="1248" operator="greaterThan">
      <formula>V33</formula>
    </cfRule>
    <cfRule type="cellIs" dxfId="8257" priority="1249" operator="equal">
      <formula>0</formula>
    </cfRule>
  </conditionalFormatting>
  <conditionalFormatting sqref="V33">
    <cfRule type="cellIs" dxfId="8256" priority="1246" operator="greaterThan">
      <formula>V32</formula>
    </cfRule>
    <cfRule type="cellIs" dxfId="8255" priority="1247" operator="equal">
      <formula>0</formula>
    </cfRule>
  </conditionalFormatting>
  <conditionalFormatting sqref="V36:V37 X36:X37">
    <cfRule type="cellIs" dxfId="8254" priority="1245" operator="equal">
      <formula>0</formula>
    </cfRule>
  </conditionalFormatting>
  <conditionalFormatting sqref="V37">
    <cfRule type="cellIs" dxfId="8253" priority="1243" operator="greaterThan">
      <formula>V36</formula>
    </cfRule>
    <cfRule type="cellIs" dxfId="8252" priority="1244" operator="equal">
      <formula>0</formula>
    </cfRule>
  </conditionalFormatting>
  <conditionalFormatting sqref="V36">
    <cfRule type="cellIs" dxfId="8251" priority="1241" operator="greaterThan">
      <formula>V35</formula>
    </cfRule>
    <cfRule type="cellIs" dxfId="8250" priority="1242" operator="equal">
      <formula>0</formula>
    </cfRule>
  </conditionalFormatting>
  <conditionalFormatting sqref="V16">
    <cfRule type="cellIs" dxfId="8249" priority="1239" operator="greaterThan">
      <formula>V15</formula>
    </cfRule>
    <cfRule type="cellIs" dxfId="8248" priority="1240" operator="equal">
      <formula>0</formula>
    </cfRule>
  </conditionalFormatting>
  <conditionalFormatting sqref="V15">
    <cfRule type="cellIs" dxfId="8247" priority="1237" operator="greaterThan">
      <formula>V14</formula>
    </cfRule>
    <cfRule type="cellIs" dxfId="8246" priority="1238" operator="equal">
      <formula>0</formula>
    </cfRule>
  </conditionalFormatting>
  <conditionalFormatting sqref="V16">
    <cfRule type="cellIs" dxfId="8245" priority="1235" operator="greaterThan">
      <formula>V15</formula>
    </cfRule>
    <cfRule type="cellIs" dxfId="8244" priority="1236" operator="equal">
      <formula>0</formula>
    </cfRule>
  </conditionalFormatting>
  <conditionalFormatting sqref="V15">
    <cfRule type="cellIs" dxfId="8243" priority="1233" operator="greaterThan">
      <formula>V14</formula>
    </cfRule>
    <cfRule type="cellIs" dxfId="8242" priority="1234" operator="equal">
      <formula>0</formula>
    </cfRule>
  </conditionalFormatting>
  <conditionalFormatting sqref="V19">
    <cfRule type="cellIs" dxfId="8241" priority="1231" operator="greaterThan">
      <formula>V18</formula>
    </cfRule>
    <cfRule type="cellIs" dxfId="8240" priority="1232" operator="equal">
      <formula>0</formula>
    </cfRule>
  </conditionalFormatting>
  <conditionalFormatting sqref="V18">
    <cfRule type="cellIs" dxfId="8239" priority="1229" operator="greaterThan">
      <formula>V17</formula>
    </cfRule>
    <cfRule type="cellIs" dxfId="8238" priority="1230" operator="equal">
      <formula>0</formula>
    </cfRule>
  </conditionalFormatting>
  <conditionalFormatting sqref="V19">
    <cfRule type="cellIs" dxfId="8237" priority="1227" operator="greaterThan">
      <formula>V18</formula>
    </cfRule>
    <cfRule type="cellIs" dxfId="8236" priority="1228" operator="equal">
      <formula>0</formula>
    </cfRule>
  </conditionalFormatting>
  <conditionalFormatting sqref="V18">
    <cfRule type="cellIs" dxfId="8235" priority="1225" operator="greaterThan">
      <formula>V17</formula>
    </cfRule>
    <cfRule type="cellIs" dxfId="8234" priority="1226" operator="equal">
      <formula>0</formula>
    </cfRule>
  </conditionalFormatting>
  <conditionalFormatting sqref="V19">
    <cfRule type="cellIs" dxfId="8233" priority="1223" operator="greaterThan">
      <formula>V18</formula>
    </cfRule>
    <cfRule type="cellIs" dxfId="8232" priority="1224" operator="equal">
      <formula>0</formula>
    </cfRule>
  </conditionalFormatting>
  <conditionalFormatting sqref="V18">
    <cfRule type="cellIs" dxfId="8231" priority="1221" operator="greaterThan">
      <formula>V17</formula>
    </cfRule>
    <cfRule type="cellIs" dxfId="8230" priority="1222" operator="equal">
      <formula>0</formula>
    </cfRule>
  </conditionalFormatting>
  <conditionalFormatting sqref="V19">
    <cfRule type="cellIs" dxfId="8229" priority="1219" operator="greaterThan">
      <formula>V18</formula>
    </cfRule>
    <cfRule type="cellIs" dxfId="8228" priority="1220" operator="equal">
      <formula>0</formula>
    </cfRule>
  </conditionalFormatting>
  <conditionalFormatting sqref="V18">
    <cfRule type="cellIs" dxfId="8227" priority="1217" operator="greaterThan">
      <formula>V17</formula>
    </cfRule>
    <cfRule type="cellIs" dxfId="8226" priority="1218" operator="equal">
      <formula>0</formula>
    </cfRule>
  </conditionalFormatting>
  <conditionalFormatting sqref="V22">
    <cfRule type="cellIs" dxfId="8225" priority="1215" operator="greaterThan">
      <formula>V21</formula>
    </cfRule>
    <cfRule type="cellIs" dxfId="8224" priority="1216" operator="equal">
      <formula>0</formula>
    </cfRule>
  </conditionalFormatting>
  <conditionalFormatting sqref="V21">
    <cfRule type="cellIs" dxfId="8223" priority="1213" operator="greaterThan">
      <formula>V20</formula>
    </cfRule>
    <cfRule type="cellIs" dxfId="8222" priority="1214" operator="equal">
      <formula>0</formula>
    </cfRule>
  </conditionalFormatting>
  <conditionalFormatting sqref="V22">
    <cfRule type="cellIs" dxfId="8221" priority="1211" operator="greaterThan">
      <formula>V21</formula>
    </cfRule>
    <cfRule type="cellIs" dxfId="8220" priority="1212" operator="equal">
      <formula>0</formula>
    </cfRule>
  </conditionalFormatting>
  <conditionalFormatting sqref="V21">
    <cfRule type="cellIs" dxfId="8219" priority="1209" operator="greaterThan">
      <formula>V20</formula>
    </cfRule>
    <cfRule type="cellIs" dxfId="8218" priority="1210" operator="equal">
      <formula>0</formula>
    </cfRule>
  </conditionalFormatting>
  <conditionalFormatting sqref="V22">
    <cfRule type="cellIs" dxfId="8217" priority="1207" operator="greaterThan">
      <formula>V21</formula>
    </cfRule>
    <cfRule type="cellIs" dxfId="8216" priority="1208" operator="equal">
      <formula>0</formula>
    </cfRule>
  </conditionalFormatting>
  <conditionalFormatting sqref="V21">
    <cfRule type="cellIs" dxfId="8215" priority="1205" operator="greaterThan">
      <formula>V20</formula>
    </cfRule>
    <cfRule type="cellIs" dxfId="8214" priority="1206" operator="equal">
      <formula>0</formula>
    </cfRule>
  </conditionalFormatting>
  <conditionalFormatting sqref="V22">
    <cfRule type="cellIs" dxfId="8213" priority="1203" operator="greaterThan">
      <formula>V21</formula>
    </cfRule>
    <cfRule type="cellIs" dxfId="8212" priority="1204" operator="equal">
      <formula>0</formula>
    </cfRule>
  </conditionalFormatting>
  <conditionalFormatting sqref="V21">
    <cfRule type="cellIs" dxfId="8211" priority="1201" operator="greaterThan">
      <formula>V20</formula>
    </cfRule>
    <cfRule type="cellIs" dxfId="8210" priority="1202" operator="equal">
      <formula>0</formula>
    </cfRule>
  </conditionalFormatting>
  <conditionalFormatting sqref="V22">
    <cfRule type="cellIs" dxfId="8209" priority="1199" operator="greaterThan">
      <formula>V21</formula>
    </cfRule>
    <cfRule type="cellIs" dxfId="8208" priority="1200" operator="equal">
      <formula>0</formula>
    </cfRule>
  </conditionalFormatting>
  <conditionalFormatting sqref="V21">
    <cfRule type="cellIs" dxfId="8207" priority="1197" operator="greaterThan">
      <formula>V20</formula>
    </cfRule>
    <cfRule type="cellIs" dxfId="8206" priority="1198" operator="equal">
      <formula>0</formula>
    </cfRule>
  </conditionalFormatting>
  <conditionalFormatting sqref="V22">
    <cfRule type="cellIs" dxfId="8205" priority="1195" operator="greaterThan">
      <formula>V21</formula>
    </cfRule>
    <cfRule type="cellIs" dxfId="8204" priority="1196" operator="equal">
      <formula>0</formula>
    </cfRule>
  </conditionalFormatting>
  <conditionalFormatting sqref="V21">
    <cfRule type="cellIs" dxfId="8203" priority="1193" operator="greaterThan">
      <formula>V20</formula>
    </cfRule>
    <cfRule type="cellIs" dxfId="8202" priority="1194" operator="equal">
      <formula>0</formula>
    </cfRule>
  </conditionalFormatting>
  <conditionalFormatting sqref="V24">
    <cfRule type="cellIs" dxfId="8201" priority="1191" operator="greaterThan">
      <formula>V23</formula>
    </cfRule>
    <cfRule type="cellIs" dxfId="8200" priority="1192" operator="equal">
      <formula>0</formula>
    </cfRule>
  </conditionalFormatting>
  <conditionalFormatting sqref="V25">
    <cfRule type="cellIs" dxfId="8199" priority="1189" operator="greaterThan">
      <formula>V24</formula>
    </cfRule>
    <cfRule type="cellIs" dxfId="8198" priority="1190" operator="equal">
      <formula>0</formula>
    </cfRule>
  </conditionalFormatting>
  <conditionalFormatting sqref="V24">
    <cfRule type="cellIs" dxfId="8197" priority="1187" operator="greaterThan">
      <formula>V23</formula>
    </cfRule>
    <cfRule type="cellIs" dxfId="8196" priority="1188" operator="equal">
      <formula>0</formula>
    </cfRule>
  </conditionalFormatting>
  <conditionalFormatting sqref="V25">
    <cfRule type="cellIs" dxfId="8195" priority="1185" operator="greaterThan">
      <formula>V24</formula>
    </cfRule>
    <cfRule type="cellIs" dxfId="8194" priority="1186" operator="equal">
      <formula>0</formula>
    </cfRule>
  </conditionalFormatting>
  <conditionalFormatting sqref="V24">
    <cfRule type="cellIs" dxfId="8193" priority="1183" operator="greaterThan">
      <formula>V23</formula>
    </cfRule>
    <cfRule type="cellIs" dxfId="8192" priority="1184" operator="equal">
      <formula>0</formula>
    </cfRule>
  </conditionalFormatting>
  <conditionalFormatting sqref="V25">
    <cfRule type="cellIs" dxfId="8191" priority="1181" operator="greaterThan">
      <formula>V24</formula>
    </cfRule>
    <cfRule type="cellIs" dxfId="8190" priority="1182" operator="equal">
      <formula>0</formula>
    </cfRule>
  </conditionalFormatting>
  <conditionalFormatting sqref="V24">
    <cfRule type="cellIs" dxfId="8189" priority="1179" operator="greaterThan">
      <formula>V23</formula>
    </cfRule>
    <cfRule type="cellIs" dxfId="8188" priority="1180" operator="equal">
      <formula>0</formula>
    </cfRule>
  </conditionalFormatting>
  <conditionalFormatting sqref="V25">
    <cfRule type="cellIs" dxfId="8187" priority="1177" operator="greaterThan">
      <formula>V24</formula>
    </cfRule>
    <cfRule type="cellIs" dxfId="8186" priority="1178" operator="equal">
      <formula>0</formula>
    </cfRule>
  </conditionalFormatting>
  <conditionalFormatting sqref="V24">
    <cfRule type="cellIs" dxfId="8185" priority="1175" operator="greaterThan">
      <formula>V23</formula>
    </cfRule>
    <cfRule type="cellIs" dxfId="8184" priority="1176" operator="equal">
      <formula>0</formula>
    </cfRule>
  </conditionalFormatting>
  <conditionalFormatting sqref="V25">
    <cfRule type="cellIs" dxfId="8183" priority="1173" operator="greaterThan">
      <formula>V24</formula>
    </cfRule>
    <cfRule type="cellIs" dxfId="8182" priority="1174" operator="equal">
      <formula>0</formula>
    </cfRule>
  </conditionalFormatting>
  <conditionalFormatting sqref="V24">
    <cfRule type="cellIs" dxfId="8181" priority="1171" operator="greaterThan">
      <formula>V23</formula>
    </cfRule>
    <cfRule type="cellIs" dxfId="8180" priority="1172" operator="equal">
      <formula>0</formula>
    </cfRule>
  </conditionalFormatting>
  <conditionalFormatting sqref="V25">
    <cfRule type="cellIs" dxfId="8179" priority="1169" operator="greaterThan">
      <formula>V24</formula>
    </cfRule>
    <cfRule type="cellIs" dxfId="8178" priority="1170" operator="equal">
      <formula>0</formula>
    </cfRule>
  </conditionalFormatting>
  <conditionalFormatting sqref="V24">
    <cfRule type="cellIs" dxfId="8177" priority="1167" operator="greaterThan">
      <formula>V23</formula>
    </cfRule>
    <cfRule type="cellIs" dxfId="8176" priority="1168" operator="equal">
      <formula>0</formula>
    </cfRule>
  </conditionalFormatting>
  <conditionalFormatting sqref="V25">
    <cfRule type="cellIs" dxfId="8175" priority="1165" operator="greaterThan">
      <formula>V24</formula>
    </cfRule>
    <cfRule type="cellIs" dxfId="8174" priority="1166" operator="equal">
      <formula>0</formula>
    </cfRule>
  </conditionalFormatting>
  <conditionalFormatting sqref="V24">
    <cfRule type="cellIs" dxfId="8173" priority="1163" operator="greaterThan">
      <formula>V23</formula>
    </cfRule>
    <cfRule type="cellIs" dxfId="8172" priority="1164" operator="equal">
      <formula>0</formula>
    </cfRule>
  </conditionalFormatting>
  <conditionalFormatting sqref="V27:V28">
    <cfRule type="cellIs" dxfId="8171" priority="1161" operator="greaterThan">
      <formula>V26</formula>
    </cfRule>
    <cfRule type="cellIs" dxfId="8170" priority="1162" operator="equal">
      <formula>0</formula>
    </cfRule>
  </conditionalFormatting>
  <conditionalFormatting sqref="V27">
    <cfRule type="cellIs" dxfId="8169" priority="1159" operator="greaterThan">
      <formula>V26</formula>
    </cfRule>
    <cfRule type="cellIs" dxfId="8168" priority="1160" operator="equal">
      <formula>0</formula>
    </cfRule>
  </conditionalFormatting>
  <conditionalFormatting sqref="V28">
    <cfRule type="cellIs" dxfId="8167" priority="1157" operator="greaterThan">
      <formula>V27</formula>
    </cfRule>
    <cfRule type="cellIs" dxfId="8166" priority="1158" operator="equal">
      <formula>0</formula>
    </cfRule>
  </conditionalFormatting>
  <conditionalFormatting sqref="V27">
    <cfRule type="cellIs" dxfId="8165" priority="1155" operator="greaterThan">
      <formula>V26</formula>
    </cfRule>
    <cfRule type="cellIs" dxfId="8164" priority="1156" operator="equal">
      <formula>0</formula>
    </cfRule>
  </conditionalFormatting>
  <conditionalFormatting sqref="V27">
    <cfRule type="cellIs" dxfId="8163" priority="1153" operator="greaterThan">
      <formula>V26</formula>
    </cfRule>
    <cfRule type="cellIs" dxfId="8162" priority="1154" operator="equal">
      <formula>0</formula>
    </cfRule>
  </conditionalFormatting>
  <conditionalFormatting sqref="V28">
    <cfRule type="cellIs" dxfId="8161" priority="1151" operator="greaterThan">
      <formula>V27</formula>
    </cfRule>
    <cfRule type="cellIs" dxfId="8160" priority="1152" operator="equal">
      <formula>0</formula>
    </cfRule>
  </conditionalFormatting>
  <conditionalFormatting sqref="V27">
    <cfRule type="cellIs" dxfId="8159" priority="1149" operator="greaterThan">
      <formula>V26</formula>
    </cfRule>
    <cfRule type="cellIs" dxfId="8158" priority="1150" operator="equal">
      <formula>0</formula>
    </cfRule>
  </conditionalFormatting>
  <conditionalFormatting sqref="V28">
    <cfRule type="cellIs" dxfId="8157" priority="1147" operator="greaterThan">
      <formula>V27</formula>
    </cfRule>
    <cfRule type="cellIs" dxfId="8156" priority="1148" operator="equal">
      <formula>0</formula>
    </cfRule>
  </conditionalFormatting>
  <conditionalFormatting sqref="V27">
    <cfRule type="cellIs" dxfId="8155" priority="1145" operator="greaterThan">
      <formula>V26</formula>
    </cfRule>
    <cfRule type="cellIs" dxfId="8154" priority="1146" operator="equal">
      <formula>0</formula>
    </cfRule>
  </conditionalFormatting>
  <conditionalFormatting sqref="V28">
    <cfRule type="cellIs" dxfId="8153" priority="1143" operator="greaterThan">
      <formula>V27</formula>
    </cfRule>
    <cfRule type="cellIs" dxfId="8152" priority="1144" operator="equal">
      <formula>0</formula>
    </cfRule>
  </conditionalFormatting>
  <conditionalFormatting sqref="V27">
    <cfRule type="cellIs" dxfId="8151" priority="1141" operator="greaterThan">
      <formula>V26</formula>
    </cfRule>
    <cfRule type="cellIs" dxfId="8150" priority="1142" operator="equal">
      <formula>0</formula>
    </cfRule>
  </conditionalFormatting>
  <conditionalFormatting sqref="V28">
    <cfRule type="cellIs" dxfId="8149" priority="1139" operator="greaterThan">
      <formula>V27</formula>
    </cfRule>
    <cfRule type="cellIs" dxfId="8148" priority="1140" operator="equal">
      <formula>0</formula>
    </cfRule>
  </conditionalFormatting>
  <conditionalFormatting sqref="V27">
    <cfRule type="cellIs" dxfId="8147" priority="1137" operator="greaterThan">
      <formula>V26</formula>
    </cfRule>
    <cfRule type="cellIs" dxfId="8146" priority="1138" operator="equal">
      <formula>0</formula>
    </cfRule>
  </conditionalFormatting>
  <conditionalFormatting sqref="V28">
    <cfRule type="cellIs" dxfId="8145" priority="1135" operator="greaterThan">
      <formula>V27</formula>
    </cfRule>
    <cfRule type="cellIs" dxfId="8144" priority="1136" operator="equal">
      <formula>0</formula>
    </cfRule>
  </conditionalFormatting>
  <conditionalFormatting sqref="V27">
    <cfRule type="cellIs" dxfId="8143" priority="1133" operator="greaterThan">
      <formula>V26</formula>
    </cfRule>
    <cfRule type="cellIs" dxfId="8142" priority="1134" operator="equal">
      <formula>0</formula>
    </cfRule>
  </conditionalFormatting>
  <conditionalFormatting sqref="V28">
    <cfRule type="cellIs" dxfId="8141" priority="1131" operator="greaterThan">
      <formula>V27</formula>
    </cfRule>
    <cfRule type="cellIs" dxfId="8140" priority="1132" operator="equal">
      <formula>0</formula>
    </cfRule>
  </conditionalFormatting>
  <conditionalFormatting sqref="V27">
    <cfRule type="cellIs" dxfId="8139" priority="1129" operator="greaterThan">
      <formula>V26</formula>
    </cfRule>
    <cfRule type="cellIs" dxfId="8138" priority="1130" operator="equal">
      <formula>0</formula>
    </cfRule>
  </conditionalFormatting>
  <conditionalFormatting sqref="V28">
    <cfRule type="cellIs" dxfId="8137" priority="1127" operator="greaterThan">
      <formula>V27</formula>
    </cfRule>
    <cfRule type="cellIs" dxfId="8136" priority="1128" operator="equal">
      <formula>0</formula>
    </cfRule>
  </conditionalFormatting>
  <conditionalFormatting sqref="V27">
    <cfRule type="cellIs" dxfId="8135" priority="1125" operator="greaterThan">
      <formula>V26</formula>
    </cfRule>
    <cfRule type="cellIs" dxfId="8134" priority="1126" operator="equal">
      <formula>0</formula>
    </cfRule>
  </conditionalFormatting>
  <conditionalFormatting sqref="V19">
    <cfRule type="cellIs" dxfId="8133" priority="1123" operator="greaterThan">
      <formula>V18</formula>
    </cfRule>
    <cfRule type="cellIs" dxfId="8132" priority="1124" operator="equal">
      <formula>0</formula>
    </cfRule>
  </conditionalFormatting>
  <conditionalFormatting sqref="V18">
    <cfRule type="cellIs" dxfId="8131" priority="1121" operator="greaterThan">
      <formula>V17</formula>
    </cfRule>
    <cfRule type="cellIs" dxfId="8130" priority="1122" operator="equal">
      <formula>0</formula>
    </cfRule>
  </conditionalFormatting>
  <conditionalFormatting sqref="V19">
    <cfRule type="cellIs" dxfId="8129" priority="1119" operator="greaterThan">
      <formula>V18</formula>
    </cfRule>
    <cfRule type="cellIs" dxfId="8128" priority="1120" operator="equal">
      <formula>0</formula>
    </cfRule>
  </conditionalFormatting>
  <conditionalFormatting sqref="V18">
    <cfRule type="cellIs" dxfId="8127" priority="1117" operator="greaterThan">
      <formula>V17</formula>
    </cfRule>
    <cfRule type="cellIs" dxfId="8126" priority="1118" operator="equal">
      <formula>0</formula>
    </cfRule>
  </conditionalFormatting>
  <conditionalFormatting sqref="V19">
    <cfRule type="cellIs" dxfId="8125" priority="1115" operator="greaterThan">
      <formula>V18</formula>
    </cfRule>
    <cfRule type="cellIs" dxfId="8124" priority="1116" operator="equal">
      <formula>0</formula>
    </cfRule>
  </conditionalFormatting>
  <conditionalFormatting sqref="V18">
    <cfRule type="cellIs" dxfId="8123" priority="1113" operator="greaterThan">
      <formula>V17</formula>
    </cfRule>
    <cfRule type="cellIs" dxfId="8122" priority="1114" operator="equal">
      <formula>0</formula>
    </cfRule>
  </conditionalFormatting>
  <conditionalFormatting sqref="V19">
    <cfRule type="cellIs" dxfId="8121" priority="1111" operator="greaterThan">
      <formula>V18</formula>
    </cfRule>
    <cfRule type="cellIs" dxfId="8120" priority="1112" operator="equal">
      <formula>0</formula>
    </cfRule>
  </conditionalFormatting>
  <conditionalFormatting sqref="V18">
    <cfRule type="cellIs" dxfId="8119" priority="1109" operator="greaterThan">
      <formula>V17</formula>
    </cfRule>
    <cfRule type="cellIs" dxfId="8118" priority="1110" operator="equal">
      <formula>0</formula>
    </cfRule>
  </conditionalFormatting>
  <conditionalFormatting sqref="V16">
    <cfRule type="cellIs" dxfId="8117" priority="1107" operator="greaterThan">
      <formula>V15</formula>
    </cfRule>
    <cfRule type="cellIs" dxfId="8116" priority="1108" operator="equal">
      <formula>0</formula>
    </cfRule>
  </conditionalFormatting>
  <conditionalFormatting sqref="V16">
    <cfRule type="cellIs" dxfId="8115" priority="1105" operator="greaterThan">
      <formula>V15</formula>
    </cfRule>
    <cfRule type="cellIs" dxfId="8114" priority="1106" operator="equal">
      <formula>0</formula>
    </cfRule>
  </conditionalFormatting>
  <conditionalFormatting sqref="V16">
    <cfRule type="cellIs" dxfId="8113" priority="1103" operator="greaterThan">
      <formula>V15</formula>
    </cfRule>
    <cfRule type="cellIs" dxfId="8112" priority="1104" operator="equal">
      <formula>0</formula>
    </cfRule>
  </conditionalFormatting>
  <conditionalFormatting sqref="V16">
    <cfRule type="cellIs" dxfId="8111" priority="1101" operator="greaterThan">
      <formula>V15</formula>
    </cfRule>
    <cfRule type="cellIs" dxfId="8110" priority="1102" operator="equal">
      <formula>0</formula>
    </cfRule>
  </conditionalFormatting>
  <conditionalFormatting sqref="V19">
    <cfRule type="cellIs" dxfId="8109" priority="1099" operator="greaterThan">
      <formula>V18</formula>
    </cfRule>
    <cfRule type="cellIs" dxfId="8108" priority="1100" operator="equal">
      <formula>0</formula>
    </cfRule>
  </conditionalFormatting>
  <conditionalFormatting sqref="V19">
    <cfRule type="cellIs" dxfId="8107" priority="1097" operator="greaterThan">
      <formula>V18</formula>
    </cfRule>
    <cfRule type="cellIs" dxfId="8106" priority="1098" operator="equal">
      <formula>0</formula>
    </cfRule>
  </conditionalFormatting>
  <conditionalFormatting sqref="V19">
    <cfRule type="cellIs" dxfId="8105" priority="1095" operator="greaterThan">
      <formula>V18</formula>
    </cfRule>
    <cfRule type="cellIs" dxfId="8104" priority="1096" operator="equal">
      <formula>0</formula>
    </cfRule>
  </conditionalFormatting>
  <conditionalFormatting sqref="V19">
    <cfRule type="cellIs" dxfId="8103" priority="1093" operator="greaterThan">
      <formula>V18</formula>
    </cfRule>
    <cfRule type="cellIs" dxfId="8102" priority="1094" operator="equal">
      <formula>0</formula>
    </cfRule>
  </conditionalFormatting>
  <conditionalFormatting sqref="V19">
    <cfRule type="cellIs" dxfId="8101" priority="1091" operator="greaterThan">
      <formula>V18</formula>
    </cfRule>
    <cfRule type="cellIs" dxfId="8100" priority="1092" operator="equal">
      <formula>0</formula>
    </cfRule>
  </conditionalFormatting>
  <conditionalFormatting sqref="V19">
    <cfRule type="cellIs" dxfId="8099" priority="1089" operator="greaterThan">
      <formula>V18</formula>
    </cfRule>
    <cfRule type="cellIs" dxfId="8098" priority="1090" operator="equal">
      <formula>0</formula>
    </cfRule>
  </conditionalFormatting>
  <conditionalFormatting sqref="V19">
    <cfRule type="cellIs" dxfId="8097" priority="1087" operator="greaterThan">
      <formula>V18</formula>
    </cfRule>
    <cfRule type="cellIs" dxfId="8096" priority="1088" operator="equal">
      <formula>0</formula>
    </cfRule>
  </conditionalFormatting>
  <conditionalFormatting sqref="V19">
    <cfRule type="cellIs" dxfId="8095" priority="1085" operator="greaterThan">
      <formula>V18</formula>
    </cfRule>
    <cfRule type="cellIs" dxfId="8094" priority="1086" operator="equal">
      <formula>0</formula>
    </cfRule>
  </conditionalFormatting>
  <conditionalFormatting sqref="V19">
    <cfRule type="cellIs" dxfId="8093" priority="1083" operator="greaterThan">
      <formula>V18</formula>
    </cfRule>
    <cfRule type="cellIs" dxfId="8092" priority="1084" operator="equal">
      <formula>0</formula>
    </cfRule>
  </conditionalFormatting>
  <conditionalFormatting sqref="V19">
    <cfRule type="cellIs" dxfId="8091" priority="1081" operator="greaterThan">
      <formula>V18</formula>
    </cfRule>
    <cfRule type="cellIs" dxfId="8090" priority="1082" operator="equal">
      <formula>0</formula>
    </cfRule>
  </conditionalFormatting>
  <conditionalFormatting sqref="V22">
    <cfRule type="cellIs" dxfId="8089" priority="1079" operator="greaterThan">
      <formula>V21</formula>
    </cfRule>
    <cfRule type="cellIs" dxfId="8088" priority="1080" operator="equal">
      <formula>0</formula>
    </cfRule>
  </conditionalFormatting>
  <conditionalFormatting sqref="V21">
    <cfRule type="cellIs" dxfId="8087" priority="1077" operator="greaterThan">
      <formula>V20</formula>
    </cfRule>
    <cfRule type="cellIs" dxfId="8086" priority="1078" operator="equal">
      <formula>0</formula>
    </cfRule>
  </conditionalFormatting>
  <conditionalFormatting sqref="V22">
    <cfRule type="cellIs" dxfId="8085" priority="1075" operator="greaterThan">
      <formula>V21</formula>
    </cfRule>
    <cfRule type="cellIs" dxfId="8084" priority="1076" operator="equal">
      <formula>0</formula>
    </cfRule>
  </conditionalFormatting>
  <conditionalFormatting sqref="V21">
    <cfRule type="cellIs" dxfId="8083" priority="1073" operator="greaterThan">
      <formula>V20</formula>
    </cfRule>
    <cfRule type="cellIs" dxfId="8082" priority="1074" operator="equal">
      <formula>0</formula>
    </cfRule>
  </conditionalFormatting>
  <conditionalFormatting sqref="V22">
    <cfRule type="cellIs" dxfId="8081" priority="1071" operator="greaterThan">
      <formula>V21</formula>
    </cfRule>
    <cfRule type="cellIs" dxfId="8080" priority="1072" operator="equal">
      <formula>0</formula>
    </cfRule>
  </conditionalFormatting>
  <conditionalFormatting sqref="V21">
    <cfRule type="cellIs" dxfId="8079" priority="1069" operator="greaterThan">
      <formula>V20</formula>
    </cfRule>
    <cfRule type="cellIs" dxfId="8078" priority="1070" operator="equal">
      <formula>0</formula>
    </cfRule>
  </conditionalFormatting>
  <conditionalFormatting sqref="V22">
    <cfRule type="cellIs" dxfId="8077" priority="1067" operator="greaterThan">
      <formula>V21</formula>
    </cfRule>
    <cfRule type="cellIs" dxfId="8076" priority="1068" operator="equal">
      <formula>0</formula>
    </cfRule>
  </conditionalFormatting>
  <conditionalFormatting sqref="V21">
    <cfRule type="cellIs" dxfId="8075" priority="1065" operator="greaterThan">
      <formula>V20</formula>
    </cfRule>
    <cfRule type="cellIs" dxfId="8074" priority="1066" operator="equal">
      <formula>0</formula>
    </cfRule>
  </conditionalFormatting>
  <conditionalFormatting sqref="V22">
    <cfRule type="cellIs" dxfId="8073" priority="1063" operator="greaterThan">
      <formula>V21</formula>
    </cfRule>
    <cfRule type="cellIs" dxfId="8072" priority="1064" operator="equal">
      <formula>0</formula>
    </cfRule>
  </conditionalFormatting>
  <conditionalFormatting sqref="V21">
    <cfRule type="cellIs" dxfId="8071" priority="1061" operator="greaterThan">
      <formula>V20</formula>
    </cfRule>
    <cfRule type="cellIs" dxfId="8070" priority="1062" operator="equal">
      <formula>0</formula>
    </cfRule>
  </conditionalFormatting>
  <conditionalFormatting sqref="V22">
    <cfRule type="cellIs" dxfId="8069" priority="1059" operator="greaterThan">
      <formula>V21</formula>
    </cfRule>
    <cfRule type="cellIs" dxfId="8068" priority="1060" operator="equal">
      <formula>0</formula>
    </cfRule>
  </conditionalFormatting>
  <conditionalFormatting sqref="V21">
    <cfRule type="cellIs" dxfId="8067" priority="1057" operator="greaterThan">
      <formula>V20</formula>
    </cfRule>
    <cfRule type="cellIs" dxfId="8066" priority="1058" operator="equal">
      <formula>0</formula>
    </cfRule>
  </conditionalFormatting>
  <conditionalFormatting sqref="V22">
    <cfRule type="cellIs" dxfId="8065" priority="1055" operator="greaterThan">
      <formula>V21</formula>
    </cfRule>
    <cfRule type="cellIs" dxfId="8064" priority="1056" operator="equal">
      <formula>0</formula>
    </cfRule>
  </conditionalFormatting>
  <conditionalFormatting sqref="V21">
    <cfRule type="cellIs" dxfId="8063" priority="1053" operator="greaterThan">
      <formula>V20</formula>
    </cfRule>
    <cfRule type="cellIs" dxfId="8062" priority="1054" operator="equal">
      <formula>0</formula>
    </cfRule>
  </conditionalFormatting>
  <conditionalFormatting sqref="V22">
    <cfRule type="cellIs" dxfId="8061" priority="1051" operator="greaterThan">
      <formula>V21</formula>
    </cfRule>
    <cfRule type="cellIs" dxfId="8060" priority="1052" operator="equal">
      <formula>0</formula>
    </cfRule>
  </conditionalFormatting>
  <conditionalFormatting sqref="V21">
    <cfRule type="cellIs" dxfId="8059" priority="1049" operator="greaterThan">
      <formula>V20</formula>
    </cfRule>
    <cfRule type="cellIs" dxfId="8058" priority="1050" operator="equal">
      <formula>0</formula>
    </cfRule>
  </conditionalFormatting>
  <conditionalFormatting sqref="V22">
    <cfRule type="cellIs" dxfId="8057" priority="1047" operator="greaterThan">
      <formula>V21</formula>
    </cfRule>
    <cfRule type="cellIs" dxfId="8056" priority="1048" operator="equal">
      <formula>0</formula>
    </cfRule>
  </conditionalFormatting>
  <conditionalFormatting sqref="V21">
    <cfRule type="cellIs" dxfId="8055" priority="1045" operator="greaterThan">
      <formula>V20</formula>
    </cfRule>
    <cfRule type="cellIs" dxfId="8054" priority="1046" operator="equal">
      <formula>0</formula>
    </cfRule>
  </conditionalFormatting>
  <conditionalFormatting sqref="V22">
    <cfRule type="cellIs" dxfId="8053" priority="1043" operator="greaterThan">
      <formula>V21</formula>
    </cfRule>
    <cfRule type="cellIs" dxfId="8052" priority="1044" operator="equal">
      <formula>0</formula>
    </cfRule>
  </conditionalFormatting>
  <conditionalFormatting sqref="V21">
    <cfRule type="cellIs" dxfId="8051" priority="1041" operator="greaterThan">
      <formula>V20</formula>
    </cfRule>
    <cfRule type="cellIs" dxfId="8050" priority="1042" operator="equal">
      <formula>0</formula>
    </cfRule>
  </conditionalFormatting>
  <conditionalFormatting sqref="V22">
    <cfRule type="cellIs" dxfId="8049" priority="1039" operator="greaterThan">
      <formula>V21</formula>
    </cfRule>
    <cfRule type="cellIs" dxfId="8048" priority="1040" operator="equal">
      <formula>0</formula>
    </cfRule>
  </conditionalFormatting>
  <conditionalFormatting sqref="V22">
    <cfRule type="cellIs" dxfId="8047" priority="1037" operator="greaterThan">
      <formula>V21</formula>
    </cfRule>
    <cfRule type="cellIs" dxfId="8046" priority="1038" operator="equal">
      <formula>0</formula>
    </cfRule>
  </conditionalFormatting>
  <conditionalFormatting sqref="V22">
    <cfRule type="cellIs" dxfId="8045" priority="1035" operator="greaterThan">
      <formula>V21</formula>
    </cfRule>
    <cfRule type="cellIs" dxfId="8044" priority="1036" operator="equal">
      <formula>0</formula>
    </cfRule>
  </conditionalFormatting>
  <conditionalFormatting sqref="V22">
    <cfRule type="cellIs" dxfId="8043" priority="1033" operator="greaterThan">
      <formula>V21</formula>
    </cfRule>
    <cfRule type="cellIs" dxfId="8042" priority="1034" operator="equal">
      <formula>0</formula>
    </cfRule>
  </conditionalFormatting>
  <conditionalFormatting sqref="V22">
    <cfRule type="cellIs" dxfId="8041" priority="1031" operator="greaterThan">
      <formula>V21</formula>
    </cfRule>
    <cfRule type="cellIs" dxfId="8040" priority="1032" operator="equal">
      <formula>0</formula>
    </cfRule>
  </conditionalFormatting>
  <conditionalFormatting sqref="V22">
    <cfRule type="cellIs" dxfId="8039" priority="1029" operator="greaterThan">
      <formula>V21</formula>
    </cfRule>
    <cfRule type="cellIs" dxfId="8038" priority="1030" operator="equal">
      <formula>0</formula>
    </cfRule>
  </conditionalFormatting>
  <conditionalFormatting sqref="V22">
    <cfRule type="cellIs" dxfId="8037" priority="1027" operator="greaterThan">
      <formula>V21</formula>
    </cfRule>
    <cfRule type="cellIs" dxfId="8036" priority="1028" operator="equal">
      <formula>0</formula>
    </cfRule>
  </conditionalFormatting>
  <conditionalFormatting sqref="V22">
    <cfRule type="cellIs" dxfId="8035" priority="1025" operator="greaterThan">
      <formula>V21</formula>
    </cfRule>
    <cfRule type="cellIs" dxfId="8034" priority="1026" operator="equal">
      <formula>0</formula>
    </cfRule>
  </conditionalFormatting>
  <conditionalFormatting sqref="V22">
    <cfRule type="cellIs" dxfId="8033" priority="1023" operator="greaterThan">
      <formula>V21</formula>
    </cfRule>
    <cfRule type="cellIs" dxfId="8032" priority="1024" operator="equal">
      <formula>0</formula>
    </cfRule>
  </conditionalFormatting>
  <conditionalFormatting sqref="V22">
    <cfRule type="cellIs" dxfId="8031" priority="1021" operator="greaterThan">
      <formula>V21</formula>
    </cfRule>
    <cfRule type="cellIs" dxfId="8030" priority="1022" operator="equal">
      <formula>0</formula>
    </cfRule>
  </conditionalFormatting>
  <conditionalFormatting sqref="V22">
    <cfRule type="cellIs" dxfId="8029" priority="1019" operator="greaterThan">
      <formula>V21</formula>
    </cfRule>
    <cfRule type="cellIs" dxfId="8028" priority="1020" operator="equal">
      <formula>0</formula>
    </cfRule>
  </conditionalFormatting>
  <conditionalFormatting sqref="V22">
    <cfRule type="cellIs" dxfId="8027" priority="1017" operator="greaterThan">
      <formula>V21</formula>
    </cfRule>
    <cfRule type="cellIs" dxfId="8026" priority="1018" operator="equal">
      <formula>0</formula>
    </cfRule>
  </conditionalFormatting>
  <conditionalFormatting sqref="V22">
    <cfRule type="cellIs" dxfId="8025" priority="1015" operator="greaterThan">
      <formula>V21</formula>
    </cfRule>
    <cfRule type="cellIs" dxfId="8024" priority="1016" operator="equal">
      <formula>0</formula>
    </cfRule>
  </conditionalFormatting>
  <conditionalFormatting sqref="V22">
    <cfRule type="cellIs" dxfId="8023" priority="1013" operator="greaterThan">
      <formula>V21</formula>
    </cfRule>
    <cfRule type="cellIs" dxfId="8022" priority="1014" operator="equal">
      <formula>0</formula>
    </cfRule>
  </conditionalFormatting>
  <conditionalFormatting sqref="V22">
    <cfRule type="cellIs" dxfId="8021" priority="1011" operator="greaterThan">
      <formula>V21</formula>
    </cfRule>
    <cfRule type="cellIs" dxfId="8020" priority="1012" operator="equal">
      <formula>0</formula>
    </cfRule>
  </conditionalFormatting>
  <conditionalFormatting sqref="V22">
    <cfRule type="cellIs" dxfId="8019" priority="1009" operator="greaterThan">
      <formula>V21</formula>
    </cfRule>
    <cfRule type="cellIs" dxfId="8018" priority="1010" operator="equal">
      <formula>0</formula>
    </cfRule>
  </conditionalFormatting>
  <conditionalFormatting sqref="V22">
    <cfRule type="cellIs" dxfId="8017" priority="1007" operator="greaterThan">
      <formula>V21</formula>
    </cfRule>
    <cfRule type="cellIs" dxfId="8016" priority="1008" operator="equal">
      <formula>0</formula>
    </cfRule>
  </conditionalFormatting>
  <conditionalFormatting sqref="V22">
    <cfRule type="cellIs" dxfId="8015" priority="1005" operator="greaterThan">
      <formula>V21</formula>
    </cfRule>
    <cfRule type="cellIs" dxfId="8014" priority="1006" operator="equal">
      <formula>0</formula>
    </cfRule>
  </conditionalFormatting>
  <conditionalFormatting sqref="V22">
    <cfRule type="cellIs" dxfId="8013" priority="1003" operator="greaterThan">
      <formula>V21</formula>
    </cfRule>
    <cfRule type="cellIs" dxfId="8012" priority="1004" operator="equal">
      <formula>0</formula>
    </cfRule>
  </conditionalFormatting>
  <conditionalFormatting sqref="V22">
    <cfRule type="cellIs" dxfId="8011" priority="1001" operator="greaterThan">
      <formula>V21</formula>
    </cfRule>
    <cfRule type="cellIs" dxfId="8010" priority="1002" operator="equal">
      <formula>0</formula>
    </cfRule>
  </conditionalFormatting>
  <conditionalFormatting sqref="V22">
    <cfRule type="cellIs" dxfId="8009" priority="999" operator="greaterThan">
      <formula>V21</formula>
    </cfRule>
    <cfRule type="cellIs" dxfId="8008" priority="1000" operator="equal">
      <formula>0</formula>
    </cfRule>
  </conditionalFormatting>
  <conditionalFormatting sqref="V22">
    <cfRule type="cellIs" dxfId="8007" priority="997" operator="greaterThan">
      <formula>V21</formula>
    </cfRule>
    <cfRule type="cellIs" dxfId="8006" priority="998" operator="equal">
      <formula>0</formula>
    </cfRule>
  </conditionalFormatting>
  <conditionalFormatting sqref="V22">
    <cfRule type="cellIs" dxfId="8005" priority="995" operator="greaterThan">
      <formula>V21</formula>
    </cfRule>
    <cfRule type="cellIs" dxfId="8004" priority="996" operator="equal">
      <formula>0</formula>
    </cfRule>
  </conditionalFormatting>
  <conditionalFormatting sqref="V22">
    <cfRule type="cellIs" dxfId="8003" priority="993" operator="greaterThan">
      <formula>V21</formula>
    </cfRule>
    <cfRule type="cellIs" dxfId="8002" priority="994" operator="equal">
      <formula>0</formula>
    </cfRule>
  </conditionalFormatting>
  <conditionalFormatting sqref="V22">
    <cfRule type="cellIs" dxfId="8001" priority="991" operator="greaterThan">
      <formula>V21</formula>
    </cfRule>
    <cfRule type="cellIs" dxfId="8000" priority="992" operator="equal">
      <formula>0</formula>
    </cfRule>
  </conditionalFormatting>
  <conditionalFormatting sqref="V22">
    <cfRule type="cellIs" dxfId="7999" priority="989" operator="greaterThan">
      <formula>V21</formula>
    </cfRule>
    <cfRule type="cellIs" dxfId="7998" priority="990" operator="equal">
      <formula>0</formula>
    </cfRule>
  </conditionalFormatting>
  <conditionalFormatting sqref="V22">
    <cfRule type="cellIs" dxfId="7997" priority="987" operator="greaterThan">
      <formula>V21</formula>
    </cfRule>
    <cfRule type="cellIs" dxfId="7996" priority="988" operator="equal">
      <formula>0</formula>
    </cfRule>
  </conditionalFormatting>
  <conditionalFormatting sqref="V22">
    <cfRule type="cellIs" dxfId="7995" priority="985" operator="greaterThan">
      <formula>V21</formula>
    </cfRule>
    <cfRule type="cellIs" dxfId="7994" priority="986" operator="equal">
      <formula>0</formula>
    </cfRule>
  </conditionalFormatting>
  <conditionalFormatting sqref="V24">
    <cfRule type="cellIs" dxfId="7993" priority="983" operator="greaterThan">
      <formula>V23</formula>
    </cfRule>
    <cfRule type="cellIs" dxfId="7992" priority="984" operator="equal">
      <formula>0</formula>
    </cfRule>
  </conditionalFormatting>
  <conditionalFormatting sqref="V24">
    <cfRule type="cellIs" dxfId="7991" priority="981" operator="greaterThan">
      <formula>V23</formula>
    </cfRule>
    <cfRule type="cellIs" dxfId="7990" priority="982" operator="equal">
      <formula>0</formula>
    </cfRule>
  </conditionalFormatting>
  <conditionalFormatting sqref="V24">
    <cfRule type="cellIs" dxfId="7989" priority="979" operator="greaterThan">
      <formula>V23</formula>
    </cfRule>
    <cfRule type="cellIs" dxfId="7988" priority="980" operator="equal">
      <formula>0</formula>
    </cfRule>
  </conditionalFormatting>
  <conditionalFormatting sqref="V24">
    <cfRule type="cellIs" dxfId="7987" priority="977" operator="greaterThan">
      <formula>V23</formula>
    </cfRule>
    <cfRule type="cellIs" dxfId="7986" priority="978" operator="equal">
      <formula>0</formula>
    </cfRule>
  </conditionalFormatting>
  <conditionalFormatting sqref="V24">
    <cfRule type="cellIs" dxfId="7985" priority="975" operator="greaterThan">
      <formula>V23</formula>
    </cfRule>
    <cfRule type="cellIs" dxfId="7984" priority="976" operator="equal">
      <formula>0</formula>
    </cfRule>
  </conditionalFormatting>
  <conditionalFormatting sqref="V24">
    <cfRule type="cellIs" dxfId="7983" priority="973" operator="greaterThan">
      <formula>V23</formula>
    </cfRule>
    <cfRule type="cellIs" dxfId="7982" priority="974" operator="equal">
      <formula>0</formula>
    </cfRule>
  </conditionalFormatting>
  <conditionalFormatting sqref="V24">
    <cfRule type="cellIs" dxfId="7981" priority="971" operator="greaterThan">
      <formula>V23</formula>
    </cfRule>
    <cfRule type="cellIs" dxfId="7980" priority="972" operator="equal">
      <formula>0</formula>
    </cfRule>
  </conditionalFormatting>
  <conditionalFormatting sqref="V24">
    <cfRule type="cellIs" dxfId="7979" priority="969" operator="greaterThan">
      <formula>V23</formula>
    </cfRule>
    <cfRule type="cellIs" dxfId="7978" priority="970" operator="equal">
      <formula>0</formula>
    </cfRule>
  </conditionalFormatting>
  <conditionalFormatting sqref="V24">
    <cfRule type="cellIs" dxfId="7977" priority="967" operator="greaterThan">
      <formula>V23</formula>
    </cfRule>
    <cfRule type="cellIs" dxfId="7976" priority="968" operator="equal">
      <formula>0</formula>
    </cfRule>
  </conditionalFormatting>
  <conditionalFormatting sqref="V24">
    <cfRule type="cellIs" dxfId="7975" priority="965" operator="greaterThan">
      <formula>V23</formula>
    </cfRule>
    <cfRule type="cellIs" dxfId="7974" priority="966" operator="equal">
      <formula>0</formula>
    </cfRule>
  </conditionalFormatting>
  <conditionalFormatting sqref="V24">
    <cfRule type="cellIs" dxfId="7973" priority="963" operator="greaterThan">
      <formula>V23</formula>
    </cfRule>
    <cfRule type="cellIs" dxfId="7972" priority="964" operator="equal">
      <formula>0</formula>
    </cfRule>
  </conditionalFormatting>
  <conditionalFormatting sqref="V24">
    <cfRule type="cellIs" dxfId="7971" priority="961" operator="greaterThan">
      <formula>V23</formula>
    </cfRule>
    <cfRule type="cellIs" dxfId="7970" priority="962" operator="equal">
      <formula>0</formula>
    </cfRule>
  </conditionalFormatting>
  <conditionalFormatting sqref="V24">
    <cfRule type="cellIs" dxfId="7969" priority="959" operator="greaterThan">
      <formula>V23</formula>
    </cfRule>
    <cfRule type="cellIs" dxfId="7968" priority="960" operator="equal">
      <formula>0</formula>
    </cfRule>
  </conditionalFormatting>
  <conditionalFormatting sqref="V24">
    <cfRule type="cellIs" dxfId="7967" priority="957" operator="greaterThan">
      <formula>V23</formula>
    </cfRule>
    <cfRule type="cellIs" dxfId="7966" priority="958" operator="equal">
      <formula>0</formula>
    </cfRule>
  </conditionalFormatting>
  <conditionalFormatting sqref="V24">
    <cfRule type="cellIs" dxfId="7965" priority="955" operator="greaterThan">
      <formula>V23</formula>
    </cfRule>
    <cfRule type="cellIs" dxfId="7964" priority="956" operator="equal">
      <formula>0</formula>
    </cfRule>
  </conditionalFormatting>
  <conditionalFormatting sqref="V24">
    <cfRule type="cellIs" dxfId="7963" priority="953" operator="greaterThan">
      <formula>V23</formula>
    </cfRule>
    <cfRule type="cellIs" dxfId="7962" priority="954" operator="equal">
      <formula>0</formula>
    </cfRule>
  </conditionalFormatting>
  <conditionalFormatting sqref="V24">
    <cfRule type="cellIs" dxfId="7961" priority="951" operator="greaterThan">
      <formula>V23</formula>
    </cfRule>
    <cfRule type="cellIs" dxfId="7960" priority="952" operator="equal">
      <formula>0</formula>
    </cfRule>
  </conditionalFormatting>
  <conditionalFormatting sqref="V24">
    <cfRule type="cellIs" dxfId="7959" priority="949" operator="greaterThan">
      <formula>V23</formula>
    </cfRule>
    <cfRule type="cellIs" dxfId="7958" priority="950" operator="equal">
      <formula>0</formula>
    </cfRule>
  </conditionalFormatting>
  <conditionalFormatting sqref="V25">
    <cfRule type="cellIs" dxfId="7957" priority="947" operator="greaterThan">
      <formula>V24</formula>
    </cfRule>
    <cfRule type="cellIs" dxfId="7956" priority="948" operator="equal">
      <formula>0</formula>
    </cfRule>
  </conditionalFormatting>
  <conditionalFormatting sqref="V25">
    <cfRule type="cellIs" dxfId="7955" priority="945" operator="greaterThan">
      <formula>V24</formula>
    </cfRule>
    <cfRule type="cellIs" dxfId="7954" priority="946" operator="equal">
      <formula>0</formula>
    </cfRule>
  </conditionalFormatting>
  <conditionalFormatting sqref="V25">
    <cfRule type="cellIs" dxfId="7953" priority="943" operator="greaterThan">
      <formula>V24</formula>
    </cfRule>
    <cfRule type="cellIs" dxfId="7952" priority="944" operator="equal">
      <formula>0</formula>
    </cfRule>
  </conditionalFormatting>
  <conditionalFormatting sqref="V25">
    <cfRule type="cellIs" dxfId="7951" priority="941" operator="greaterThan">
      <formula>V24</formula>
    </cfRule>
    <cfRule type="cellIs" dxfId="7950" priority="942" operator="equal">
      <formula>0</formula>
    </cfRule>
  </conditionalFormatting>
  <conditionalFormatting sqref="V25">
    <cfRule type="cellIs" dxfId="7949" priority="939" operator="greaterThan">
      <formula>V24</formula>
    </cfRule>
    <cfRule type="cellIs" dxfId="7948" priority="940" operator="equal">
      <formula>0</formula>
    </cfRule>
  </conditionalFormatting>
  <conditionalFormatting sqref="V25">
    <cfRule type="cellIs" dxfId="7947" priority="937" operator="greaterThan">
      <formula>V24</formula>
    </cfRule>
    <cfRule type="cellIs" dxfId="7946" priority="938" operator="equal">
      <formula>0</formula>
    </cfRule>
  </conditionalFormatting>
  <conditionalFormatting sqref="V25">
    <cfRule type="cellIs" dxfId="7945" priority="935" operator="greaterThan">
      <formula>V24</formula>
    </cfRule>
    <cfRule type="cellIs" dxfId="7944" priority="936" operator="equal">
      <formula>0</formula>
    </cfRule>
  </conditionalFormatting>
  <conditionalFormatting sqref="V25">
    <cfRule type="cellIs" dxfId="7943" priority="933" operator="greaterThan">
      <formula>V24</formula>
    </cfRule>
    <cfRule type="cellIs" dxfId="7942" priority="934" operator="equal">
      <formula>0</formula>
    </cfRule>
  </conditionalFormatting>
  <conditionalFormatting sqref="V25">
    <cfRule type="cellIs" dxfId="7941" priority="931" operator="greaterThan">
      <formula>V24</formula>
    </cfRule>
    <cfRule type="cellIs" dxfId="7940" priority="932" operator="equal">
      <formula>0</formula>
    </cfRule>
  </conditionalFormatting>
  <conditionalFormatting sqref="V25">
    <cfRule type="cellIs" dxfId="7939" priority="929" operator="greaterThan">
      <formula>V24</formula>
    </cfRule>
    <cfRule type="cellIs" dxfId="7938" priority="930" operator="equal">
      <formula>0</formula>
    </cfRule>
  </conditionalFormatting>
  <conditionalFormatting sqref="V25">
    <cfRule type="cellIs" dxfId="7937" priority="927" operator="greaterThan">
      <formula>V24</formula>
    </cfRule>
    <cfRule type="cellIs" dxfId="7936" priority="928" operator="equal">
      <formula>0</formula>
    </cfRule>
  </conditionalFormatting>
  <conditionalFormatting sqref="V25">
    <cfRule type="cellIs" dxfId="7935" priority="925" operator="greaterThan">
      <formula>V24</formula>
    </cfRule>
    <cfRule type="cellIs" dxfId="7934" priority="926" operator="equal">
      <formula>0</formula>
    </cfRule>
  </conditionalFormatting>
  <conditionalFormatting sqref="V25">
    <cfRule type="cellIs" dxfId="7933" priority="923" operator="greaterThan">
      <formula>V24</formula>
    </cfRule>
    <cfRule type="cellIs" dxfId="7932" priority="924" operator="equal">
      <formula>0</formula>
    </cfRule>
  </conditionalFormatting>
  <conditionalFormatting sqref="V25">
    <cfRule type="cellIs" dxfId="7931" priority="921" operator="greaterThan">
      <formula>V24</formula>
    </cfRule>
    <cfRule type="cellIs" dxfId="7930" priority="922" operator="equal">
      <formula>0</formula>
    </cfRule>
  </conditionalFormatting>
  <conditionalFormatting sqref="V25">
    <cfRule type="cellIs" dxfId="7929" priority="919" operator="greaterThan">
      <formula>V24</formula>
    </cfRule>
    <cfRule type="cellIs" dxfId="7928" priority="920" operator="equal">
      <formula>0</formula>
    </cfRule>
  </conditionalFormatting>
  <conditionalFormatting sqref="V25">
    <cfRule type="cellIs" dxfId="7927" priority="917" operator="greaterThan">
      <formula>V24</formula>
    </cfRule>
    <cfRule type="cellIs" dxfId="7926" priority="918" operator="equal">
      <formula>0</formula>
    </cfRule>
  </conditionalFormatting>
  <conditionalFormatting sqref="V25">
    <cfRule type="cellIs" dxfId="7925" priority="915" operator="greaterThan">
      <formula>V24</formula>
    </cfRule>
    <cfRule type="cellIs" dxfId="7924" priority="916" operator="equal">
      <formula>0</formula>
    </cfRule>
  </conditionalFormatting>
  <conditionalFormatting sqref="V25">
    <cfRule type="cellIs" dxfId="7923" priority="913" operator="greaterThan">
      <formula>V24</formula>
    </cfRule>
    <cfRule type="cellIs" dxfId="7922" priority="914" operator="equal">
      <formula>0</formula>
    </cfRule>
  </conditionalFormatting>
  <conditionalFormatting sqref="V25">
    <cfRule type="cellIs" dxfId="7921" priority="911" operator="greaterThan">
      <formula>V24</formula>
    </cfRule>
    <cfRule type="cellIs" dxfId="7920" priority="912" operator="equal">
      <formula>0</formula>
    </cfRule>
  </conditionalFormatting>
  <conditionalFormatting sqref="V25">
    <cfRule type="cellIs" dxfId="7919" priority="909" operator="greaterThan">
      <formula>V24</formula>
    </cfRule>
    <cfRule type="cellIs" dxfId="7918" priority="910" operator="equal">
      <formula>0</formula>
    </cfRule>
  </conditionalFormatting>
  <conditionalFormatting sqref="V25">
    <cfRule type="cellIs" dxfId="7917" priority="907" operator="greaterThan">
      <formula>V24</formula>
    </cfRule>
    <cfRule type="cellIs" dxfId="7916" priority="908" operator="equal">
      <formula>0</formula>
    </cfRule>
  </conditionalFormatting>
  <conditionalFormatting sqref="V25">
    <cfRule type="cellIs" dxfId="7915" priority="905" operator="greaterThan">
      <formula>V24</formula>
    </cfRule>
    <cfRule type="cellIs" dxfId="7914" priority="906" operator="equal">
      <formula>0</formula>
    </cfRule>
  </conditionalFormatting>
  <conditionalFormatting sqref="V25">
    <cfRule type="cellIs" dxfId="7913" priority="903" operator="greaterThan">
      <formula>V24</formula>
    </cfRule>
    <cfRule type="cellIs" dxfId="7912" priority="904" operator="equal">
      <formula>0</formula>
    </cfRule>
  </conditionalFormatting>
  <conditionalFormatting sqref="V25">
    <cfRule type="cellIs" dxfId="7911" priority="901" operator="greaterThan">
      <formula>V24</formula>
    </cfRule>
    <cfRule type="cellIs" dxfId="7910" priority="902" operator="equal">
      <formula>0</formula>
    </cfRule>
  </conditionalFormatting>
  <conditionalFormatting sqref="V25">
    <cfRule type="cellIs" dxfId="7909" priority="899" operator="greaterThan">
      <formula>V24</formula>
    </cfRule>
    <cfRule type="cellIs" dxfId="7908" priority="900" operator="equal">
      <formula>0</formula>
    </cfRule>
  </conditionalFormatting>
  <conditionalFormatting sqref="V25">
    <cfRule type="cellIs" dxfId="7907" priority="897" operator="greaterThan">
      <formula>V24</formula>
    </cfRule>
    <cfRule type="cellIs" dxfId="7906" priority="898" operator="equal">
      <formula>0</formula>
    </cfRule>
  </conditionalFormatting>
  <conditionalFormatting sqref="V25">
    <cfRule type="cellIs" dxfId="7905" priority="895" operator="greaterThan">
      <formula>V24</formula>
    </cfRule>
    <cfRule type="cellIs" dxfId="7904" priority="896" operator="equal">
      <formula>0</formula>
    </cfRule>
  </conditionalFormatting>
  <conditionalFormatting sqref="V25">
    <cfRule type="cellIs" dxfId="7903" priority="893" operator="greaterThan">
      <formula>V24</formula>
    </cfRule>
    <cfRule type="cellIs" dxfId="7902" priority="894" operator="equal">
      <formula>0</formula>
    </cfRule>
  </conditionalFormatting>
  <conditionalFormatting sqref="V27">
    <cfRule type="cellIs" dxfId="7901" priority="891" operator="greaterThan">
      <formula>V26</formula>
    </cfRule>
    <cfRule type="cellIs" dxfId="7900" priority="892" operator="equal">
      <formula>0</formula>
    </cfRule>
  </conditionalFormatting>
  <conditionalFormatting sqref="V27">
    <cfRule type="cellIs" dxfId="7899" priority="889" operator="greaterThan">
      <formula>V26</formula>
    </cfRule>
    <cfRule type="cellIs" dxfId="7898" priority="890" operator="equal">
      <formula>0</formula>
    </cfRule>
  </conditionalFormatting>
  <conditionalFormatting sqref="V27">
    <cfRule type="cellIs" dxfId="7897" priority="887" operator="greaterThan">
      <formula>V26</formula>
    </cfRule>
    <cfRule type="cellIs" dxfId="7896" priority="888" operator="equal">
      <formula>0</formula>
    </cfRule>
  </conditionalFormatting>
  <conditionalFormatting sqref="V27">
    <cfRule type="cellIs" dxfId="7895" priority="885" operator="greaterThan">
      <formula>V26</formula>
    </cfRule>
    <cfRule type="cellIs" dxfId="7894" priority="886" operator="equal">
      <formula>0</formula>
    </cfRule>
  </conditionalFormatting>
  <conditionalFormatting sqref="V27">
    <cfRule type="cellIs" dxfId="7893" priority="883" operator="greaterThan">
      <formula>V26</formula>
    </cfRule>
    <cfRule type="cellIs" dxfId="7892" priority="884" operator="equal">
      <formula>0</formula>
    </cfRule>
  </conditionalFormatting>
  <conditionalFormatting sqref="V27">
    <cfRule type="cellIs" dxfId="7891" priority="881" operator="greaterThan">
      <formula>V26</formula>
    </cfRule>
    <cfRule type="cellIs" dxfId="7890" priority="882" operator="equal">
      <formula>0</formula>
    </cfRule>
  </conditionalFormatting>
  <conditionalFormatting sqref="V27">
    <cfRule type="cellIs" dxfId="7889" priority="879" operator="greaterThan">
      <formula>V26</formula>
    </cfRule>
    <cfRule type="cellIs" dxfId="7888" priority="880" operator="equal">
      <formula>0</formula>
    </cfRule>
  </conditionalFormatting>
  <conditionalFormatting sqref="V27">
    <cfRule type="cellIs" dxfId="7887" priority="877" operator="greaterThan">
      <formula>V26</formula>
    </cfRule>
    <cfRule type="cellIs" dxfId="7886" priority="878" operator="equal">
      <formula>0</formula>
    </cfRule>
  </conditionalFormatting>
  <conditionalFormatting sqref="V27">
    <cfRule type="cellIs" dxfId="7885" priority="875" operator="greaterThan">
      <formula>V26</formula>
    </cfRule>
    <cfRule type="cellIs" dxfId="7884" priority="876" operator="equal">
      <formula>0</formula>
    </cfRule>
  </conditionalFormatting>
  <conditionalFormatting sqref="V27">
    <cfRule type="cellIs" dxfId="7883" priority="873" operator="greaterThan">
      <formula>V26</formula>
    </cfRule>
    <cfRule type="cellIs" dxfId="7882" priority="874" operator="equal">
      <formula>0</formula>
    </cfRule>
  </conditionalFormatting>
  <conditionalFormatting sqref="V27">
    <cfRule type="cellIs" dxfId="7881" priority="871" operator="greaterThan">
      <formula>V26</formula>
    </cfRule>
    <cfRule type="cellIs" dxfId="7880" priority="872" operator="equal">
      <formula>0</formula>
    </cfRule>
  </conditionalFormatting>
  <conditionalFormatting sqref="V27">
    <cfRule type="cellIs" dxfId="7879" priority="869" operator="greaterThan">
      <formula>V26</formula>
    </cfRule>
    <cfRule type="cellIs" dxfId="7878" priority="870" operator="equal">
      <formula>0</formula>
    </cfRule>
  </conditionalFormatting>
  <conditionalFormatting sqref="V27">
    <cfRule type="cellIs" dxfId="7877" priority="867" operator="greaterThan">
      <formula>V26</formula>
    </cfRule>
    <cfRule type="cellIs" dxfId="7876" priority="868" operator="equal">
      <formula>0</formula>
    </cfRule>
  </conditionalFormatting>
  <conditionalFormatting sqref="V27">
    <cfRule type="cellIs" dxfId="7875" priority="865" operator="greaterThan">
      <formula>V26</formula>
    </cfRule>
    <cfRule type="cellIs" dxfId="7874" priority="866" operator="equal">
      <formula>0</formula>
    </cfRule>
  </conditionalFormatting>
  <conditionalFormatting sqref="V27">
    <cfRule type="cellIs" dxfId="7873" priority="863" operator="greaterThan">
      <formula>V26</formula>
    </cfRule>
    <cfRule type="cellIs" dxfId="7872" priority="864" operator="equal">
      <formula>0</formula>
    </cfRule>
  </conditionalFormatting>
  <conditionalFormatting sqref="V27">
    <cfRule type="cellIs" dxfId="7871" priority="861" operator="greaterThan">
      <formula>V26</formula>
    </cfRule>
    <cfRule type="cellIs" dxfId="7870" priority="862" operator="equal">
      <formula>0</formula>
    </cfRule>
  </conditionalFormatting>
  <conditionalFormatting sqref="V27">
    <cfRule type="cellIs" dxfId="7869" priority="859" operator="greaterThan">
      <formula>V26</formula>
    </cfRule>
    <cfRule type="cellIs" dxfId="7868" priority="860" operator="equal">
      <formula>0</formula>
    </cfRule>
  </conditionalFormatting>
  <conditionalFormatting sqref="V27">
    <cfRule type="cellIs" dxfId="7867" priority="857" operator="greaterThan">
      <formula>V26</formula>
    </cfRule>
    <cfRule type="cellIs" dxfId="7866" priority="858" operator="equal">
      <formula>0</formula>
    </cfRule>
  </conditionalFormatting>
  <conditionalFormatting sqref="V27">
    <cfRule type="cellIs" dxfId="7865" priority="855" operator="greaterThan">
      <formula>V26</formula>
    </cfRule>
    <cfRule type="cellIs" dxfId="7864" priority="856" operator="equal">
      <formula>0</formula>
    </cfRule>
  </conditionalFormatting>
  <conditionalFormatting sqref="V27">
    <cfRule type="cellIs" dxfId="7863" priority="853" operator="greaterThan">
      <formula>V26</formula>
    </cfRule>
    <cfRule type="cellIs" dxfId="7862" priority="854" operator="equal">
      <formula>0</formula>
    </cfRule>
  </conditionalFormatting>
  <conditionalFormatting sqref="V27">
    <cfRule type="cellIs" dxfId="7861" priority="851" operator="greaterThan">
      <formula>V26</formula>
    </cfRule>
    <cfRule type="cellIs" dxfId="7860" priority="852" operator="equal">
      <formula>0</formula>
    </cfRule>
  </conditionalFormatting>
  <conditionalFormatting sqref="V27">
    <cfRule type="cellIs" dxfId="7859" priority="849" operator="greaterThan">
      <formula>V26</formula>
    </cfRule>
    <cfRule type="cellIs" dxfId="7858" priority="850" operator="equal">
      <formula>0</formula>
    </cfRule>
  </conditionalFormatting>
  <conditionalFormatting sqref="V27">
    <cfRule type="cellIs" dxfId="7857" priority="847" operator="greaterThan">
      <formula>V26</formula>
    </cfRule>
    <cfRule type="cellIs" dxfId="7856" priority="848" operator="equal">
      <formula>0</formula>
    </cfRule>
  </conditionalFormatting>
  <conditionalFormatting sqref="V27">
    <cfRule type="cellIs" dxfId="7855" priority="845" operator="greaterThan">
      <formula>V26</formula>
    </cfRule>
    <cfRule type="cellIs" dxfId="7854" priority="846" operator="equal">
      <formula>0</formula>
    </cfRule>
  </conditionalFormatting>
  <conditionalFormatting sqref="V27">
    <cfRule type="cellIs" dxfId="7853" priority="843" operator="greaterThan">
      <formula>V26</formula>
    </cfRule>
    <cfRule type="cellIs" dxfId="7852" priority="844" operator="equal">
      <formula>0</formula>
    </cfRule>
  </conditionalFormatting>
  <conditionalFormatting sqref="V27">
    <cfRule type="cellIs" dxfId="7851" priority="841" operator="greaterThan">
      <formula>V26</formula>
    </cfRule>
    <cfRule type="cellIs" dxfId="7850" priority="842" operator="equal">
      <formula>0</formula>
    </cfRule>
  </conditionalFormatting>
  <conditionalFormatting sqref="V27">
    <cfRule type="cellIs" dxfId="7849" priority="839" operator="greaterThan">
      <formula>V26</formula>
    </cfRule>
    <cfRule type="cellIs" dxfId="7848" priority="840" operator="equal">
      <formula>0</formula>
    </cfRule>
  </conditionalFormatting>
  <conditionalFormatting sqref="V27">
    <cfRule type="cellIs" dxfId="7847" priority="837" operator="greaterThan">
      <formula>V26</formula>
    </cfRule>
    <cfRule type="cellIs" dxfId="7846" priority="838" operator="equal">
      <formula>0</formula>
    </cfRule>
  </conditionalFormatting>
  <conditionalFormatting sqref="V27">
    <cfRule type="cellIs" dxfId="7845" priority="835" operator="greaterThan">
      <formula>V26</formula>
    </cfRule>
    <cfRule type="cellIs" dxfId="7844" priority="836" operator="equal">
      <formula>0</formula>
    </cfRule>
  </conditionalFormatting>
  <conditionalFormatting sqref="V28">
    <cfRule type="cellIs" dxfId="7843" priority="833" operator="greaterThan">
      <formula>V27</formula>
    </cfRule>
    <cfRule type="cellIs" dxfId="7842" priority="834" operator="equal">
      <formula>0</formula>
    </cfRule>
  </conditionalFormatting>
  <conditionalFormatting sqref="V28">
    <cfRule type="cellIs" dxfId="7841" priority="831" operator="greaterThan">
      <formula>V27</formula>
    </cfRule>
    <cfRule type="cellIs" dxfId="7840" priority="832" operator="equal">
      <formula>0</formula>
    </cfRule>
  </conditionalFormatting>
  <conditionalFormatting sqref="V28">
    <cfRule type="cellIs" dxfId="7839" priority="829" operator="greaterThan">
      <formula>V27</formula>
    </cfRule>
    <cfRule type="cellIs" dxfId="7838" priority="830" operator="equal">
      <formula>0</formula>
    </cfRule>
  </conditionalFormatting>
  <conditionalFormatting sqref="V28">
    <cfRule type="cellIs" dxfId="7837" priority="827" operator="greaterThan">
      <formula>V27</formula>
    </cfRule>
    <cfRule type="cellIs" dxfId="7836" priority="828" operator="equal">
      <formula>0</formula>
    </cfRule>
  </conditionalFormatting>
  <conditionalFormatting sqref="V28">
    <cfRule type="cellIs" dxfId="7835" priority="825" operator="greaterThan">
      <formula>V27</formula>
    </cfRule>
    <cfRule type="cellIs" dxfId="7834" priority="826" operator="equal">
      <formula>0</formula>
    </cfRule>
  </conditionalFormatting>
  <conditionalFormatting sqref="V28">
    <cfRule type="cellIs" dxfId="7833" priority="823" operator="greaterThan">
      <formula>V27</formula>
    </cfRule>
    <cfRule type="cellIs" dxfId="7832" priority="824" operator="equal">
      <formula>0</formula>
    </cfRule>
  </conditionalFormatting>
  <conditionalFormatting sqref="V28">
    <cfRule type="cellIs" dxfId="7831" priority="821" operator="greaterThan">
      <formula>V27</formula>
    </cfRule>
    <cfRule type="cellIs" dxfId="7830" priority="822" operator="equal">
      <formula>0</formula>
    </cfRule>
  </conditionalFormatting>
  <conditionalFormatting sqref="V28">
    <cfRule type="cellIs" dxfId="7829" priority="819" operator="greaterThan">
      <formula>V27</formula>
    </cfRule>
    <cfRule type="cellIs" dxfId="7828" priority="820" operator="equal">
      <formula>0</formula>
    </cfRule>
  </conditionalFormatting>
  <conditionalFormatting sqref="V28">
    <cfRule type="cellIs" dxfId="7827" priority="817" operator="greaterThan">
      <formula>V27</formula>
    </cfRule>
    <cfRule type="cellIs" dxfId="7826" priority="818" operator="equal">
      <formula>0</formula>
    </cfRule>
  </conditionalFormatting>
  <conditionalFormatting sqref="V28">
    <cfRule type="cellIs" dxfId="7825" priority="815" operator="greaterThan">
      <formula>V27</formula>
    </cfRule>
    <cfRule type="cellIs" dxfId="7824" priority="816" operator="equal">
      <formula>0</formula>
    </cfRule>
  </conditionalFormatting>
  <conditionalFormatting sqref="V28">
    <cfRule type="cellIs" dxfId="7823" priority="813" operator="greaterThan">
      <formula>V27</formula>
    </cfRule>
    <cfRule type="cellIs" dxfId="7822" priority="814" operator="equal">
      <formula>0</formula>
    </cfRule>
  </conditionalFormatting>
  <conditionalFormatting sqref="V28">
    <cfRule type="cellIs" dxfId="7821" priority="811" operator="greaterThan">
      <formula>V27</formula>
    </cfRule>
    <cfRule type="cellIs" dxfId="7820" priority="812" operator="equal">
      <formula>0</formula>
    </cfRule>
  </conditionalFormatting>
  <conditionalFormatting sqref="V28">
    <cfRule type="cellIs" dxfId="7819" priority="809" operator="greaterThan">
      <formula>V27</formula>
    </cfRule>
    <cfRule type="cellIs" dxfId="7818" priority="810" operator="equal">
      <formula>0</formula>
    </cfRule>
  </conditionalFormatting>
  <conditionalFormatting sqref="V28">
    <cfRule type="cellIs" dxfId="7817" priority="807" operator="greaterThan">
      <formula>V27</formula>
    </cfRule>
    <cfRule type="cellIs" dxfId="7816" priority="808" operator="equal">
      <formula>0</formula>
    </cfRule>
  </conditionalFormatting>
  <conditionalFormatting sqref="V28">
    <cfRule type="cellIs" dxfId="7815" priority="805" operator="greaterThan">
      <formula>V27</formula>
    </cfRule>
    <cfRule type="cellIs" dxfId="7814" priority="806" operator="equal">
      <formula>0</formula>
    </cfRule>
  </conditionalFormatting>
  <conditionalFormatting sqref="V28">
    <cfRule type="cellIs" dxfId="7813" priority="803" operator="greaterThan">
      <formula>V27</formula>
    </cfRule>
    <cfRule type="cellIs" dxfId="7812" priority="804" operator="equal">
      <formula>0</formula>
    </cfRule>
  </conditionalFormatting>
  <conditionalFormatting sqref="V28">
    <cfRule type="cellIs" dxfId="7811" priority="801" operator="greaterThan">
      <formula>V27</formula>
    </cfRule>
    <cfRule type="cellIs" dxfId="7810" priority="802" operator="equal">
      <formula>0</formula>
    </cfRule>
  </conditionalFormatting>
  <conditionalFormatting sqref="V28">
    <cfRule type="cellIs" dxfId="7809" priority="799" operator="greaterThan">
      <formula>V27</formula>
    </cfRule>
    <cfRule type="cellIs" dxfId="7808" priority="800" operator="equal">
      <formula>0</formula>
    </cfRule>
  </conditionalFormatting>
  <conditionalFormatting sqref="V28">
    <cfRule type="cellIs" dxfId="7807" priority="797" operator="greaterThan">
      <formula>V27</formula>
    </cfRule>
    <cfRule type="cellIs" dxfId="7806" priority="798" operator="equal">
      <formula>0</formula>
    </cfRule>
  </conditionalFormatting>
  <conditionalFormatting sqref="V28">
    <cfRule type="cellIs" dxfId="7805" priority="795" operator="greaterThan">
      <formula>V27</formula>
    </cfRule>
    <cfRule type="cellIs" dxfId="7804" priority="796" operator="equal">
      <formula>0</formula>
    </cfRule>
  </conditionalFormatting>
  <conditionalFormatting sqref="V28">
    <cfRule type="cellIs" dxfId="7803" priority="793" operator="greaterThan">
      <formula>V27</formula>
    </cfRule>
    <cfRule type="cellIs" dxfId="7802" priority="794" operator="equal">
      <formula>0</formula>
    </cfRule>
  </conditionalFormatting>
  <conditionalFormatting sqref="V28">
    <cfRule type="cellIs" dxfId="7801" priority="791" operator="greaterThan">
      <formula>V27</formula>
    </cfRule>
    <cfRule type="cellIs" dxfId="7800" priority="792" operator="equal">
      <formula>0</formula>
    </cfRule>
  </conditionalFormatting>
  <conditionalFormatting sqref="V28">
    <cfRule type="cellIs" dxfId="7799" priority="789" operator="greaterThan">
      <formula>V27</formula>
    </cfRule>
    <cfRule type="cellIs" dxfId="7798" priority="790" operator="equal">
      <formula>0</formula>
    </cfRule>
  </conditionalFormatting>
  <conditionalFormatting sqref="V28">
    <cfRule type="cellIs" dxfId="7797" priority="787" operator="greaterThan">
      <formula>V27</formula>
    </cfRule>
    <cfRule type="cellIs" dxfId="7796" priority="788" operator="equal">
      <formula>0</formula>
    </cfRule>
  </conditionalFormatting>
  <conditionalFormatting sqref="V28">
    <cfRule type="cellIs" dxfId="7795" priority="785" operator="greaterThan">
      <formula>V27</formula>
    </cfRule>
    <cfRule type="cellIs" dxfId="7794" priority="786" operator="equal">
      <formula>0</formula>
    </cfRule>
  </conditionalFormatting>
  <conditionalFormatting sqref="V28">
    <cfRule type="cellIs" dxfId="7793" priority="783" operator="greaterThan">
      <formula>V27</formula>
    </cfRule>
    <cfRule type="cellIs" dxfId="7792" priority="784" operator="equal">
      <formula>0</formula>
    </cfRule>
  </conditionalFormatting>
  <conditionalFormatting sqref="V28">
    <cfRule type="cellIs" dxfId="7791" priority="781" operator="greaterThan">
      <formula>V27</formula>
    </cfRule>
    <cfRule type="cellIs" dxfId="7790" priority="782" operator="equal">
      <formula>0</formula>
    </cfRule>
  </conditionalFormatting>
  <conditionalFormatting sqref="V28">
    <cfRule type="cellIs" dxfId="7789" priority="779" operator="greaterThan">
      <formula>V27</formula>
    </cfRule>
    <cfRule type="cellIs" dxfId="7788" priority="780" operator="equal">
      <formula>0</formula>
    </cfRule>
  </conditionalFormatting>
  <conditionalFormatting sqref="V28">
    <cfRule type="cellIs" dxfId="7787" priority="777" operator="greaterThan">
      <formula>V27</formula>
    </cfRule>
    <cfRule type="cellIs" dxfId="7786" priority="778" operator="equal">
      <formula>0</formula>
    </cfRule>
  </conditionalFormatting>
  <conditionalFormatting sqref="V28">
    <cfRule type="cellIs" dxfId="7785" priority="775" operator="greaterThan">
      <formula>V27</formula>
    </cfRule>
    <cfRule type="cellIs" dxfId="7784" priority="776" operator="equal">
      <formula>0</formula>
    </cfRule>
  </conditionalFormatting>
  <conditionalFormatting sqref="V28">
    <cfRule type="cellIs" dxfId="7783" priority="773" operator="greaterThan">
      <formula>V27</formula>
    </cfRule>
    <cfRule type="cellIs" dxfId="7782" priority="774" operator="equal">
      <formula>0</formula>
    </cfRule>
  </conditionalFormatting>
  <conditionalFormatting sqref="V28">
    <cfRule type="cellIs" dxfId="7781" priority="771" operator="greaterThan">
      <formula>V27</formula>
    </cfRule>
    <cfRule type="cellIs" dxfId="7780" priority="772" operator="equal">
      <formula>0</formula>
    </cfRule>
  </conditionalFormatting>
  <conditionalFormatting sqref="V28">
    <cfRule type="cellIs" dxfId="7779" priority="769" operator="greaterThan">
      <formula>V27</formula>
    </cfRule>
    <cfRule type="cellIs" dxfId="7778" priority="770" operator="equal">
      <formula>0</formula>
    </cfRule>
  </conditionalFormatting>
  <conditionalFormatting sqref="V28">
    <cfRule type="cellIs" dxfId="7777" priority="767" operator="greaterThan">
      <formula>V27</formula>
    </cfRule>
    <cfRule type="cellIs" dxfId="7776" priority="768" operator="equal">
      <formula>0</formula>
    </cfRule>
  </conditionalFormatting>
  <conditionalFormatting sqref="V28">
    <cfRule type="cellIs" dxfId="7775" priority="765" operator="greaterThan">
      <formula>V27</formula>
    </cfRule>
    <cfRule type="cellIs" dxfId="7774" priority="766" operator="equal">
      <formula>0</formula>
    </cfRule>
  </conditionalFormatting>
  <conditionalFormatting sqref="V28">
    <cfRule type="cellIs" dxfId="7773" priority="763" operator="greaterThan">
      <formula>V27</formula>
    </cfRule>
    <cfRule type="cellIs" dxfId="7772" priority="764" operator="equal">
      <formula>0</formula>
    </cfRule>
  </conditionalFormatting>
  <conditionalFormatting sqref="V28">
    <cfRule type="cellIs" dxfId="7771" priority="761" operator="greaterThan">
      <formula>V27</formula>
    </cfRule>
    <cfRule type="cellIs" dxfId="7770" priority="762" operator="equal">
      <formula>0</formula>
    </cfRule>
  </conditionalFormatting>
  <conditionalFormatting sqref="V28">
    <cfRule type="cellIs" dxfId="7769" priority="759" operator="greaterThan">
      <formula>V27</formula>
    </cfRule>
    <cfRule type="cellIs" dxfId="7768" priority="760" operator="equal">
      <formula>0</formula>
    </cfRule>
  </conditionalFormatting>
  <conditionalFormatting sqref="V28">
    <cfRule type="cellIs" dxfId="7767" priority="757" operator="greaterThan">
      <formula>V27</formula>
    </cfRule>
    <cfRule type="cellIs" dxfId="7766" priority="758" operator="equal">
      <formula>0</formula>
    </cfRule>
  </conditionalFormatting>
  <conditionalFormatting sqref="V28">
    <cfRule type="cellIs" dxfId="7765" priority="755" operator="greaterThan">
      <formula>V27</formula>
    </cfRule>
    <cfRule type="cellIs" dxfId="7764" priority="756" operator="equal">
      <formula>0</formula>
    </cfRule>
  </conditionalFormatting>
  <conditionalFormatting sqref="V28">
    <cfRule type="cellIs" dxfId="7763" priority="753" operator="greaterThan">
      <formula>V27</formula>
    </cfRule>
    <cfRule type="cellIs" dxfId="7762" priority="754" operator="equal">
      <formula>0</formula>
    </cfRule>
  </conditionalFormatting>
  <conditionalFormatting sqref="V28">
    <cfRule type="cellIs" dxfId="7761" priority="751" operator="greaterThan">
      <formula>V27</formula>
    </cfRule>
    <cfRule type="cellIs" dxfId="7760" priority="752" operator="equal">
      <formula>0</formula>
    </cfRule>
  </conditionalFormatting>
  <conditionalFormatting sqref="V28">
    <cfRule type="cellIs" dxfId="7759" priority="749" operator="greaterThan">
      <formula>V27</formula>
    </cfRule>
    <cfRule type="cellIs" dxfId="7758" priority="750" operator="equal">
      <formula>0</formula>
    </cfRule>
  </conditionalFormatting>
  <conditionalFormatting sqref="V28">
    <cfRule type="cellIs" dxfId="7757" priority="747" operator="greaterThan">
      <formula>V27</formula>
    </cfRule>
    <cfRule type="cellIs" dxfId="7756" priority="748" operator="equal">
      <formula>0</formula>
    </cfRule>
  </conditionalFormatting>
  <conditionalFormatting sqref="V28">
    <cfRule type="cellIs" dxfId="7755" priority="745" operator="greaterThan">
      <formula>V27</formula>
    </cfRule>
    <cfRule type="cellIs" dxfId="7754" priority="746" operator="equal">
      <formula>0</formula>
    </cfRule>
  </conditionalFormatting>
  <conditionalFormatting sqref="V28">
    <cfRule type="cellIs" dxfId="7753" priority="743" operator="greaterThan">
      <formula>V27</formula>
    </cfRule>
    <cfRule type="cellIs" dxfId="7752" priority="744" operator="equal">
      <formula>0</formula>
    </cfRule>
  </conditionalFormatting>
  <conditionalFormatting sqref="V28">
    <cfRule type="cellIs" dxfId="7751" priority="741" operator="greaterThan">
      <formula>V27</formula>
    </cfRule>
    <cfRule type="cellIs" dxfId="7750" priority="742" operator="equal">
      <formula>0</formula>
    </cfRule>
  </conditionalFormatting>
  <conditionalFormatting sqref="V28">
    <cfRule type="cellIs" dxfId="7749" priority="739" operator="greaterThan">
      <formula>V27</formula>
    </cfRule>
    <cfRule type="cellIs" dxfId="7748" priority="740" operator="equal">
      <formula>0</formula>
    </cfRule>
  </conditionalFormatting>
  <conditionalFormatting sqref="V28">
    <cfRule type="cellIs" dxfId="7747" priority="737" operator="greaterThan">
      <formula>V27</formula>
    </cfRule>
    <cfRule type="cellIs" dxfId="7746" priority="738" operator="equal">
      <formula>0</formula>
    </cfRule>
  </conditionalFormatting>
  <conditionalFormatting sqref="V28">
    <cfRule type="cellIs" dxfId="7745" priority="735" operator="greaterThan">
      <formula>V27</formula>
    </cfRule>
    <cfRule type="cellIs" dxfId="7744" priority="736" operator="equal">
      <formula>0</formula>
    </cfRule>
  </conditionalFormatting>
  <conditionalFormatting sqref="V28">
    <cfRule type="cellIs" dxfId="7743" priority="733" operator="greaterThan">
      <formula>V27</formula>
    </cfRule>
    <cfRule type="cellIs" dxfId="7742" priority="734" operator="equal">
      <formula>0</formula>
    </cfRule>
  </conditionalFormatting>
  <conditionalFormatting sqref="V28">
    <cfRule type="cellIs" dxfId="7741" priority="731" operator="greaterThan">
      <formula>V27</formula>
    </cfRule>
    <cfRule type="cellIs" dxfId="7740" priority="732" operator="equal">
      <formula>0</formula>
    </cfRule>
  </conditionalFormatting>
  <conditionalFormatting sqref="V28">
    <cfRule type="cellIs" dxfId="7739" priority="729" operator="greaterThan">
      <formula>V27</formula>
    </cfRule>
    <cfRule type="cellIs" dxfId="7738" priority="730" operator="equal">
      <formula>0</formula>
    </cfRule>
  </conditionalFormatting>
  <conditionalFormatting sqref="V28">
    <cfRule type="cellIs" dxfId="7737" priority="727" operator="greaterThan">
      <formula>V27</formula>
    </cfRule>
    <cfRule type="cellIs" dxfId="7736" priority="728" operator="equal">
      <formula>0</formula>
    </cfRule>
  </conditionalFormatting>
  <conditionalFormatting sqref="V28">
    <cfRule type="cellIs" dxfId="7735" priority="725" operator="greaterThan">
      <formula>V27</formula>
    </cfRule>
    <cfRule type="cellIs" dxfId="7734" priority="726" operator="equal">
      <formula>0</formula>
    </cfRule>
  </conditionalFormatting>
  <conditionalFormatting sqref="V28">
    <cfRule type="cellIs" dxfId="7733" priority="723" operator="greaterThan">
      <formula>V27</formula>
    </cfRule>
    <cfRule type="cellIs" dxfId="7732" priority="724" operator="equal">
      <formula>0</formula>
    </cfRule>
  </conditionalFormatting>
  <conditionalFormatting sqref="V28">
    <cfRule type="cellIs" dxfId="7731" priority="721" operator="greaterThan">
      <formula>V27</formula>
    </cfRule>
    <cfRule type="cellIs" dxfId="7730" priority="722" operator="equal">
      <formula>0</formula>
    </cfRule>
  </conditionalFormatting>
  <conditionalFormatting sqref="V28">
    <cfRule type="cellIs" dxfId="7729" priority="719" operator="greaterThan">
      <formula>V27</formula>
    </cfRule>
    <cfRule type="cellIs" dxfId="7728" priority="720" operator="equal">
      <formula>0</formula>
    </cfRule>
  </conditionalFormatting>
  <conditionalFormatting sqref="V28">
    <cfRule type="cellIs" dxfId="7727" priority="717" operator="greaterThan">
      <formula>V27</formula>
    </cfRule>
    <cfRule type="cellIs" dxfId="7726" priority="718" operator="equal">
      <formula>0</formula>
    </cfRule>
  </conditionalFormatting>
  <conditionalFormatting sqref="V28">
    <cfRule type="cellIs" dxfId="7725" priority="715" operator="greaterThan">
      <formula>V27</formula>
    </cfRule>
    <cfRule type="cellIs" dxfId="7724" priority="716" operator="equal">
      <formula>0</formula>
    </cfRule>
  </conditionalFormatting>
  <conditionalFormatting sqref="V28">
    <cfRule type="cellIs" dxfId="7723" priority="713" operator="greaterThan">
      <formula>V27</formula>
    </cfRule>
    <cfRule type="cellIs" dxfId="7722" priority="714" operator="equal">
      <formula>0</formula>
    </cfRule>
  </conditionalFormatting>
  <conditionalFormatting sqref="V28">
    <cfRule type="cellIs" dxfId="7721" priority="711" operator="greaterThan">
      <formula>V27</formula>
    </cfRule>
    <cfRule type="cellIs" dxfId="7720" priority="712" operator="equal">
      <formula>0</formula>
    </cfRule>
  </conditionalFormatting>
  <conditionalFormatting sqref="V28">
    <cfRule type="cellIs" dxfId="7719" priority="709" operator="greaterThan">
      <formula>V27</formula>
    </cfRule>
    <cfRule type="cellIs" dxfId="7718" priority="710" operator="equal">
      <formula>0</formula>
    </cfRule>
  </conditionalFormatting>
  <conditionalFormatting sqref="V28">
    <cfRule type="cellIs" dxfId="7717" priority="707" operator="greaterThan">
      <formula>V27</formula>
    </cfRule>
    <cfRule type="cellIs" dxfId="7716" priority="708" operator="equal">
      <formula>0</formula>
    </cfRule>
  </conditionalFormatting>
  <conditionalFormatting sqref="V28">
    <cfRule type="cellIs" dxfId="7715" priority="705" operator="greaterThan">
      <formula>V27</formula>
    </cfRule>
    <cfRule type="cellIs" dxfId="7714" priority="706" operator="equal">
      <formula>0</formula>
    </cfRule>
  </conditionalFormatting>
  <conditionalFormatting sqref="V28">
    <cfRule type="cellIs" dxfId="7713" priority="703" operator="greaterThan">
      <formula>V27</formula>
    </cfRule>
    <cfRule type="cellIs" dxfId="7712" priority="704" operator="equal">
      <formula>0</formula>
    </cfRule>
  </conditionalFormatting>
  <conditionalFormatting sqref="V28">
    <cfRule type="cellIs" dxfId="7711" priority="701" operator="greaterThan">
      <formula>V27</formula>
    </cfRule>
    <cfRule type="cellIs" dxfId="7710" priority="702" operator="equal">
      <formula>0</formula>
    </cfRule>
  </conditionalFormatting>
  <conditionalFormatting sqref="V28">
    <cfRule type="cellIs" dxfId="7709" priority="699" operator="greaterThan">
      <formula>V27</formula>
    </cfRule>
    <cfRule type="cellIs" dxfId="7708" priority="700" operator="equal">
      <formula>0</formula>
    </cfRule>
  </conditionalFormatting>
  <conditionalFormatting sqref="V28">
    <cfRule type="cellIs" dxfId="7707" priority="697" operator="greaterThan">
      <formula>V27</formula>
    </cfRule>
    <cfRule type="cellIs" dxfId="7706" priority="698" operator="equal">
      <formula>0</formula>
    </cfRule>
  </conditionalFormatting>
  <conditionalFormatting sqref="V28">
    <cfRule type="cellIs" dxfId="7705" priority="695" operator="greaterThan">
      <formula>V27</formula>
    </cfRule>
    <cfRule type="cellIs" dxfId="7704" priority="696" operator="equal">
      <formula>0</formula>
    </cfRule>
  </conditionalFormatting>
  <conditionalFormatting sqref="V28">
    <cfRule type="cellIs" dxfId="7703" priority="693" operator="greaterThan">
      <formula>V27</formula>
    </cfRule>
    <cfRule type="cellIs" dxfId="7702" priority="694" operator="equal">
      <formula>0</formula>
    </cfRule>
  </conditionalFormatting>
  <conditionalFormatting sqref="V28">
    <cfRule type="cellIs" dxfId="7701" priority="691" operator="greaterThan">
      <formula>V27</formula>
    </cfRule>
    <cfRule type="cellIs" dxfId="7700" priority="692" operator="equal">
      <formula>0</formula>
    </cfRule>
  </conditionalFormatting>
  <conditionalFormatting sqref="V28">
    <cfRule type="cellIs" dxfId="7699" priority="689" operator="greaterThan">
      <formula>V27</formula>
    </cfRule>
    <cfRule type="cellIs" dxfId="7698" priority="690" operator="equal">
      <formula>0</formula>
    </cfRule>
  </conditionalFormatting>
  <conditionalFormatting sqref="V28">
    <cfRule type="cellIs" dxfId="7697" priority="687" operator="greaterThan">
      <formula>V27</formula>
    </cfRule>
    <cfRule type="cellIs" dxfId="7696" priority="688" operator="equal">
      <formula>0</formula>
    </cfRule>
  </conditionalFormatting>
  <conditionalFormatting sqref="V28">
    <cfRule type="cellIs" dxfId="7695" priority="685" operator="greaterThan">
      <formula>V27</formula>
    </cfRule>
    <cfRule type="cellIs" dxfId="7694" priority="686" operator="equal">
      <formula>0</formula>
    </cfRule>
  </conditionalFormatting>
  <conditionalFormatting sqref="V28">
    <cfRule type="cellIs" dxfId="7693" priority="683" operator="greaterThan">
      <formula>V27</formula>
    </cfRule>
    <cfRule type="cellIs" dxfId="7692" priority="684" operator="equal">
      <formula>0</formula>
    </cfRule>
  </conditionalFormatting>
  <conditionalFormatting sqref="V28">
    <cfRule type="cellIs" dxfId="7691" priority="681" operator="greaterThan">
      <formula>V27</formula>
    </cfRule>
    <cfRule type="cellIs" dxfId="7690" priority="682" operator="equal">
      <formula>0</formula>
    </cfRule>
  </conditionalFormatting>
  <conditionalFormatting sqref="V28">
    <cfRule type="cellIs" dxfId="7689" priority="679" operator="greaterThan">
      <formula>V27</formula>
    </cfRule>
    <cfRule type="cellIs" dxfId="7688" priority="680" operator="equal">
      <formula>0</formula>
    </cfRule>
  </conditionalFormatting>
  <conditionalFormatting sqref="V28">
    <cfRule type="cellIs" dxfId="7687" priority="677" operator="greaterThan">
      <formula>V27</formula>
    </cfRule>
    <cfRule type="cellIs" dxfId="7686" priority="678" operator="equal">
      <formula>0</formula>
    </cfRule>
  </conditionalFormatting>
  <conditionalFormatting sqref="V28">
    <cfRule type="cellIs" dxfId="7685" priority="675" operator="greaterThan">
      <formula>V27</formula>
    </cfRule>
    <cfRule type="cellIs" dxfId="7684" priority="676" operator="equal">
      <formula>0</formula>
    </cfRule>
  </conditionalFormatting>
  <conditionalFormatting sqref="V28">
    <cfRule type="cellIs" dxfId="7683" priority="673" operator="greaterThan">
      <formula>V27</formula>
    </cfRule>
    <cfRule type="cellIs" dxfId="7682" priority="674" operator="equal">
      <formula>0</formula>
    </cfRule>
  </conditionalFormatting>
  <conditionalFormatting sqref="V28">
    <cfRule type="cellIs" dxfId="7681" priority="671" operator="greaterThan">
      <formula>V27</formula>
    </cfRule>
    <cfRule type="cellIs" dxfId="7680" priority="672" operator="equal">
      <formula>0</formula>
    </cfRule>
  </conditionalFormatting>
  <conditionalFormatting sqref="V28">
    <cfRule type="cellIs" dxfId="7679" priority="669" operator="greaterThan">
      <formula>V27</formula>
    </cfRule>
    <cfRule type="cellIs" dxfId="7678" priority="670" operator="equal">
      <formula>0</formula>
    </cfRule>
  </conditionalFormatting>
  <conditionalFormatting sqref="V28">
    <cfRule type="cellIs" dxfId="7677" priority="667" operator="greaterThan">
      <formula>V27</formula>
    </cfRule>
    <cfRule type="cellIs" dxfId="7676" priority="668" operator="equal">
      <formula>0</formula>
    </cfRule>
  </conditionalFormatting>
  <conditionalFormatting sqref="V12:V13 X12:X13 X15:X16 X18:X19 X21:X25 X27:X28 V15:V16 V18:V19 V21:V22 V24:V25 V27:V28">
    <cfRule type="cellIs" dxfId="7675" priority="666" operator="equal">
      <formula>0</formula>
    </cfRule>
  </conditionalFormatting>
  <conditionalFormatting sqref="V28">
    <cfRule type="cellIs" dxfId="7674" priority="664" operator="greaterThan">
      <formula>V27</formula>
    </cfRule>
    <cfRule type="cellIs" dxfId="7673" priority="665" operator="equal">
      <formula>0</formula>
    </cfRule>
  </conditionalFormatting>
  <conditionalFormatting sqref="V27">
    <cfRule type="cellIs" dxfId="7672" priority="662" operator="greaterThan">
      <formula>V26</formula>
    </cfRule>
    <cfRule type="cellIs" dxfId="7671" priority="663" operator="equal">
      <formula>0</formula>
    </cfRule>
  </conditionalFormatting>
  <conditionalFormatting sqref="V13">
    <cfRule type="cellIs" dxfId="7670" priority="660" operator="greaterThan">
      <formula>V12</formula>
    </cfRule>
    <cfRule type="cellIs" dxfId="7669" priority="661" operator="equal">
      <formula>0</formula>
    </cfRule>
  </conditionalFormatting>
  <conditionalFormatting sqref="V12">
    <cfRule type="cellIs" dxfId="7668" priority="658" operator="greaterThan">
      <formula>V11</formula>
    </cfRule>
    <cfRule type="cellIs" dxfId="7667" priority="659" operator="equal">
      <formula>0</formula>
    </cfRule>
  </conditionalFormatting>
  <conditionalFormatting sqref="V16">
    <cfRule type="cellIs" dxfId="7666" priority="656" operator="greaterThan">
      <formula>V15</formula>
    </cfRule>
    <cfRule type="cellIs" dxfId="7665" priority="657" operator="equal">
      <formula>0</formula>
    </cfRule>
  </conditionalFormatting>
  <conditionalFormatting sqref="V15">
    <cfRule type="cellIs" dxfId="7664" priority="654" operator="greaterThan">
      <formula>V14</formula>
    </cfRule>
    <cfRule type="cellIs" dxfId="7663" priority="655" operator="equal">
      <formula>0</formula>
    </cfRule>
  </conditionalFormatting>
  <conditionalFormatting sqref="V19">
    <cfRule type="cellIs" dxfId="7662" priority="652" operator="greaterThan">
      <formula>V18</formula>
    </cfRule>
    <cfRule type="cellIs" dxfId="7661" priority="653" operator="equal">
      <formula>0</formula>
    </cfRule>
  </conditionalFormatting>
  <conditionalFormatting sqref="V18">
    <cfRule type="cellIs" dxfId="7660" priority="650" operator="greaterThan">
      <formula>V17</formula>
    </cfRule>
    <cfRule type="cellIs" dxfId="7659" priority="651" operator="equal">
      <formula>0</formula>
    </cfRule>
  </conditionalFormatting>
  <conditionalFormatting sqref="V22 V24:V25">
    <cfRule type="cellIs" dxfId="7658" priority="648" operator="greaterThan">
      <formula>V21</formula>
    </cfRule>
    <cfRule type="cellIs" dxfId="7657" priority="649" operator="equal">
      <formula>0</formula>
    </cfRule>
  </conditionalFormatting>
  <conditionalFormatting sqref="V21">
    <cfRule type="cellIs" dxfId="7656" priority="646" operator="greaterThan">
      <formula>V20</formula>
    </cfRule>
    <cfRule type="cellIs" dxfId="7655" priority="647" operator="equal">
      <formula>0</formula>
    </cfRule>
  </conditionalFormatting>
  <conditionalFormatting sqref="V24">
    <cfRule type="cellIs" dxfId="7654" priority="644" operator="greaterThan">
      <formula>V23</formula>
    </cfRule>
    <cfRule type="cellIs" dxfId="7653" priority="645" operator="equal">
      <formula>0</formula>
    </cfRule>
  </conditionalFormatting>
  <conditionalFormatting sqref="V27:V28">
    <cfRule type="cellIs" dxfId="7652" priority="642" operator="greaterThan">
      <formula>V26</formula>
    </cfRule>
    <cfRule type="cellIs" dxfId="7651" priority="643" operator="equal">
      <formula>0</formula>
    </cfRule>
  </conditionalFormatting>
  <conditionalFormatting sqref="V27">
    <cfRule type="cellIs" dxfId="7650" priority="640" operator="greaterThan">
      <formula>V26</formula>
    </cfRule>
    <cfRule type="cellIs" dxfId="7649" priority="641" operator="equal">
      <formula>0</formula>
    </cfRule>
  </conditionalFormatting>
  <conditionalFormatting sqref="V16">
    <cfRule type="cellIs" dxfId="7648" priority="638" operator="greaterThan">
      <formula>V15</formula>
    </cfRule>
    <cfRule type="cellIs" dxfId="7647" priority="639" operator="equal">
      <formula>0</formula>
    </cfRule>
  </conditionalFormatting>
  <conditionalFormatting sqref="V15">
    <cfRule type="cellIs" dxfId="7646" priority="636" operator="greaterThan">
      <formula>V14</formula>
    </cfRule>
    <cfRule type="cellIs" dxfId="7645" priority="637" operator="equal">
      <formula>0</formula>
    </cfRule>
  </conditionalFormatting>
  <conditionalFormatting sqref="V19">
    <cfRule type="cellIs" dxfId="7644" priority="634" operator="greaterThan">
      <formula>V18</formula>
    </cfRule>
    <cfRule type="cellIs" dxfId="7643" priority="635" operator="equal">
      <formula>0</formula>
    </cfRule>
  </conditionalFormatting>
  <conditionalFormatting sqref="V18">
    <cfRule type="cellIs" dxfId="7642" priority="632" operator="greaterThan">
      <formula>V17</formula>
    </cfRule>
    <cfRule type="cellIs" dxfId="7641" priority="633" operator="equal">
      <formula>0</formula>
    </cfRule>
  </conditionalFormatting>
  <conditionalFormatting sqref="V22">
    <cfRule type="cellIs" dxfId="7640" priority="630" operator="greaterThan">
      <formula>V21</formula>
    </cfRule>
    <cfRule type="cellIs" dxfId="7639" priority="631" operator="equal">
      <formula>0</formula>
    </cfRule>
  </conditionalFormatting>
  <conditionalFormatting sqref="V21">
    <cfRule type="cellIs" dxfId="7638" priority="628" operator="greaterThan">
      <formula>V20</formula>
    </cfRule>
    <cfRule type="cellIs" dxfId="7637" priority="629" operator="equal">
      <formula>0</formula>
    </cfRule>
  </conditionalFormatting>
  <conditionalFormatting sqref="V25">
    <cfRule type="cellIs" dxfId="7636" priority="626" operator="greaterThan">
      <formula>V24</formula>
    </cfRule>
    <cfRule type="cellIs" dxfId="7635" priority="627" operator="equal">
      <formula>0</formula>
    </cfRule>
  </conditionalFormatting>
  <conditionalFormatting sqref="V24">
    <cfRule type="cellIs" dxfId="7634" priority="624" operator="greaterThan">
      <formula>V23</formula>
    </cfRule>
    <cfRule type="cellIs" dxfId="7633" priority="625" operator="equal">
      <formula>0</formula>
    </cfRule>
  </conditionalFormatting>
  <conditionalFormatting sqref="V28">
    <cfRule type="cellIs" dxfId="7632" priority="622" operator="greaterThan">
      <formula>V27</formula>
    </cfRule>
    <cfRule type="cellIs" dxfId="7631" priority="623" operator="equal">
      <formula>0</formula>
    </cfRule>
  </conditionalFormatting>
  <conditionalFormatting sqref="V27">
    <cfRule type="cellIs" dxfId="7630" priority="620" operator="greaterThan">
      <formula>V26</formula>
    </cfRule>
    <cfRule type="cellIs" dxfId="7629" priority="621" operator="equal">
      <formula>0</formula>
    </cfRule>
  </conditionalFormatting>
  <conditionalFormatting sqref="V30:V31 X30:X31">
    <cfRule type="cellIs" dxfId="7628" priority="619" operator="equal">
      <formula>0</formula>
    </cfRule>
  </conditionalFormatting>
  <conditionalFormatting sqref="V31">
    <cfRule type="cellIs" dxfId="7627" priority="617" operator="greaterThan">
      <formula>V30</formula>
    </cfRule>
    <cfRule type="cellIs" dxfId="7626" priority="618" operator="equal">
      <formula>0</formula>
    </cfRule>
  </conditionalFormatting>
  <conditionalFormatting sqref="V30">
    <cfRule type="cellIs" dxfId="7625" priority="615" operator="greaterThan">
      <formula>V29</formula>
    </cfRule>
    <cfRule type="cellIs" dxfId="7624" priority="616" operator="equal">
      <formula>0</formula>
    </cfRule>
  </conditionalFormatting>
  <conditionalFormatting sqref="V33:V34 X33:X34">
    <cfRule type="cellIs" dxfId="7623" priority="614" operator="equal">
      <formula>0</formula>
    </cfRule>
  </conditionalFormatting>
  <conditionalFormatting sqref="V34">
    <cfRule type="cellIs" dxfId="7622" priority="612" operator="greaterThan">
      <formula>V33</formula>
    </cfRule>
    <cfRule type="cellIs" dxfId="7621" priority="613" operator="equal">
      <formula>0</formula>
    </cfRule>
  </conditionalFormatting>
  <conditionalFormatting sqref="V33">
    <cfRule type="cellIs" dxfId="7620" priority="610" operator="greaterThan">
      <formula>V32</formula>
    </cfRule>
    <cfRule type="cellIs" dxfId="7619" priority="611" operator="equal">
      <formula>0</formula>
    </cfRule>
  </conditionalFormatting>
  <conditionalFormatting sqref="V36:V37 X36:X37">
    <cfRule type="cellIs" dxfId="7618" priority="609" operator="equal">
      <formula>0</formula>
    </cfRule>
  </conditionalFormatting>
  <conditionalFormatting sqref="V37">
    <cfRule type="cellIs" dxfId="7617" priority="607" operator="greaterThan">
      <formula>V36</formula>
    </cfRule>
    <cfRule type="cellIs" dxfId="7616" priority="608" operator="equal">
      <formula>0</formula>
    </cfRule>
  </conditionalFormatting>
  <conditionalFormatting sqref="V36">
    <cfRule type="cellIs" dxfId="7615" priority="605" operator="greaterThan">
      <formula>V35</formula>
    </cfRule>
    <cfRule type="cellIs" dxfId="7614" priority="606" operator="equal">
      <formula>0</formula>
    </cfRule>
  </conditionalFormatting>
  <conditionalFormatting sqref="V16">
    <cfRule type="cellIs" dxfId="7613" priority="603" operator="greaterThan">
      <formula>V15</formula>
    </cfRule>
    <cfRule type="cellIs" dxfId="7612" priority="604" operator="equal">
      <formula>0</formula>
    </cfRule>
  </conditionalFormatting>
  <conditionalFormatting sqref="V15">
    <cfRule type="cellIs" dxfId="7611" priority="601" operator="greaterThan">
      <formula>V14</formula>
    </cfRule>
    <cfRule type="cellIs" dxfId="7610" priority="602" operator="equal">
      <formula>0</formula>
    </cfRule>
  </conditionalFormatting>
  <conditionalFormatting sqref="V16">
    <cfRule type="cellIs" dxfId="7609" priority="599" operator="greaterThan">
      <formula>V15</formula>
    </cfRule>
    <cfRule type="cellIs" dxfId="7608" priority="600" operator="equal">
      <formula>0</formula>
    </cfRule>
  </conditionalFormatting>
  <conditionalFormatting sqref="V15">
    <cfRule type="cellIs" dxfId="7607" priority="597" operator="greaterThan">
      <formula>V14</formula>
    </cfRule>
    <cfRule type="cellIs" dxfId="7606" priority="598" operator="equal">
      <formula>0</formula>
    </cfRule>
  </conditionalFormatting>
  <conditionalFormatting sqref="V19">
    <cfRule type="cellIs" dxfId="7605" priority="595" operator="greaterThan">
      <formula>V18</formula>
    </cfRule>
    <cfRule type="cellIs" dxfId="7604" priority="596" operator="equal">
      <formula>0</formula>
    </cfRule>
  </conditionalFormatting>
  <conditionalFormatting sqref="V18">
    <cfRule type="cellIs" dxfId="7603" priority="593" operator="greaterThan">
      <formula>V17</formula>
    </cfRule>
    <cfRule type="cellIs" dxfId="7602" priority="594" operator="equal">
      <formula>0</formula>
    </cfRule>
  </conditionalFormatting>
  <conditionalFormatting sqref="V19">
    <cfRule type="cellIs" dxfId="7601" priority="591" operator="greaterThan">
      <formula>V18</formula>
    </cfRule>
    <cfRule type="cellIs" dxfId="7600" priority="592" operator="equal">
      <formula>0</formula>
    </cfRule>
  </conditionalFormatting>
  <conditionalFormatting sqref="V18">
    <cfRule type="cellIs" dxfId="7599" priority="589" operator="greaterThan">
      <formula>V17</formula>
    </cfRule>
    <cfRule type="cellIs" dxfId="7598" priority="590" operator="equal">
      <formula>0</formula>
    </cfRule>
  </conditionalFormatting>
  <conditionalFormatting sqref="V19">
    <cfRule type="cellIs" dxfId="7597" priority="587" operator="greaterThan">
      <formula>V18</formula>
    </cfRule>
    <cfRule type="cellIs" dxfId="7596" priority="588" operator="equal">
      <formula>0</formula>
    </cfRule>
  </conditionalFormatting>
  <conditionalFormatting sqref="V18">
    <cfRule type="cellIs" dxfId="7595" priority="585" operator="greaterThan">
      <formula>V17</formula>
    </cfRule>
    <cfRule type="cellIs" dxfId="7594" priority="586" operator="equal">
      <formula>0</formula>
    </cfRule>
  </conditionalFormatting>
  <conditionalFormatting sqref="V19">
    <cfRule type="cellIs" dxfId="7593" priority="583" operator="greaterThan">
      <formula>V18</formula>
    </cfRule>
    <cfRule type="cellIs" dxfId="7592" priority="584" operator="equal">
      <formula>0</formula>
    </cfRule>
  </conditionalFormatting>
  <conditionalFormatting sqref="V18">
    <cfRule type="cellIs" dxfId="7591" priority="581" operator="greaterThan">
      <formula>V17</formula>
    </cfRule>
    <cfRule type="cellIs" dxfId="7590" priority="582" operator="equal">
      <formula>0</formula>
    </cfRule>
  </conditionalFormatting>
  <conditionalFormatting sqref="V22">
    <cfRule type="cellIs" dxfId="7589" priority="579" operator="greaterThan">
      <formula>V21</formula>
    </cfRule>
    <cfRule type="cellIs" dxfId="7588" priority="580" operator="equal">
      <formula>0</formula>
    </cfRule>
  </conditionalFormatting>
  <conditionalFormatting sqref="V21">
    <cfRule type="cellIs" dxfId="7587" priority="577" operator="greaterThan">
      <formula>V20</formula>
    </cfRule>
    <cfRule type="cellIs" dxfId="7586" priority="578" operator="equal">
      <formula>0</formula>
    </cfRule>
  </conditionalFormatting>
  <conditionalFormatting sqref="V22">
    <cfRule type="cellIs" dxfId="7585" priority="575" operator="greaterThan">
      <formula>V21</formula>
    </cfRule>
    <cfRule type="cellIs" dxfId="7584" priority="576" operator="equal">
      <formula>0</formula>
    </cfRule>
  </conditionalFormatting>
  <conditionalFormatting sqref="V21">
    <cfRule type="cellIs" dxfId="7583" priority="573" operator="greaterThan">
      <formula>V20</formula>
    </cfRule>
    <cfRule type="cellIs" dxfId="7582" priority="574" operator="equal">
      <formula>0</formula>
    </cfRule>
  </conditionalFormatting>
  <conditionalFormatting sqref="V22">
    <cfRule type="cellIs" dxfId="7581" priority="571" operator="greaterThan">
      <formula>V21</formula>
    </cfRule>
    <cfRule type="cellIs" dxfId="7580" priority="572" operator="equal">
      <formula>0</formula>
    </cfRule>
  </conditionalFormatting>
  <conditionalFormatting sqref="V21">
    <cfRule type="cellIs" dxfId="7579" priority="569" operator="greaterThan">
      <formula>V20</formula>
    </cfRule>
    <cfRule type="cellIs" dxfId="7578" priority="570" operator="equal">
      <formula>0</formula>
    </cfRule>
  </conditionalFormatting>
  <conditionalFormatting sqref="V22">
    <cfRule type="cellIs" dxfId="7577" priority="567" operator="greaterThan">
      <formula>V21</formula>
    </cfRule>
    <cfRule type="cellIs" dxfId="7576" priority="568" operator="equal">
      <formula>0</formula>
    </cfRule>
  </conditionalFormatting>
  <conditionalFormatting sqref="V21">
    <cfRule type="cellIs" dxfId="7575" priority="565" operator="greaterThan">
      <formula>V20</formula>
    </cfRule>
    <cfRule type="cellIs" dxfId="7574" priority="566" operator="equal">
      <formula>0</formula>
    </cfRule>
  </conditionalFormatting>
  <conditionalFormatting sqref="V22">
    <cfRule type="cellIs" dxfId="7573" priority="563" operator="greaterThan">
      <formula>V21</formula>
    </cfRule>
    <cfRule type="cellIs" dxfId="7572" priority="564" operator="equal">
      <formula>0</formula>
    </cfRule>
  </conditionalFormatting>
  <conditionalFormatting sqref="V21">
    <cfRule type="cellIs" dxfId="7571" priority="561" operator="greaterThan">
      <formula>V20</formula>
    </cfRule>
    <cfRule type="cellIs" dxfId="7570" priority="562" operator="equal">
      <formula>0</formula>
    </cfRule>
  </conditionalFormatting>
  <conditionalFormatting sqref="V22">
    <cfRule type="cellIs" dxfId="7569" priority="559" operator="greaterThan">
      <formula>V21</formula>
    </cfRule>
    <cfRule type="cellIs" dxfId="7568" priority="560" operator="equal">
      <formula>0</formula>
    </cfRule>
  </conditionalFormatting>
  <conditionalFormatting sqref="V21">
    <cfRule type="cellIs" dxfId="7567" priority="557" operator="greaterThan">
      <formula>V20</formula>
    </cfRule>
    <cfRule type="cellIs" dxfId="7566" priority="558" operator="equal">
      <formula>0</formula>
    </cfRule>
  </conditionalFormatting>
  <conditionalFormatting sqref="V24">
    <cfRule type="cellIs" dxfId="7565" priority="555" operator="greaterThan">
      <formula>V23</formula>
    </cfRule>
    <cfRule type="cellIs" dxfId="7564" priority="556" operator="equal">
      <formula>0</formula>
    </cfRule>
  </conditionalFormatting>
  <conditionalFormatting sqref="V25">
    <cfRule type="cellIs" dxfId="7563" priority="553" operator="greaterThan">
      <formula>V24</formula>
    </cfRule>
    <cfRule type="cellIs" dxfId="7562" priority="554" operator="equal">
      <formula>0</formula>
    </cfRule>
  </conditionalFormatting>
  <conditionalFormatting sqref="V24">
    <cfRule type="cellIs" dxfId="7561" priority="551" operator="greaterThan">
      <formula>V23</formula>
    </cfRule>
    <cfRule type="cellIs" dxfId="7560" priority="552" operator="equal">
      <formula>0</formula>
    </cfRule>
  </conditionalFormatting>
  <conditionalFormatting sqref="V25">
    <cfRule type="cellIs" dxfId="7559" priority="549" operator="greaterThan">
      <formula>V24</formula>
    </cfRule>
    <cfRule type="cellIs" dxfId="7558" priority="550" operator="equal">
      <formula>0</formula>
    </cfRule>
  </conditionalFormatting>
  <conditionalFormatting sqref="V24">
    <cfRule type="cellIs" dxfId="7557" priority="547" operator="greaterThan">
      <formula>V23</formula>
    </cfRule>
    <cfRule type="cellIs" dxfId="7556" priority="548" operator="equal">
      <formula>0</formula>
    </cfRule>
  </conditionalFormatting>
  <conditionalFormatting sqref="V25">
    <cfRule type="cellIs" dxfId="7555" priority="545" operator="greaterThan">
      <formula>V24</formula>
    </cfRule>
    <cfRule type="cellIs" dxfId="7554" priority="546" operator="equal">
      <formula>0</formula>
    </cfRule>
  </conditionalFormatting>
  <conditionalFormatting sqref="V24">
    <cfRule type="cellIs" dxfId="7553" priority="543" operator="greaterThan">
      <formula>V23</formula>
    </cfRule>
    <cfRule type="cellIs" dxfId="7552" priority="544" operator="equal">
      <formula>0</formula>
    </cfRule>
  </conditionalFormatting>
  <conditionalFormatting sqref="V25">
    <cfRule type="cellIs" dxfId="7551" priority="541" operator="greaterThan">
      <formula>V24</formula>
    </cfRule>
    <cfRule type="cellIs" dxfId="7550" priority="542" operator="equal">
      <formula>0</formula>
    </cfRule>
  </conditionalFormatting>
  <conditionalFormatting sqref="V24">
    <cfRule type="cellIs" dxfId="7549" priority="539" operator="greaterThan">
      <formula>V23</formula>
    </cfRule>
    <cfRule type="cellIs" dxfId="7548" priority="540" operator="equal">
      <formula>0</formula>
    </cfRule>
  </conditionalFormatting>
  <conditionalFormatting sqref="V25">
    <cfRule type="cellIs" dxfId="7547" priority="537" operator="greaterThan">
      <formula>V24</formula>
    </cfRule>
    <cfRule type="cellIs" dxfId="7546" priority="538" operator="equal">
      <formula>0</formula>
    </cfRule>
  </conditionalFormatting>
  <conditionalFormatting sqref="V24">
    <cfRule type="cellIs" dxfId="7545" priority="535" operator="greaterThan">
      <formula>V23</formula>
    </cfRule>
    <cfRule type="cellIs" dxfId="7544" priority="536" operator="equal">
      <formula>0</formula>
    </cfRule>
  </conditionalFormatting>
  <conditionalFormatting sqref="V25">
    <cfRule type="cellIs" dxfId="7543" priority="533" operator="greaterThan">
      <formula>V24</formula>
    </cfRule>
    <cfRule type="cellIs" dxfId="7542" priority="534" operator="equal">
      <formula>0</formula>
    </cfRule>
  </conditionalFormatting>
  <conditionalFormatting sqref="V24">
    <cfRule type="cellIs" dxfId="7541" priority="531" operator="greaterThan">
      <formula>V23</formula>
    </cfRule>
    <cfRule type="cellIs" dxfId="7540" priority="532" operator="equal">
      <formula>0</formula>
    </cfRule>
  </conditionalFormatting>
  <conditionalFormatting sqref="V25">
    <cfRule type="cellIs" dxfId="7539" priority="529" operator="greaterThan">
      <formula>V24</formula>
    </cfRule>
    <cfRule type="cellIs" dxfId="7538" priority="530" operator="equal">
      <formula>0</formula>
    </cfRule>
  </conditionalFormatting>
  <conditionalFormatting sqref="V24">
    <cfRule type="cellIs" dxfId="7537" priority="527" operator="greaterThan">
      <formula>V23</formula>
    </cfRule>
    <cfRule type="cellIs" dxfId="7536" priority="528" operator="equal">
      <formula>0</formula>
    </cfRule>
  </conditionalFormatting>
  <conditionalFormatting sqref="V27:V28">
    <cfRule type="cellIs" dxfId="7535" priority="525" operator="greaterThan">
      <formula>V26</formula>
    </cfRule>
    <cfRule type="cellIs" dxfId="7534" priority="526" operator="equal">
      <formula>0</formula>
    </cfRule>
  </conditionalFormatting>
  <conditionalFormatting sqref="V27">
    <cfRule type="cellIs" dxfId="7533" priority="523" operator="greaterThan">
      <formula>V26</formula>
    </cfRule>
    <cfRule type="cellIs" dxfId="7532" priority="524" operator="equal">
      <formula>0</formula>
    </cfRule>
  </conditionalFormatting>
  <conditionalFormatting sqref="V28">
    <cfRule type="cellIs" dxfId="7531" priority="521" operator="greaterThan">
      <formula>V27</formula>
    </cfRule>
    <cfRule type="cellIs" dxfId="7530" priority="522" operator="equal">
      <formula>0</formula>
    </cfRule>
  </conditionalFormatting>
  <conditionalFormatting sqref="V27">
    <cfRule type="cellIs" dxfId="7529" priority="519" operator="greaterThan">
      <formula>V26</formula>
    </cfRule>
    <cfRule type="cellIs" dxfId="7528" priority="520" operator="equal">
      <formula>0</formula>
    </cfRule>
  </conditionalFormatting>
  <conditionalFormatting sqref="V27">
    <cfRule type="cellIs" dxfId="7527" priority="517" operator="greaterThan">
      <formula>V26</formula>
    </cfRule>
    <cfRule type="cellIs" dxfId="7526" priority="518" operator="equal">
      <formula>0</formula>
    </cfRule>
  </conditionalFormatting>
  <conditionalFormatting sqref="V28">
    <cfRule type="cellIs" dxfId="7525" priority="515" operator="greaterThan">
      <formula>V27</formula>
    </cfRule>
    <cfRule type="cellIs" dxfId="7524" priority="516" operator="equal">
      <formula>0</formula>
    </cfRule>
  </conditionalFormatting>
  <conditionalFormatting sqref="V27">
    <cfRule type="cellIs" dxfId="7523" priority="513" operator="greaterThan">
      <formula>V26</formula>
    </cfRule>
    <cfRule type="cellIs" dxfId="7522" priority="514" operator="equal">
      <formula>0</formula>
    </cfRule>
  </conditionalFormatting>
  <conditionalFormatting sqref="V28">
    <cfRule type="cellIs" dxfId="7521" priority="511" operator="greaterThan">
      <formula>V27</formula>
    </cfRule>
    <cfRule type="cellIs" dxfId="7520" priority="512" operator="equal">
      <formula>0</formula>
    </cfRule>
  </conditionalFormatting>
  <conditionalFormatting sqref="V27">
    <cfRule type="cellIs" dxfId="7519" priority="509" operator="greaterThan">
      <formula>V26</formula>
    </cfRule>
    <cfRule type="cellIs" dxfId="7518" priority="510" operator="equal">
      <formula>0</formula>
    </cfRule>
  </conditionalFormatting>
  <conditionalFormatting sqref="V28">
    <cfRule type="cellIs" dxfId="7517" priority="507" operator="greaterThan">
      <formula>V27</formula>
    </cfRule>
    <cfRule type="cellIs" dxfId="7516" priority="508" operator="equal">
      <formula>0</formula>
    </cfRule>
  </conditionalFormatting>
  <conditionalFormatting sqref="V27">
    <cfRule type="cellIs" dxfId="7515" priority="505" operator="greaterThan">
      <formula>V26</formula>
    </cfRule>
    <cfRule type="cellIs" dxfId="7514" priority="506" operator="equal">
      <formula>0</formula>
    </cfRule>
  </conditionalFormatting>
  <conditionalFormatting sqref="V28">
    <cfRule type="cellIs" dxfId="7513" priority="503" operator="greaterThan">
      <formula>V27</formula>
    </cfRule>
    <cfRule type="cellIs" dxfId="7512" priority="504" operator="equal">
      <formula>0</formula>
    </cfRule>
  </conditionalFormatting>
  <conditionalFormatting sqref="V27">
    <cfRule type="cellIs" dxfId="7511" priority="501" operator="greaterThan">
      <formula>V26</formula>
    </cfRule>
    <cfRule type="cellIs" dxfId="7510" priority="502" operator="equal">
      <formula>0</formula>
    </cfRule>
  </conditionalFormatting>
  <conditionalFormatting sqref="V28">
    <cfRule type="cellIs" dxfId="7509" priority="499" operator="greaterThan">
      <formula>V27</formula>
    </cfRule>
    <cfRule type="cellIs" dxfId="7508" priority="500" operator="equal">
      <formula>0</formula>
    </cfRule>
  </conditionalFormatting>
  <conditionalFormatting sqref="V27">
    <cfRule type="cellIs" dxfId="7507" priority="497" operator="greaterThan">
      <formula>V26</formula>
    </cfRule>
    <cfRule type="cellIs" dxfId="7506" priority="498" operator="equal">
      <formula>0</formula>
    </cfRule>
  </conditionalFormatting>
  <conditionalFormatting sqref="V28">
    <cfRule type="cellIs" dxfId="7505" priority="495" operator="greaterThan">
      <formula>V27</formula>
    </cfRule>
    <cfRule type="cellIs" dxfId="7504" priority="496" operator="equal">
      <formula>0</formula>
    </cfRule>
  </conditionalFormatting>
  <conditionalFormatting sqref="V27">
    <cfRule type="cellIs" dxfId="7503" priority="493" operator="greaterThan">
      <formula>V26</formula>
    </cfRule>
    <cfRule type="cellIs" dxfId="7502" priority="494" operator="equal">
      <formula>0</formula>
    </cfRule>
  </conditionalFormatting>
  <conditionalFormatting sqref="V28">
    <cfRule type="cellIs" dxfId="7501" priority="491" operator="greaterThan">
      <formula>V27</formula>
    </cfRule>
    <cfRule type="cellIs" dxfId="7500" priority="492" operator="equal">
      <formula>0</formula>
    </cfRule>
  </conditionalFormatting>
  <conditionalFormatting sqref="V27">
    <cfRule type="cellIs" dxfId="7499" priority="489" operator="greaterThan">
      <formula>V26</formula>
    </cfRule>
    <cfRule type="cellIs" dxfId="7498" priority="490" operator="equal">
      <formula>0</formula>
    </cfRule>
  </conditionalFormatting>
  <conditionalFormatting sqref="V19">
    <cfRule type="cellIs" dxfId="7497" priority="487" operator="greaterThan">
      <formula>V18</formula>
    </cfRule>
    <cfRule type="cellIs" dxfId="7496" priority="488" operator="equal">
      <formula>0</formula>
    </cfRule>
  </conditionalFormatting>
  <conditionalFormatting sqref="V18">
    <cfRule type="cellIs" dxfId="7495" priority="485" operator="greaterThan">
      <formula>V17</formula>
    </cfRule>
    <cfRule type="cellIs" dxfId="7494" priority="486" operator="equal">
      <formula>0</formula>
    </cfRule>
  </conditionalFormatting>
  <conditionalFormatting sqref="V19">
    <cfRule type="cellIs" dxfId="7493" priority="483" operator="greaterThan">
      <formula>V18</formula>
    </cfRule>
    <cfRule type="cellIs" dxfId="7492" priority="484" operator="equal">
      <formula>0</formula>
    </cfRule>
  </conditionalFormatting>
  <conditionalFormatting sqref="V18">
    <cfRule type="cellIs" dxfId="7491" priority="481" operator="greaterThan">
      <formula>V17</formula>
    </cfRule>
    <cfRule type="cellIs" dxfId="7490" priority="482" operator="equal">
      <formula>0</formula>
    </cfRule>
  </conditionalFormatting>
  <conditionalFormatting sqref="V19">
    <cfRule type="cellIs" dxfId="7489" priority="479" operator="greaterThan">
      <formula>V18</formula>
    </cfRule>
    <cfRule type="cellIs" dxfId="7488" priority="480" operator="equal">
      <formula>0</formula>
    </cfRule>
  </conditionalFormatting>
  <conditionalFormatting sqref="V18">
    <cfRule type="cellIs" dxfId="7487" priority="477" operator="greaterThan">
      <formula>V17</formula>
    </cfRule>
    <cfRule type="cellIs" dxfId="7486" priority="478" operator="equal">
      <formula>0</formula>
    </cfRule>
  </conditionalFormatting>
  <conditionalFormatting sqref="V19">
    <cfRule type="cellIs" dxfId="7485" priority="475" operator="greaterThan">
      <formula>V18</formula>
    </cfRule>
    <cfRule type="cellIs" dxfId="7484" priority="476" operator="equal">
      <formula>0</formula>
    </cfRule>
  </conditionalFormatting>
  <conditionalFormatting sqref="V18">
    <cfRule type="cellIs" dxfId="7483" priority="473" operator="greaterThan">
      <formula>V17</formula>
    </cfRule>
    <cfRule type="cellIs" dxfId="7482" priority="474" operator="equal">
      <formula>0</formula>
    </cfRule>
  </conditionalFormatting>
  <conditionalFormatting sqref="V16">
    <cfRule type="cellIs" dxfId="7481" priority="471" operator="greaterThan">
      <formula>V15</formula>
    </cfRule>
    <cfRule type="cellIs" dxfId="7480" priority="472" operator="equal">
      <formula>0</formula>
    </cfRule>
  </conditionalFormatting>
  <conditionalFormatting sqref="V16">
    <cfRule type="cellIs" dxfId="7479" priority="469" operator="greaterThan">
      <formula>V15</formula>
    </cfRule>
    <cfRule type="cellIs" dxfId="7478" priority="470" operator="equal">
      <formula>0</formula>
    </cfRule>
  </conditionalFormatting>
  <conditionalFormatting sqref="V16">
    <cfRule type="cellIs" dxfId="7477" priority="467" operator="greaterThan">
      <formula>V15</formula>
    </cfRule>
    <cfRule type="cellIs" dxfId="7476" priority="468" operator="equal">
      <formula>0</formula>
    </cfRule>
  </conditionalFormatting>
  <conditionalFormatting sqref="V16">
    <cfRule type="cellIs" dxfId="7475" priority="465" operator="greaterThan">
      <formula>V15</formula>
    </cfRule>
    <cfRule type="cellIs" dxfId="7474" priority="466" operator="equal">
      <formula>0</formula>
    </cfRule>
  </conditionalFormatting>
  <conditionalFormatting sqref="V19">
    <cfRule type="cellIs" dxfId="7473" priority="463" operator="greaterThan">
      <formula>V18</formula>
    </cfRule>
    <cfRule type="cellIs" dxfId="7472" priority="464" operator="equal">
      <formula>0</formula>
    </cfRule>
  </conditionalFormatting>
  <conditionalFormatting sqref="V19">
    <cfRule type="cellIs" dxfId="7471" priority="461" operator="greaterThan">
      <formula>V18</formula>
    </cfRule>
    <cfRule type="cellIs" dxfId="7470" priority="462" operator="equal">
      <formula>0</formula>
    </cfRule>
  </conditionalFormatting>
  <conditionalFormatting sqref="V19">
    <cfRule type="cellIs" dxfId="7469" priority="459" operator="greaterThan">
      <formula>V18</formula>
    </cfRule>
    <cfRule type="cellIs" dxfId="7468" priority="460" operator="equal">
      <formula>0</formula>
    </cfRule>
  </conditionalFormatting>
  <conditionalFormatting sqref="V19">
    <cfRule type="cellIs" dxfId="7467" priority="457" operator="greaterThan">
      <formula>V18</formula>
    </cfRule>
    <cfRule type="cellIs" dxfId="7466" priority="458" operator="equal">
      <formula>0</formula>
    </cfRule>
  </conditionalFormatting>
  <conditionalFormatting sqref="V19">
    <cfRule type="cellIs" dxfId="7465" priority="455" operator="greaterThan">
      <formula>V18</formula>
    </cfRule>
    <cfRule type="cellIs" dxfId="7464" priority="456" operator="equal">
      <formula>0</formula>
    </cfRule>
  </conditionalFormatting>
  <conditionalFormatting sqref="V19">
    <cfRule type="cellIs" dxfId="7463" priority="453" operator="greaterThan">
      <formula>V18</formula>
    </cfRule>
    <cfRule type="cellIs" dxfId="7462" priority="454" operator="equal">
      <formula>0</formula>
    </cfRule>
  </conditionalFormatting>
  <conditionalFormatting sqref="V19">
    <cfRule type="cellIs" dxfId="7461" priority="451" operator="greaterThan">
      <formula>V18</formula>
    </cfRule>
    <cfRule type="cellIs" dxfId="7460" priority="452" operator="equal">
      <formula>0</formula>
    </cfRule>
  </conditionalFormatting>
  <conditionalFormatting sqref="V19">
    <cfRule type="cellIs" dxfId="7459" priority="449" operator="greaterThan">
      <formula>V18</formula>
    </cfRule>
    <cfRule type="cellIs" dxfId="7458" priority="450" operator="equal">
      <formula>0</formula>
    </cfRule>
  </conditionalFormatting>
  <conditionalFormatting sqref="V19">
    <cfRule type="cellIs" dxfId="7457" priority="447" operator="greaterThan">
      <formula>V18</formula>
    </cfRule>
    <cfRule type="cellIs" dxfId="7456" priority="448" operator="equal">
      <formula>0</formula>
    </cfRule>
  </conditionalFormatting>
  <conditionalFormatting sqref="V19">
    <cfRule type="cellIs" dxfId="7455" priority="445" operator="greaterThan">
      <formula>V18</formula>
    </cfRule>
    <cfRule type="cellIs" dxfId="7454" priority="446" operator="equal">
      <formula>0</formula>
    </cfRule>
  </conditionalFormatting>
  <conditionalFormatting sqref="V22">
    <cfRule type="cellIs" dxfId="7453" priority="443" operator="greaterThan">
      <formula>V21</formula>
    </cfRule>
    <cfRule type="cellIs" dxfId="7452" priority="444" operator="equal">
      <formula>0</formula>
    </cfRule>
  </conditionalFormatting>
  <conditionalFormatting sqref="V21">
    <cfRule type="cellIs" dxfId="7451" priority="441" operator="greaterThan">
      <formula>V20</formula>
    </cfRule>
    <cfRule type="cellIs" dxfId="7450" priority="442" operator="equal">
      <formula>0</formula>
    </cfRule>
  </conditionalFormatting>
  <conditionalFormatting sqref="V22">
    <cfRule type="cellIs" dxfId="7449" priority="439" operator="greaterThan">
      <formula>V21</formula>
    </cfRule>
    <cfRule type="cellIs" dxfId="7448" priority="440" operator="equal">
      <formula>0</formula>
    </cfRule>
  </conditionalFormatting>
  <conditionalFormatting sqref="V21">
    <cfRule type="cellIs" dxfId="7447" priority="437" operator="greaterThan">
      <formula>V20</formula>
    </cfRule>
    <cfRule type="cellIs" dxfId="7446" priority="438" operator="equal">
      <formula>0</formula>
    </cfRule>
  </conditionalFormatting>
  <conditionalFormatting sqref="V22">
    <cfRule type="cellIs" dxfId="7445" priority="435" operator="greaterThan">
      <formula>V21</formula>
    </cfRule>
    <cfRule type="cellIs" dxfId="7444" priority="436" operator="equal">
      <formula>0</formula>
    </cfRule>
  </conditionalFormatting>
  <conditionalFormatting sqref="V21">
    <cfRule type="cellIs" dxfId="7443" priority="433" operator="greaterThan">
      <formula>V20</formula>
    </cfRule>
    <cfRule type="cellIs" dxfId="7442" priority="434" operator="equal">
      <formula>0</formula>
    </cfRule>
  </conditionalFormatting>
  <conditionalFormatting sqref="V22">
    <cfRule type="cellIs" dxfId="7441" priority="431" operator="greaterThan">
      <formula>V21</formula>
    </cfRule>
    <cfRule type="cellIs" dxfId="7440" priority="432" operator="equal">
      <formula>0</formula>
    </cfRule>
  </conditionalFormatting>
  <conditionalFormatting sqref="V21">
    <cfRule type="cellIs" dxfId="7439" priority="429" operator="greaterThan">
      <formula>V20</formula>
    </cfRule>
    <cfRule type="cellIs" dxfId="7438" priority="430" operator="equal">
      <formula>0</formula>
    </cfRule>
  </conditionalFormatting>
  <conditionalFormatting sqref="V22">
    <cfRule type="cellIs" dxfId="7437" priority="427" operator="greaterThan">
      <formula>V21</formula>
    </cfRule>
    <cfRule type="cellIs" dxfId="7436" priority="428" operator="equal">
      <formula>0</formula>
    </cfRule>
  </conditionalFormatting>
  <conditionalFormatting sqref="V21">
    <cfRule type="cellIs" dxfId="7435" priority="425" operator="greaterThan">
      <formula>V20</formula>
    </cfRule>
    <cfRule type="cellIs" dxfId="7434" priority="426" operator="equal">
      <formula>0</formula>
    </cfRule>
  </conditionalFormatting>
  <conditionalFormatting sqref="V22">
    <cfRule type="cellIs" dxfId="7433" priority="423" operator="greaterThan">
      <formula>V21</formula>
    </cfRule>
    <cfRule type="cellIs" dxfId="7432" priority="424" operator="equal">
      <formula>0</formula>
    </cfRule>
  </conditionalFormatting>
  <conditionalFormatting sqref="V21">
    <cfRule type="cellIs" dxfId="7431" priority="421" operator="greaterThan">
      <formula>V20</formula>
    </cfRule>
    <cfRule type="cellIs" dxfId="7430" priority="422" operator="equal">
      <formula>0</formula>
    </cfRule>
  </conditionalFormatting>
  <conditionalFormatting sqref="V22">
    <cfRule type="cellIs" dxfId="7429" priority="419" operator="greaterThan">
      <formula>V21</formula>
    </cfRule>
    <cfRule type="cellIs" dxfId="7428" priority="420" operator="equal">
      <formula>0</formula>
    </cfRule>
  </conditionalFormatting>
  <conditionalFormatting sqref="V21">
    <cfRule type="cellIs" dxfId="7427" priority="417" operator="greaterThan">
      <formula>V20</formula>
    </cfRule>
    <cfRule type="cellIs" dxfId="7426" priority="418" operator="equal">
      <formula>0</formula>
    </cfRule>
  </conditionalFormatting>
  <conditionalFormatting sqref="V22">
    <cfRule type="cellIs" dxfId="7425" priority="415" operator="greaterThan">
      <formula>V21</formula>
    </cfRule>
    <cfRule type="cellIs" dxfId="7424" priority="416" operator="equal">
      <formula>0</formula>
    </cfRule>
  </conditionalFormatting>
  <conditionalFormatting sqref="V21">
    <cfRule type="cellIs" dxfId="7423" priority="413" operator="greaterThan">
      <formula>V20</formula>
    </cfRule>
    <cfRule type="cellIs" dxfId="7422" priority="414" operator="equal">
      <formula>0</formula>
    </cfRule>
  </conditionalFormatting>
  <conditionalFormatting sqref="V22">
    <cfRule type="cellIs" dxfId="7421" priority="411" operator="greaterThan">
      <formula>V21</formula>
    </cfRule>
    <cfRule type="cellIs" dxfId="7420" priority="412" operator="equal">
      <formula>0</formula>
    </cfRule>
  </conditionalFormatting>
  <conditionalFormatting sqref="V21">
    <cfRule type="cellIs" dxfId="7419" priority="409" operator="greaterThan">
      <formula>V20</formula>
    </cfRule>
    <cfRule type="cellIs" dxfId="7418" priority="410" operator="equal">
      <formula>0</formula>
    </cfRule>
  </conditionalFormatting>
  <conditionalFormatting sqref="V22">
    <cfRule type="cellIs" dxfId="7417" priority="407" operator="greaterThan">
      <formula>V21</formula>
    </cfRule>
    <cfRule type="cellIs" dxfId="7416" priority="408" operator="equal">
      <formula>0</formula>
    </cfRule>
  </conditionalFormatting>
  <conditionalFormatting sqref="V21">
    <cfRule type="cellIs" dxfId="7415" priority="405" operator="greaterThan">
      <formula>V20</formula>
    </cfRule>
    <cfRule type="cellIs" dxfId="7414" priority="406" operator="equal">
      <formula>0</formula>
    </cfRule>
  </conditionalFormatting>
  <conditionalFormatting sqref="V22">
    <cfRule type="cellIs" dxfId="7413" priority="403" operator="greaterThan">
      <formula>V21</formula>
    </cfRule>
    <cfRule type="cellIs" dxfId="7412" priority="404" operator="equal">
      <formula>0</formula>
    </cfRule>
  </conditionalFormatting>
  <conditionalFormatting sqref="V22">
    <cfRule type="cellIs" dxfId="7411" priority="401" operator="greaterThan">
      <formula>V21</formula>
    </cfRule>
    <cfRule type="cellIs" dxfId="7410" priority="402" operator="equal">
      <formula>0</formula>
    </cfRule>
  </conditionalFormatting>
  <conditionalFormatting sqref="V22">
    <cfRule type="cellIs" dxfId="7409" priority="399" operator="greaterThan">
      <formula>V21</formula>
    </cfRule>
    <cfRule type="cellIs" dxfId="7408" priority="400" operator="equal">
      <formula>0</formula>
    </cfRule>
  </conditionalFormatting>
  <conditionalFormatting sqref="V22">
    <cfRule type="cellIs" dxfId="7407" priority="397" operator="greaterThan">
      <formula>V21</formula>
    </cfRule>
    <cfRule type="cellIs" dxfId="7406" priority="398" operator="equal">
      <formula>0</formula>
    </cfRule>
  </conditionalFormatting>
  <conditionalFormatting sqref="V22">
    <cfRule type="cellIs" dxfId="7405" priority="395" operator="greaterThan">
      <formula>V21</formula>
    </cfRule>
    <cfRule type="cellIs" dxfId="7404" priority="396" operator="equal">
      <formula>0</formula>
    </cfRule>
  </conditionalFormatting>
  <conditionalFormatting sqref="V22">
    <cfRule type="cellIs" dxfId="7403" priority="393" operator="greaterThan">
      <formula>V21</formula>
    </cfRule>
    <cfRule type="cellIs" dxfId="7402" priority="394" operator="equal">
      <formula>0</formula>
    </cfRule>
  </conditionalFormatting>
  <conditionalFormatting sqref="V22">
    <cfRule type="cellIs" dxfId="7401" priority="391" operator="greaterThan">
      <formula>V21</formula>
    </cfRule>
    <cfRule type="cellIs" dxfId="7400" priority="392" operator="equal">
      <formula>0</formula>
    </cfRule>
  </conditionalFormatting>
  <conditionalFormatting sqref="V22">
    <cfRule type="cellIs" dxfId="7399" priority="389" operator="greaterThan">
      <formula>V21</formula>
    </cfRule>
    <cfRule type="cellIs" dxfId="7398" priority="390" operator="equal">
      <formula>0</formula>
    </cfRule>
  </conditionalFormatting>
  <conditionalFormatting sqref="V22">
    <cfRule type="cellIs" dxfId="7397" priority="387" operator="greaterThan">
      <formula>V21</formula>
    </cfRule>
    <cfRule type="cellIs" dxfId="7396" priority="388" operator="equal">
      <formula>0</formula>
    </cfRule>
  </conditionalFormatting>
  <conditionalFormatting sqref="V22">
    <cfRule type="cellIs" dxfId="7395" priority="385" operator="greaterThan">
      <formula>V21</formula>
    </cfRule>
    <cfRule type="cellIs" dxfId="7394" priority="386" operator="equal">
      <formula>0</formula>
    </cfRule>
  </conditionalFormatting>
  <conditionalFormatting sqref="V22">
    <cfRule type="cellIs" dxfId="7393" priority="383" operator="greaterThan">
      <formula>V21</formula>
    </cfRule>
    <cfRule type="cellIs" dxfId="7392" priority="384" operator="equal">
      <formula>0</formula>
    </cfRule>
  </conditionalFormatting>
  <conditionalFormatting sqref="V22">
    <cfRule type="cellIs" dxfId="7391" priority="381" operator="greaterThan">
      <formula>V21</formula>
    </cfRule>
    <cfRule type="cellIs" dxfId="7390" priority="382" operator="equal">
      <formula>0</formula>
    </cfRule>
  </conditionalFormatting>
  <conditionalFormatting sqref="V22">
    <cfRule type="cellIs" dxfId="7389" priority="379" operator="greaterThan">
      <formula>V21</formula>
    </cfRule>
    <cfRule type="cellIs" dxfId="7388" priority="380" operator="equal">
      <formula>0</formula>
    </cfRule>
  </conditionalFormatting>
  <conditionalFormatting sqref="V22">
    <cfRule type="cellIs" dxfId="7387" priority="377" operator="greaterThan">
      <formula>V21</formula>
    </cfRule>
    <cfRule type="cellIs" dxfId="7386" priority="378" operator="equal">
      <formula>0</formula>
    </cfRule>
  </conditionalFormatting>
  <conditionalFormatting sqref="V22">
    <cfRule type="cellIs" dxfId="7385" priority="375" operator="greaterThan">
      <formula>V21</formula>
    </cfRule>
    <cfRule type="cellIs" dxfId="7384" priority="376" operator="equal">
      <formula>0</formula>
    </cfRule>
  </conditionalFormatting>
  <conditionalFormatting sqref="V22">
    <cfRule type="cellIs" dxfId="7383" priority="373" operator="greaterThan">
      <formula>V21</formula>
    </cfRule>
    <cfRule type="cellIs" dxfId="7382" priority="374" operator="equal">
      <formula>0</formula>
    </cfRule>
  </conditionalFormatting>
  <conditionalFormatting sqref="V22">
    <cfRule type="cellIs" dxfId="7381" priority="371" operator="greaterThan">
      <formula>V21</formula>
    </cfRule>
    <cfRule type="cellIs" dxfId="7380" priority="372" operator="equal">
      <formula>0</formula>
    </cfRule>
  </conditionalFormatting>
  <conditionalFormatting sqref="V22">
    <cfRule type="cellIs" dxfId="7379" priority="369" operator="greaterThan">
      <formula>V21</formula>
    </cfRule>
    <cfRule type="cellIs" dxfId="7378" priority="370" operator="equal">
      <formula>0</formula>
    </cfRule>
  </conditionalFormatting>
  <conditionalFormatting sqref="V22">
    <cfRule type="cellIs" dxfId="7377" priority="367" operator="greaterThan">
      <formula>V21</formula>
    </cfRule>
    <cfRule type="cellIs" dxfId="7376" priority="368" operator="equal">
      <formula>0</formula>
    </cfRule>
  </conditionalFormatting>
  <conditionalFormatting sqref="V22">
    <cfRule type="cellIs" dxfId="7375" priority="365" operator="greaterThan">
      <formula>V21</formula>
    </cfRule>
    <cfRule type="cellIs" dxfId="7374" priority="366" operator="equal">
      <formula>0</formula>
    </cfRule>
  </conditionalFormatting>
  <conditionalFormatting sqref="V22">
    <cfRule type="cellIs" dxfId="7373" priority="363" operator="greaterThan">
      <formula>V21</formula>
    </cfRule>
    <cfRule type="cellIs" dxfId="7372" priority="364" operator="equal">
      <formula>0</formula>
    </cfRule>
  </conditionalFormatting>
  <conditionalFormatting sqref="V22">
    <cfRule type="cellIs" dxfId="7371" priority="361" operator="greaterThan">
      <formula>V21</formula>
    </cfRule>
    <cfRule type="cellIs" dxfId="7370" priority="362" operator="equal">
      <formula>0</formula>
    </cfRule>
  </conditionalFormatting>
  <conditionalFormatting sqref="V22">
    <cfRule type="cellIs" dxfId="7369" priority="359" operator="greaterThan">
      <formula>V21</formula>
    </cfRule>
    <cfRule type="cellIs" dxfId="7368" priority="360" operator="equal">
      <formula>0</formula>
    </cfRule>
  </conditionalFormatting>
  <conditionalFormatting sqref="V22">
    <cfRule type="cellIs" dxfId="7367" priority="357" operator="greaterThan">
      <formula>V21</formula>
    </cfRule>
    <cfRule type="cellIs" dxfId="7366" priority="358" operator="equal">
      <formula>0</formula>
    </cfRule>
  </conditionalFormatting>
  <conditionalFormatting sqref="V22">
    <cfRule type="cellIs" dxfId="7365" priority="355" operator="greaterThan">
      <formula>V21</formula>
    </cfRule>
    <cfRule type="cellIs" dxfId="7364" priority="356" operator="equal">
      <formula>0</formula>
    </cfRule>
  </conditionalFormatting>
  <conditionalFormatting sqref="V22">
    <cfRule type="cellIs" dxfId="7363" priority="353" operator="greaterThan">
      <formula>V21</formula>
    </cfRule>
    <cfRule type="cellIs" dxfId="7362" priority="354" operator="equal">
      <formula>0</formula>
    </cfRule>
  </conditionalFormatting>
  <conditionalFormatting sqref="V22">
    <cfRule type="cellIs" dxfId="7361" priority="351" operator="greaterThan">
      <formula>V21</formula>
    </cfRule>
    <cfRule type="cellIs" dxfId="7360" priority="352" operator="equal">
      <formula>0</formula>
    </cfRule>
  </conditionalFormatting>
  <conditionalFormatting sqref="V22">
    <cfRule type="cellIs" dxfId="7359" priority="349" operator="greaterThan">
      <formula>V21</formula>
    </cfRule>
    <cfRule type="cellIs" dxfId="7358" priority="350" operator="equal">
      <formula>0</formula>
    </cfRule>
  </conditionalFormatting>
  <conditionalFormatting sqref="V24">
    <cfRule type="cellIs" dxfId="7357" priority="347" operator="greaterThan">
      <formula>V23</formula>
    </cfRule>
    <cfRule type="cellIs" dxfId="7356" priority="348" operator="equal">
      <formula>0</formula>
    </cfRule>
  </conditionalFormatting>
  <conditionalFormatting sqref="V24">
    <cfRule type="cellIs" dxfId="7355" priority="345" operator="greaterThan">
      <formula>V23</formula>
    </cfRule>
    <cfRule type="cellIs" dxfId="7354" priority="346" operator="equal">
      <formula>0</formula>
    </cfRule>
  </conditionalFormatting>
  <conditionalFormatting sqref="V24">
    <cfRule type="cellIs" dxfId="7353" priority="343" operator="greaterThan">
      <formula>V23</formula>
    </cfRule>
    <cfRule type="cellIs" dxfId="7352" priority="344" operator="equal">
      <formula>0</formula>
    </cfRule>
  </conditionalFormatting>
  <conditionalFormatting sqref="V24">
    <cfRule type="cellIs" dxfId="7351" priority="341" operator="greaterThan">
      <formula>V23</formula>
    </cfRule>
    <cfRule type="cellIs" dxfId="7350" priority="342" operator="equal">
      <formula>0</formula>
    </cfRule>
  </conditionalFormatting>
  <conditionalFormatting sqref="V24">
    <cfRule type="cellIs" dxfId="7349" priority="339" operator="greaterThan">
      <formula>V23</formula>
    </cfRule>
    <cfRule type="cellIs" dxfId="7348" priority="340" operator="equal">
      <formula>0</formula>
    </cfRule>
  </conditionalFormatting>
  <conditionalFormatting sqref="V24">
    <cfRule type="cellIs" dxfId="7347" priority="337" operator="greaterThan">
      <formula>V23</formula>
    </cfRule>
    <cfRule type="cellIs" dxfId="7346" priority="338" operator="equal">
      <formula>0</formula>
    </cfRule>
  </conditionalFormatting>
  <conditionalFormatting sqref="V24">
    <cfRule type="cellIs" dxfId="7345" priority="335" operator="greaterThan">
      <formula>V23</formula>
    </cfRule>
    <cfRule type="cellIs" dxfId="7344" priority="336" operator="equal">
      <formula>0</formula>
    </cfRule>
  </conditionalFormatting>
  <conditionalFormatting sqref="V24">
    <cfRule type="cellIs" dxfId="7343" priority="333" operator="greaterThan">
      <formula>V23</formula>
    </cfRule>
    <cfRule type="cellIs" dxfId="7342" priority="334" operator="equal">
      <formula>0</formula>
    </cfRule>
  </conditionalFormatting>
  <conditionalFormatting sqref="V24">
    <cfRule type="cellIs" dxfId="7341" priority="331" operator="greaterThan">
      <formula>V23</formula>
    </cfRule>
    <cfRule type="cellIs" dxfId="7340" priority="332" operator="equal">
      <formula>0</formula>
    </cfRule>
  </conditionalFormatting>
  <conditionalFormatting sqref="V24">
    <cfRule type="cellIs" dxfId="7339" priority="329" operator="greaterThan">
      <formula>V23</formula>
    </cfRule>
    <cfRule type="cellIs" dxfId="7338" priority="330" operator="equal">
      <formula>0</formula>
    </cfRule>
  </conditionalFormatting>
  <conditionalFormatting sqref="V24">
    <cfRule type="cellIs" dxfId="7337" priority="327" operator="greaterThan">
      <formula>V23</formula>
    </cfRule>
    <cfRule type="cellIs" dxfId="7336" priority="328" operator="equal">
      <formula>0</formula>
    </cfRule>
  </conditionalFormatting>
  <conditionalFormatting sqref="V24">
    <cfRule type="cellIs" dxfId="7335" priority="325" operator="greaterThan">
      <formula>V23</formula>
    </cfRule>
    <cfRule type="cellIs" dxfId="7334" priority="326" operator="equal">
      <formula>0</formula>
    </cfRule>
  </conditionalFormatting>
  <conditionalFormatting sqref="V24">
    <cfRule type="cellIs" dxfId="7333" priority="323" operator="greaterThan">
      <formula>V23</formula>
    </cfRule>
    <cfRule type="cellIs" dxfId="7332" priority="324" operator="equal">
      <formula>0</formula>
    </cfRule>
  </conditionalFormatting>
  <conditionalFormatting sqref="V24">
    <cfRule type="cellIs" dxfId="7331" priority="321" operator="greaterThan">
      <formula>V23</formula>
    </cfRule>
    <cfRule type="cellIs" dxfId="7330" priority="322" operator="equal">
      <formula>0</formula>
    </cfRule>
  </conditionalFormatting>
  <conditionalFormatting sqref="V24">
    <cfRule type="cellIs" dxfId="7329" priority="319" operator="greaterThan">
      <formula>V23</formula>
    </cfRule>
    <cfRule type="cellIs" dxfId="7328" priority="320" operator="equal">
      <formula>0</formula>
    </cfRule>
  </conditionalFormatting>
  <conditionalFormatting sqref="V24">
    <cfRule type="cellIs" dxfId="7327" priority="317" operator="greaterThan">
      <formula>V23</formula>
    </cfRule>
    <cfRule type="cellIs" dxfId="7326" priority="318" operator="equal">
      <formula>0</formula>
    </cfRule>
  </conditionalFormatting>
  <conditionalFormatting sqref="V24">
    <cfRule type="cellIs" dxfId="7325" priority="315" operator="greaterThan">
      <formula>V23</formula>
    </cfRule>
    <cfRule type="cellIs" dxfId="7324" priority="316" operator="equal">
      <formula>0</formula>
    </cfRule>
  </conditionalFormatting>
  <conditionalFormatting sqref="V24">
    <cfRule type="cellIs" dxfId="7323" priority="313" operator="greaterThan">
      <formula>V23</formula>
    </cfRule>
    <cfRule type="cellIs" dxfId="7322" priority="314" operator="equal">
      <formula>0</formula>
    </cfRule>
  </conditionalFormatting>
  <conditionalFormatting sqref="V25">
    <cfRule type="cellIs" dxfId="7321" priority="311" operator="greaterThan">
      <formula>V24</formula>
    </cfRule>
    <cfRule type="cellIs" dxfId="7320" priority="312" operator="equal">
      <formula>0</formula>
    </cfRule>
  </conditionalFormatting>
  <conditionalFormatting sqref="V25">
    <cfRule type="cellIs" dxfId="7319" priority="309" operator="greaterThan">
      <formula>V24</formula>
    </cfRule>
    <cfRule type="cellIs" dxfId="7318" priority="310" operator="equal">
      <formula>0</formula>
    </cfRule>
  </conditionalFormatting>
  <conditionalFormatting sqref="V25">
    <cfRule type="cellIs" dxfId="7317" priority="307" operator="greaterThan">
      <formula>V24</formula>
    </cfRule>
    <cfRule type="cellIs" dxfId="7316" priority="308" operator="equal">
      <formula>0</formula>
    </cfRule>
  </conditionalFormatting>
  <conditionalFormatting sqref="V25">
    <cfRule type="cellIs" dxfId="7315" priority="305" operator="greaterThan">
      <formula>V24</formula>
    </cfRule>
    <cfRule type="cellIs" dxfId="7314" priority="306" operator="equal">
      <formula>0</formula>
    </cfRule>
  </conditionalFormatting>
  <conditionalFormatting sqref="V25">
    <cfRule type="cellIs" dxfId="7313" priority="303" operator="greaterThan">
      <formula>V24</formula>
    </cfRule>
    <cfRule type="cellIs" dxfId="7312" priority="304" operator="equal">
      <formula>0</formula>
    </cfRule>
  </conditionalFormatting>
  <conditionalFormatting sqref="V25">
    <cfRule type="cellIs" dxfId="7311" priority="301" operator="greaterThan">
      <formula>V24</formula>
    </cfRule>
    <cfRule type="cellIs" dxfId="7310" priority="302" operator="equal">
      <formula>0</formula>
    </cfRule>
  </conditionalFormatting>
  <conditionalFormatting sqref="V25">
    <cfRule type="cellIs" dxfId="7309" priority="299" operator="greaterThan">
      <formula>V24</formula>
    </cfRule>
    <cfRule type="cellIs" dxfId="7308" priority="300" operator="equal">
      <formula>0</formula>
    </cfRule>
  </conditionalFormatting>
  <conditionalFormatting sqref="V25">
    <cfRule type="cellIs" dxfId="7307" priority="297" operator="greaterThan">
      <formula>V24</formula>
    </cfRule>
    <cfRule type="cellIs" dxfId="7306" priority="298" operator="equal">
      <formula>0</formula>
    </cfRule>
  </conditionalFormatting>
  <conditionalFormatting sqref="V25">
    <cfRule type="cellIs" dxfId="7305" priority="295" operator="greaterThan">
      <formula>V24</formula>
    </cfRule>
    <cfRule type="cellIs" dxfId="7304" priority="296" operator="equal">
      <formula>0</formula>
    </cfRule>
  </conditionalFormatting>
  <conditionalFormatting sqref="V25">
    <cfRule type="cellIs" dxfId="7303" priority="293" operator="greaterThan">
      <formula>V24</formula>
    </cfRule>
    <cfRule type="cellIs" dxfId="7302" priority="294" operator="equal">
      <formula>0</formula>
    </cfRule>
  </conditionalFormatting>
  <conditionalFormatting sqref="V25">
    <cfRule type="cellIs" dxfId="7301" priority="291" operator="greaterThan">
      <formula>V24</formula>
    </cfRule>
    <cfRule type="cellIs" dxfId="7300" priority="292" operator="equal">
      <formula>0</formula>
    </cfRule>
  </conditionalFormatting>
  <conditionalFormatting sqref="V25">
    <cfRule type="cellIs" dxfId="7299" priority="289" operator="greaterThan">
      <formula>V24</formula>
    </cfRule>
    <cfRule type="cellIs" dxfId="7298" priority="290" operator="equal">
      <formula>0</formula>
    </cfRule>
  </conditionalFormatting>
  <conditionalFormatting sqref="V25">
    <cfRule type="cellIs" dxfId="7297" priority="287" operator="greaterThan">
      <formula>V24</formula>
    </cfRule>
    <cfRule type="cellIs" dxfId="7296" priority="288" operator="equal">
      <formula>0</formula>
    </cfRule>
  </conditionalFormatting>
  <conditionalFormatting sqref="V25">
    <cfRule type="cellIs" dxfId="7295" priority="285" operator="greaterThan">
      <formula>V24</formula>
    </cfRule>
    <cfRule type="cellIs" dxfId="7294" priority="286" operator="equal">
      <formula>0</formula>
    </cfRule>
  </conditionalFormatting>
  <conditionalFormatting sqref="V25">
    <cfRule type="cellIs" dxfId="7293" priority="283" operator="greaterThan">
      <formula>V24</formula>
    </cfRule>
    <cfRule type="cellIs" dxfId="7292" priority="284" operator="equal">
      <formula>0</formula>
    </cfRule>
  </conditionalFormatting>
  <conditionalFormatting sqref="V25">
    <cfRule type="cellIs" dxfId="7291" priority="281" operator="greaterThan">
      <formula>V24</formula>
    </cfRule>
    <cfRule type="cellIs" dxfId="7290" priority="282" operator="equal">
      <formula>0</formula>
    </cfRule>
  </conditionalFormatting>
  <conditionalFormatting sqref="V25">
    <cfRule type="cellIs" dxfId="7289" priority="279" operator="greaterThan">
      <formula>V24</formula>
    </cfRule>
    <cfRule type="cellIs" dxfId="7288" priority="280" operator="equal">
      <formula>0</formula>
    </cfRule>
  </conditionalFormatting>
  <conditionalFormatting sqref="V25">
    <cfRule type="cellIs" dxfId="7287" priority="277" operator="greaterThan">
      <formula>V24</formula>
    </cfRule>
    <cfRule type="cellIs" dxfId="7286" priority="278" operator="equal">
      <formula>0</formula>
    </cfRule>
  </conditionalFormatting>
  <conditionalFormatting sqref="V25">
    <cfRule type="cellIs" dxfId="7285" priority="275" operator="greaterThan">
      <formula>V24</formula>
    </cfRule>
    <cfRule type="cellIs" dxfId="7284" priority="276" operator="equal">
      <formula>0</formula>
    </cfRule>
  </conditionalFormatting>
  <conditionalFormatting sqref="V25">
    <cfRule type="cellIs" dxfId="7283" priority="273" operator="greaterThan">
      <formula>V24</formula>
    </cfRule>
    <cfRule type="cellIs" dxfId="7282" priority="274" operator="equal">
      <formula>0</formula>
    </cfRule>
  </conditionalFormatting>
  <conditionalFormatting sqref="V25">
    <cfRule type="cellIs" dxfId="7281" priority="271" operator="greaterThan">
      <formula>V24</formula>
    </cfRule>
    <cfRule type="cellIs" dxfId="7280" priority="272" operator="equal">
      <formula>0</formula>
    </cfRule>
  </conditionalFormatting>
  <conditionalFormatting sqref="V25">
    <cfRule type="cellIs" dxfId="7279" priority="269" operator="greaterThan">
      <formula>V24</formula>
    </cfRule>
    <cfRule type="cellIs" dxfId="7278" priority="270" operator="equal">
      <formula>0</formula>
    </cfRule>
  </conditionalFormatting>
  <conditionalFormatting sqref="V25">
    <cfRule type="cellIs" dxfId="7277" priority="267" operator="greaterThan">
      <formula>V24</formula>
    </cfRule>
    <cfRule type="cellIs" dxfId="7276" priority="268" operator="equal">
      <formula>0</formula>
    </cfRule>
  </conditionalFormatting>
  <conditionalFormatting sqref="V25">
    <cfRule type="cellIs" dxfId="7275" priority="265" operator="greaterThan">
      <formula>V24</formula>
    </cfRule>
    <cfRule type="cellIs" dxfId="7274" priority="266" operator="equal">
      <formula>0</formula>
    </cfRule>
  </conditionalFormatting>
  <conditionalFormatting sqref="V25">
    <cfRule type="cellIs" dxfId="7273" priority="263" operator="greaterThan">
      <formula>V24</formula>
    </cfRule>
    <cfRule type="cellIs" dxfId="7272" priority="264" operator="equal">
      <formula>0</formula>
    </cfRule>
  </conditionalFormatting>
  <conditionalFormatting sqref="V25">
    <cfRule type="cellIs" dxfId="7271" priority="261" operator="greaterThan">
      <formula>V24</formula>
    </cfRule>
    <cfRule type="cellIs" dxfId="7270" priority="262" operator="equal">
      <formula>0</formula>
    </cfRule>
  </conditionalFormatting>
  <conditionalFormatting sqref="V25">
    <cfRule type="cellIs" dxfId="7269" priority="259" operator="greaterThan">
      <formula>V24</formula>
    </cfRule>
    <cfRule type="cellIs" dxfId="7268" priority="260" operator="equal">
      <formula>0</formula>
    </cfRule>
  </conditionalFormatting>
  <conditionalFormatting sqref="V25">
    <cfRule type="cellIs" dxfId="7267" priority="257" operator="greaterThan">
      <formula>V24</formula>
    </cfRule>
    <cfRule type="cellIs" dxfId="7266" priority="258" operator="equal">
      <formula>0</formula>
    </cfRule>
  </conditionalFormatting>
  <conditionalFormatting sqref="V27">
    <cfRule type="cellIs" dxfId="7265" priority="255" operator="greaterThan">
      <formula>V26</formula>
    </cfRule>
    <cfRule type="cellIs" dxfId="7264" priority="256" operator="equal">
      <formula>0</formula>
    </cfRule>
  </conditionalFormatting>
  <conditionalFormatting sqref="V27">
    <cfRule type="cellIs" dxfId="7263" priority="253" operator="greaterThan">
      <formula>V26</formula>
    </cfRule>
    <cfRule type="cellIs" dxfId="7262" priority="254" operator="equal">
      <formula>0</formula>
    </cfRule>
  </conditionalFormatting>
  <conditionalFormatting sqref="V27">
    <cfRule type="cellIs" dxfId="7261" priority="251" operator="greaterThan">
      <formula>V26</formula>
    </cfRule>
    <cfRule type="cellIs" dxfId="7260" priority="252" operator="equal">
      <formula>0</formula>
    </cfRule>
  </conditionalFormatting>
  <conditionalFormatting sqref="V27">
    <cfRule type="cellIs" dxfId="7259" priority="249" operator="greaterThan">
      <formula>V26</formula>
    </cfRule>
    <cfRule type="cellIs" dxfId="7258" priority="250" operator="equal">
      <formula>0</formula>
    </cfRule>
  </conditionalFormatting>
  <conditionalFormatting sqref="V27">
    <cfRule type="cellIs" dxfId="7257" priority="247" operator="greaterThan">
      <formula>V26</formula>
    </cfRule>
    <cfRule type="cellIs" dxfId="7256" priority="248" operator="equal">
      <formula>0</formula>
    </cfRule>
  </conditionalFormatting>
  <conditionalFormatting sqref="V27">
    <cfRule type="cellIs" dxfId="7255" priority="245" operator="greaterThan">
      <formula>V26</formula>
    </cfRule>
    <cfRule type="cellIs" dxfId="7254" priority="246" operator="equal">
      <formula>0</formula>
    </cfRule>
  </conditionalFormatting>
  <conditionalFormatting sqref="V27">
    <cfRule type="cellIs" dxfId="7253" priority="243" operator="greaterThan">
      <formula>V26</formula>
    </cfRule>
    <cfRule type="cellIs" dxfId="7252" priority="244" operator="equal">
      <formula>0</formula>
    </cfRule>
  </conditionalFormatting>
  <conditionalFormatting sqref="V27">
    <cfRule type="cellIs" dxfId="7251" priority="241" operator="greaterThan">
      <formula>V26</formula>
    </cfRule>
    <cfRule type="cellIs" dxfId="7250" priority="242" operator="equal">
      <formula>0</formula>
    </cfRule>
  </conditionalFormatting>
  <conditionalFormatting sqref="V27">
    <cfRule type="cellIs" dxfId="7249" priority="239" operator="greaterThan">
      <formula>V26</formula>
    </cfRule>
    <cfRule type="cellIs" dxfId="7248" priority="240" operator="equal">
      <formula>0</formula>
    </cfRule>
  </conditionalFormatting>
  <conditionalFormatting sqref="V27">
    <cfRule type="cellIs" dxfId="7247" priority="237" operator="greaterThan">
      <formula>V26</formula>
    </cfRule>
    <cfRule type="cellIs" dxfId="7246" priority="238" operator="equal">
      <formula>0</formula>
    </cfRule>
  </conditionalFormatting>
  <conditionalFormatting sqref="V27">
    <cfRule type="cellIs" dxfId="7245" priority="235" operator="greaterThan">
      <formula>V26</formula>
    </cfRule>
    <cfRule type="cellIs" dxfId="7244" priority="236" operator="equal">
      <formula>0</formula>
    </cfRule>
  </conditionalFormatting>
  <conditionalFormatting sqref="V27">
    <cfRule type="cellIs" dxfId="7243" priority="233" operator="greaterThan">
      <formula>V26</formula>
    </cfRule>
    <cfRule type="cellIs" dxfId="7242" priority="234" operator="equal">
      <formula>0</formula>
    </cfRule>
  </conditionalFormatting>
  <conditionalFormatting sqref="V27">
    <cfRule type="cellIs" dxfId="7241" priority="231" operator="greaterThan">
      <formula>V26</formula>
    </cfRule>
    <cfRule type="cellIs" dxfId="7240" priority="232" operator="equal">
      <formula>0</formula>
    </cfRule>
  </conditionalFormatting>
  <conditionalFormatting sqref="V27">
    <cfRule type="cellIs" dxfId="7239" priority="229" operator="greaterThan">
      <formula>V26</formula>
    </cfRule>
    <cfRule type="cellIs" dxfId="7238" priority="230" operator="equal">
      <formula>0</formula>
    </cfRule>
  </conditionalFormatting>
  <conditionalFormatting sqref="V27">
    <cfRule type="cellIs" dxfId="7237" priority="227" operator="greaterThan">
      <formula>V26</formula>
    </cfRule>
    <cfRule type="cellIs" dxfId="7236" priority="228" operator="equal">
      <formula>0</formula>
    </cfRule>
  </conditionalFormatting>
  <conditionalFormatting sqref="V27">
    <cfRule type="cellIs" dxfId="7235" priority="225" operator="greaterThan">
      <formula>V26</formula>
    </cfRule>
    <cfRule type="cellIs" dxfId="7234" priority="226" operator="equal">
      <formula>0</formula>
    </cfRule>
  </conditionalFormatting>
  <conditionalFormatting sqref="V27">
    <cfRule type="cellIs" dxfId="7233" priority="223" operator="greaterThan">
      <formula>V26</formula>
    </cfRule>
    <cfRule type="cellIs" dxfId="7232" priority="224" operator="equal">
      <formula>0</formula>
    </cfRule>
  </conditionalFormatting>
  <conditionalFormatting sqref="V27">
    <cfRule type="cellIs" dxfId="7231" priority="221" operator="greaterThan">
      <formula>V26</formula>
    </cfRule>
    <cfRule type="cellIs" dxfId="7230" priority="222" operator="equal">
      <formula>0</formula>
    </cfRule>
  </conditionalFormatting>
  <conditionalFormatting sqref="V27">
    <cfRule type="cellIs" dxfId="7229" priority="219" operator="greaterThan">
      <formula>V26</formula>
    </cfRule>
    <cfRule type="cellIs" dxfId="7228" priority="220" operator="equal">
      <formula>0</formula>
    </cfRule>
  </conditionalFormatting>
  <conditionalFormatting sqref="V27">
    <cfRule type="cellIs" dxfId="7227" priority="217" operator="greaterThan">
      <formula>V26</formula>
    </cfRule>
    <cfRule type="cellIs" dxfId="7226" priority="218" operator="equal">
      <formula>0</formula>
    </cfRule>
  </conditionalFormatting>
  <conditionalFormatting sqref="V27">
    <cfRule type="cellIs" dxfId="7225" priority="215" operator="greaterThan">
      <formula>V26</formula>
    </cfRule>
    <cfRule type="cellIs" dxfId="7224" priority="216" operator="equal">
      <formula>0</formula>
    </cfRule>
  </conditionalFormatting>
  <conditionalFormatting sqref="V27">
    <cfRule type="cellIs" dxfId="7223" priority="213" operator="greaterThan">
      <formula>V26</formula>
    </cfRule>
    <cfRule type="cellIs" dxfId="7222" priority="214" operator="equal">
      <formula>0</formula>
    </cfRule>
  </conditionalFormatting>
  <conditionalFormatting sqref="V27">
    <cfRule type="cellIs" dxfId="7221" priority="211" operator="greaterThan">
      <formula>V26</formula>
    </cfRule>
    <cfRule type="cellIs" dxfId="7220" priority="212" operator="equal">
      <formula>0</formula>
    </cfRule>
  </conditionalFormatting>
  <conditionalFormatting sqref="V27">
    <cfRule type="cellIs" dxfId="7219" priority="209" operator="greaterThan">
      <formula>V26</formula>
    </cfRule>
    <cfRule type="cellIs" dxfId="7218" priority="210" operator="equal">
      <formula>0</formula>
    </cfRule>
  </conditionalFormatting>
  <conditionalFormatting sqref="V27">
    <cfRule type="cellIs" dxfId="7217" priority="207" operator="greaterThan">
      <formula>V26</formula>
    </cfRule>
    <cfRule type="cellIs" dxfId="7216" priority="208" operator="equal">
      <formula>0</formula>
    </cfRule>
  </conditionalFormatting>
  <conditionalFormatting sqref="V27">
    <cfRule type="cellIs" dxfId="7215" priority="205" operator="greaterThan">
      <formula>V26</formula>
    </cfRule>
    <cfRule type="cellIs" dxfId="7214" priority="206" operator="equal">
      <formula>0</formula>
    </cfRule>
  </conditionalFormatting>
  <conditionalFormatting sqref="V27">
    <cfRule type="cellIs" dxfId="7213" priority="203" operator="greaterThan">
      <formula>V26</formula>
    </cfRule>
    <cfRule type="cellIs" dxfId="7212" priority="204" operator="equal">
      <formula>0</formula>
    </cfRule>
  </conditionalFormatting>
  <conditionalFormatting sqref="V27">
    <cfRule type="cellIs" dxfId="7211" priority="201" operator="greaterThan">
      <formula>V26</formula>
    </cfRule>
    <cfRule type="cellIs" dxfId="7210" priority="202" operator="equal">
      <formula>0</formula>
    </cfRule>
  </conditionalFormatting>
  <conditionalFormatting sqref="V27">
    <cfRule type="cellIs" dxfId="7209" priority="199" operator="greaterThan">
      <formula>V26</formula>
    </cfRule>
    <cfRule type="cellIs" dxfId="7208" priority="200" operator="equal">
      <formula>0</formula>
    </cfRule>
  </conditionalFormatting>
  <conditionalFormatting sqref="V28">
    <cfRule type="cellIs" dxfId="7207" priority="197" operator="greaterThan">
      <formula>V27</formula>
    </cfRule>
    <cfRule type="cellIs" dxfId="7206" priority="198" operator="equal">
      <formula>0</formula>
    </cfRule>
  </conditionalFormatting>
  <conditionalFormatting sqref="V28">
    <cfRule type="cellIs" dxfId="7205" priority="195" operator="greaterThan">
      <formula>V27</formula>
    </cfRule>
    <cfRule type="cellIs" dxfId="7204" priority="196" operator="equal">
      <formula>0</formula>
    </cfRule>
  </conditionalFormatting>
  <conditionalFormatting sqref="V28">
    <cfRule type="cellIs" dxfId="7203" priority="193" operator="greaterThan">
      <formula>V27</formula>
    </cfRule>
    <cfRule type="cellIs" dxfId="7202" priority="194" operator="equal">
      <formula>0</formula>
    </cfRule>
  </conditionalFormatting>
  <conditionalFormatting sqref="V28">
    <cfRule type="cellIs" dxfId="7201" priority="191" operator="greaterThan">
      <formula>V27</formula>
    </cfRule>
    <cfRule type="cellIs" dxfId="7200" priority="192" operator="equal">
      <formula>0</formula>
    </cfRule>
  </conditionalFormatting>
  <conditionalFormatting sqref="V28">
    <cfRule type="cellIs" dxfId="7199" priority="189" operator="greaterThan">
      <formula>V27</formula>
    </cfRule>
    <cfRule type="cellIs" dxfId="7198" priority="190" operator="equal">
      <formula>0</formula>
    </cfRule>
  </conditionalFormatting>
  <conditionalFormatting sqref="V28">
    <cfRule type="cellIs" dxfId="7197" priority="187" operator="greaterThan">
      <formula>V27</formula>
    </cfRule>
    <cfRule type="cellIs" dxfId="7196" priority="188" operator="equal">
      <formula>0</formula>
    </cfRule>
  </conditionalFormatting>
  <conditionalFormatting sqref="V28">
    <cfRule type="cellIs" dxfId="7195" priority="185" operator="greaterThan">
      <formula>V27</formula>
    </cfRule>
    <cfRule type="cellIs" dxfId="7194" priority="186" operator="equal">
      <formula>0</formula>
    </cfRule>
  </conditionalFormatting>
  <conditionalFormatting sqref="V28">
    <cfRule type="cellIs" dxfId="7193" priority="183" operator="greaterThan">
      <formula>V27</formula>
    </cfRule>
    <cfRule type="cellIs" dxfId="7192" priority="184" operator="equal">
      <formula>0</formula>
    </cfRule>
  </conditionalFormatting>
  <conditionalFormatting sqref="V28">
    <cfRule type="cellIs" dxfId="7191" priority="181" operator="greaterThan">
      <formula>V27</formula>
    </cfRule>
    <cfRule type="cellIs" dxfId="7190" priority="182" operator="equal">
      <formula>0</formula>
    </cfRule>
  </conditionalFormatting>
  <conditionalFormatting sqref="V28">
    <cfRule type="cellIs" dxfId="7189" priority="179" operator="greaterThan">
      <formula>V27</formula>
    </cfRule>
    <cfRule type="cellIs" dxfId="7188" priority="180" operator="equal">
      <formula>0</formula>
    </cfRule>
  </conditionalFormatting>
  <conditionalFormatting sqref="V28">
    <cfRule type="cellIs" dxfId="7187" priority="177" operator="greaterThan">
      <formula>V27</formula>
    </cfRule>
    <cfRule type="cellIs" dxfId="7186" priority="178" operator="equal">
      <formula>0</formula>
    </cfRule>
  </conditionalFormatting>
  <conditionalFormatting sqref="V28">
    <cfRule type="cellIs" dxfId="7185" priority="175" operator="greaterThan">
      <formula>V27</formula>
    </cfRule>
    <cfRule type="cellIs" dxfId="7184" priority="176" operator="equal">
      <formula>0</formula>
    </cfRule>
  </conditionalFormatting>
  <conditionalFormatting sqref="V28">
    <cfRule type="cellIs" dxfId="7183" priority="173" operator="greaterThan">
      <formula>V27</formula>
    </cfRule>
    <cfRule type="cellIs" dxfId="7182" priority="174" operator="equal">
      <formula>0</formula>
    </cfRule>
  </conditionalFormatting>
  <conditionalFormatting sqref="V28">
    <cfRule type="cellIs" dxfId="7181" priority="171" operator="greaterThan">
      <formula>V27</formula>
    </cfRule>
    <cfRule type="cellIs" dxfId="7180" priority="172" operator="equal">
      <formula>0</formula>
    </cfRule>
  </conditionalFormatting>
  <conditionalFormatting sqref="V28">
    <cfRule type="cellIs" dxfId="7179" priority="169" operator="greaterThan">
      <formula>V27</formula>
    </cfRule>
    <cfRule type="cellIs" dxfId="7178" priority="170" operator="equal">
      <formula>0</formula>
    </cfRule>
  </conditionalFormatting>
  <conditionalFormatting sqref="V28">
    <cfRule type="cellIs" dxfId="7177" priority="167" operator="greaterThan">
      <formula>V27</formula>
    </cfRule>
    <cfRule type="cellIs" dxfId="7176" priority="168" operator="equal">
      <formula>0</formula>
    </cfRule>
  </conditionalFormatting>
  <conditionalFormatting sqref="V28">
    <cfRule type="cellIs" dxfId="7175" priority="165" operator="greaterThan">
      <formula>V27</formula>
    </cfRule>
    <cfRule type="cellIs" dxfId="7174" priority="166" operator="equal">
      <formula>0</formula>
    </cfRule>
  </conditionalFormatting>
  <conditionalFormatting sqref="V28">
    <cfRule type="cellIs" dxfId="7173" priority="163" operator="greaterThan">
      <formula>V27</formula>
    </cfRule>
    <cfRule type="cellIs" dxfId="7172" priority="164" operator="equal">
      <formula>0</formula>
    </cfRule>
  </conditionalFormatting>
  <conditionalFormatting sqref="V28">
    <cfRule type="cellIs" dxfId="7171" priority="161" operator="greaterThan">
      <formula>V27</formula>
    </cfRule>
    <cfRule type="cellIs" dxfId="7170" priority="162" operator="equal">
      <formula>0</formula>
    </cfRule>
  </conditionalFormatting>
  <conditionalFormatting sqref="V28">
    <cfRule type="cellIs" dxfId="7169" priority="159" operator="greaterThan">
      <formula>V27</formula>
    </cfRule>
    <cfRule type="cellIs" dxfId="7168" priority="160" operator="equal">
      <formula>0</formula>
    </cfRule>
  </conditionalFormatting>
  <conditionalFormatting sqref="V28">
    <cfRule type="cellIs" dxfId="7167" priority="157" operator="greaterThan">
      <formula>V27</formula>
    </cfRule>
    <cfRule type="cellIs" dxfId="7166" priority="158" operator="equal">
      <formula>0</formula>
    </cfRule>
  </conditionalFormatting>
  <conditionalFormatting sqref="V28">
    <cfRule type="cellIs" dxfId="7165" priority="155" operator="greaterThan">
      <formula>V27</formula>
    </cfRule>
    <cfRule type="cellIs" dxfId="7164" priority="156" operator="equal">
      <formula>0</formula>
    </cfRule>
  </conditionalFormatting>
  <conditionalFormatting sqref="V28">
    <cfRule type="cellIs" dxfId="7163" priority="153" operator="greaterThan">
      <formula>V27</formula>
    </cfRule>
    <cfRule type="cellIs" dxfId="7162" priority="154" operator="equal">
      <formula>0</formula>
    </cfRule>
  </conditionalFormatting>
  <conditionalFormatting sqref="V28">
    <cfRule type="cellIs" dxfId="7161" priority="151" operator="greaterThan">
      <formula>V27</formula>
    </cfRule>
    <cfRule type="cellIs" dxfId="7160" priority="152" operator="equal">
      <formula>0</formula>
    </cfRule>
  </conditionalFormatting>
  <conditionalFormatting sqref="V28">
    <cfRule type="cellIs" dxfId="7159" priority="149" operator="greaterThan">
      <formula>V27</formula>
    </cfRule>
    <cfRule type="cellIs" dxfId="7158" priority="150" operator="equal">
      <formula>0</formula>
    </cfRule>
  </conditionalFormatting>
  <conditionalFormatting sqref="V28">
    <cfRule type="cellIs" dxfId="7157" priority="147" operator="greaterThan">
      <formula>V27</formula>
    </cfRule>
    <cfRule type="cellIs" dxfId="7156" priority="148" operator="equal">
      <formula>0</formula>
    </cfRule>
  </conditionalFormatting>
  <conditionalFormatting sqref="V28">
    <cfRule type="cellIs" dxfId="7155" priority="145" operator="greaterThan">
      <formula>V27</formula>
    </cfRule>
    <cfRule type="cellIs" dxfId="7154" priority="146" operator="equal">
      <formula>0</formula>
    </cfRule>
  </conditionalFormatting>
  <conditionalFormatting sqref="V28">
    <cfRule type="cellIs" dxfId="7153" priority="143" operator="greaterThan">
      <formula>V27</formula>
    </cfRule>
    <cfRule type="cellIs" dxfId="7152" priority="144" operator="equal">
      <formula>0</formula>
    </cfRule>
  </conditionalFormatting>
  <conditionalFormatting sqref="V28">
    <cfRule type="cellIs" dxfId="7151" priority="141" operator="greaterThan">
      <formula>V27</formula>
    </cfRule>
    <cfRule type="cellIs" dxfId="7150" priority="142" operator="equal">
      <formula>0</formula>
    </cfRule>
  </conditionalFormatting>
  <conditionalFormatting sqref="V28">
    <cfRule type="cellIs" dxfId="7149" priority="139" operator="greaterThan">
      <formula>V27</formula>
    </cfRule>
    <cfRule type="cellIs" dxfId="7148" priority="140" operator="equal">
      <formula>0</formula>
    </cfRule>
  </conditionalFormatting>
  <conditionalFormatting sqref="V28">
    <cfRule type="cellIs" dxfId="7147" priority="137" operator="greaterThan">
      <formula>V27</formula>
    </cfRule>
    <cfRule type="cellIs" dxfId="7146" priority="138" operator="equal">
      <formula>0</formula>
    </cfRule>
  </conditionalFormatting>
  <conditionalFormatting sqref="V28">
    <cfRule type="cellIs" dxfId="7145" priority="135" operator="greaterThan">
      <formula>V27</formula>
    </cfRule>
    <cfRule type="cellIs" dxfId="7144" priority="136" operator="equal">
      <formula>0</formula>
    </cfRule>
  </conditionalFormatting>
  <conditionalFormatting sqref="V28">
    <cfRule type="cellIs" dxfId="7143" priority="133" operator="greaterThan">
      <formula>V27</formula>
    </cfRule>
    <cfRule type="cellIs" dxfId="7142" priority="134" operator="equal">
      <formula>0</formula>
    </cfRule>
  </conditionalFormatting>
  <conditionalFormatting sqref="V28">
    <cfRule type="cellIs" dxfId="7141" priority="131" operator="greaterThan">
      <formula>V27</formula>
    </cfRule>
    <cfRule type="cellIs" dxfId="7140" priority="132" operator="equal">
      <formula>0</formula>
    </cfRule>
  </conditionalFormatting>
  <conditionalFormatting sqref="V28">
    <cfRule type="cellIs" dxfId="7139" priority="129" operator="greaterThan">
      <formula>V27</formula>
    </cfRule>
    <cfRule type="cellIs" dxfId="7138" priority="130" operator="equal">
      <formula>0</formula>
    </cfRule>
  </conditionalFormatting>
  <conditionalFormatting sqref="V28">
    <cfRule type="cellIs" dxfId="7137" priority="127" operator="greaterThan">
      <formula>V27</formula>
    </cfRule>
    <cfRule type="cellIs" dxfId="7136" priority="128" operator="equal">
      <formula>0</formula>
    </cfRule>
  </conditionalFormatting>
  <conditionalFormatting sqref="V28">
    <cfRule type="cellIs" dxfId="7135" priority="125" operator="greaterThan">
      <formula>V27</formula>
    </cfRule>
    <cfRule type="cellIs" dxfId="7134" priority="126" operator="equal">
      <formula>0</formula>
    </cfRule>
  </conditionalFormatting>
  <conditionalFormatting sqref="V28">
    <cfRule type="cellIs" dxfId="7133" priority="123" operator="greaterThan">
      <formula>V27</formula>
    </cfRule>
    <cfRule type="cellIs" dxfId="7132" priority="124" operator="equal">
      <formula>0</formula>
    </cfRule>
  </conditionalFormatting>
  <conditionalFormatting sqref="V28">
    <cfRule type="cellIs" dxfId="7131" priority="121" operator="greaterThan">
      <formula>V27</formula>
    </cfRule>
    <cfRule type="cellIs" dxfId="7130" priority="122" operator="equal">
      <formula>0</formula>
    </cfRule>
  </conditionalFormatting>
  <conditionalFormatting sqref="V28">
    <cfRule type="cellIs" dxfId="7129" priority="119" operator="greaterThan">
      <formula>V27</formula>
    </cfRule>
    <cfRule type="cellIs" dxfId="7128" priority="120" operator="equal">
      <formula>0</formula>
    </cfRule>
  </conditionalFormatting>
  <conditionalFormatting sqref="V28">
    <cfRule type="cellIs" dxfId="7127" priority="117" operator="greaterThan">
      <formula>V27</formula>
    </cfRule>
    <cfRule type="cellIs" dxfId="7126" priority="118" operator="equal">
      <formula>0</formula>
    </cfRule>
  </conditionalFormatting>
  <conditionalFormatting sqref="V28">
    <cfRule type="cellIs" dxfId="7125" priority="115" operator="greaterThan">
      <formula>V27</formula>
    </cfRule>
    <cfRule type="cellIs" dxfId="7124" priority="116" operator="equal">
      <formula>0</formula>
    </cfRule>
  </conditionalFormatting>
  <conditionalFormatting sqref="V28">
    <cfRule type="cellIs" dxfId="7123" priority="113" operator="greaterThan">
      <formula>V27</formula>
    </cfRule>
    <cfRule type="cellIs" dxfId="7122" priority="114" operator="equal">
      <formula>0</formula>
    </cfRule>
  </conditionalFormatting>
  <conditionalFormatting sqref="V28">
    <cfRule type="cellIs" dxfId="7121" priority="111" operator="greaterThan">
      <formula>V27</formula>
    </cfRule>
    <cfRule type="cellIs" dxfId="7120" priority="112" operator="equal">
      <formula>0</formula>
    </cfRule>
  </conditionalFormatting>
  <conditionalFormatting sqref="V28">
    <cfRule type="cellIs" dxfId="7119" priority="109" operator="greaterThan">
      <formula>V27</formula>
    </cfRule>
    <cfRule type="cellIs" dxfId="7118" priority="110" operator="equal">
      <formula>0</formula>
    </cfRule>
  </conditionalFormatting>
  <conditionalFormatting sqref="V28">
    <cfRule type="cellIs" dxfId="7117" priority="107" operator="greaterThan">
      <formula>V27</formula>
    </cfRule>
    <cfRule type="cellIs" dxfId="7116" priority="108" operator="equal">
      <formula>0</formula>
    </cfRule>
  </conditionalFormatting>
  <conditionalFormatting sqref="V28">
    <cfRule type="cellIs" dxfId="7115" priority="105" operator="greaterThan">
      <formula>V27</formula>
    </cfRule>
    <cfRule type="cellIs" dxfId="7114" priority="106" operator="equal">
      <formula>0</formula>
    </cfRule>
  </conditionalFormatting>
  <conditionalFormatting sqref="V28">
    <cfRule type="cellIs" dxfId="7113" priority="103" operator="greaterThan">
      <formula>V27</formula>
    </cfRule>
    <cfRule type="cellIs" dxfId="7112" priority="104" operator="equal">
      <formula>0</formula>
    </cfRule>
  </conditionalFormatting>
  <conditionalFormatting sqref="V28">
    <cfRule type="cellIs" dxfId="7111" priority="101" operator="greaterThan">
      <formula>V27</formula>
    </cfRule>
    <cfRule type="cellIs" dxfId="7110" priority="102" operator="equal">
      <formula>0</formula>
    </cfRule>
  </conditionalFormatting>
  <conditionalFormatting sqref="V28">
    <cfRule type="cellIs" dxfId="7109" priority="99" operator="greaterThan">
      <formula>V27</formula>
    </cfRule>
    <cfRule type="cellIs" dxfId="7108" priority="100" operator="equal">
      <formula>0</formula>
    </cfRule>
  </conditionalFormatting>
  <conditionalFormatting sqref="V28">
    <cfRule type="cellIs" dxfId="7107" priority="97" operator="greaterThan">
      <formula>V27</formula>
    </cfRule>
    <cfRule type="cellIs" dxfId="7106" priority="98" operator="equal">
      <formula>0</formula>
    </cfRule>
  </conditionalFormatting>
  <conditionalFormatting sqref="V28">
    <cfRule type="cellIs" dxfId="7105" priority="95" operator="greaterThan">
      <formula>V27</formula>
    </cfRule>
    <cfRule type="cellIs" dxfId="7104" priority="96" operator="equal">
      <formula>0</formula>
    </cfRule>
  </conditionalFormatting>
  <conditionalFormatting sqref="V28">
    <cfRule type="cellIs" dxfId="7103" priority="93" operator="greaterThan">
      <formula>V27</formula>
    </cfRule>
    <cfRule type="cellIs" dxfId="7102" priority="94" operator="equal">
      <formula>0</formula>
    </cfRule>
  </conditionalFormatting>
  <conditionalFormatting sqref="V28">
    <cfRule type="cellIs" dxfId="7101" priority="91" operator="greaterThan">
      <formula>V27</formula>
    </cfRule>
    <cfRule type="cellIs" dxfId="7100" priority="92" operator="equal">
      <formula>0</formula>
    </cfRule>
  </conditionalFormatting>
  <conditionalFormatting sqref="V28">
    <cfRule type="cellIs" dxfId="7099" priority="89" operator="greaterThan">
      <formula>V27</formula>
    </cfRule>
    <cfRule type="cellIs" dxfId="7098" priority="90" operator="equal">
      <formula>0</formula>
    </cfRule>
  </conditionalFormatting>
  <conditionalFormatting sqref="V28">
    <cfRule type="cellIs" dxfId="7097" priority="87" operator="greaterThan">
      <formula>V27</formula>
    </cfRule>
    <cfRule type="cellIs" dxfId="7096" priority="88" operator="equal">
      <formula>0</formula>
    </cfRule>
  </conditionalFormatting>
  <conditionalFormatting sqref="V28">
    <cfRule type="cellIs" dxfId="7095" priority="85" operator="greaterThan">
      <formula>V27</formula>
    </cfRule>
    <cfRule type="cellIs" dxfId="7094" priority="86" operator="equal">
      <formula>0</formula>
    </cfRule>
  </conditionalFormatting>
  <conditionalFormatting sqref="V28">
    <cfRule type="cellIs" dxfId="7093" priority="83" operator="greaterThan">
      <formula>V27</formula>
    </cfRule>
    <cfRule type="cellIs" dxfId="7092" priority="84" operator="equal">
      <formula>0</formula>
    </cfRule>
  </conditionalFormatting>
  <conditionalFormatting sqref="V28">
    <cfRule type="cellIs" dxfId="7091" priority="81" operator="greaterThan">
      <formula>V27</formula>
    </cfRule>
    <cfRule type="cellIs" dxfId="7090" priority="82" operator="equal">
      <formula>0</formula>
    </cfRule>
  </conditionalFormatting>
  <conditionalFormatting sqref="V28">
    <cfRule type="cellIs" dxfId="7089" priority="79" operator="greaterThan">
      <formula>V27</formula>
    </cfRule>
    <cfRule type="cellIs" dxfId="7088" priority="80" operator="equal">
      <formula>0</formula>
    </cfRule>
  </conditionalFormatting>
  <conditionalFormatting sqref="V28">
    <cfRule type="cellIs" dxfId="7087" priority="77" operator="greaterThan">
      <formula>V27</formula>
    </cfRule>
    <cfRule type="cellIs" dxfId="7086" priority="78" operator="equal">
      <formula>0</formula>
    </cfRule>
  </conditionalFormatting>
  <conditionalFormatting sqref="V28">
    <cfRule type="cellIs" dxfId="7085" priority="75" operator="greaterThan">
      <formula>V27</formula>
    </cfRule>
    <cfRule type="cellIs" dxfId="7084" priority="76" operator="equal">
      <formula>0</formula>
    </cfRule>
  </conditionalFormatting>
  <conditionalFormatting sqref="V28">
    <cfRule type="cellIs" dxfId="7083" priority="73" operator="greaterThan">
      <formula>V27</formula>
    </cfRule>
    <cfRule type="cellIs" dxfId="7082" priority="74" operator="equal">
      <formula>0</formula>
    </cfRule>
  </conditionalFormatting>
  <conditionalFormatting sqref="V28">
    <cfRule type="cellIs" dxfId="7081" priority="71" operator="greaterThan">
      <formula>V27</formula>
    </cfRule>
    <cfRule type="cellIs" dxfId="7080" priority="72" operator="equal">
      <formula>0</formula>
    </cfRule>
  </conditionalFormatting>
  <conditionalFormatting sqref="V28">
    <cfRule type="cellIs" dxfId="7079" priority="69" operator="greaterThan">
      <formula>V27</formula>
    </cfRule>
    <cfRule type="cellIs" dxfId="7078" priority="70" operator="equal">
      <formula>0</formula>
    </cfRule>
  </conditionalFormatting>
  <conditionalFormatting sqref="V28">
    <cfRule type="cellIs" dxfId="7077" priority="67" operator="greaterThan">
      <formula>V27</formula>
    </cfRule>
    <cfRule type="cellIs" dxfId="7076" priority="68" operator="equal">
      <formula>0</formula>
    </cfRule>
  </conditionalFormatting>
  <conditionalFormatting sqref="V28">
    <cfRule type="cellIs" dxfId="7075" priority="65" operator="greaterThan">
      <formula>V27</formula>
    </cfRule>
    <cfRule type="cellIs" dxfId="7074" priority="66" operator="equal">
      <formula>0</formula>
    </cfRule>
  </conditionalFormatting>
  <conditionalFormatting sqref="V28">
    <cfRule type="cellIs" dxfId="7073" priority="63" operator="greaterThan">
      <formula>V27</formula>
    </cfRule>
    <cfRule type="cellIs" dxfId="7072" priority="64" operator="equal">
      <formula>0</formula>
    </cfRule>
  </conditionalFormatting>
  <conditionalFormatting sqref="V28">
    <cfRule type="cellIs" dxfId="7071" priority="61" operator="greaterThan">
      <formula>V27</formula>
    </cfRule>
    <cfRule type="cellIs" dxfId="7070" priority="62" operator="equal">
      <formula>0</formula>
    </cfRule>
  </conditionalFormatting>
  <conditionalFormatting sqref="V28">
    <cfRule type="cellIs" dxfId="7069" priority="59" operator="greaterThan">
      <formula>V27</formula>
    </cfRule>
    <cfRule type="cellIs" dxfId="7068" priority="60" operator="equal">
      <formula>0</formula>
    </cfRule>
  </conditionalFormatting>
  <conditionalFormatting sqref="V28">
    <cfRule type="cellIs" dxfId="7067" priority="57" operator="greaterThan">
      <formula>V27</formula>
    </cfRule>
    <cfRule type="cellIs" dxfId="7066" priority="58" operator="equal">
      <formula>0</formula>
    </cfRule>
  </conditionalFormatting>
  <conditionalFormatting sqref="V28">
    <cfRule type="cellIs" dxfId="7065" priority="55" operator="greaterThan">
      <formula>V27</formula>
    </cfRule>
    <cfRule type="cellIs" dxfId="7064" priority="56" operator="equal">
      <formula>0</formula>
    </cfRule>
  </conditionalFormatting>
  <conditionalFormatting sqref="V28">
    <cfRule type="cellIs" dxfId="7063" priority="53" operator="greaterThan">
      <formula>V27</formula>
    </cfRule>
    <cfRule type="cellIs" dxfId="7062" priority="54" operator="equal">
      <formula>0</formula>
    </cfRule>
  </conditionalFormatting>
  <conditionalFormatting sqref="V28">
    <cfRule type="cellIs" dxfId="7061" priority="51" operator="greaterThan">
      <formula>V27</formula>
    </cfRule>
    <cfRule type="cellIs" dxfId="7060" priority="52" operator="equal">
      <formula>0</formula>
    </cfRule>
  </conditionalFormatting>
  <conditionalFormatting sqref="V28">
    <cfRule type="cellIs" dxfId="7059" priority="49" operator="greaterThan">
      <formula>V27</formula>
    </cfRule>
    <cfRule type="cellIs" dxfId="7058" priority="50" operator="equal">
      <formula>0</formula>
    </cfRule>
  </conditionalFormatting>
  <conditionalFormatting sqref="V28">
    <cfRule type="cellIs" dxfId="7057" priority="47" operator="greaterThan">
      <formula>V27</formula>
    </cfRule>
    <cfRule type="cellIs" dxfId="7056" priority="48" operator="equal">
      <formula>0</formula>
    </cfRule>
  </conditionalFormatting>
  <conditionalFormatting sqref="V28">
    <cfRule type="cellIs" dxfId="7055" priority="45" operator="greaterThan">
      <formula>V27</formula>
    </cfRule>
    <cfRule type="cellIs" dxfId="7054" priority="46" operator="equal">
      <formula>0</formula>
    </cfRule>
  </conditionalFormatting>
  <conditionalFormatting sqref="V28">
    <cfRule type="cellIs" dxfId="7053" priority="43" operator="greaterThan">
      <formula>V27</formula>
    </cfRule>
    <cfRule type="cellIs" dxfId="7052" priority="44" operator="equal">
      <formula>0</formula>
    </cfRule>
  </conditionalFormatting>
  <conditionalFormatting sqref="V28">
    <cfRule type="cellIs" dxfId="7051" priority="41" operator="greaterThan">
      <formula>V27</formula>
    </cfRule>
    <cfRule type="cellIs" dxfId="7050" priority="42" operator="equal">
      <formula>0</formula>
    </cfRule>
  </conditionalFormatting>
  <conditionalFormatting sqref="V28">
    <cfRule type="cellIs" dxfId="7049" priority="39" operator="greaterThan">
      <formula>V27</formula>
    </cfRule>
    <cfRule type="cellIs" dxfId="7048" priority="40" operator="equal">
      <formula>0</formula>
    </cfRule>
  </conditionalFormatting>
  <conditionalFormatting sqref="V28">
    <cfRule type="cellIs" dxfId="7047" priority="37" operator="greaterThan">
      <formula>V27</formula>
    </cfRule>
    <cfRule type="cellIs" dxfId="7046" priority="38" operator="equal">
      <formula>0</formula>
    </cfRule>
  </conditionalFormatting>
  <conditionalFormatting sqref="V28">
    <cfRule type="cellIs" dxfId="7045" priority="35" operator="greaterThan">
      <formula>V27</formula>
    </cfRule>
    <cfRule type="cellIs" dxfId="7044" priority="36" operator="equal">
      <formula>0</formula>
    </cfRule>
  </conditionalFormatting>
  <conditionalFormatting sqref="V28">
    <cfRule type="cellIs" dxfId="7043" priority="33" operator="greaterThan">
      <formula>V27</formula>
    </cfRule>
    <cfRule type="cellIs" dxfId="7042" priority="34" operator="equal">
      <formula>0</formula>
    </cfRule>
  </conditionalFormatting>
  <conditionalFormatting sqref="V28">
    <cfRule type="cellIs" dxfId="7041" priority="31" operator="greaterThan">
      <formula>V27</formula>
    </cfRule>
    <cfRule type="cellIs" dxfId="7040" priority="32" operator="equal">
      <formula>0</formula>
    </cfRule>
  </conditionalFormatting>
  <conditionalFormatting sqref="V13">
    <cfRule type="cellIs" dxfId="7039" priority="30" operator="equal">
      <formula>0</formula>
    </cfRule>
  </conditionalFormatting>
  <conditionalFormatting sqref="V13">
    <cfRule type="cellIs" dxfId="7038" priority="28" operator="greaterThan">
      <formula>V12</formula>
    </cfRule>
    <cfRule type="cellIs" dxfId="7037" priority="29" operator="equal">
      <formula>0</formula>
    </cfRule>
  </conditionalFormatting>
  <conditionalFormatting sqref="V13">
    <cfRule type="cellIs" dxfId="7036" priority="26" operator="greaterThan">
      <formula>V12</formula>
    </cfRule>
    <cfRule type="cellIs" dxfId="7035" priority="27" operator="equal">
      <formula>0</formula>
    </cfRule>
  </conditionalFormatting>
  <conditionalFormatting sqref="V16">
    <cfRule type="cellIs" dxfId="7034" priority="25" operator="equal">
      <formula>0</formula>
    </cfRule>
  </conditionalFormatting>
  <conditionalFormatting sqref="V16">
    <cfRule type="cellIs" dxfId="7033" priority="23" operator="greaterThan">
      <formula>V15</formula>
    </cfRule>
    <cfRule type="cellIs" dxfId="7032" priority="24" operator="equal">
      <formula>0</formula>
    </cfRule>
  </conditionalFormatting>
  <conditionalFormatting sqref="V16">
    <cfRule type="cellIs" dxfId="7031" priority="21" operator="greaterThan">
      <formula>V15</formula>
    </cfRule>
    <cfRule type="cellIs" dxfId="7030" priority="22" operator="equal">
      <formula>0</formula>
    </cfRule>
  </conditionalFormatting>
  <conditionalFormatting sqref="V19">
    <cfRule type="cellIs" dxfId="7029" priority="20" operator="equal">
      <formula>0</formula>
    </cfRule>
  </conditionalFormatting>
  <conditionalFormatting sqref="V19">
    <cfRule type="cellIs" dxfId="7028" priority="18" operator="greaterThan">
      <formula>V18</formula>
    </cfRule>
    <cfRule type="cellIs" dxfId="7027" priority="19" operator="equal">
      <formula>0</formula>
    </cfRule>
  </conditionalFormatting>
  <conditionalFormatting sqref="V19">
    <cfRule type="cellIs" dxfId="7026" priority="16" operator="greaterThan">
      <formula>V18</formula>
    </cfRule>
    <cfRule type="cellIs" dxfId="7025" priority="17" operator="equal">
      <formula>0</formula>
    </cfRule>
  </conditionalFormatting>
  <conditionalFormatting sqref="V22">
    <cfRule type="cellIs" dxfId="7024" priority="15" operator="equal">
      <formula>0</formula>
    </cfRule>
  </conditionalFormatting>
  <conditionalFormatting sqref="V22">
    <cfRule type="cellIs" dxfId="7023" priority="13" operator="greaterThan">
      <formula>V21</formula>
    </cfRule>
    <cfRule type="cellIs" dxfId="7022" priority="14" operator="equal">
      <formula>0</formula>
    </cfRule>
  </conditionalFormatting>
  <conditionalFormatting sqref="V22">
    <cfRule type="cellIs" dxfId="7021" priority="11" operator="greaterThan">
      <formula>V21</formula>
    </cfRule>
    <cfRule type="cellIs" dxfId="7020" priority="12" operator="equal">
      <formula>0</formula>
    </cfRule>
  </conditionalFormatting>
  <conditionalFormatting sqref="V25">
    <cfRule type="cellIs" dxfId="7019" priority="10" operator="equal">
      <formula>0</formula>
    </cfRule>
  </conditionalFormatting>
  <conditionalFormatting sqref="V25">
    <cfRule type="cellIs" dxfId="7018" priority="8" operator="greaterThan">
      <formula>V24</formula>
    </cfRule>
    <cfRule type="cellIs" dxfId="7017" priority="9" operator="equal">
      <formula>0</formula>
    </cfRule>
  </conditionalFormatting>
  <conditionalFormatting sqref="V25">
    <cfRule type="cellIs" dxfId="7016" priority="6" operator="greaterThan">
      <formula>V24</formula>
    </cfRule>
    <cfRule type="cellIs" dxfId="7015" priority="7" operator="equal">
      <formula>0</formula>
    </cfRule>
  </conditionalFormatting>
  <conditionalFormatting sqref="V28">
    <cfRule type="cellIs" dxfId="7014" priority="5" operator="equal">
      <formula>0</formula>
    </cfRule>
  </conditionalFormatting>
  <conditionalFormatting sqref="V28">
    <cfRule type="cellIs" dxfId="7013" priority="3" operator="greaterThan">
      <formula>V27</formula>
    </cfRule>
    <cfRule type="cellIs" dxfId="7012" priority="4" operator="equal">
      <formula>0</formula>
    </cfRule>
  </conditionalFormatting>
  <conditionalFormatting sqref="V28">
    <cfRule type="cellIs" dxfId="7011" priority="1" operator="greaterThan">
      <formula>V27</formula>
    </cfRule>
    <cfRule type="cellIs" dxfId="7010" priority="2" operator="equal">
      <formula>0</formula>
    </cfRule>
  </conditionalFormatting>
  <dataValidations count="25">
    <dataValidation type="whole" allowBlank="1" showInputMessage="1" showErrorMessage="1" sqref="X51 X44:X48 Y16:Y51 X38:X41 X17 X20 X23 X26 X29 X32 X35">
      <formula1>0</formula1>
      <formula2>5000</formula2>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operator="greaterThanOrEqual" allowBlank="1" showInputMessage="1" showErrorMessage="1" errorTitle="المجموع" error="العدد المناسب" sqref="O49 M42 P33 P30 P12 P15 P18 P21 P27 P24 P36">
      <formula1>0</formula1>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&amp;R&amp;"-,Gras"&amp;8&amp;K00-019Echamil V.08      &amp;F                              &amp;K00-016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7">
    <tabColor rgb="FF00B050"/>
  </sheetPr>
  <dimension ref="A1:Z54"/>
  <sheetViews>
    <sheetView showGridLines="0" rightToLeft="1" topLeftCell="A19" zoomScale="115" zoomScaleNormal="115" workbookViewId="0">
      <selection activeCell="B2" sqref="B2"/>
    </sheetView>
  </sheetViews>
  <sheetFormatPr baseColWidth="10" defaultColWidth="0" defaultRowHeight="14.4" zeroHeight="1"/>
  <cols>
    <col min="1" max="1" width="1"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s="1041" customFormat="1"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s="1041" customFormat="1"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9" t="s">
        <v>603</v>
      </c>
      <c r="W2" s="4459"/>
      <c r="X2" s="4459"/>
      <c r="Y2" s="1945"/>
      <c r="Z2" s="1420"/>
    </row>
    <row r="3" spans="1:26" s="1041" customFormat="1"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9"/>
      <c r="W3" s="4459"/>
      <c r="X3" s="4459"/>
      <c r="Y3" s="1945"/>
      <c r="Z3" s="1420"/>
    </row>
    <row r="4" spans="1:26" ht="20.100000000000001" customHeight="1">
      <c r="A4" s="1418"/>
      <c r="B4" s="1431"/>
      <c r="C4" s="1432"/>
      <c r="D4" s="2464" t="s">
        <v>1463</v>
      </c>
      <c r="E4" s="2465"/>
      <c r="F4" s="2465"/>
      <c r="G4" s="1032"/>
      <c r="H4" s="1032"/>
      <c r="I4" s="1032"/>
      <c r="J4" s="1032"/>
      <c r="K4" s="1032"/>
      <c r="L4" s="1032"/>
      <c r="M4" s="2466"/>
      <c r="N4" s="2467"/>
      <c r="O4" s="2467"/>
      <c r="P4" s="2468" t="s">
        <v>1464</v>
      </c>
      <c r="Q4" s="1948"/>
      <c r="R4" s="1441"/>
      <c r="S4" s="1430"/>
      <c r="T4" s="1424"/>
      <c r="U4" s="1944"/>
      <c r="V4" s="4459"/>
      <c r="W4" s="4459"/>
      <c r="X4" s="4459"/>
      <c r="Y4" s="1945"/>
      <c r="Z4" s="1420"/>
    </row>
    <row r="5" spans="1:26" ht="2.1" customHeight="1">
      <c r="A5" s="1418"/>
      <c r="B5" s="1431"/>
      <c r="C5" s="1442"/>
      <c r="D5" s="2465"/>
      <c r="E5" s="2465"/>
      <c r="F5" s="2465"/>
      <c r="G5" s="2465"/>
      <c r="H5" s="2469"/>
      <c r="I5" s="2470"/>
      <c r="J5" s="2470"/>
      <c r="K5" s="2470"/>
      <c r="L5" s="1316"/>
      <c r="M5" s="2467"/>
      <c r="N5" s="2467"/>
      <c r="O5" s="2467"/>
      <c r="P5" s="2471"/>
      <c r="Q5" s="1440"/>
      <c r="R5" s="1441"/>
      <c r="S5" s="1430"/>
      <c r="T5" s="1424"/>
      <c r="U5" s="1944"/>
      <c r="V5" s="4459"/>
      <c r="W5" s="4459"/>
      <c r="X5" s="4459"/>
      <c r="Y5" s="1945"/>
      <c r="Z5" s="1420"/>
    </row>
    <row r="6" spans="1:26" ht="15.9" customHeight="1">
      <c r="A6" s="1418"/>
      <c r="B6" s="1431"/>
      <c r="C6" s="1442"/>
      <c r="D6" s="1032"/>
      <c r="E6" s="1032"/>
      <c r="F6" s="2472"/>
      <c r="G6" s="2473" t="s">
        <v>936</v>
      </c>
      <c r="H6" s="2474" t="s">
        <v>1095</v>
      </c>
      <c r="I6" s="2475"/>
      <c r="J6" s="1624"/>
      <c r="K6" s="2477"/>
      <c r="L6" s="2476"/>
      <c r="M6" s="2478"/>
      <c r="N6" s="2478" t="s">
        <v>1109</v>
      </c>
      <c r="O6" s="2479"/>
      <c r="P6" s="2479" t="s">
        <v>1092</v>
      </c>
      <c r="Q6" s="1440"/>
      <c r="R6" s="1441"/>
      <c r="S6" s="1430"/>
      <c r="T6" s="1424"/>
      <c r="U6" s="1944"/>
      <c r="V6" s="4459"/>
      <c r="W6" s="4459"/>
      <c r="X6" s="4459"/>
      <c r="Y6" s="1950"/>
      <c r="Z6" s="1420"/>
    </row>
    <row r="7" spans="1:26" ht="2.1" customHeight="1">
      <c r="A7" s="1418"/>
      <c r="B7" s="1431"/>
      <c r="C7" s="1442"/>
      <c r="D7" s="1966"/>
      <c r="E7" s="2480"/>
      <c r="F7" s="2480"/>
      <c r="G7" s="2480"/>
      <c r="H7" s="2480"/>
      <c r="I7" s="2480"/>
      <c r="J7" s="2480"/>
      <c r="K7" s="2480"/>
      <c r="L7" s="2480"/>
      <c r="M7" s="2480"/>
      <c r="N7" s="2480"/>
      <c r="O7" s="2480"/>
      <c r="P7" s="2480"/>
      <c r="Q7" s="1440"/>
      <c r="R7" s="1441"/>
      <c r="S7" s="1430"/>
      <c r="T7" s="1424"/>
      <c r="U7" s="1944"/>
      <c r="V7" s="1032"/>
      <c r="W7" s="1950"/>
      <c r="X7" s="1950"/>
      <c r="Y7" s="1950"/>
      <c r="Z7" s="1420"/>
    </row>
    <row r="8" spans="1:26" ht="14.1" customHeight="1">
      <c r="A8" s="1418"/>
      <c r="B8" s="1431"/>
      <c r="C8" s="1442"/>
      <c r="D8" s="2418" t="s">
        <v>1156</v>
      </c>
      <c r="E8" s="2419"/>
      <c r="F8" s="2419"/>
      <c r="G8" s="2419"/>
      <c r="H8" s="2420"/>
      <c r="I8" s="2420"/>
      <c r="J8" s="2420"/>
      <c r="K8" s="2420"/>
      <c r="L8" s="2419"/>
      <c r="M8" s="2419"/>
      <c r="N8" s="2419"/>
      <c r="O8" s="2419"/>
      <c r="P8" s="2396" t="s">
        <v>1157</v>
      </c>
      <c r="Q8" s="1440"/>
      <c r="R8" s="144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1440"/>
      <c r="R9" s="144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1440"/>
      <c r="R10" s="144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1440"/>
      <c r="R11" s="1441"/>
      <c r="S11" s="1430"/>
      <c r="T11" s="1424"/>
      <c r="U11" s="1944"/>
      <c r="V11" s="3100" t="s">
        <v>965</v>
      </c>
      <c r="W11" s="1966"/>
      <c r="X11" s="2036"/>
      <c r="Y11" s="2036"/>
      <c r="Z11" s="1420"/>
    </row>
    <row r="12" spans="1:26" ht="12" customHeight="1">
      <c r="A12" s="1418"/>
      <c r="B12" s="1431"/>
      <c r="C12" s="1442"/>
      <c r="D12" s="2430" t="s">
        <v>20</v>
      </c>
      <c r="E12" s="2265"/>
      <c r="F12" s="1462"/>
      <c r="G12" s="1462">
        <v>0</v>
      </c>
      <c r="H12" s="1462"/>
      <c r="I12" s="1462"/>
      <c r="J12" s="1462"/>
      <c r="K12" s="1462"/>
      <c r="L12" s="1462"/>
      <c r="M12" s="1462"/>
      <c r="N12" s="1462"/>
      <c r="O12" s="1462"/>
      <c r="P12" s="1998">
        <f>E12+F12+G12+H12+I12+J12+K12+L12+M12+N12+O12</f>
        <v>0</v>
      </c>
      <c r="Q12" s="1440"/>
      <c r="R12" s="1441"/>
      <c r="S12" s="1430"/>
      <c r="T12" s="1424"/>
      <c r="U12" s="1944"/>
      <c r="V12" s="4452" t="str">
        <f>IF(('الصفحة 1'!$Q$14&gt;0),((IF((P12&gt;'الصفحة 14'!$N$13),"العدد غيرمطابق",IF((P12&lt;='الصفحة 14'!$N$13)," ")))),"")</f>
        <v xml:space="preserve"> </v>
      </c>
      <c r="W12" s="4453"/>
      <c r="X12" s="3097"/>
      <c r="Y12" s="3096"/>
      <c r="Z12" s="1420"/>
    </row>
    <row r="13" spans="1:26" ht="12" customHeight="1">
      <c r="A13" s="1418"/>
      <c r="B13" s="1431"/>
      <c r="C13" s="1442"/>
      <c r="D13" s="2430" t="s">
        <v>672</v>
      </c>
      <c r="E13" s="2265"/>
      <c r="F13" s="2265"/>
      <c r="G13" s="2265"/>
      <c r="H13" s="2265"/>
      <c r="I13" s="2265"/>
      <c r="J13" s="2265"/>
      <c r="K13" s="2265"/>
      <c r="L13" s="2265"/>
      <c r="M13" s="2265"/>
      <c r="N13" s="2265"/>
      <c r="O13" s="2265"/>
      <c r="P13" s="1998">
        <f>E13+F13+G13+H13+I13+J13+K13+L13+M13+N13+O13</f>
        <v>0</v>
      </c>
      <c r="Q13" s="1440"/>
      <c r="R13" s="144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1440"/>
      <c r="R14" s="1441"/>
      <c r="S14" s="1430"/>
      <c r="T14" s="1424"/>
      <c r="U14" s="1944"/>
      <c r="V14" s="3100" t="s">
        <v>964</v>
      </c>
      <c r="W14" s="2036"/>
      <c r="X14" s="2036"/>
      <c r="Y14" s="2036"/>
      <c r="Z14" s="1420"/>
    </row>
    <row r="15" spans="1:26" ht="12" customHeight="1">
      <c r="A15" s="1418"/>
      <c r="B15" s="1431"/>
      <c r="C15" s="1442"/>
      <c r="D15" s="2430" t="s">
        <v>20</v>
      </c>
      <c r="E15" s="2265"/>
      <c r="F15" s="1462"/>
      <c r="G15" s="1462"/>
      <c r="H15" s="1462"/>
      <c r="I15" s="1462"/>
      <c r="J15" s="1462"/>
      <c r="K15" s="1462"/>
      <c r="L15" s="1462"/>
      <c r="M15" s="1462"/>
      <c r="N15" s="1462"/>
      <c r="O15" s="1462"/>
      <c r="P15" s="1998">
        <f>E15+F15+G15+H15+I15+J15+K15+L15+M15+N15+O15</f>
        <v>0</v>
      </c>
      <c r="Q15" s="1440"/>
      <c r="R15" s="1441"/>
      <c r="S15" s="1430"/>
      <c r="T15" s="1424"/>
      <c r="U15" s="1944"/>
      <c r="V15" s="4452" t="str">
        <f>IF(('الصفحة 1'!$Q$14&gt;0),((IF((P15&gt;'الصفحة 14'!$N$15),"العدد غيرمطابق",IF((P15&lt;='الصفحة 14'!$N$15)," ")))),"")</f>
        <v xml:space="preserve"> </v>
      </c>
      <c r="W15" s="4453"/>
      <c r="X15" s="3097"/>
      <c r="Y15" s="2036"/>
      <c r="Z15" s="1420"/>
    </row>
    <row r="16" spans="1:26" ht="12" customHeight="1">
      <c r="A16" s="1418"/>
      <c r="B16" s="1431"/>
      <c r="C16" s="1442"/>
      <c r="D16" s="2430" t="s">
        <v>672</v>
      </c>
      <c r="E16" s="2265"/>
      <c r="F16" s="2265"/>
      <c r="G16" s="2265"/>
      <c r="H16" s="2265"/>
      <c r="I16" s="2265"/>
      <c r="J16" s="2265"/>
      <c r="K16" s="2265"/>
      <c r="L16" s="2265"/>
      <c r="M16" s="2265"/>
      <c r="N16" s="2265"/>
      <c r="O16" s="2265"/>
      <c r="P16" s="1998">
        <f>E16+F16+G16+H16+I16+J16+K16+L16+M16+N16+O16</f>
        <v>0</v>
      </c>
      <c r="Q16" s="1440"/>
      <c r="R16" s="144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1440"/>
      <c r="R17" s="144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52" t="str">
        <f>IF(('الصفحة 1'!$Q$14&gt;0),((IF((P18&gt;'الصفحة 14'!$N$17),"العدد غيرمطابق",IF((P18&lt;='الصفحة 14'!$N$17),"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1440"/>
      <c r="R20" s="1441"/>
      <c r="S20" s="1430"/>
      <c r="T20" s="1424"/>
      <c r="U20" s="1944"/>
      <c r="V20" s="3100" t="s">
        <v>962</v>
      </c>
      <c r="W20" s="2039"/>
      <c r="X20" s="3052"/>
      <c r="Y20" s="3052"/>
      <c r="Z20" s="1420"/>
    </row>
    <row r="21" spans="1:26" ht="12" customHeight="1">
      <c r="A21" s="1418"/>
      <c r="B21" s="1431"/>
      <c r="C21" s="1442"/>
      <c r="D21" s="2430" t="s">
        <v>20</v>
      </c>
      <c r="E21" s="2265"/>
      <c r="F21" s="1462"/>
      <c r="G21" s="1462"/>
      <c r="H21" s="1462"/>
      <c r="I21" s="1462"/>
      <c r="J21" s="1462"/>
      <c r="K21" s="1462"/>
      <c r="L21" s="1462"/>
      <c r="M21" s="1462"/>
      <c r="N21" s="1462"/>
      <c r="O21" s="1462"/>
      <c r="P21" s="1998">
        <f>E21+F21+G21+H21+I21+J21+K21+L21+M21+N21+O21</f>
        <v>0</v>
      </c>
      <c r="Q21" s="1440"/>
      <c r="R21" s="1441"/>
      <c r="S21" s="1430"/>
      <c r="T21" s="1424"/>
      <c r="U21" s="1944"/>
      <c r="V21" s="4452" t="str">
        <f>IF(('الصفحة 1'!$Q$14&gt;0),((IF((P21&gt;'الصفحة 14'!$N$19),"العدد غيرمطابق",IF((P21&lt;='الصفحة 14'!$N$19)," ")))),"")</f>
        <v xml:space="preserve"> </v>
      </c>
      <c r="W21" s="4453"/>
      <c r="X21" s="3097"/>
      <c r="Y21" s="3052"/>
      <c r="Z21" s="1420"/>
    </row>
    <row r="22" spans="1:26" ht="12" customHeight="1">
      <c r="A22" s="1418"/>
      <c r="B22" s="1431"/>
      <c r="C22" s="1442"/>
      <c r="D22" s="2430" t="s">
        <v>672</v>
      </c>
      <c r="E22" s="2265"/>
      <c r="F22" s="2265"/>
      <c r="G22" s="2265"/>
      <c r="H22" s="2265"/>
      <c r="I22" s="2265"/>
      <c r="J22" s="2265"/>
      <c r="K22" s="2265"/>
      <c r="L22" s="2265"/>
      <c r="M22" s="2265"/>
      <c r="N22" s="2265"/>
      <c r="O22" s="2265"/>
      <c r="P22" s="1998">
        <f>E22+F22+G22+H22+I22+J22+K22+L22+M22+N22+O22</f>
        <v>0</v>
      </c>
      <c r="Q22" s="1440"/>
      <c r="R22" s="144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1440"/>
      <c r="R23" s="144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52" t="str">
        <f>IF(('الصفحة 1'!$Q$14&gt;0),((IF((P24&gt;'الصفحة 14'!$N$21),"العدد غيرمطابق",IF((P24&lt;='الصفحة 14'!$N$21),"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1440"/>
      <c r="R26" s="1441"/>
      <c r="S26" s="1430"/>
      <c r="T26" s="1424"/>
      <c r="U26" s="1944"/>
      <c r="V26" s="3109" t="s">
        <v>1083</v>
      </c>
      <c r="W26" s="1966"/>
      <c r="X26" s="3052"/>
      <c r="Y26" s="3052"/>
      <c r="Z26" s="1420"/>
    </row>
    <row r="27" spans="1:26" ht="12" customHeight="1">
      <c r="A27" s="1418"/>
      <c r="B27" s="1431"/>
      <c r="C27" s="1442"/>
      <c r="D27" s="2430" t="s">
        <v>20</v>
      </c>
      <c r="E27" s="1996">
        <f>(E12+E15+E18+E21+E24)</f>
        <v>0</v>
      </c>
      <c r="F27" s="1997">
        <f t="shared" ref="F27:O27" si="0">(F12+F15+F18+F21+F24)</f>
        <v>0</v>
      </c>
      <c r="G27" s="1997">
        <f t="shared" si="0"/>
        <v>0</v>
      </c>
      <c r="H27" s="1997">
        <f t="shared" si="0"/>
        <v>0</v>
      </c>
      <c r="I27" s="1997">
        <f t="shared" si="0"/>
        <v>0</v>
      </c>
      <c r="J27" s="1997">
        <f t="shared" si="0"/>
        <v>0</v>
      </c>
      <c r="K27" s="1997">
        <f t="shared" si="0"/>
        <v>0</v>
      </c>
      <c r="L27" s="1997">
        <f t="shared" si="0"/>
        <v>0</v>
      </c>
      <c r="M27" s="1997">
        <f t="shared" si="0"/>
        <v>0</v>
      </c>
      <c r="N27" s="1997">
        <f t="shared" si="0"/>
        <v>0</v>
      </c>
      <c r="O27" s="1997">
        <f t="shared" si="0"/>
        <v>0</v>
      </c>
      <c r="P27" s="1998">
        <f>E27+F27+G27+H27+I27+J27+K27+L27+M27+N27+O27</f>
        <v>0</v>
      </c>
      <c r="Q27" s="1440"/>
      <c r="R27" s="1441"/>
      <c r="S27" s="1430"/>
      <c r="T27" s="1424"/>
      <c r="U27" s="1944"/>
      <c r="V27" s="4452" t="str">
        <f>IF(('الصفحة 1'!$Q$14&gt;0),((IF((P27&gt;'الصفحة 14'!$N$23),"العدد غيرمطابق",IF((P27&lt;='الصفحة 14'!$N$23)," ")))),"")</f>
        <v xml:space="preserve"> </v>
      </c>
      <c r="W27" s="4453"/>
      <c r="X27" s="3097"/>
      <c r="Y27" s="3052"/>
      <c r="Z27" s="1420"/>
    </row>
    <row r="28" spans="1:26" ht="12" customHeight="1">
      <c r="A28" s="1418"/>
      <c r="B28" s="1431"/>
      <c r="C28" s="1442"/>
      <c r="D28" s="2430" t="s">
        <v>672</v>
      </c>
      <c r="E28" s="1996">
        <f t="shared" ref="E28:O28" si="1">(E13+E16+E19+E22+E25)</f>
        <v>0</v>
      </c>
      <c r="F28" s="1996">
        <f t="shared" si="1"/>
        <v>0</v>
      </c>
      <c r="G28" s="1996">
        <f t="shared" si="1"/>
        <v>0</v>
      </c>
      <c r="H28" s="1996">
        <f t="shared" si="1"/>
        <v>0</v>
      </c>
      <c r="I28" s="1996">
        <f t="shared" si="1"/>
        <v>0</v>
      </c>
      <c r="J28" s="1996">
        <f t="shared" si="1"/>
        <v>0</v>
      </c>
      <c r="K28" s="1996">
        <f t="shared" si="1"/>
        <v>0</v>
      </c>
      <c r="L28" s="1996">
        <f t="shared" si="1"/>
        <v>0</v>
      </c>
      <c r="M28" s="1996">
        <f t="shared" si="1"/>
        <v>0</v>
      </c>
      <c r="N28" s="1996">
        <f t="shared" si="1"/>
        <v>0</v>
      </c>
      <c r="O28" s="1996">
        <f t="shared" si="1"/>
        <v>0</v>
      </c>
      <c r="P28" s="1998">
        <f>E28+F28+G28+H28+I28+J28+K28+L28+M28+N28+O28</f>
        <v>0</v>
      </c>
      <c r="Q28" s="1440"/>
      <c r="R28" s="144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1440"/>
      <c r="R29" s="144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64"/>
      <c r="W31" s="4464"/>
      <c r="X31" s="3052"/>
      <c r="Y31" s="3052"/>
      <c r="Z31" s="1420"/>
    </row>
    <row r="32" spans="1:26" ht="11.1" customHeight="1">
      <c r="A32" s="1418"/>
      <c r="B32" s="1431"/>
      <c r="C32" s="1442"/>
      <c r="D32" s="2437" t="s">
        <v>1165</v>
      </c>
      <c r="E32" s="2000"/>
      <c r="F32" s="2000"/>
      <c r="G32" s="2000"/>
      <c r="H32" s="2000"/>
      <c r="I32" s="2000"/>
      <c r="J32" s="2000"/>
      <c r="K32" s="2000"/>
      <c r="L32" s="2000"/>
      <c r="M32" s="2000"/>
      <c r="N32" s="2000"/>
      <c r="O32" s="2000"/>
      <c r="P32" s="2403" t="s">
        <v>1164</v>
      </c>
      <c r="Q32" s="1440"/>
      <c r="R32" s="1441"/>
      <c r="S32" s="1430"/>
      <c r="T32" s="1424"/>
      <c r="U32" s="1944"/>
      <c r="V32" s="2177"/>
      <c r="W32" s="1966"/>
      <c r="X32" s="3052"/>
      <c r="Y32" s="3052"/>
      <c r="Z32" s="1420"/>
    </row>
    <row r="33" spans="1:26" ht="12.9" customHeight="1">
      <c r="A33" s="1418"/>
      <c r="B33" s="1431"/>
      <c r="C33" s="1442"/>
      <c r="D33" s="2430" t="s">
        <v>20</v>
      </c>
      <c r="E33" s="2265"/>
      <c r="F33" s="1462"/>
      <c r="G33" s="1462"/>
      <c r="H33" s="1462"/>
      <c r="I33" s="1462"/>
      <c r="J33" s="1462"/>
      <c r="K33" s="1462"/>
      <c r="L33" s="1462"/>
      <c r="M33" s="1462"/>
      <c r="N33" s="1462"/>
      <c r="O33" s="1462"/>
      <c r="P33" s="1998">
        <f>E33+F33+G33+H33+I33+J33+K33+L33+M33+N33+O33</f>
        <v>0</v>
      </c>
      <c r="Q33" s="1440"/>
      <c r="R33" s="1441"/>
      <c r="S33" s="1430"/>
      <c r="T33" s="1424"/>
      <c r="U33" s="1944"/>
      <c r="V33" s="4464"/>
      <c r="W33" s="4464"/>
      <c r="X33" s="3052"/>
      <c r="Y33" s="3052"/>
      <c r="Z33" s="1420"/>
    </row>
    <row r="34" spans="1:26" ht="12" customHeight="1">
      <c r="A34" s="1418"/>
      <c r="B34" s="1431"/>
      <c r="C34" s="1442"/>
      <c r="D34" s="2430" t="s">
        <v>672</v>
      </c>
      <c r="E34" s="2265"/>
      <c r="F34" s="2265"/>
      <c r="G34" s="2265"/>
      <c r="H34" s="2265"/>
      <c r="I34" s="2265"/>
      <c r="J34" s="2265"/>
      <c r="K34" s="2265"/>
      <c r="L34" s="2265"/>
      <c r="M34" s="2265"/>
      <c r="N34" s="2265"/>
      <c r="O34" s="2265"/>
      <c r="P34" s="1998">
        <f>E34+F34+G34+H34+I34+J34+K34+L34+M34+N34+O34</f>
        <v>0</v>
      </c>
      <c r="Q34" s="1440"/>
      <c r="R34" s="144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1440"/>
      <c r="R35" s="1441"/>
      <c r="S35" s="1430"/>
      <c r="T35" s="1424"/>
      <c r="U35" s="1944"/>
      <c r="V35" s="2176"/>
      <c r="W35" s="1966"/>
      <c r="X35" s="3052"/>
      <c r="Y35" s="3052"/>
      <c r="Z35" s="1420"/>
    </row>
    <row r="36" spans="1:26" ht="12.9" customHeight="1">
      <c r="A36" s="1418"/>
      <c r="B36" s="1431"/>
      <c r="C36" s="1442"/>
      <c r="D36" s="2430" t="s">
        <v>20</v>
      </c>
      <c r="E36" s="1996">
        <f>(E27+E33)</f>
        <v>0</v>
      </c>
      <c r="F36" s="1997">
        <f t="shared" ref="F36:O36" si="2">(F27+F33)</f>
        <v>0</v>
      </c>
      <c r="G36" s="1997">
        <f t="shared" si="2"/>
        <v>0</v>
      </c>
      <c r="H36" s="1997">
        <f t="shared" si="2"/>
        <v>0</v>
      </c>
      <c r="I36" s="1997">
        <f t="shared" si="2"/>
        <v>0</v>
      </c>
      <c r="J36" s="1997">
        <f t="shared" si="2"/>
        <v>0</v>
      </c>
      <c r="K36" s="1997">
        <f t="shared" si="2"/>
        <v>0</v>
      </c>
      <c r="L36" s="1997">
        <f t="shared" si="2"/>
        <v>0</v>
      </c>
      <c r="M36" s="1997">
        <f t="shared" si="2"/>
        <v>0</v>
      </c>
      <c r="N36" s="1997">
        <f t="shared" si="2"/>
        <v>0</v>
      </c>
      <c r="O36" s="1997">
        <f t="shared" si="2"/>
        <v>0</v>
      </c>
      <c r="P36" s="1998">
        <f>E36+F36+G36+H36+I36+J36+K36+L36+M36+N36+O36</f>
        <v>0</v>
      </c>
      <c r="Q36" s="1440"/>
      <c r="R36" s="1441"/>
      <c r="S36" s="1430"/>
      <c r="T36" s="1424"/>
      <c r="U36" s="1944"/>
      <c r="V36" s="4464"/>
      <c r="W36" s="4464"/>
      <c r="X36" s="3052"/>
      <c r="Y36" s="3052"/>
      <c r="Z36" s="1420"/>
    </row>
    <row r="37" spans="1:26" ht="12.9" customHeight="1">
      <c r="A37" s="1418"/>
      <c r="B37" s="1431"/>
      <c r="C37" s="1442"/>
      <c r="D37" s="2430" t="s">
        <v>672</v>
      </c>
      <c r="E37" s="1996">
        <f t="shared" ref="E37:O37" si="3">(E28+E34)</f>
        <v>0</v>
      </c>
      <c r="F37" s="1996">
        <f t="shared" si="3"/>
        <v>0</v>
      </c>
      <c r="G37" s="1996">
        <f t="shared" si="3"/>
        <v>0</v>
      </c>
      <c r="H37" s="1996">
        <f t="shared" si="3"/>
        <v>0</v>
      </c>
      <c r="I37" s="1996">
        <f t="shared" si="3"/>
        <v>0</v>
      </c>
      <c r="J37" s="1996">
        <f t="shared" si="3"/>
        <v>0</v>
      </c>
      <c r="K37" s="1996">
        <f t="shared" si="3"/>
        <v>0</v>
      </c>
      <c r="L37" s="1996">
        <f t="shared" si="3"/>
        <v>0</v>
      </c>
      <c r="M37" s="1996">
        <f t="shared" si="3"/>
        <v>0</v>
      </c>
      <c r="N37" s="1996">
        <f t="shared" si="3"/>
        <v>0</v>
      </c>
      <c r="O37" s="1996">
        <f t="shared" si="3"/>
        <v>0</v>
      </c>
      <c r="P37" s="1998">
        <f>E37+F37+G37+H37+I37+J37+K37+L37+M37+N37+O37</f>
        <v>0</v>
      </c>
      <c r="Q37" s="1440"/>
      <c r="R37" s="144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1440"/>
      <c r="R38" s="1441"/>
      <c r="S38" s="1430"/>
      <c r="T38" s="1424"/>
      <c r="U38" s="1944"/>
      <c r="V38" s="2038"/>
      <c r="W38" s="1966"/>
      <c r="X38" s="3052"/>
      <c r="Y38" s="3052"/>
      <c r="Z38" s="1420"/>
    </row>
    <row r="39" spans="1:26" ht="15" customHeight="1">
      <c r="A39" s="1418"/>
      <c r="B39" s="1431"/>
      <c r="C39" s="1442"/>
      <c r="D39" s="2441" t="s">
        <v>1148</v>
      </c>
      <c r="E39" s="2419"/>
      <c r="F39" s="2419"/>
      <c r="G39" s="2419"/>
      <c r="H39" s="2442" t="s">
        <v>1257</v>
      </c>
      <c r="I39" s="2420"/>
      <c r="J39" s="2420"/>
      <c r="K39" s="2420"/>
      <c r="L39" s="2419"/>
      <c r="M39" s="2419"/>
      <c r="N39" s="2419"/>
      <c r="O39" s="2419"/>
      <c r="P39" s="2443" t="s">
        <v>1205</v>
      </c>
      <c r="Q39" s="1440"/>
      <c r="R39" s="144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1440"/>
      <c r="R40" s="144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1440"/>
      <c r="R41" s="1441"/>
      <c r="S41" s="1430"/>
      <c r="T41" s="1424"/>
      <c r="U41" s="1944"/>
      <c r="V41" s="2179" t="s">
        <v>1085</v>
      </c>
      <c r="W41" s="1966"/>
      <c r="X41" s="2037"/>
      <c r="Y41" s="2037"/>
      <c r="Z41" s="1420"/>
    </row>
    <row r="42" spans="1:26" ht="14.1" customHeight="1">
      <c r="A42" s="1418"/>
      <c r="B42" s="1431"/>
      <c r="C42" s="1442"/>
      <c r="D42" s="2430" t="s">
        <v>20</v>
      </c>
      <c r="E42" s="2265"/>
      <c r="F42" s="1462"/>
      <c r="G42" s="1462"/>
      <c r="H42" s="1462"/>
      <c r="I42" s="1462"/>
      <c r="J42" s="1462"/>
      <c r="K42" s="1462"/>
      <c r="L42" s="1462"/>
      <c r="M42" s="2453">
        <f>E42+F42+G42+H42+I42+J42+K42+L42</f>
        <v>0</v>
      </c>
      <c r="N42" s="2452"/>
      <c r="O42" s="2452"/>
      <c r="P42" s="2452"/>
      <c r="Q42" s="1440"/>
      <c r="R42" s="1441"/>
      <c r="S42" s="1430"/>
      <c r="T42" s="1424"/>
      <c r="U42" s="1944"/>
      <c r="V42" s="4452" t="str">
        <f>IF(('الصفحة 1'!$Q$14&gt;0),((IF((M42&gt;'الصفحة 14'!$N$23),"العدد غيرمطابق",IF((M42&lt;='الصفحة 14'!$N$23)," ")))),"")</f>
        <v xml:space="preserve"> </v>
      </c>
      <c r="W42" s="4453"/>
      <c r="X42" s="1975" t="str">
        <f>IF(('الصفحة 1'!$Q$14&gt;0),((IF((M42&lt;&gt;P27),"العدد غيرمطابق",IF((M42=P27)," ")))),"")</f>
        <v xml:space="preserve"> </v>
      </c>
      <c r="Y42" s="2037"/>
      <c r="Z42" s="1420"/>
    </row>
    <row r="43" spans="1:26" ht="14.1" customHeight="1">
      <c r="A43" s="1418"/>
      <c r="B43" s="1431"/>
      <c r="C43" s="1442"/>
      <c r="D43" s="2430" t="s">
        <v>672</v>
      </c>
      <c r="E43" s="2265"/>
      <c r="F43" s="2265"/>
      <c r="G43" s="2265"/>
      <c r="H43" s="2265"/>
      <c r="I43" s="2265"/>
      <c r="J43" s="2265"/>
      <c r="K43" s="2265"/>
      <c r="L43" s="2265"/>
      <c r="M43" s="2453">
        <f>E43+F43+G43+H43+I43+J43+K43+L43</f>
        <v>0</v>
      </c>
      <c r="N43" s="2452"/>
      <c r="O43" s="2452"/>
      <c r="P43" s="2452"/>
      <c r="Q43" s="1440"/>
      <c r="R43" s="1441"/>
      <c r="S43" s="1430"/>
      <c r="T43" s="1424"/>
      <c r="U43" s="1944"/>
      <c r="V43" s="4452" t="str">
        <f>IF(('الصفحة 1'!$Q$14&gt;0),((IF((M43&gt;'الصفحة 14'!$N$23),"العدد غيرمطابق",IF((M43&lt;='الصفحة 14'!$N$23)," ")))),"")</f>
        <v xml:space="preserve"> </v>
      </c>
      <c r="W43" s="4453"/>
      <c r="X43" s="1975" t="str">
        <f>IF(('الصفحة 1'!$Q$14&gt;0),((IF((M43&lt;&gt;P28),"العدد غيرمطابق",IF((M43=P28)," ")))),"")</f>
        <v xml:space="preserve"> </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1440"/>
      <c r="R44" s="144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1440"/>
      <c r="R45" s="1441"/>
      <c r="S45" s="1430"/>
      <c r="T45" s="1424"/>
      <c r="U45" s="1944"/>
      <c r="V45" s="2038"/>
      <c r="W45" s="1966"/>
      <c r="X45" s="2037"/>
      <c r="Y45" s="2037"/>
      <c r="Z45" s="1420"/>
    </row>
    <row r="46" spans="1:26" ht="15" customHeight="1">
      <c r="A46" s="1418"/>
      <c r="B46" s="1431"/>
      <c r="C46" s="1442"/>
      <c r="D46" s="2441" t="s">
        <v>1149</v>
      </c>
      <c r="E46" s="2457"/>
      <c r="F46" s="2457"/>
      <c r="G46" s="2457"/>
      <c r="H46" s="2442" t="s">
        <v>1257</v>
      </c>
      <c r="I46" s="2458"/>
      <c r="J46" s="2458"/>
      <c r="K46" s="2458"/>
      <c r="L46" s="2457"/>
      <c r="M46" s="2457"/>
      <c r="N46" s="2457"/>
      <c r="O46" s="2457"/>
      <c r="P46" s="2459" t="s">
        <v>1150</v>
      </c>
      <c r="Q46" s="1440"/>
      <c r="R46" s="144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1440"/>
      <c r="R47" s="144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1440"/>
      <c r="R48" s="144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1440"/>
      <c r="R49" s="1441"/>
      <c r="S49" s="1430"/>
      <c r="T49" s="1424"/>
      <c r="U49" s="1944"/>
      <c r="V49" s="4452" t="str">
        <f>IF(('الصفحة 1'!$Q$14&gt;0),((IF((O49&gt;'الصفحة 14'!$N$23),"العدد غيرمطابق",IF((O49&lt;='الصفحة 14'!$N$23)," ")))),"")</f>
        <v xml:space="preserve"> </v>
      </c>
      <c r="W49" s="4453"/>
      <c r="X49" s="1975" t="str">
        <f>IF(('الصفحة 1'!$Q$14&gt;0),((IF((O49&lt;&gt;P27),"العدد غيرمطابق",IF((O49=P27)," ")))),"")</f>
        <v xml:space="preserve"> </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1440"/>
      <c r="R50" s="1441"/>
      <c r="S50" s="1430"/>
      <c r="T50" s="1424"/>
      <c r="U50" s="1944"/>
      <c r="V50" s="4452" t="str">
        <f>IF(('الصفحة 1'!$Q$14&gt;0),((IF((O50&gt;'الصفحة 14'!$N$23),"العدد غيرمطابق",IF((O50&lt;='الصفحة 14'!$N$23)," ")))),"")</f>
        <v xml:space="preserve"> </v>
      </c>
      <c r="W50" s="4453"/>
      <c r="X50" s="1975" t="str">
        <f>IF(('الصفحة 1'!$Q$14&gt;0),((IF((O50&lt;&gt;P28),"العدد غيرمطابق",IF((O50=P28)," ")))),"")</f>
        <v xml:space="preserve"> </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24</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5:W15"/>
    <mergeCell ref="V2:X6"/>
    <mergeCell ref="V10:W10"/>
    <mergeCell ref="V12:W12"/>
    <mergeCell ref="V13:W13"/>
    <mergeCell ref="V8:W8"/>
    <mergeCell ref="V33:W33"/>
    <mergeCell ref="V16:W16"/>
    <mergeCell ref="V18:W18"/>
    <mergeCell ref="V19:W19"/>
    <mergeCell ref="V21:W21"/>
    <mergeCell ref="V22:W22"/>
    <mergeCell ref="V24:W24"/>
    <mergeCell ref="V25:W25"/>
    <mergeCell ref="V27:W27"/>
    <mergeCell ref="V28:W28"/>
    <mergeCell ref="V30:W30"/>
    <mergeCell ref="V31:W31"/>
    <mergeCell ref="V34:W34"/>
    <mergeCell ref="V36:W36"/>
    <mergeCell ref="V37:W37"/>
    <mergeCell ref="V42:W42"/>
    <mergeCell ref="V43:W43"/>
    <mergeCell ref="O48:P48"/>
    <mergeCell ref="E49:F49"/>
    <mergeCell ref="G49:H49"/>
    <mergeCell ref="I49:J49"/>
    <mergeCell ref="K49:L49"/>
    <mergeCell ref="M49:N49"/>
    <mergeCell ref="O49:P49"/>
    <mergeCell ref="E48:F48"/>
    <mergeCell ref="G48:H48"/>
    <mergeCell ref="I48:J48"/>
    <mergeCell ref="K48:L48"/>
    <mergeCell ref="M48:N48"/>
    <mergeCell ref="C53:R53"/>
    <mergeCell ref="V49:W49"/>
    <mergeCell ref="E50:F50"/>
    <mergeCell ref="G50:H50"/>
    <mergeCell ref="I50:J50"/>
    <mergeCell ref="K50:L50"/>
    <mergeCell ref="M50:N50"/>
    <mergeCell ref="O50:P50"/>
    <mergeCell ref="V50:W50"/>
  </mergeCells>
  <conditionalFormatting sqref="G49 I49:I50 K49:K50 M49:M50 O49:O50 V49:V50 X49:X50 E49 X42:X43 E42:P42 V42:V43 E27:P27 E12:P12 E15:P15 E18:P18 E21:P21 V12:V13 V15:V16 V18:V19 E30:P30 X12:X13 X15:X16 X18:X19 E24:P24 X21:X25 V21:V22 V24:V25 X27:X28 V27:V28 E33:P33 E36:P36">
    <cfRule type="cellIs" dxfId="7009" priority="1781" operator="equal">
      <formula>0</formula>
    </cfRule>
  </conditionalFormatting>
  <conditionalFormatting sqref="E13 E43:P44 V50 X50">
    <cfRule type="cellIs" dxfId="7008" priority="1779" operator="greaterThan">
      <formula>E12</formula>
    </cfRule>
    <cfRule type="cellIs" dxfId="7007" priority="1780" operator="equal">
      <formula>0</formula>
    </cfRule>
  </conditionalFormatting>
  <conditionalFormatting sqref="F13">
    <cfRule type="cellIs" dxfId="7006" priority="1777" operator="greaterThan">
      <formula>F12</formula>
    </cfRule>
    <cfRule type="cellIs" dxfId="7005" priority="1778" operator="equal">
      <formula>0</formula>
    </cfRule>
  </conditionalFormatting>
  <conditionalFormatting sqref="G13">
    <cfRule type="cellIs" dxfId="7004" priority="1775" operator="greaterThan">
      <formula>G12</formula>
    </cfRule>
    <cfRule type="cellIs" dxfId="7003" priority="1776" operator="equal">
      <formula>0</formula>
    </cfRule>
  </conditionalFormatting>
  <conditionalFormatting sqref="H13">
    <cfRule type="cellIs" dxfId="7002" priority="1773" operator="greaterThan">
      <formula>H12</formula>
    </cfRule>
    <cfRule type="cellIs" dxfId="7001" priority="1774" operator="equal">
      <formula>0</formula>
    </cfRule>
  </conditionalFormatting>
  <conditionalFormatting sqref="I13">
    <cfRule type="cellIs" dxfId="7000" priority="1771" operator="greaterThan">
      <formula>I12</formula>
    </cfRule>
    <cfRule type="cellIs" dxfId="6999" priority="1772" operator="equal">
      <formula>0</formula>
    </cfRule>
  </conditionalFormatting>
  <conditionalFormatting sqref="J13">
    <cfRule type="cellIs" dxfId="6998" priority="1769" operator="greaterThan">
      <formula>J12</formula>
    </cfRule>
    <cfRule type="cellIs" dxfId="6997" priority="1770" operator="equal">
      <formula>0</formula>
    </cfRule>
  </conditionalFormatting>
  <conditionalFormatting sqref="K13">
    <cfRule type="cellIs" dxfId="6996" priority="1767" operator="greaterThan">
      <formula>K12</formula>
    </cfRule>
    <cfRule type="cellIs" dxfId="6995" priority="1768" operator="equal">
      <formula>0</formula>
    </cfRule>
  </conditionalFormatting>
  <conditionalFormatting sqref="L13">
    <cfRule type="cellIs" dxfId="6994" priority="1765" operator="greaterThan">
      <formula>L12</formula>
    </cfRule>
    <cfRule type="cellIs" dxfId="6993" priority="1766" operator="equal">
      <formula>0</formula>
    </cfRule>
  </conditionalFormatting>
  <conditionalFormatting sqref="M13">
    <cfRule type="cellIs" dxfId="6992" priority="1763" operator="greaterThan">
      <formula>M12</formula>
    </cfRule>
    <cfRule type="cellIs" dxfId="6991" priority="1764" operator="equal">
      <formula>0</formula>
    </cfRule>
  </conditionalFormatting>
  <conditionalFormatting sqref="N13">
    <cfRule type="cellIs" dxfId="6990" priority="1761" operator="greaterThan">
      <formula>N12</formula>
    </cfRule>
    <cfRule type="cellIs" dxfId="6989" priority="1762" operator="equal">
      <formula>0</formula>
    </cfRule>
  </conditionalFormatting>
  <conditionalFormatting sqref="O13">
    <cfRule type="cellIs" dxfId="6988" priority="1759" operator="greaterThan">
      <formula>O12</formula>
    </cfRule>
    <cfRule type="cellIs" dxfId="6987" priority="1760" operator="equal">
      <formula>0</formula>
    </cfRule>
  </conditionalFormatting>
  <conditionalFormatting sqref="P13">
    <cfRule type="cellIs" dxfId="6986" priority="1757" operator="greaterThan">
      <formula>P12</formula>
    </cfRule>
    <cfRule type="cellIs" dxfId="6985" priority="1758" operator="equal">
      <formula>0</formula>
    </cfRule>
  </conditionalFormatting>
  <conditionalFormatting sqref="E16">
    <cfRule type="cellIs" dxfId="6984" priority="1755" operator="greaterThan">
      <formula>E15</formula>
    </cfRule>
    <cfRule type="cellIs" dxfId="6983" priority="1756" operator="equal">
      <formula>0</formula>
    </cfRule>
  </conditionalFormatting>
  <conditionalFormatting sqref="F16">
    <cfRule type="cellIs" dxfId="6982" priority="1753" operator="greaterThan">
      <formula>F15</formula>
    </cfRule>
    <cfRule type="cellIs" dxfId="6981" priority="1754" operator="equal">
      <formula>0</formula>
    </cfRule>
  </conditionalFormatting>
  <conditionalFormatting sqref="G16">
    <cfRule type="cellIs" dxfId="6980" priority="1751" operator="greaterThan">
      <formula>G15</formula>
    </cfRule>
    <cfRule type="cellIs" dxfId="6979" priority="1752" operator="equal">
      <formula>0</formula>
    </cfRule>
  </conditionalFormatting>
  <conditionalFormatting sqref="H16">
    <cfRule type="cellIs" dxfId="6978" priority="1749" operator="greaterThan">
      <formula>H15</formula>
    </cfRule>
    <cfRule type="cellIs" dxfId="6977" priority="1750" operator="equal">
      <formula>0</formula>
    </cfRule>
  </conditionalFormatting>
  <conditionalFormatting sqref="I16">
    <cfRule type="cellIs" dxfId="6976" priority="1747" operator="greaterThan">
      <formula>I15</formula>
    </cfRule>
    <cfRule type="cellIs" dxfId="6975" priority="1748" operator="equal">
      <formula>0</formula>
    </cfRule>
  </conditionalFormatting>
  <conditionalFormatting sqref="J16">
    <cfRule type="cellIs" dxfId="6974" priority="1745" operator="greaterThan">
      <formula>J15</formula>
    </cfRule>
    <cfRule type="cellIs" dxfId="6973" priority="1746" operator="equal">
      <formula>0</formula>
    </cfRule>
  </conditionalFormatting>
  <conditionalFormatting sqref="K16">
    <cfRule type="cellIs" dxfId="6972" priority="1743" operator="greaterThan">
      <formula>K15</formula>
    </cfRule>
    <cfRule type="cellIs" dxfId="6971" priority="1744" operator="equal">
      <formula>0</formula>
    </cfRule>
  </conditionalFormatting>
  <conditionalFormatting sqref="L16">
    <cfRule type="cellIs" dxfId="6970" priority="1741" operator="greaterThan">
      <formula>L15</formula>
    </cfRule>
    <cfRule type="cellIs" dxfId="6969" priority="1742" operator="equal">
      <formula>0</formula>
    </cfRule>
  </conditionalFormatting>
  <conditionalFormatting sqref="M16">
    <cfRule type="cellIs" dxfId="6968" priority="1739" operator="greaterThan">
      <formula>M15</formula>
    </cfRule>
    <cfRule type="cellIs" dxfId="6967" priority="1740" operator="equal">
      <formula>0</formula>
    </cfRule>
  </conditionalFormatting>
  <conditionalFormatting sqref="N16">
    <cfRule type="cellIs" dxfId="6966" priority="1737" operator="greaterThan">
      <formula>N15</formula>
    </cfRule>
    <cfRule type="cellIs" dxfId="6965" priority="1738" operator="equal">
      <formula>0</formula>
    </cfRule>
  </conditionalFormatting>
  <conditionalFormatting sqref="O16">
    <cfRule type="cellIs" dxfId="6964" priority="1735" operator="greaterThan">
      <formula>O15</formula>
    </cfRule>
    <cfRule type="cellIs" dxfId="6963" priority="1736" operator="equal">
      <formula>0</formula>
    </cfRule>
  </conditionalFormatting>
  <conditionalFormatting sqref="P16">
    <cfRule type="cellIs" dxfId="6962" priority="1733" operator="greaterThan">
      <formula>P15</formula>
    </cfRule>
    <cfRule type="cellIs" dxfId="6961" priority="1734" operator="equal">
      <formula>0</formula>
    </cfRule>
  </conditionalFormatting>
  <conditionalFormatting sqref="E19">
    <cfRule type="cellIs" dxfId="6960" priority="1731" operator="greaterThan">
      <formula>E18</formula>
    </cfRule>
    <cfRule type="cellIs" dxfId="6959" priority="1732" operator="equal">
      <formula>0</formula>
    </cfRule>
  </conditionalFormatting>
  <conditionalFormatting sqref="F19">
    <cfRule type="cellIs" dxfId="6958" priority="1729" operator="greaterThan">
      <formula>F18</formula>
    </cfRule>
    <cfRule type="cellIs" dxfId="6957" priority="1730" operator="equal">
      <formula>0</formula>
    </cfRule>
  </conditionalFormatting>
  <conditionalFormatting sqref="G19">
    <cfRule type="cellIs" dxfId="6956" priority="1727" operator="greaterThan">
      <formula>G18</formula>
    </cfRule>
    <cfRule type="cellIs" dxfId="6955" priority="1728" operator="equal">
      <formula>0</formula>
    </cfRule>
  </conditionalFormatting>
  <conditionalFormatting sqref="H19">
    <cfRule type="cellIs" dxfId="6954" priority="1725" operator="greaterThan">
      <formula>H18</formula>
    </cfRule>
    <cfRule type="cellIs" dxfId="6953" priority="1726" operator="equal">
      <formula>0</formula>
    </cfRule>
  </conditionalFormatting>
  <conditionalFormatting sqref="I19">
    <cfRule type="cellIs" dxfId="6952" priority="1723" operator="greaterThan">
      <formula>I18</formula>
    </cfRule>
    <cfRule type="cellIs" dxfId="6951" priority="1724" operator="equal">
      <formula>0</formula>
    </cfRule>
  </conditionalFormatting>
  <conditionalFormatting sqref="J19">
    <cfRule type="cellIs" dxfId="6950" priority="1721" operator="greaterThan">
      <formula>J18</formula>
    </cfRule>
    <cfRule type="cellIs" dxfId="6949" priority="1722" operator="equal">
      <formula>0</formula>
    </cfRule>
  </conditionalFormatting>
  <conditionalFormatting sqref="K19">
    <cfRule type="cellIs" dxfId="6948" priority="1719" operator="greaterThan">
      <formula>K18</formula>
    </cfRule>
    <cfRule type="cellIs" dxfId="6947" priority="1720" operator="equal">
      <formula>0</formula>
    </cfRule>
  </conditionalFormatting>
  <conditionalFormatting sqref="L19">
    <cfRule type="cellIs" dxfId="6946" priority="1717" operator="greaterThan">
      <formula>L18</formula>
    </cfRule>
    <cfRule type="cellIs" dxfId="6945" priority="1718" operator="equal">
      <formula>0</formula>
    </cfRule>
  </conditionalFormatting>
  <conditionalFormatting sqref="M19">
    <cfRule type="cellIs" dxfId="6944" priority="1715" operator="greaterThan">
      <formula>M18</formula>
    </cfRule>
    <cfRule type="cellIs" dxfId="6943" priority="1716" operator="equal">
      <formula>0</formula>
    </cfRule>
  </conditionalFormatting>
  <conditionalFormatting sqref="N19">
    <cfRule type="cellIs" dxfId="6942" priority="1713" operator="greaterThan">
      <formula>N18</formula>
    </cfRule>
    <cfRule type="cellIs" dxfId="6941" priority="1714" operator="equal">
      <formula>0</formula>
    </cfRule>
  </conditionalFormatting>
  <conditionalFormatting sqref="O19">
    <cfRule type="cellIs" dxfId="6940" priority="1711" operator="greaterThan">
      <formula>O18</formula>
    </cfRule>
    <cfRule type="cellIs" dxfId="6939" priority="1712" operator="equal">
      <formula>0</formula>
    </cfRule>
  </conditionalFormatting>
  <conditionalFormatting sqref="P19">
    <cfRule type="cellIs" dxfId="6938" priority="1709" operator="greaterThan">
      <formula>P18</formula>
    </cfRule>
    <cfRule type="cellIs" dxfId="6937" priority="1710" operator="equal">
      <formula>0</formula>
    </cfRule>
  </conditionalFormatting>
  <conditionalFormatting sqref="E22">
    <cfRule type="cellIs" dxfId="6936" priority="1707" operator="greaterThan">
      <formula>E21</formula>
    </cfRule>
    <cfRule type="cellIs" dxfId="6935" priority="1708" operator="equal">
      <formula>0</formula>
    </cfRule>
  </conditionalFormatting>
  <conditionalFormatting sqref="F22">
    <cfRule type="cellIs" dxfId="6934" priority="1705" operator="greaterThan">
      <formula>F21</formula>
    </cfRule>
    <cfRule type="cellIs" dxfId="6933" priority="1706" operator="equal">
      <formula>0</formula>
    </cfRule>
  </conditionalFormatting>
  <conditionalFormatting sqref="G22">
    <cfRule type="cellIs" dxfId="6932" priority="1703" operator="greaterThan">
      <formula>G21</formula>
    </cfRule>
    <cfRule type="cellIs" dxfId="6931" priority="1704" operator="equal">
      <formula>0</formula>
    </cfRule>
  </conditionalFormatting>
  <conditionalFormatting sqref="H22">
    <cfRule type="cellIs" dxfId="6930" priority="1701" operator="greaterThan">
      <formula>H21</formula>
    </cfRule>
    <cfRule type="cellIs" dxfId="6929" priority="1702" operator="equal">
      <formula>0</formula>
    </cfRule>
  </conditionalFormatting>
  <conditionalFormatting sqref="I22">
    <cfRule type="cellIs" dxfId="6928" priority="1699" operator="greaterThan">
      <formula>I21</formula>
    </cfRule>
    <cfRule type="cellIs" dxfId="6927" priority="1700" operator="equal">
      <formula>0</formula>
    </cfRule>
  </conditionalFormatting>
  <conditionalFormatting sqref="J22">
    <cfRule type="cellIs" dxfId="6926" priority="1697" operator="greaterThan">
      <formula>J21</formula>
    </cfRule>
    <cfRule type="cellIs" dxfId="6925" priority="1698" operator="equal">
      <formula>0</formula>
    </cfRule>
  </conditionalFormatting>
  <conditionalFormatting sqref="K22">
    <cfRule type="cellIs" dxfId="6924" priority="1695" operator="greaterThan">
      <formula>K21</formula>
    </cfRule>
    <cfRule type="cellIs" dxfId="6923" priority="1696" operator="equal">
      <formula>0</formula>
    </cfRule>
  </conditionalFormatting>
  <conditionalFormatting sqref="L22">
    <cfRule type="cellIs" dxfId="6922" priority="1693" operator="greaterThan">
      <formula>L21</formula>
    </cfRule>
    <cfRule type="cellIs" dxfId="6921" priority="1694" operator="equal">
      <formula>0</formula>
    </cfRule>
  </conditionalFormatting>
  <conditionalFormatting sqref="M22">
    <cfRule type="cellIs" dxfId="6920" priority="1691" operator="greaterThan">
      <formula>M21</formula>
    </cfRule>
    <cfRule type="cellIs" dxfId="6919" priority="1692" operator="equal">
      <formula>0</formula>
    </cfRule>
  </conditionalFormatting>
  <conditionalFormatting sqref="N22">
    <cfRule type="cellIs" dxfId="6918" priority="1689" operator="greaterThan">
      <formula>N21</formula>
    </cfRule>
    <cfRule type="cellIs" dxfId="6917" priority="1690" operator="equal">
      <formula>0</formula>
    </cfRule>
  </conditionalFormatting>
  <conditionalFormatting sqref="O22">
    <cfRule type="cellIs" dxfId="6916" priority="1687" operator="greaterThan">
      <formula>O21</formula>
    </cfRule>
    <cfRule type="cellIs" dxfId="6915" priority="1688" operator="equal">
      <formula>0</formula>
    </cfRule>
  </conditionalFormatting>
  <conditionalFormatting sqref="P22">
    <cfRule type="cellIs" dxfId="6914" priority="1685" operator="greaterThan">
      <formula>P21</formula>
    </cfRule>
    <cfRule type="cellIs" dxfId="6913" priority="1686" operator="equal">
      <formula>0</formula>
    </cfRule>
  </conditionalFormatting>
  <conditionalFormatting sqref="E28">
    <cfRule type="cellIs" dxfId="6912" priority="1683" operator="greaterThan">
      <formula>E27</formula>
    </cfRule>
    <cfRule type="cellIs" dxfId="6911" priority="1684" operator="equal">
      <formula>0</formula>
    </cfRule>
  </conditionalFormatting>
  <conditionalFormatting sqref="F28">
    <cfRule type="cellIs" dxfId="6910" priority="1681" operator="greaterThan">
      <formula>F27</formula>
    </cfRule>
    <cfRule type="cellIs" dxfId="6909" priority="1682" operator="equal">
      <formula>0</formula>
    </cfRule>
  </conditionalFormatting>
  <conditionalFormatting sqref="G28">
    <cfRule type="cellIs" dxfId="6908" priority="1679" operator="greaterThan">
      <formula>G27</formula>
    </cfRule>
    <cfRule type="cellIs" dxfId="6907" priority="1680" operator="equal">
      <formula>0</formula>
    </cfRule>
  </conditionalFormatting>
  <conditionalFormatting sqref="H28">
    <cfRule type="cellIs" dxfId="6906" priority="1677" operator="greaterThan">
      <formula>H27</formula>
    </cfRule>
    <cfRule type="cellIs" dxfId="6905" priority="1678" operator="equal">
      <formula>0</formula>
    </cfRule>
  </conditionalFormatting>
  <conditionalFormatting sqref="I28">
    <cfRule type="cellIs" dxfId="6904" priority="1675" operator="greaterThan">
      <formula>I27</formula>
    </cfRule>
    <cfRule type="cellIs" dxfId="6903" priority="1676" operator="equal">
      <formula>0</formula>
    </cfRule>
  </conditionalFormatting>
  <conditionalFormatting sqref="J28">
    <cfRule type="cellIs" dxfId="6902" priority="1673" operator="greaterThan">
      <formula>J27</formula>
    </cfRule>
    <cfRule type="cellIs" dxfId="6901" priority="1674" operator="equal">
      <formula>0</formula>
    </cfRule>
  </conditionalFormatting>
  <conditionalFormatting sqref="K28">
    <cfRule type="cellIs" dxfId="6900" priority="1671" operator="greaterThan">
      <formula>K27</formula>
    </cfRule>
    <cfRule type="cellIs" dxfId="6899" priority="1672" operator="equal">
      <formula>0</formula>
    </cfRule>
  </conditionalFormatting>
  <conditionalFormatting sqref="L28">
    <cfRule type="cellIs" dxfId="6898" priority="1669" operator="greaterThan">
      <formula>L27</formula>
    </cfRule>
    <cfRule type="cellIs" dxfId="6897" priority="1670" operator="equal">
      <formula>0</formula>
    </cfRule>
  </conditionalFormatting>
  <conditionalFormatting sqref="M28">
    <cfRule type="cellIs" dxfId="6896" priority="1667" operator="greaterThan">
      <formula>M27</formula>
    </cfRule>
    <cfRule type="cellIs" dxfId="6895" priority="1668" operator="equal">
      <formula>0</formula>
    </cfRule>
  </conditionalFormatting>
  <conditionalFormatting sqref="N28">
    <cfRule type="cellIs" dxfId="6894" priority="1665" operator="greaterThan">
      <formula>N27</formula>
    </cfRule>
    <cfRule type="cellIs" dxfId="6893" priority="1666" operator="equal">
      <formula>0</formula>
    </cfRule>
  </conditionalFormatting>
  <conditionalFormatting sqref="O28">
    <cfRule type="cellIs" dxfId="6892" priority="1663" operator="greaterThan">
      <formula>O27</formula>
    </cfRule>
    <cfRule type="cellIs" dxfId="6891" priority="1664" operator="equal">
      <formula>0</formula>
    </cfRule>
  </conditionalFormatting>
  <conditionalFormatting sqref="P28">
    <cfRule type="cellIs" dxfId="6890" priority="1661" operator="greaterThan">
      <formula>P27</formula>
    </cfRule>
    <cfRule type="cellIs" dxfId="6889" priority="1662" operator="equal">
      <formula>0</formula>
    </cfRule>
  </conditionalFormatting>
  <conditionalFormatting sqref="E47:P47">
    <cfRule type="cellIs" dxfId="6888" priority="1659" operator="greaterThan">
      <formula>E45</formula>
    </cfRule>
    <cfRule type="cellIs" dxfId="6887" priority="1660" operator="equal">
      <formula>0</formula>
    </cfRule>
  </conditionalFormatting>
  <conditionalFormatting sqref="G50 I50 K50 M50 O50 E50">
    <cfRule type="cellIs" dxfId="6886" priority="1657" operator="greaterThan">
      <formula>E49</formula>
    </cfRule>
    <cfRule type="cellIs" dxfId="6885" priority="1658" operator="equal">
      <formula>0</formula>
    </cfRule>
  </conditionalFormatting>
  <conditionalFormatting sqref="E51:P51">
    <cfRule type="cellIs" dxfId="6884" priority="1655" operator="greaterThan">
      <formula>E45</formula>
    </cfRule>
    <cfRule type="cellIs" dxfId="6883" priority="1656" operator="equal">
      <formula>0</formula>
    </cfRule>
  </conditionalFormatting>
  <conditionalFormatting sqref="V28">
    <cfRule type="cellIs" dxfId="6882" priority="1653" operator="greaterThan">
      <formula>V27</formula>
    </cfRule>
    <cfRule type="cellIs" dxfId="6881" priority="1654" operator="equal">
      <formula>0</formula>
    </cfRule>
  </conditionalFormatting>
  <conditionalFormatting sqref="V43">
    <cfRule type="cellIs" dxfId="6880" priority="1651" operator="greaterThan">
      <formula>V42</formula>
    </cfRule>
    <cfRule type="cellIs" dxfId="6879" priority="1652" operator="equal">
      <formula>0</formula>
    </cfRule>
  </conditionalFormatting>
  <conditionalFormatting sqref="X43">
    <cfRule type="cellIs" dxfId="6878" priority="1649" operator="greaterThan">
      <formula>X42</formula>
    </cfRule>
    <cfRule type="cellIs" dxfId="6877" priority="1650" operator="equal">
      <formula>0</formula>
    </cfRule>
  </conditionalFormatting>
  <conditionalFormatting sqref="V27">
    <cfRule type="cellIs" dxfId="6876" priority="1647" operator="greaterThan">
      <formula>V26</formula>
    </cfRule>
    <cfRule type="cellIs" dxfId="6875" priority="1648" operator="equal">
      <formula>0</formula>
    </cfRule>
  </conditionalFormatting>
  <conditionalFormatting sqref="E51:N51">
    <cfRule type="cellIs" dxfId="6874" priority="1645" operator="greaterThan">
      <formula>G50</formula>
    </cfRule>
    <cfRule type="cellIs" dxfId="6873" priority="1646" operator="equal">
      <formula>0</formula>
    </cfRule>
  </conditionalFormatting>
  <conditionalFormatting sqref="O51:P51">
    <cfRule type="cellIs" dxfId="6872" priority="1643" operator="greaterThan">
      <formula>#REF!</formula>
    </cfRule>
    <cfRule type="cellIs" dxfId="6871" priority="1644" operator="equal">
      <formula>0</formula>
    </cfRule>
  </conditionalFormatting>
  <conditionalFormatting sqref="V13">
    <cfRule type="cellIs" dxfId="6870" priority="1641" operator="greaterThan">
      <formula>V12</formula>
    </cfRule>
    <cfRule type="cellIs" dxfId="6869" priority="1642" operator="equal">
      <formula>0</formula>
    </cfRule>
  </conditionalFormatting>
  <conditionalFormatting sqref="V12">
    <cfRule type="cellIs" dxfId="6868" priority="1639" operator="greaterThan">
      <formula>V11</formula>
    </cfRule>
    <cfRule type="cellIs" dxfId="6867" priority="1640" operator="equal">
      <formula>0</formula>
    </cfRule>
  </conditionalFormatting>
  <conditionalFormatting sqref="V16">
    <cfRule type="cellIs" dxfId="6866" priority="1637" operator="greaterThan">
      <formula>V15</formula>
    </cfRule>
    <cfRule type="cellIs" dxfId="6865" priority="1638" operator="equal">
      <formula>0</formula>
    </cfRule>
  </conditionalFormatting>
  <conditionalFormatting sqref="V15">
    <cfRule type="cellIs" dxfId="6864" priority="1635" operator="greaterThan">
      <formula>V14</formula>
    </cfRule>
    <cfRule type="cellIs" dxfId="6863" priority="1636" operator="equal">
      <formula>0</formula>
    </cfRule>
  </conditionalFormatting>
  <conditionalFormatting sqref="V19">
    <cfRule type="cellIs" dxfId="6862" priority="1633" operator="greaterThan">
      <formula>V18</formula>
    </cfRule>
    <cfRule type="cellIs" dxfId="6861" priority="1634" operator="equal">
      <formula>0</formula>
    </cfRule>
  </conditionalFormatting>
  <conditionalFormatting sqref="V18">
    <cfRule type="cellIs" dxfId="6860" priority="1631" operator="greaterThan">
      <formula>V17</formula>
    </cfRule>
    <cfRule type="cellIs" dxfId="6859" priority="1632" operator="equal">
      <formula>0</formula>
    </cfRule>
  </conditionalFormatting>
  <conditionalFormatting sqref="V22 V24:V25">
    <cfRule type="cellIs" dxfId="6858" priority="1629" operator="greaterThan">
      <formula>V21</formula>
    </cfRule>
    <cfRule type="cellIs" dxfId="6857" priority="1630" operator="equal">
      <formula>0</formula>
    </cfRule>
  </conditionalFormatting>
  <conditionalFormatting sqref="V21">
    <cfRule type="cellIs" dxfId="6856" priority="1627" operator="greaterThan">
      <formula>V20</formula>
    </cfRule>
    <cfRule type="cellIs" dxfId="6855" priority="1628" operator="equal">
      <formula>0</formula>
    </cfRule>
  </conditionalFormatting>
  <conditionalFormatting sqref="E31">
    <cfRule type="cellIs" dxfId="6854" priority="1625" operator="greaterThan">
      <formula>E30</formula>
    </cfRule>
    <cfRule type="cellIs" dxfId="6853" priority="1626" operator="equal">
      <formula>0</formula>
    </cfRule>
  </conditionalFormatting>
  <conditionalFormatting sqref="F31">
    <cfRule type="cellIs" dxfId="6852" priority="1623" operator="greaterThan">
      <formula>F30</formula>
    </cfRule>
    <cfRule type="cellIs" dxfId="6851" priority="1624" operator="equal">
      <formula>0</formula>
    </cfRule>
  </conditionalFormatting>
  <conditionalFormatting sqref="G31">
    <cfRule type="cellIs" dxfId="6850" priority="1621" operator="greaterThan">
      <formula>G30</formula>
    </cfRule>
    <cfRule type="cellIs" dxfId="6849" priority="1622" operator="equal">
      <formula>0</formula>
    </cfRule>
  </conditionalFormatting>
  <conditionalFormatting sqref="H31">
    <cfRule type="cellIs" dxfId="6848" priority="1619" operator="greaterThan">
      <formula>H30</formula>
    </cfRule>
    <cfRule type="cellIs" dxfId="6847" priority="1620" operator="equal">
      <formula>0</formula>
    </cfRule>
  </conditionalFormatting>
  <conditionalFormatting sqref="I31">
    <cfRule type="cellIs" dxfId="6846" priority="1617" operator="greaterThan">
      <formula>I30</formula>
    </cfRule>
    <cfRule type="cellIs" dxfId="6845" priority="1618" operator="equal">
      <formula>0</formula>
    </cfRule>
  </conditionalFormatting>
  <conditionalFormatting sqref="J31">
    <cfRule type="cellIs" dxfId="6844" priority="1615" operator="greaterThan">
      <formula>J30</formula>
    </cfRule>
    <cfRule type="cellIs" dxfId="6843" priority="1616" operator="equal">
      <formula>0</formula>
    </cfRule>
  </conditionalFormatting>
  <conditionalFormatting sqref="K31">
    <cfRule type="cellIs" dxfId="6842" priority="1613" operator="greaterThan">
      <formula>K30</formula>
    </cfRule>
    <cfRule type="cellIs" dxfId="6841" priority="1614" operator="equal">
      <formula>0</formula>
    </cfRule>
  </conditionalFormatting>
  <conditionalFormatting sqref="L31">
    <cfRule type="cellIs" dxfId="6840" priority="1611" operator="greaterThan">
      <formula>L30</formula>
    </cfRule>
    <cfRule type="cellIs" dxfId="6839" priority="1612" operator="equal">
      <formula>0</formula>
    </cfRule>
  </conditionalFormatting>
  <conditionalFormatting sqref="M31">
    <cfRule type="cellIs" dxfId="6838" priority="1609" operator="greaterThan">
      <formula>M30</formula>
    </cfRule>
    <cfRule type="cellIs" dxfId="6837" priority="1610" operator="equal">
      <formula>0</formula>
    </cfRule>
  </conditionalFormatting>
  <conditionalFormatting sqref="N31">
    <cfRule type="cellIs" dxfId="6836" priority="1607" operator="greaterThan">
      <formula>N30</formula>
    </cfRule>
    <cfRule type="cellIs" dxfId="6835" priority="1608" operator="equal">
      <formula>0</formula>
    </cfRule>
  </conditionalFormatting>
  <conditionalFormatting sqref="O31">
    <cfRule type="cellIs" dxfId="6834" priority="1605" operator="greaterThan">
      <formula>O30</formula>
    </cfRule>
    <cfRule type="cellIs" dxfId="6833" priority="1606" operator="equal">
      <formula>0</formula>
    </cfRule>
  </conditionalFormatting>
  <conditionalFormatting sqref="P31">
    <cfRule type="cellIs" dxfId="6832" priority="1603" operator="greaterThan">
      <formula>P30</formula>
    </cfRule>
    <cfRule type="cellIs" dxfId="6831" priority="1604" operator="equal">
      <formula>0</formula>
    </cfRule>
  </conditionalFormatting>
  <conditionalFormatting sqref="E25">
    <cfRule type="cellIs" dxfId="6830" priority="1601" operator="greaterThan">
      <formula>E24</formula>
    </cfRule>
    <cfRule type="cellIs" dxfId="6829" priority="1602" operator="equal">
      <formula>0</formula>
    </cfRule>
  </conditionalFormatting>
  <conditionalFormatting sqref="F25">
    <cfRule type="cellIs" dxfId="6828" priority="1599" operator="greaterThan">
      <formula>F24</formula>
    </cfRule>
    <cfRule type="cellIs" dxfId="6827" priority="1600" operator="equal">
      <formula>0</formula>
    </cfRule>
  </conditionalFormatting>
  <conditionalFormatting sqref="G25">
    <cfRule type="cellIs" dxfId="6826" priority="1597" operator="greaterThan">
      <formula>G24</formula>
    </cfRule>
    <cfRule type="cellIs" dxfId="6825" priority="1598" operator="equal">
      <formula>0</formula>
    </cfRule>
  </conditionalFormatting>
  <conditionalFormatting sqref="H25">
    <cfRule type="cellIs" dxfId="6824" priority="1595" operator="greaterThan">
      <formula>H24</formula>
    </cfRule>
    <cfRule type="cellIs" dxfId="6823" priority="1596" operator="equal">
      <formula>0</formula>
    </cfRule>
  </conditionalFormatting>
  <conditionalFormatting sqref="I25">
    <cfRule type="cellIs" dxfId="6822" priority="1593" operator="greaterThan">
      <formula>I24</formula>
    </cfRule>
    <cfRule type="cellIs" dxfId="6821" priority="1594" operator="equal">
      <formula>0</formula>
    </cfRule>
  </conditionalFormatting>
  <conditionalFormatting sqref="J25">
    <cfRule type="cellIs" dxfId="6820" priority="1591" operator="greaterThan">
      <formula>J24</formula>
    </cfRule>
    <cfRule type="cellIs" dxfId="6819" priority="1592" operator="equal">
      <formula>0</formula>
    </cfRule>
  </conditionalFormatting>
  <conditionalFormatting sqref="K25">
    <cfRule type="cellIs" dxfId="6818" priority="1589" operator="greaterThan">
      <formula>K24</formula>
    </cfRule>
    <cfRule type="cellIs" dxfId="6817" priority="1590" operator="equal">
      <formula>0</formula>
    </cfRule>
  </conditionalFormatting>
  <conditionalFormatting sqref="L25">
    <cfRule type="cellIs" dxfId="6816" priority="1587" operator="greaterThan">
      <formula>L24</formula>
    </cfRule>
    <cfRule type="cellIs" dxfId="6815" priority="1588" operator="equal">
      <formula>0</formula>
    </cfRule>
  </conditionalFormatting>
  <conditionalFormatting sqref="M25">
    <cfRule type="cellIs" dxfId="6814" priority="1585" operator="greaterThan">
      <formula>M24</formula>
    </cfRule>
    <cfRule type="cellIs" dxfId="6813" priority="1586" operator="equal">
      <formula>0</formula>
    </cfRule>
  </conditionalFormatting>
  <conditionalFormatting sqref="N25">
    <cfRule type="cellIs" dxfId="6812" priority="1583" operator="greaterThan">
      <formula>N24</formula>
    </cfRule>
    <cfRule type="cellIs" dxfId="6811" priority="1584" operator="equal">
      <formula>0</formula>
    </cfRule>
  </conditionalFormatting>
  <conditionalFormatting sqref="O25">
    <cfRule type="cellIs" dxfId="6810" priority="1581" operator="greaterThan">
      <formula>O24</formula>
    </cfRule>
    <cfRule type="cellIs" dxfId="6809" priority="1582" operator="equal">
      <formula>0</formula>
    </cfRule>
  </conditionalFormatting>
  <conditionalFormatting sqref="P25">
    <cfRule type="cellIs" dxfId="6808" priority="1579" operator="greaterThan">
      <formula>P24</formula>
    </cfRule>
    <cfRule type="cellIs" dxfId="6807" priority="1580" operator="equal">
      <formula>0</formula>
    </cfRule>
  </conditionalFormatting>
  <conditionalFormatting sqref="E45:P45 E46:O46">
    <cfRule type="cellIs" dxfId="6806" priority="1577" operator="greaterThan">
      <formula>#REF!</formula>
    </cfRule>
    <cfRule type="cellIs" dxfId="6805" priority="1578" operator="equal">
      <formula>0</formula>
    </cfRule>
  </conditionalFormatting>
  <conditionalFormatting sqref="E34">
    <cfRule type="cellIs" dxfId="6804" priority="1574" operator="greaterThan">
      <formula>E33</formula>
    </cfRule>
    <cfRule type="cellIs" dxfId="6803" priority="1575" operator="equal">
      <formula>0</formula>
    </cfRule>
  </conditionalFormatting>
  <conditionalFormatting sqref="F34">
    <cfRule type="cellIs" dxfId="6802" priority="1572" operator="greaterThan">
      <formula>F33</formula>
    </cfRule>
    <cfRule type="cellIs" dxfId="6801" priority="1573" operator="equal">
      <formula>0</formula>
    </cfRule>
  </conditionalFormatting>
  <conditionalFormatting sqref="G34">
    <cfRule type="cellIs" dxfId="6800" priority="1570" operator="greaterThan">
      <formula>G33</formula>
    </cfRule>
    <cfRule type="cellIs" dxfId="6799" priority="1571" operator="equal">
      <formula>0</formula>
    </cfRule>
  </conditionalFormatting>
  <conditionalFormatting sqref="H34">
    <cfRule type="cellIs" dxfId="6798" priority="1568" operator="greaterThan">
      <formula>H33</formula>
    </cfRule>
    <cfRule type="cellIs" dxfId="6797" priority="1569" operator="equal">
      <formula>0</formula>
    </cfRule>
  </conditionalFormatting>
  <conditionalFormatting sqref="I34">
    <cfRule type="cellIs" dxfId="6796" priority="1566" operator="greaterThan">
      <formula>I33</formula>
    </cfRule>
    <cfRule type="cellIs" dxfId="6795" priority="1567" operator="equal">
      <formula>0</formula>
    </cfRule>
  </conditionalFormatting>
  <conditionalFormatting sqref="J34">
    <cfRule type="cellIs" dxfId="6794" priority="1564" operator="greaterThan">
      <formula>J33</formula>
    </cfRule>
    <cfRule type="cellIs" dxfId="6793" priority="1565" operator="equal">
      <formula>0</formula>
    </cfRule>
  </conditionalFormatting>
  <conditionalFormatting sqref="K34">
    <cfRule type="cellIs" dxfId="6792" priority="1562" operator="greaterThan">
      <formula>K33</formula>
    </cfRule>
    <cfRule type="cellIs" dxfId="6791" priority="1563" operator="equal">
      <formula>0</formula>
    </cfRule>
  </conditionalFormatting>
  <conditionalFormatting sqref="L34">
    <cfRule type="cellIs" dxfId="6790" priority="1560" operator="greaterThan">
      <formula>L33</formula>
    </cfRule>
    <cfRule type="cellIs" dxfId="6789" priority="1561" operator="equal">
      <formula>0</formula>
    </cfRule>
  </conditionalFormatting>
  <conditionalFormatting sqref="M34">
    <cfRule type="cellIs" dxfId="6788" priority="1558" operator="greaterThan">
      <formula>M33</formula>
    </cfRule>
    <cfRule type="cellIs" dxfId="6787" priority="1559" operator="equal">
      <formula>0</formula>
    </cfRule>
  </conditionalFormatting>
  <conditionalFormatting sqref="N34">
    <cfRule type="cellIs" dxfId="6786" priority="1556" operator="greaterThan">
      <formula>N33</formula>
    </cfRule>
    <cfRule type="cellIs" dxfId="6785" priority="1557" operator="equal">
      <formula>0</formula>
    </cfRule>
  </conditionalFormatting>
  <conditionalFormatting sqref="O34">
    <cfRule type="cellIs" dxfId="6784" priority="1554" operator="greaterThan">
      <formula>O33</formula>
    </cfRule>
    <cfRule type="cellIs" dxfId="6783" priority="1555" operator="equal">
      <formula>0</formula>
    </cfRule>
  </conditionalFormatting>
  <conditionalFormatting sqref="P34">
    <cfRule type="cellIs" dxfId="6782" priority="1552" operator="greaterThan">
      <formula>P33</formula>
    </cfRule>
    <cfRule type="cellIs" dxfId="6781" priority="1553" operator="equal">
      <formula>0</formula>
    </cfRule>
  </conditionalFormatting>
  <conditionalFormatting sqref="E37">
    <cfRule type="cellIs" dxfId="6780" priority="1549" operator="greaterThan">
      <formula>E36</formula>
    </cfRule>
    <cfRule type="cellIs" dxfId="6779" priority="1550" operator="equal">
      <formula>0</formula>
    </cfRule>
  </conditionalFormatting>
  <conditionalFormatting sqref="F37">
    <cfRule type="cellIs" dxfId="6778" priority="1547" operator="greaterThan">
      <formula>F36</formula>
    </cfRule>
    <cfRule type="cellIs" dxfId="6777" priority="1548" operator="equal">
      <formula>0</formula>
    </cfRule>
  </conditionalFormatting>
  <conditionalFormatting sqref="G37">
    <cfRule type="cellIs" dxfId="6776" priority="1545" operator="greaterThan">
      <formula>G36</formula>
    </cfRule>
    <cfRule type="cellIs" dxfId="6775" priority="1546" operator="equal">
      <formula>0</formula>
    </cfRule>
  </conditionalFormatting>
  <conditionalFormatting sqref="H37">
    <cfRule type="cellIs" dxfId="6774" priority="1543" operator="greaterThan">
      <formula>H36</formula>
    </cfRule>
    <cfRule type="cellIs" dxfId="6773" priority="1544" operator="equal">
      <formula>0</formula>
    </cfRule>
  </conditionalFormatting>
  <conditionalFormatting sqref="I37">
    <cfRule type="cellIs" dxfId="6772" priority="1541" operator="greaterThan">
      <formula>I36</formula>
    </cfRule>
    <cfRule type="cellIs" dxfId="6771" priority="1542" operator="equal">
      <formula>0</formula>
    </cfRule>
  </conditionalFormatting>
  <conditionalFormatting sqref="J37">
    <cfRule type="cellIs" dxfId="6770" priority="1539" operator="greaterThan">
      <formula>J36</formula>
    </cfRule>
    <cfRule type="cellIs" dxfId="6769" priority="1540" operator="equal">
      <formula>0</formula>
    </cfRule>
  </conditionalFormatting>
  <conditionalFormatting sqref="K37">
    <cfRule type="cellIs" dxfId="6768" priority="1537" operator="greaterThan">
      <formula>K36</formula>
    </cfRule>
    <cfRule type="cellIs" dxfId="6767" priority="1538" operator="equal">
      <formula>0</formula>
    </cfRule>
  </conditionalFormatting>
  <conditionalFormatting sqref="L37">
    <cfRule type="cellIs" dxfId="6766" priority="1535" operator="greaterThan">
      <formula>L36</formula>
    </cfRule>
    <cfRule type="cellIs" dxfId="6765" priority="1536" operator="equal">
      <formula>0</formula>
    </cfRule>
  </conditionalFormatting>
  <conditionalFormatting sqref="M37">
    <cfRule type="cellIs" dxfId="6764" priority="1533" operator="greaterThan">
      <formula>M36</formula>
    </cfRule>
    <cfRule type="cellIs" dxfId="6763" priority="1534" operator="equal">
      <formula>0</formula>
    </cfRule>
  </conditionalFormatting>
  <conditionalFormatting sqref="N37">
    <cfRule type="cellIs" dxfId="6762" priority="1531" operator="greaterThan">
      <formula>N36</formula>
    </cfRule>
    <cfRule type="cellIs" dxfId="6761" priority="1532" operator="equal">
      <formula>0</formula>
    </cfRule>
  </conditionalFormatting>
  <conditionalFormatting sqref="O37">
    <cfRule type="cellIs" dxfId="6760" priority="1529" operator="greaterThan">
      <formula>O36</formula>
    </cfRule>
    <cfRule type="cellIs" dxfId="6759" priority="1530" operator="equal">
      <formula>0</formula>
    </cfRule>
  </conditionalFormatting>
  <conditionalFormatting sqref="P37">
    <cfRule type="cellIs" dxfId="6758" priority="1527" operator="greaterThan">
      <formula>P36</formula>
    </cfRule>
    <cfRule type="cellIs" dxfId="6757" priority="1528" operator="equal">
      <formula>0</formula>
    </cfRule>
  </conditionalFormatting>
  <conditionalFormatting sqref="V24">
    <cfRule type="cellIs" dxfId="6756" priority="1525" operator="greaterThan">
      <formula>V23</formula>
    </cfRule>
    <cfRule type="cellIs" dxfId="6755" priority="1526" operator="equal">
      <formula>0</formula>
    </cfRule>
  </conditionalFormatting>
  <conditionalFormatting sqref="V27:V28">
    <cfRule type="cellIs" dxfId="6754" priority="1523" operator="greaterThan">
      <formula>V26</formula>
    </cfRule>
    <cfRule type="cellIs" dxfId="6753" priority="1524" operator="equal">
      <formula>0</formula>
    </cfRule>
  </conditionalFormatting>
  <conditionalFormatting sqref="V27">
    <cfRule type="cellIs" dxfId="6752" priority="1521" operator="greaterThan">
      <formula>V26</formula>
    </cfRule>
    <cfRule type="cellIs" dxfId="6751" priority="1522" operator="equal">
      <formula>0</formula>
    </cfRule>
  </conditionalFormatting>
  <conditionalFormatting sqref="P42 P27 P12 P15 P18 P21 P30 P24">
    <cfRule type="cellIs" dxfId="6750" priority="1520" operator="equal">
      <formula>0</formula>
    </cfRule>
  </conditionalFormatting>
  <conditionalFormatting sqref="P43:P44">
    <cfRule type="cellIs" dxfId="6749" priority="1518" operator="greaterThan">
      <formula>P42</formula>
    </cfRule>
    <cfRule type="cellIs" dxfId="6748" priority="1519" operator="equal">
      <formula>0</formula>
    </cfRule>
  </conditionalFormatting>
  <conditionalFormatting sqref="P13">
    <cfRule type="cellIs" dxfId="6747" priority="1516" operator="greaterThan">
      <formula>P12</formula>
    </cfRule>
    <cfRule type="cellIs" dxfId="6746" priority="1517" operator="equal">
      <formula>0</formula>
    </cfRule>
  </conditionalFormatting>
  <conditionalFormatting sqref="P16">
    <cfRule type="cellIs" dxfId="6745" priority="1514" operator="greaterThan">
      <formula>P15</formula>
    </cfRule>
    <cfRule type="cellIs" dxfId="6744" priority="1515" operator="equal">
      <formula>0</formula>
    </cfRule>
  </conditionalFormatting>
  <conditionalFormatting sqref="P19">
    <cfRule type="cellIs" dxfId="6743" priority="1512" operator="greaterThan">
      <formula>P18</formula>
    </cfRule>
    <cfRule type="cellIs" dxfId="6742" priority="1513" operator="equal">
      <formula>0</formula>
    </cfRule>
  </conditionalFormatting>
  <conditionalFormatting sqref="P22">
    <cfRule type="cellIs" dxfId="6741" priority="1510" operator="greaterThan">
      <formula>P21</formula>
    </cfRule>
    <cfRule type="cellIs" dxfId="6740" priority="1511" operator="equal">
      <formula>0</formula>
    </cfRule>
  </conditionalFormatting>
  <conditionalFormatting sqref="P28">
    <cfRule type="cellIs" dxfId="6739" priority="1508" operator="greaterThan">
      <formula>P27</formula>
    </cfRule>
    <cfRule type="cellIs" dxfId="6738" priority="1509" operator="equal">
      <formula>0</formula>
    </cfRule>
  </conditionalFormatting>
  <conditionalFormatting sqref="P31">
    <cfRule type="cellIs" dxfId="6737" priority="1506" operator="greaterThan">
      <formula>P30</formula>
    </cfRule>
    <cfRule type="cellIs" dxfId="6736" priority="1507" operator="equal">
      <formula>0</formula>
    </cfRule>
  </conditionalFormatting>
  <conditionalFormatting sqref="P25">
    <cfRule type="cellIs" dxfId="6735" priority="1504" operator="greaterThan">
      <formula>P24</formula>
    </cfRule>
    <cfRule type="cellIs" dxfId="6734" priority="1505" operator="equal">
      <formula>0</formula>
    </cfRule>
  </conditionalFormatting>
  <conditionalFormatting sqref="P45">
    <cfRule type="cellIs" dxfId="6733" priority="1502" operator="greaterThan">
      <formula>#REF!</formula>
    </cfRule>
    <cfRule type="cellIs" dxfId="6732" priority="1503" operator="equal">
      <formula>0</formula>
    </cfRule>
  </conditionalFormatting>
  <conditionalFormatting sqref="P33">
    <cfRule type="cellIs" dxfId="6731" priority="1501" operator="equal">
      <formula>0</formula>
    </cfRule>
  </conditionalFormatting>
  <conditionalFormatting sqref="P34">
    <cfRule type="cellIs" dxfId="6730" priority="1499" operator="greaterThan">
      <formula>P33</formula>
    </cfRule>
    <cfRule type="cellIs" dxfId="6729" priority="1500" operator="equal">
      <formula>0</formula>
    </cfRule>
  </conditionalFormatting>
  <conditionalFormatting sqref="P36">
    <cfRule type="cellIs" dxfId="6728" priority="1498" operator="equal">
      <formula>0</formula>
    </cfRule>
  </conditionalFormatting>
  <conditionalFormatting sqref="P37">
    <cfRule type="cellIs" dxfId="6727" priority="1496" operator="greaterThan">
      <formula>P36</formula>
    </cfRule>
    <cfRule type="cellIs" dxfId="6726" priority="1497" operator="equal">
      <formula>0</formula>
    </cfRule>
  </conditionalFormatting>
  <conditionalFormatting sqref="E46:O46">
    <cfRule type="cellIs" dxfId="6725" priority="1494" operator="greaterThan">
      <formula>#REF!</formula>
    </cfRule>
    <cfRule type="cellIs" dxfId="6724" priority="1495" operator="equal">
      <formula>0</formula>
    </cfRule>
  </conditionalFormatting>
  <conditionalFormatting sqref="H42">
    <cfRule type="cellIs" dxfId="6723" priority="1493" operator="equal">
      <formula>0</formula>
    </cfRule>
  </conditionalFormatting>
  <conditionalFormatting sqref="H43:H44">
    <cfRule type="cellIs" dxfId="6722" priority="1491" operator="greaterThan">
      <formula>H42</formula>
    </cfRule>
    <cfRule type="cellIs" dxfId="6721" priority="1492" operator="equal">
      <formula>0</formula>
    </cfRule>
  </conditionalFormatting>
  <conditionalFormatting sqref="H45">
    <cfRule type="cellIs" dxfId="6720" priority="1489" operator="greaterThan">
      <formula>#REF!</formula>
    </cfRule>
    <cfRule type="cellIs" dxfId="6719" priority="1490" operator="equal">
      <formula>0</formula>
    </cfRule>
  </conditionalFormatting>
  <conditionalFormatting sqref="X49:X50 X42:X43 V42:V43 V12:V13 X12:X13 V15:V16 X15:X16 V18:V19 X18:X19 V21:V22 V24:V25 X21:X25 V27:V28 X27:X28 V49:V50">
    <cfRule type="cellIs" dxfId="6718" priority="1488" operator="equal">
      <formula>0</formula>
    </cfRule>
  </conditionalFormatting>
  <conditionalFormatting sqref="V50 X50">
    <cfRule type="cellIs" dxfId="6717" priority="1486" operator="greaterThan">
      <formula>V49</formula>
    </cfRule>
    <cfRule type="cellIs" dxfId="6716" priority="1487" operator="equal">
      <formula>0</formula>
    </cfRule>
  </conditionalFormatting>
  <conditionalFormatting sqref="V28">
    <cfRule type="cellIs" dxfId="6715" priority="1484" operator="greaterThan">
      <formula>V27</formula>
    </cfRule>
    <cfRule type="cellIs" dxfId="6714" priority="1485" operator="equal">
      <formula>0</formula>
    </cfRule>
  </conditionalFormatting>
  <conditionalFormatting sqref="V43">
    <cfRule type="cellIs" dxfId="6713" priority="1482" operator="greaterThan">
      <formula>V42</formula>
    </cfRule>
    <cfRule type="cellIs" dxfId="6712" priority="1483" operator="equal">
      <formula>0</formula>
    </cfRule>
  </conditionalFormatting>
  <conditionalFormatting sqref="X43">
    <cfRule type="cellIs" dxfId="6711" priority="1480" operator="greaterThan">
      <formula>X42</formula>
    </cfRule>
    <cfRule type="cellIs" dxfId="6710" priority="1481" operator="equal">
      <formula>0</formula>
    </cfRule>
  </conditionalFormatting>
  <conditionalFormatting sqref="V27">
    <cfRule type="cellIs" dxfId="6709" priority="1478" operator="greaterThan">
      <formula>V26</formula>
    </cfRule>
    <cfRule type="cellIs" dxfId="6708" priority="1479" operator="equal">
      <formula>0</formula>
    </cfRule>
  </conditionalFormatting>
  <conditionalFormatting sqref="V13">
    <cfRule type="cellIs" dxfId="6707" priority="1476" operator="greaterThan">
      <formula>V12</formula>
    </cfRule>
    <cfRule type="cellIs" dxfId="6706" priority="1477" operator="equal">
      <formula>0</formula>
    </cfRule>
  </conditionalFormatting>
  <conditionalFormatting sqref="V12">
    <cfRule type="cellIs" dxfId="6705" priority="1474" operator="greaterThan">
      <formula>V11</formula>
    </cfRule>
    <cfRule type="cellIs" dxfId="6704" priority="1475" operator="equal">
      <formula>0</formula>
    </cfRule>
  </conditionalFormatting>
  <conditionalFormatting sqref="V16">
    <cfRule type="cellIs" dxfId="6703" priority="1472" operator="greaterThan">
      <formula>V15</formula>
    </cfRule>
    <cfRule type="cellIs" dxfId="6702" priority="1473" operator="equal">
      <formula>0</formula>
    </cfRule>
  </conditionalFormatting>
  <conditionalFormatting sqref="V15">
    <cfRule type="cellIs" dxfId="6701" priority="1470" operator="greaterThan">
      <formula>V14</formula>
    </cfRule>
    <cfRule type="cellIs" dxfId="6700" priority="1471" operator="equal">
      <formula>0</formula>
    </cfRule>
  </conditionalFormatting>
  <conditionalFormatting sqref="V19">
    <cfRule type="cellIs" dxfId="6699" priority="1468" operator="greaterThan">
      <formula>V18</formula>
    </cfRule>
    <cfRule type="cellIs" dxfId="6698" priority="1469" operator="equal">
      <formula>0</formula>
    </cfRule>
  </conditionalFormatting>
  <conditionalFormatting sqref="V18">
    <cfRule type="cellIs" dxfId="6697" priority="1466" operator="greaterThan">
      <formula>V17</formula>
    </cfRule>
    <cfRule type="cellIs" dxfId="6696" priority="1467" operator="equal">
      <formula>0</formula>
    </cfRule>
  </conditionalFormatting>
  <conditionalFormatting sqref="V22 V24:V25">
    <cfRule type="cellIs" dxfId="6695" priority="1464" operator="greaterThan">
      <formula>V21</formula>
    </cfRule>
    <cfRule type="cellIs" dxfId="6694" priority="1465" operator="equal">
      <formula>0</formula>
    </cfRule>
  </conditionalFormatting>
  <conditionalFormatting sqref="V21">
    <cfRule type="cellIs" dxfId="6693" priority="1462" operator="greaterThan">
      <formula>V20</formula>
    </cfRule>
    <cfRule type="cellIs" dxfId="6692" priority="1463" operator="equal">
      <formula>0</formula>
    </cfRule>
  </conditionalFormatting>
  <conditionalFormatting sqref="V24">
    <cfRule type="cellIs" dxfId="6691" priority="1460" operator="greaterThan">
      <formula>V23</formula>
    </cfRule>
    <cfRule type="cellIs" dxfId="6690" priority="1461" operator="equal">
      <formula>0</formula>
    </cfRule>
  </conditionalFormatting>
  <conditionalFormatting sqref="V27:V28">
    <cfRule type="cellIs" dxfId="6689" priority="1458" operator="greaterThan">
      <formula>V26</formula>
    </cfRule>
    <cfRule type="cellIs" dxfId="6688" priority="1459" operator="equal">
      <formula>0</formula>
    </cfRule>
  </conditionalFormatting>
  <conditionalFormatting sqref="V27">
    <cfRule type="cellIs" dxfId="6687" priority="1456" operator="greaterThan">
      <formula>V26</formula>
    </cfRule>
    <cfRule type="cellIs" dxfId="6686" priority="1457" operator="equal">
      <formula>0</formula>
    </cfRule>
  </conditionalFormatting>
  <conditionalFormatting sqref="V16">
    <cfRule type="cellIs" dxfId="6685" priority="1454" operator="greaterThan">
      <formula>V15</formula>
    </cfRule>
    <cfRule type="cellIs" dxfId="6684" priority="1455" operator="equal">
      <formula>0</formula>
    </cfRule>
  </conditionalFormatting>
  <conditionalFormatting sqref="V15">
    <cfRule type="cellIs" dxfId="6683" priority="1452" operator="greaterThan">
      <formula>V14</formula>
    </cfRule>
    <cfRule type="cellIs" dxfId="6682" priority="1453" operator="equal">
      <formula>0</formula>
    </cfRule>
  </conditionalFormatting>
  <conditionalFormatting sqref="V19">
    <cfRule type="cellIs" dxfId="6681" priority="1450" operator="greaterThan">
      <formula>V18</formula>
    </cfRule>
    <cfRule type="cellIs" dxfId="6680" priority="1451" operator="equal">
      <formula>0</formula>
    </cfRule>
  </conditionalFormatting>
  <conditionalFormatting sqref="V18">
    <cfRule type="cellIs" dxfId="6679" priority="1448" operator="greaterThan">
      <formula>V17</formula>
    </cfRule>
    <cfRule type="cellIs" dxfId="6678" priority="1449" operator="equal">
      <formula>0</formula>
    </cfRule>
  </conditionalFormatting>
  <conditionalFormatting sqref="V22">
    <cfRule type="cellIs" dxfId="6677" priority="1446" operator="greaterThan">
      <formula>V21</formula>
    </cfRule>
    <cfRule type="cellIs" dxfId="6676" priority="1447" operator="equal">
      <formula>0</formula>
    </cfRule>
  </conditionalFormatting>
  <conditionalFormatting sqref="V21">
    <cfRule type="cellIs" dxfId="6675" priority="1444" operator="greaterThan">
      <formula>V20</formula>
    </cfRule>
    <cfRule type="cellIs" dxfId="6674" priority="1445" operator="equal">
      <formula>0</formula>
    </cfRule>
  </conditionalFormatting>
  <conditionalFormatting sqref="V25">
    <cfRule type="cellIs" dxfId="6673" priority="1442" operator="greaterThan">
      <formula>V24</formula>
    </cfRule>
    <cfRule type="cellIs" dxfId="6672" priority="1443" operator="equal">
      <formula>0</formula>
    </cfRule>
  </conditionalFormatting>
  <conditionalFormatting sqref="V24">
    <cfRule type="cellIs" dxfId="6671" priority="1440" operator="greaterThan">
      <formula>V23</formula>
    </cfRule>
    <cfRule type="cellIs" dxfId="6670" priority="1441" operator="equal">
      <formula>0</formula>
    </cfRule>
  </conditionalFormatting>
  <conditionalFormatting sqref="V28">
    <cfRule type="cellIs" dxfId="6669" priority="1438" operator="greaterThan">
      <formula>V27</formula>
    </cfRule>
    <cfRule type="cellIs" dxfId="6668" priority="1439" operator="equal">
      <formula>0</formula>
    </cfRule>
  </conditionalFormatting>
  <conditionalFormatting sqref="V27">
    <cfRule type="cellIs" dxfId="6667" priority="1436" operator="greaterThan">
      <formula>V26</formula>
    </cfRule>
    <cfRule type="cellIs" dxfId="6666" priority="1437" operator="equal">
      <formula>0</formula>
    </cfRule>
  </conditionalFormatting>
  <conditionalFormatting sqref="V30:V31 X30:X31">
    <cfRule type="cellIs" dxfId="6665" priority="1435" operator="equal">
      <formula>0</formula>
    </cfRule>
  </conditionalFormatting>
  <conditionalFormatting sqref="V31">
    <cfRule type="cellIs" dxfId="6664" priority="1433" operator="greaterThan">
      <formula>V30</formula>
    </cfRule>
    <cfRule type="cellIs" dxfId="6663" priority="1434" operator="equal">
      <formula>0</formula>
    </cfRule>
  </conditionalFormatting>
  <conditionalFormatting sqref="V30">
    <cfRule type="cellIs" dxfId="6662" priority="1431" operator="greaterThan">
      <formula>V29</formula>
    </cfRule>
    <cfRule type="cellIs" dxfId="6661" priority="1432" operator="equal">
      <formula>0</formula>
    </cfRule>
  </conditionalFormatting>
  <conditionalFormatting sqref="V33:V34 X33:X34">
    <cfRule type="cellIs" dxfId="6660" priority="1430" operator="equal">
      <formula>0</formula>
    </cfRule>
  </conditionalFormatting>
  <conditionalFormatting sqref="V34">
    <cfRule type="cellIs" dxfId="6659" priority="1428" operator="greaterThan">
      <formula>V33</formula>
    </cfRule>
    <cfRule type="cellIs" dxfId="6658" priority="1429" operator="equal">
      <formula>0</formula>
    </cfRule>
  </conditionalFormatting>
  <conditionalFormatting sqref="V33">
    <cfRule type="cellIs" dxfId="6657" priority="1426" operator="greaterThan">
      <formula>V32</formula>
    </cfRule>
    <cfRule type="cellIs" dxfId="6656" priority="1427" operator="equal">
      <formula>0</formula>
    </cfRule>
  </conditionalFormatting>
  <conditionalFormatting sqref="V36:V37 X36:X37">
    <cfRule type="cellIs" dxfId="6655" priority="1425" operator="equal">
      <formula>0</formula>
    </cfRule>
  </conditionalFormatting>
  <conditionalFormatting sqref="V37">
    <cfRule type="cellIs" dxfId="6654" priority="1423" operator="greaterThan">
      <formula>V36</formula>
    </cfRule>
    <cfRule type="cellIs" dxfId="6653" priority="1424" operator="equal">
      <formula>0</formula>
    </cfRule>
  </conditionalFormatting>
  <conditionalFormatting sqref="V36">
    <cfRule type="cellIs" dxfId="6652" priority="1421" operator="greaterThan">
      <formula>V35</formula>
    </cfRule>
    <cfRule type="cellIs" dxfId="6651" priority="1422" operator="equal">
      <formula>0</formula>
    </cfRule>
  </conditionalFormatting>
  <conditionalFormatting sqref="V16">
    <cfRule type="cellIs" dxfId="6650" priority="1419" operator="greaterThan">
      <formula>V15</formula>
    </cfRule>
    <cfRule type="cellIs" dxfId="6649" priority="1420" operator="equal">
      <formula>0</formula>
    </cfRule>
  </conditionalFormatting>
  <conditionalFormatting sqref="V15">
    <cfRule type="cellIs" dxfId="6648" priority="1417" operator="greaterThan">
      <formula>V14</formula>
    </cfRule>
    <cfRule type="cellIs" dxfId="6647" priority="1418" operator="equal">
      <formula>0</formula>
    </cfRule>
  </conditionalFormatting>
  <conditionalFormatting sqref="V16">
    <cfRule type="cellIs" dxfId="6646" priority="1415" operator="greaterThan">
      <formula>V15</formula>
    </cfRule>
    <cfRule type="cellIs" dxfId="6645" priority="1416" operator="equal">
      <formula>0</formula>
    </cfRule>
  </conditionalFormatting>
  <conditionalFormatting sqref="V15">
    <cfRule type="cellIs" dxfId="6644" priority="1413" operator="greaterThan">
      <formula>V14</formula>
    </cfRule>
    <cfRule type="cellIs" dxfId="6643" priority="1414" operator="equal">
      <formula>0</formula>
    </cfRule>
  </conditionalFormatting>
  <conditionalFormatting sqref="V19">
    <cfRule type="cellIs" dxfId="6642" priority="1411" operator="greaterThan">
      <formula>V18</formula>
    </cfRule>
    <cfRule type="cellIs" dxfId="6641" priority="1412" operator="equal">
      <formula>0</formula>
    </cfRule>
  </conditionalFormatting>
  <conditionalFormatting sqref="V18">
    <cfRule type="cellIs" dxfId="6640" priority="1409" operator="greaterThan">
      <formula>V17</formula>
    </cfRule>
    <cfRule type="cellIs" dxfId="6639" priority="1410" operator="equal">
      <formula>0</formula>
    </cfRule>
  </conditionalFormatting>
  <conditionalFormatting sqref="V19">
    <cfRule type="cellIs" dxfId="6638" priority="1407" operator="greaterThan">
      <formula>V18</formula>
    </cfRule>
    <cfRule type="cellIs" dxfId="6637" priority="1408" operator="equal">
      <formula>0</formula>
    </cfRule>
  </conditionalFormatting>
  <conditionalFormatting sqref="V18">
    <cfRule type="cellIs" dxfId="6636" priority="1405" operator="greaterThan">
      <formula>V17</formula>
    </cfRule>
    <cfRule type="cellIs" dxfId="6635" priority="1406" operator="equal">
      <formula>0</formula>
    </cfRule>
  </conditionalFormatting>
  <conditionalFormatting sqref="V19">
    <cfRule type="cellIs" dxfId="6634" priority="1403" operator="greaterThan">
      <formula>V18</formula>
    </cfRule>
    <cfRule type="cellIs" dxfId="6633" priority="1404" operator="equal">
      <formula>0</formula>
    </cfRule>
  </conditionalFormatting>
  <conditionalFormatting sqref="V18">
    <cfRule type="cellIs" dxfId="6632" priority="1401" operator="greaterThan">
      <formula>V17</formula>
    </cfRule>
    <cfRule type="cellIs" dxfId="6631" priority="1402" operator="equal">
      <formula>0</formula>
    </cfRule>
  </conditionalFormatting>
  <conditionalFormatting sqref="V19">
    <cfRule type="cellIs" dxfId="6630" priority="1399" operator="greaterThan">
      <formula>V18</formula>
    </cfRule>
    <cfRule type="cellIs" dxfId="6629" priority="1400" operator="equal">
      <formula>0</formula>
    </cfRule>
  </conditionalFormatting>
  <conditionalFormatting sqref="V18">
    <cfRule type="cellIs" dxfId="6628" priority="1397" operator="greaterThan">
      <formula>V17</formula>
    </cfRule>
    <cfRule type="cellIs" dxfId="6627" priority="1398" operator="equal">
      <formula>0</formula>
    </cfRule>
  </conditionalFormatting>
  <conditionalFormatting sqref="V22">
    <cfRule type="cellIs" dxfId="6626" priority="1395" operator="greaterThan">
      <formula>V21</formula>
    </cfRule>
    <cfRule type="cellIs" dxfId="6625" priority="1396" operator="equal">
      <formula>0</formula>
    </cfRule>
  </conditionalFormatting>
  <conditionalFormatting sqref="V21">
    <cfRule type="cellIs" dxfId="6624" priority="1393" operator="greaterThan">
      <formula>V20</formula>
    </cfRule>
    <cfRule type="cellIs" dxfId="6623" priority="1394" operator="equal">
      <formula>0</formula>
    </cfRule>
  </conditionalFormatting>
  <conditionalFormatting sqref="V22">
    <cfRule type="cellIs" dxfId="6622" priority="1391" operator="greaterThan">
      <formula>V21</formula>
    </cfRule>
    <cfRule type="cellIs" dxfId="6621" priority="1392" operator="equal">
      <formula>0</formula>
    </cfRule>
  </conditionalFormatting>
  <conditionalFormatting sqref="V21">
    <cfRule type="cellIs" dxfId="6620" priority="1389" operator="greaterThan">
      <formula>V20</formula>
    </cfRule>
    <cfRule type="cellIs" dxfId="6619" priority="1390" operator="equal">
      <formula>0</formula>
    </cfRule>
  </conditionalFormatting>
  <conditionalFormatting sqref="V22">
    <cfRule type="cellIs" dxfId="6618" priority="1387" operator="greaterThan">
      <formula>V21</formula>
    </cfRule>
    <cfRule type="cellIs" dxfId="6617" priority="1388" operator="equal">
      <formula>0</formula>
    </cfRule>
  </conditionalFormatting>
  <conditionalFormatting sqref="V21">
    <cfRule type="cellIs" dxfId="6616" priority="1385" operator="greaterThan">
      <formula>V20</formula>
    </cfRule>
    <cfRule type="cellIs" dxfId="6615" priority="1386" operator="equal">
      <formula>0</formula>
    </cfRule>
  </conditionalFormatting>
  <conditionalFormatting sqref="V22">
    <cfRule type="cellIs" dxfId="6614" priority="1383" operator="greaterThan">
      <formula>V21</formula>
    </cfRule>
    <cfRule type="cellIs" dxfId="6613" priority="1384" operator="equal">
      <formula>0</formula>
    </cfRule>
  </conditionalFormatting>
  <conditionalFormatting sqref="V21">
    <cfRule type="cellIs" dxfId="6612" priority="1381" operator="greaterThan">
      <formula>V20</formula>
    </cfRule>
    <cfRule type="cellIs" dxfId="6611" priority="1382" operator="equal">
      <formula>0</formula>
    </cfRule>
  </conditionalFormatting>
  <conditionalFormatting sqref="V22">
    <cfRule type="cellIs" dxfId="6610" priority="1379" operator="greaterThan">
      <formula>V21</formula>
    </cfRule>
    <cfRule type="cellIs" dxfId="6609" priority="1380" operator="equal">
      <formula>0</formula>
    </cfRule>
  </conditionalFormatting>
  <conditionalFormatting sqref="V21">
    <cfRule type="cellIs" dxfId="6608" priority="1377" operator="greaterThan">
      <formula>V20</formula>
    </cfRule>
    <cfRule type="cellIs" dxfId="6607" priority="1378" operator="equal">
      <formula>0</formula>
    </cfRule>
  </conditionalFormatting>
  <conditionalFormatting sqref="V22">
    <cfRule type="cellIs" dxfId="6606" priority="1375" operator="greaterThan">
      <formula>V21</formula>
    </cfRule>
    <cfRule type="cellIs" dxfId="6605" priority="1376" operator="equal">
      <formula>0</formula>
    </cfRule>
  </conditionalFormatting>
  <conditionalFormatting sqref="V21">
    <cfRule type="cellIs" dxfId="6604" priority="1373" operator="greaterThan">
      <formula>V20</formula>
    </cfRule>
    <cfRule type="cellIs" dxfId="6603" priority="1374" operator="equal">
      <formula>0</formula>
    </cfRule>
  </conditionalFormatting>
  <conditionalFormatting sqref="V24">
    <cfRule type="cellIs" dxfId="6602" priority="1371" operator="greaterThan">
      <formula>V23</formula>
    </cfRule>
    <cfRule type="cellIs" dxfId="6601" priority="1372" operator="equal">
      <formula>0</formula>
    </cfRule>
  </conditionalFormatting>
  <conditionalFormatting sqref="V25">
    <cfRule type="cellIs" dxfId="6600" priority="1369" operator="greaterThan">
      <formula>V24</formula>
    </cfRule>
    <cfRule type="cellIs" dxfId="6599" priority="1370" operator="equal">
      <formula>0</formula>
    </cfRule>
  </conditionalFormatting>
  <conditionalFormatting sqref="V24">
    <cfRule type="cellIs" dxfId="6598" priority="1367" operator="greaterThan">
      <formula>V23</formula>
    </cfRule>
    <cfRule type="cellIs" dxfId="6597" priority="1368" operator="equal">
      <formula>0</formula>
    </cfRule>
  </conditionalFormatting>
  <conditionalFormatting sqref="V25">
    <cfRule type="cellIs" dxfId="6596" priority="1365" operator="greaterThan">
      <formula>V24</formula>
    </cfRule>
    <cfRule type="cellIs" dxfId="6595" priority="1366" operator="equal">
      <formula>0</formula>
    </cfRule>
  </conditionalFormatting>
  <conditionalFormatting sqref="V24">
    <cfRule type="cellIs" dxfId="6594" priority="1363" operator="greaterThan">
      <formula>V23</formula>
    </cfRule>
    <cfRule type="cellIs" dxfId="6593" priority="1364" operator="equal">
      <formula>0</formula>
    </cfRule>
  </conditionalFormatting>
  <conditionalFormatting sqref="V25">
    <cfRule type="cellIs" dxfId="6592" priority="1361" operator="greaterThan">
      <formula>V24</formula>
    </cfRule>
    <cfRule type="cellIs" dxfId="6591" priority="1362" operator="equal">
      <formula>0</formula>
    </cfRule>
  </conditionalFormatting>
  <conditionalFormatting sqref="V24">
    <cfRule type="cellIs" dxfId="6590" priority="1359" operator="greaterThan">
      <formula>V23</formula>
    </cfRule>
    <cfRule type="cellIs" dxfId="6589" priority="1360" operator="equal">
      <formula>0</formula>
    </cfRule>
  </conditionalFormatting>
  <conditionalFormatting sqref="V25">
    <cfRule type="cellIs" dxfId="6588" priority="1357" operator="greaterThan">
      <formula>V24</formula>
    </cfRule>
    <cfRule type="cellIs" dxfId="6587" priority="1358" operator="equal">
      <formula>0</formula>
    </cfRule>
  </conditionalFormatting>
  <conditionalFormatting sqref="V24">
    <cfRule type="cellIs" dxfId="6586" priority="1355" operator="greaterThan">
      <formula>V23</formula>
    </cfRule>
    <cfRule type="cellIs" dxfId="6585" priority="1356" operator="equal">
      <formula>0</formula>
    </cfRule>
  </conditionalFormatting>
  <conditionalFormatting sqref="V25">
    <cfRule type="cellIs" dxfId="6584" priority="1353" operator="greaterThan">
      <formula>V24</formula>
    </cfRule>
    <cfRule type="cellIs" dxfId="6583" priority="1354" operator="equal">
      <formula>0</formula>
    </cfRule>
  </conditionalFormatting>
  <conditionalFormatting sqref="V24">
    <cfRule type="cellIs" dxfId="6582" priority="1351" operator="greaterThan">
      <formula>V23</formula>
    </cfRule>
    <cfRule type="cellIs" dxfId="6581" priority="1352" operator="equal">
      <formula>0</formula>
    </cfRule>
  </conditionalFormatting>
  <conditionalFormatting sqref="V25">
    <cfRule type="cellIs" dxfId="6580" priority="1349" operator="greaterThan">
      <formula>V24</formula>
    </cfRule>
    <cfRule type="cellIs" dxfId="6579" priority="1350" operator="equal">
      <formula>0</formula>
    </cfRule>
  </conditionalFormatting>
  <conditionalFormatting sqref="V24">
    <cfRule type="cellIs" dxfId="6578" priority="1347" operator="greaterThan">
      <formula>V23</formula>
    </cfRule>
    <cfRule type="cellIs" dxfId="6577" priority="1348" operator="equal">
      <formula>0</formula>
    </cfRule>
  </conditionalFormatting>
  <conditionalFormatting sqref="V25">
    <cfRule type="cellIs" dxfId="6576" priority="1345" operator="greaterThan">
      <formula>V24</formula>
    </cfRule>
    <cfRule type="cellIs" dxfId="6575" priority="1346" operator="equal">
      <formula>0</formula>
    </cfRule>
  </conditionalFormatting>
  <conditionalFormatting sqref="V24">
    <cfRule type="cellIs" dxfId="6574" priority="1343" operator="greaterThan">
      <formula>V23</formula>
    </cfRule>
    <cfRule type="cellIs" dxfId="6573" priority="1344" operator="equal">
      <formula>0</formula>
    </cfRule>
  </conditionalFormatting>
  <conditionalFormatting sqref="V27:V28">
    <cfRule type="cellIs" dxfId="6572" priority="1341" operator="greaterThan">
      <formula>V26</formula>
    </cfRule>
    <cfRule type="cellIs" dxfId="6571" priority="1342" operator="equal">
      <formula>0</formula>
    </cfRule>
  </conditionalFormatting>
  <conditionalFormatting sqref="V27">
    <cfRule type="cellIs" dxfId="6570" priority="1339" operator="greaterThan">
      <formula>V26</formula>
    </cfRule>
    <cfRule type="cellIs" dxfId="6569" priority="1340" operator="equal">
      <formula>0</formula>
    </cfRule>
  </conditionalFormatting>
  <conditionalFormatting sqref="V28">
    <cfRule type="cellIs" dxfId="6568" priority="1337" operator="greaterThan">
      <formula>V27</formula>
    </cfRule>
    <cfRule type="cellIs" dxfId="6567" priority="1338" operator="equal">
      <formula>0</formula>
    </cfRule>
  </conditionalFormatting>
  <conditionalFormatting sqref="V27">
    <cfRule type="cellIs" dxfId="6566" priority="1335" operator="greaterThan">
      <formula>V26</formula>
    </cfRule>
    <cfRule type="cellIs" dxfId="6565" priority="1336" operator="equal">
      <formula>0</formula>
    </cfRule>
  </conditionalFormatting>
  <conditionalFormatting sqref="V27">
    <cfRule type="cellIs" dxfId="6564" priority="1333" operator="greaterThan">
      <formula>V26</formula>
    </cfRule>
    <cfRule type="cellIs" dxfId="6563" priority="1334" operator="equal">
      <formula>0</formula>
    </cfRule>
  </conditionalFormatting>
  <conditionalFormatting sqref="V28">
    <cfRule type="cellIs" dxfId="6562" priority="1331" operator="greaterThan">
      <formula>V27</formula>
    </cfRule>
    <cfRule type="cellIs" dxfId="6561" priority="1332" operator="equal">
      <formula>0</formula>
    </cfRule>
  </conditionalFormatting>
  <conditionalFormatting sqref="V27">
    <cfRule type="cellIs" dxfId="6560" priority="1329" operator="greaterThan">
      <formula>V26</formula>
    </cfRule>
    <cfRule type="cellIs" dxfId="6559" priority="1330" operator="equal">
      <formula>0</formula>
    </cfRule>
  </conditionalFormatting>
  <conditionalFormatting sqref="V28">
    <cfRule type="cellIs" dxfId="6558" priority="1327" operator="greaterThan">
      <formula>V27</formula>
    </cfRule>
    <cfRule type="cellIs" dxfId="6557" priority="1328" operator="equal">
      <formula>0</formula>
    </cfRule>
  </conditionalFormatting>
  <conditionalFormatting sqref="V27">
    <cfRule type="cellIs" dxfId="6556" priority="1325" operator="greaterThan">
      <formula>V26</formula>
    </cfRule>
    <cfRule type="cellIs" dxfId="6555" priority="1326" operator="equal">
      <formula>0</formula>
    </cfRule>
  </conditionalFormatting>
  <conditionalFormatting sqref="V28">
    <cfRule type="cellIs" dxfId="6554" priority="1323" operator="greaterThan">
      <formula>V27</formula>
    </cfRule>
    <cfRule type="cellIs" dxfId="6553" priority="1324" operator="equal">
      <formula>0</formula>
    </cfRule>
  </conditionalFormatting>
  <conditionalFormatting sqref="V27">
    <cfRule type="cellIs" dxfId="6552" priority="1321" operator="greaterThan">
      <formula>V26</formula>
    </cfRule>
    <cfRule type="cellIs" dxfId="6551" priority="1322" operator="equal">
      <formula>0</formula>
    </cfRule>
  </conditionalFormatting>
  <conditionalFormatting sqref="V28">
    <cfRule type="cellIs" dxfId="6550" priority="1319" operator="greaterThan">
      <formula>V27</formula>
    </cfRule>
    <cfRule type="cellIs" dxfId="6549" priority="1320" operator="equal">
      <formula>0</formula>
    </cfRule>
  </conditionalFormatting>
  <conditionalFormatting sqref="V27">
    <cfRule type="cellIs" dxfId="6548" priority="1317" operator="greaterThan">
      <formula>V26</formula>
    </cfRule>
    <cfRule type="cellIs" dxfId="6547" priority="1318" operator="equal">
      <formula>0</formula>
    </cfRule>
  </conditionalFormatting>
  <conditionalFormatting sqref="V28">
    <cfRule type="cellIs" dxfId="6546" priority="1315" operator="greaterThan">
      <formula>V27</formula>
    </cfRule>
    <cfRule type="cellIs" dxfId="6545" priority="1316" operator="equal">
      <formula>0</formula>
    </cfRule>
  </conditionalFormatting>
  <conditionalFormatting sqref="V27">
    <cfRule type="cellIs" dxfId="6544" priority="1313" operator="greaterThan">
      <formula>V26</formula>
    </cfRule>
    <cfRule type="cellIs" dxfId="6543" priority="1314" operator="equal">
      <formula>0</formula>
    </cfRule>
  </conditionalFormatting>
  <conditionalFormatting sqref="V28">
    <cfRule type="cellIs" dxfId="6542" priority="1311" operator="greaterThan">
      <formula>V27</formula>
    </cfRule>
    <cfRule type="cellIs" dxfId="6541" priority="1312" operator="equal">
      <formula>0</formula>
    </cfRule>
  </conditionalFormatting>
  <conditionalFormatting sqref="V27">
    <cfRule type="cellIs" dxfId="6540" priority="1309" operator="greaterThan">
      <formula>V26</formula>
    </cfRule>
    <cfRule type="cellIs" dxfId="6539" priority="1310" operator="equal">
      <formula>0</formula>
    </cfRule>
  </conditionalFormatting>
  <conditionalFormatting sqref="V28">
    <cfRule type="cellIs" dxfId="6538" priority="1307" operator="greaterThan">
      <formula>V27</formula>
    </cfRule>
    <cfRule type="cellIs" dxfId="6537" priority="1308" operator="equal">
      <formula>0</formula>
    </cfRule>
  </conditionalFormatting>
  <conditionalFormatting sqref="V27">
    <cfRule type="cellIs" dxfId="6536" priority="1305" operator="greaterThan">
      <formula>V26</formula>
    </cfRule>
    <cfRule type="cellIs" dxfId="6535" priority="1306" operator="equal">
      <formula>0</formula>
    </cfRule>
  </conditionalFormatting>
  <conditionalFormatting sqref="V50">
    <cfRule type="cellIs" dxfId="6534" priority="1303" operator="greaterThan">
      <formula>V49</formula>
    </cfRule>
    <cfRule type="cellIs" dxfId="6533" priority="1304" operator="equal">
      <formula>0</formula>
    </cfRule>
  </conditionalFormatting>
  <conditionalFormatting sqref="V12:V13 X12:X13 X15:X16 X18:X19 X21:X25 X27:X28 V15:V16 V18:V19 V21:V22 V24:V25 V27:V28">
    <cfRule type="cellIs" dxfId="6532" priority="1302" operator="equal">
      <formula>0</formula>
    </cfRule>
  </conditionalFormatting>
  <conditionalFormatting sqref="V28">
    <cfRule type="cellIs" dxfId="6531" priority="1300" operator="greaterThan">
      <formula>V27</formula>
    </cfRule>
    <cfRule type="cellIs" dxfId="6530" priority="1301" operator="equal">
      <formula>0</formula>
    </cfRule>
  </conditionalFormatting>
  <conditionalFormatting sqref="V27">
    <cfRule type="cellIs" dxfId="6529" priority="1298" operator="greaterThan">
      <formula>V26</formula>
    </cfRule>
    <cfRule type="cellIs" dxfId="6528" priority="1299" operator="equal">
      <formula>0</formula>
    </cfRule>
  </conditionalFormatting>
  <conditionalFormatting sqref="V13">
    <cfRule type="cellIs" dxfId="6527" priority="1296" operator="greaterThan">
      <formula>V12</formula>
    </cfRule>
    <cfRule type="cellIs" dxfId="6526" priority="1297" operator="equal">
      <formula>0</formula>
    </cfRule>
  </conditionalFormatting>
  <conditionalFormatting sqref="V12">
    <cfRule type="cellIs" dxfId="6525" priority="1294" operator="greaterThan">
      <formula>V11</formula>
    </cfRule>
    <cfRule type="cellIs" dxfId="6524" priority="1295" operator="equal">
      <formula>0</formula>
    </cfRule>
  </conditionalFormatting>
  <conditionalFormatting sqref="V16">
    <cfRule type="cellIs" dxfId="6523" priority="1292" operator="greaterThan">
      <formula>V15</formula>
    </cfRule>
    <cfRule type="cellIs" dxfId="6522" priority="1293" operator="equal">
      <formula>0</formula>
    </cfRule>
  </conditionalFormatting>
  <conditionalFormatting sqref="V15">
    <cfRule type="cellIs" dxfId="6521" priority="1290" operator="greaterThan">
      <formula>V14</formula>
    </cfRule>
    <cfRule type="cellIs" dxfId="6520" priority="1291" operator="equal">
      <formula>0</formula>
    </cfRule>
  </conditionalFormatting>
  <conditionalFormatting sqref="V19">
    <cfRule type="cellIs" dxfId="6519" priority="1288" operator="greaterThan">
      <formula>V18</formula>
    </cfRule>
    <cfRule type="cellIs" dxfId="6518" priority="1289" operator="equal">
      <formula>0</formula>
    </cfRule>
  </conditionalFormatting>
  <conditionalFormatting sqref="V18">
    <cfRule type="cellIs" dxfId="6517" priority="1286" operator="greaterThan">
      <formula>V17</formula>
    </cfRule>
    <cfRule type="cellIs" dxfId="6516" priority="1287" operator="equal">
      <formula>0</formula>
    </cfRule>
  </conditionalFormatting>
  <conditionalFormatting sqref="V22 V24:V25">
    <cfRule type="cellIs" dxfId="6515" priority="1284" operator="greaterThan">
      <formula>V21</formula>
    </cfRule>
    <cfRule type="cellIs" dxfId="6514" priority="1285" operator="equal">
      <formula>0</formula>
    </cfRule>
  </conditionalFormatting>
  <conditionalFormatting sqref="V21">
    <cfRule type="cellIs" dxfId="6513" priority="1282" operator="greaterThan">
      <formula>V20</formula>
    </cfRule>
    <cfRule type="cellIs" dxfId="6512" priority="1283" operator="equal">
      <formula>0</formula>
    </cfRule>
  </conditionalFormatting>
  <conditionalFormatting sqref="V24">
    <cfRule type="cellIs" dxfId="6511" priority="1280" operator="greaterThan">
      <formula>V23</formula>
    </cfRule>
    <cfRule type="cellIs" dxfId="6510" priority="1281" operator="equal">
      <formula>0</formula>
    </cfRule>
  </conditionalFormatting>
  <conditionalFormatting sqref="V27:V28">
    <cfRule type="cellIs" dxfId="6509" priority="1278" operator="greaterThan">
      <formula>V26</formula>
    </cfRule>
    <cfRule type="cellIs" dxfId="6508" priority="1279" operator="equal">
      <formula>0</formula>
    </cfRule>
  </conditionalFormatting>
  <conditionalFormatting sqref="V27">
    <cfRule type="cellIs" dxfId="6507" priority="1276" operator="greaterThan">
      <formula>V26</formula>
    </cfRule>
    <cfRule type="cellIs" dxfId="6506" priority="1277" operator="equal">
      <formula>0</formula>
    </cfRule>
  </conditionalFormatting>
  <conditionalFormatting sqref="V16">
    <cfRule type="cellIs" dxfId="6505" priority="1274" operator="greaterThan">
      <formula>V15</formula>
    </cfRule>
    <cfRule type="cellIs" dxfId="6504" priority="1275" operator="equal">
      <formula>0</formula>
    </cfRule>
  </conditionalFormatting>
  <conditionalFormatting sqref="V15">
    <cfRule type="cellIs" dxfId="6503" priority="1272" operator="greaterThan">
      <formula>V14</formula>
    </cfRule>
    <cfRule type="cellIs" dxfId="6502" priority="1273" operator="equal">
      <formula>0</formula>
    </cfRule>
  </conditionalFormatting>
  <conditionalFormatting sqref="V19">
    <cfRule type="cellIs" dxfId="6501" priority="1270" operator="greaterThan">
      <formula>V18</formula>
    </cfRule>
    <cfRule type="cellIs" dxfId="6500" priority="1271" operator="equal">
      <formula>0</formula>
    </cfRule>
  </conditionalFormatting>
  <conditionalFormatting sqref="V18">
    <cfRule type="cellIs" dxfId="6499" priority="1268" operator="greaterThan">
      <formula>V17</formula>
    </cfRule>
    <cfRule type="cellIs" dxfId="6498" priority="1269" operator="equal">
      <formula>0</formula>
    </cfRule>
  </conditionalFormatting>
  <conditionalFormatting sqref="V22">
    <cfRule type="cellIs" dxfId="6497" priority="1266" operator="greaterThan">
      <formula>V21</formula>
    </cfRule>
    <cfRule type="cellIs" dxfId="6496" priority="1267" operator="equal">
      <formula>0</formula>
    </cfRule>
  </conditionalFormatting>
  <conditionalFormatting sqref="V21">
    <cfRule type="cellIs" dxfId="6495" priority="1264" operator="greaterThan">
      <formula>V20</formula>
    </cfRule>
    <cfRule type="cellIs" dxfId="6494" priority="1265" operator="equal">
      <formula>0</formula>
    </cfRule>
  </conditionalFormatting>
  <conditionalFormatting sqref="V25">
    <cfRule type="cellIs" dxfId="6493" priority="1262" operator="greaterThan">
      <formula>V24</formula>
    </cfRule>
    <cfRule type="cellIs" dxfId="6492" priority="1263" operator="equal">
      <formula>0</formula>
    </cfRule>
  </conditionalFormatting>
  <conditionalFormatting sqref="V24">
    <cfRule type="cellIs" dxfId="6491" priority="1260" operator="greaterThan">
      <formula>V23</formula>
    </cfRule>
    <cfRule type="cellIs" dxfId="6490" priority="1261" operator="equal">
      <formula>0</formula>
    </cfRule>
  </conditionalFormatting>
  <conditionalFormatting sqref="V28">
    <cfRule type="cellIs" dxfId="6489" priority="1258" operator="greaterThan">
      <formula>V27</formula>
    </cfRule>
    <cfRule type="cellIs" dxfId="6488" priority="1259" operator="equal">
      <formula>0</formula>
    </cfRule>
  </conditionalFormatting>
  <conditionalFormatting sqref="V27">
    <cfRule type="cellIs" dxfId="6487" priority="1256" operator="greaterThan">
      <formula>V26</formula>
    </cfRule>
    <cfRule type="cellIs" dxfId="6486" priority="1257" operator="equal">
      <formula>0</formula>
    </cfRule>
  </conditionalFormatting>
  <conditionalFormatting sqref="V30:V31 X30:X31">
    <cfRule type="cellIs" dxfId="6485" priority="1255" operator="equal">
      <formula>0</formula>
    </cfRule>
  </conditionalFormatting>
  <conditionalFormatting sqref="V31">
    <cfRule type="cellIs" dxfId="6484" priority="1253" operator="greaterThan">
      <formula>V30</formula>
    </cfRule>
    <cfRule type="cellIs" dxfId="6483" priority="1254" operator="equal">
      <formula>0</formula>
    </cfRule>
  </conditionalFormatting>
  <conditionalFormatting sqref="V30">
    <cfRule type="cellIs" dxfId="6482" priority="1251" operator="greaterThan">
      <formula>V29</formula>
    </cfRule>
    <cfRule type="cellIs" dxfId="6481" priority="1252" operator="equal">
      <formula>0</formula>
    </cfRule>
  </conditionalFormatting>
  <conditionalFormatting sqref="V33:V34 X33:X34">
    <cfRule type="cellIs" dxfId="6480" priority="1250" operator="equal">
      <formula>0</formula>
    </cfRule>
  </conditionalFormatting>
  <conditionalFormatting sqref="V34">
    <cfRule type="cellIs" dxfId="6479" priority="1248" operator="greaterThan">
      <formula>V33</formula>
    </cfRule>
    <cfRule type="cellIs" dxfId="6478" priority="1249" operator="equal">
      <formula>0</formula>
    </cfRule>
  </conditionalFormatting>
  <conditionalFormatting sqref="V33">
    <cfRule type="cellIs" dxfId="6477" priority="1246" operator="greaterThan">
      <formula>V32</formula>
    </cfRule>
    <cfRule type="cellIs" dxfId="6476" priority="1247" operator="equal">
      <formula>0</formula>
    </cfRule>
  </conditionalFormatting>
  <conditionalFormatting sqref="V36:V37 X36:X37">
    <cfRule type="cellIs" dxfId="6475" priority="1245" operator="equal">
      <formula>0</formula>
    </cfRule>
  </conditionalFormatting>
  <conditionalFormatting sqref="V37">
    <cfRule type="cellIs" dxfId="6474" priority="1243" operator="greaterThan">
      <formula>V36</formula>
    </cfRule>
    <cfRule type="cellIs" dxfId="6473" priority="1244" operator="equal">
      <formula>0</formula>
    </cfRule>
  </conditionalFormatting>
  <conditionalFormatting sqref="V36">
    <cfRule type="cellIs" dxfId="6472" priority="1241" operator="greaterThan">
      <formula>V35</formula>
    </cfRule>
    <cfRule type="cellIs" dxfId="6471" priority="1242" operator="equal">
      <formula>0</formula>
    </cfRule>
  </conditionalFormatting>
  <conditionalFormatting sqref="V16">
    <cfRule type="cellIs" dxfId="6470" priority="1239" operator="greaterThan">
      <formula>V15</formula>
    </cfRule>
    <cfRule type="cellIs" dxfId="6469" priority="1240" operator="equal">
      <formula>0</formula>
    </cfRule>
  </conditionalFormatting>
  <conditionalFormatting sqref="V15">
    <cfRule type="cellIs" dxfId="6468" priority="1237" operator="greaterThan">
      <formula>V14</formula>
    </cfRule>
    <cfRule type="cellIs" dxfId="6467" priority="1238" operator="equal">
      <formula>0</formula>
    </cfRule>
  </conditionalFormatting>
  <conditionalFormatting sqref="V16">
    <cfRule type="cellIs" dxfId="6466" priority="1235" operator="greaterThan">
      <formula>V15</formula>
    </cfRule>
    <cfRule type="cellIs" dxfId="6465" priority="1236" operator="equal">
      <formula>0</formula>
    </cfRule>
  </conditionalFormatting>
  <conditionalFormatting sqref="V15">
    <cfRule type="cellIs" dxfId="6464" priority="1233" operator="greaterThan">
      <formula>V14</formula>
    </cfRule>
    <cfRule type="cellIs" dxfId="6463" priority="1234" operator="equal">
      <formula>0</formula>
    </cfRule>
  </conditionalFormatting>
  <conditionalFormatting sqref="V19">
    <cfRule type="cellIs" dxfId="6462" priority="1231" operator="greaterThan">
      <formula>V18</formula>
    </cfRule>
    <cfRule type="cellIs" dxfId="6461" priority="1232" operator="equal">
      <formula>0</formula>
    </cfRule>
  </conditionalFormatting>
  <conditionalFormatting sqref="V18">
    <cfRule type="cellIs" dxfId="6460" priority="1229" operator="greaterThan">
      <formula>V17</formula>
    </cfRule>
    <cfRule type="cellIs" dxfId="6459" priority="1230" operator="equal">
      <formula>0</formula>
    </cfRule>
  </conditionalFormatting>
  <conditionalFormatting sqref="V19">
    <cfRule type="cellIs" dxfId="6458" priority="1227" operator="greaterThan">
      <formula>V18</formula>
    </cfRule>
    <cfRule type="cellIs" dxfId="6457" priority="1228" operator="equal">
      <formula>0</formula>
    </cfRule>
  </conditionalFormatting>
  <conditionalFormatting sqref="V18">
    <cfRule type="cellIs" dxfId="6456" priority="1225" operator="greaterThan">
      <formula>V17</formula>
    </cfRule>
    <cfRule type="cellIs" dxfId="6455" priority="1226" operator="equal">
      <formula>0</formula>
    </cfRule>
  </conditionalFormatting>
  <conditionalFormatting sqref="V19">
    <cfRule type="cellIs" dxfId="6454" priority="1223" operator="greaterThan">
      <formula>V18</formula>
    </cfRule>
    <cfRule type="cellIs" dxfId="6453" priority="1224" operator="equal">
      <formula>0</formula>
    </cfRule>
  </conditionalFormatting>
  <conditionalFormatting sqref="V18">
    <cfRule type="cellIs" dxfId="6452" priority="1221" operator="greaterThan">
      <formula>V17</formula>
    </cfRule>
    <cfRule type="cellIs" dxfId="6451" priority="1222" operator="equal">
      <formula>0</formula>
    </cfRule>
  </conditionalFormatting>
  <conditionalFormatting sqref="V19">
    <cfRule type="cellIs" dxfId="6450" priority="1219" operator="greaterThan">
      <formula>V18</formula>
    </cfRule>
    <cfRule type="cellIs" dxfId="6449" priority="1220" operator="equal">
      <formula>0</formula>
    </cfRule>
  </conditionalFormatting>
  <conditionalFormatting sqref="V18">
    <cfRule type="cellIs" dxfId="6448" priority="1217" operator="greaterThan">
      <formula>V17</formula>
    </cfRule>
    <cfRule type="cellIs" dxfId="6447" priority="1218" operator="equal">
      <formula>0</formula>
    </cfRule>
  </conditionalFormatting>
  <conditionalFormatting sqref="V22">
    <cfRule type="cellIs" dxfId="6446" priority="1215" operator="greaterThan">
      <formula>V21</formula>
    </cfRule>
    <cfRule type="cellIs" dxfId="6445" priority="1216" operator="equal">
      <formula>0</formula>
    </cfRule>
  </conditionalFormatting>
  <conditionalFormatting sqref="V21">
    <cfRule type="cellIs" dxfId="6444" priority="1213" operator="greaterThan">
      <formula>V20</formula>
    </cfRule>
    <cfRule type="cellIs" dxfId="6443" priority="1214" operator="equal">
      <formula>0</formula>
    </cfRule>
  </conditionalFormatting>
  <conditionalFormatting sqref="V22">
    <cfRule type="cellIs" dxfId="6442" priority="1211" operator="greaterThan">
      <formula>V21</formula>
    </cfRule>
    <cfRule type="cellIs" dxfId="6441" priority="1212" operator="equal">
      <formula>0</formula>
    </cfRule>
  </conditionalFormatting>
  <conditionalFormatting sqref="V21">
    <cfRule type="cellIs" dxfId="6440" priority="1209" operator="greaterThan">
      <formula>V20</formula>
    </cfRule>
    <cfRule type="cellIs" dxfId="6439" priority="1210" operator="equal">
      <formula>0</formula>
    </cfRule>
  </conditionalFormatting>
  <conditionalFormatting sqref="V22">
    <cfRule type="cellIs" dxfId="6438" priority="1207" operator="greaterThan">
      <formula>V21</formula>
    </cfRule>
    <cfRule type="cellIs" dxfId="6437" priority="1208" operator="equal">
      <formula>0</formula>
    </cfRule>
  </conditionalFormatting>
  <conditionalFormatting sqref="V21">
    <cfRule type="cellIs" dxfId="6436" priority="1205" operator="greaterThan">
      <formula>V20</formula>
    </cfRule>
    <cfRule type="cellIs" dxfId="6435" priority="1206" operator="equal">
      <formula>0</formula>
    </cfRule>
  </conditionalFormatting>
  <conditionalFormatting sqref="V22">
    <cfRule type="cellIs" dxfId="6434" priority="1203" operator="greaterThan">
      <formula>V21</formula>
    </cfRule>
    <cfRule type="cellIs" dxfId="6433" priority="1204" operator="equal">
      <formula>0</formula>
    </cfRule>
  </conditionalFormatting>
  <conditionalFormatting sqref="V21">
    <cfRule type="cellIs" dxfId="6432" priority="1201" operator="greaterThan">
      <formula>V20</formula>
    </cfRule>
    <cfRule type="cellIs" dxfId="6431" priority="1202" operator="equal">
      <formula>0</formula>
    </cfRule>
  </conditionalFormatting>
  <conditionalFormatting sqref="V22">
    <cfRule type="cellIs" dxfId="6430" priority="1199" operator="greaterThan">
      <formula>V21</formula>
    </cfRule>
    <cfRule type="cellIs" dxfId="6429" priority="1200" operator="equal">
      <formula>0</formula>
    </cfRule>
  </conditionalFormatting>
  <conditionalFormatting sqref="V21">
    <cfRule type="cellIs" dxfId="6428" priority="1197" operator="greaterThan">
      <formula>V20</formula>
    </cfRule>
    <cfRule type="cellIs" dxfId="6427" priority="1198" operator="equal">
      <formula>0</formula>
    </cfRule>
  </conditionalFormatting>
  <conditionalFormatting sqref="V22">
    <cfRule type="cellIs" dxfId="6426" priority="1195" operator="greaterThan">
      <formula>V21</formula>
    </cfRule>
    <cfRule type="cellIs" dxfId="6425" priority="1196" operator="equal">
      <formula>0</formula>
    </cfRule>
  </conditionalFormatting>
  <conditionalFormatting sqref="V21">
    <cfRule type="cellIs" dxfId="6424" priority="1193" operator="greaterThan">
      <formula>V20</formula>
    </cfRule>
    <cfRule type="cellIs" dxfId="6423" priority="1194" operator="equal">
      <formula>0</formula>
    </cfRule>
  </conditionalFormatting>
  <conditionalFormatting sqref="V24">
    <cfRule type="cellIs" dxfId="6422" priority="1191" operator="greaterThan">
      <formula>V23</formula>
    </cfRule>
    <cfRule type="cellIs" dxfId="6421" priority="1192" operator="equal">
      <formula>0</formula>
    </cfRule>
  </conditionalFormatting>
  <conditionalFormatting sqref="V25">
    <cfRule type="cellIs" dxfId="6420" priority="1189" operator="greaterThan">
      <formula>V24</formula>
    </cfRule>
    <cfRule type="cellIs" dxfId="6419" priority="1190" operator="equal">
      <formula>0</formula>
    </cfRule>
  </conditionalFormatting>
  <conditionalFormatting sqref="V24">
    <cfRule type="cellIs" dxfId="6418" priority="1187" operator="greaterThan">
      <formula>V23</formula>
    </cfRule>
    <cfRule type="cellIs" dxfId="6417" priority="1188" operator="equal">
      <formula>0</formula>
    </cfRule>
  </conditionalFormatting>
  <conditionalFormatting sqref="V25">
    <cfRule type="cellIs" dxfId="6416" priority="1185" operator="greaterThan">
      <formula>V24</formula>
    </cfRule>
    <cfRule type="cellIs" dxfId="6415" priority="1186" operator="equal">
      <formula>0</formula>
    </cfRule>
  </conditionalFormatting>
  <conditionalFormatting sqref="V24">
    <cfRule type="cellIs" dxfId="6414" priority="1183" operator="greaterThan">
      <formula>V23</formula>
    </cfRule>
    <cfRule type="cellIs" dxfId="6413" priority="1184" operator="equal">
      <formula>0</formula>
    </cfRule>
  </conditionalFormatting>
  <conditionalFormatting sqref="V25">
    <cfRule type="cellIs" dxfId="6412" priority="1181" operator="greaterThan">
      <formula>V24</formula>
    </cfRule>
    <cfRule type="cellIs" dxfId="6411" priority="1182" operator="equal">
      <formula>0</formula>
    </cfRule>
  </conditionalFormatting>
  <conditionalFormatting sqref="V24">
    <cfRule type="cellIs" dxfId="6410" priority="1179" operator="greaterThan">
      <formula>V23</formula>
    </cfRule>
    <cfRule type="cellIs" dxfId="6409" priority="1180" operator="equal">
      <formula>0</formula>
    </cfRule>
  </conditionalFormatting>
  <conditionalFormatting sqref="V25">
    <cfRule type="cellIs" dxfId="6408" priority="1177" operator="greaterThan">
      <formula>V24</formula>
    </cfRule>
    <cfRule type="cellIs" dxfId="6407" priority="1178" operator="equal">
      <formula>0</formula>
    </cfRule>
  </conditionalFormatting>
  <conditionalFormatting sqref="V24">
    <cfRule type="cellIs" dxfId="6406" priority="1175" operator="greaterThan">
      <formula>V23</formula>
    </cfRule>
    <cfRule type="cellIs" dxfId="6405" priority="1176" operator="equal">
      <formula>0</formula>
    </cfRule>
  </conditionalFormatting>
  <conditionalFormatting sqref="V25">
    <cfRule type="cellIs" dxfId="6404" priority="1173" operator="greaterThan">
      <formula>V24</formula>
    </cfRule>
    <cfRule type="cellIs" dxfId="6403" priority="1174" operator="equal">
      <formula>0</formula>
    </cfRule>
  </conditionalFormatting>
  <conditionalFormatting sqref="V24">
    <cfRule type="cellIs" dxfId="6402" priority="1171" operator="greaterThan">
      <formula>V23</formula>
    </cfRule>
    <cfRule type="cellIs" dxfId="6401" priority="1172" operator="equal">
      <formula>0</formula>
    </cfRule>
  </conditionalFormatting>
  <conditionalFormatting sqref="V25">
    <cfRule type="cellIs" dxfId="6400" priority="1169" operator="greaterThan">
      <formula>V24</formula>
    </cfRule>
    <cfRule type="cellIs" dxfId="6399" priority="1170" operator="equal">
      <formula>0</formula>
    </cfRule>
  </conditionalFormatting>
  <conditionalFormatting sqref="V24">
    <cfRule type="cellIs" dxfId="6398" priority="1167" operator="greaterThan">
      <formula>V23</formula>
    </cfRule>
    <cfRule type="cellIs" dxfId="6397" priority="1168" operator="equal">
      <formula>0</formula>
    </cfRule>
  </conditionalFormatting>
  <conditionalFormatting sqref="V25">
    <cfRule type="cellIs" dxfId="6396" priority="1165" operator="greaterThan">
      <formula>V24</formula>
    </cfRule>
    <cfRule type="cellIs" dxfId="6395" priority="1166" operator="equal">
      <formula>0</formula>
    </cfRule>
  </conditionalFormatting>
  <conditionalFormatting sqref="V24">
    <cfRule type="cellIs" dxfId="6394" priority="1163" operator="greaterThan">
      <formula>V23</formula>
    </cfRule>
    <cfRule type="cellIs" dxfId="6393" priority="1164" operator="equal">
      <formula>0</formula>
    </cfRule>
  </conditionalFormatting>
  <conditionalFormatting sqref="V27:V28">
    <cfRule type="cellIs" dxfId="6392" priority="1161" operator="greaterThan">
      <formula>V26</formula>
    </cfRule>
    <cfRule type="cellIs" dxfId="6391" priority="1162" operator="equal">
      <formula>0</formula>
    </cfRule>
  </conditionalFormatting>
  <conditionalFormatting sqref="V27">
    <cfRule type="cellIs" dxfId="6390" priority="1159" operator="greaterThan">
      <formula>V26</formula>
    </cfRule>
    <cfRule type="cellIs" dxfId="6389" priority="1160" operator="equal">
      <formula>0</formula>
    </cfRule>
  </conditionalFormatting>
  <conditionalFormatting sqref="V28">
    <cfRule type="cellIs" dxfId="6388" priority="1157" operator="greaterThan">
      <formula>V27</formula>
    </cfRule>
    <cfRule type="cellIs" dxfId="6387" priority="1158" operator="equal">
      <formula>0</formula>
    </cfRule>
  </conditionalFormatting>
  <conditionalFormatting sqref="V27">
    <cfRule type="cellIs" dxfId="6386" priority="1155" operator="greaterThan">
      <formula>V26</formula>
    </cfRule>
    <cfRule type="cellIs" dxfId="6385" priority="1156" operator="equal">
      <formula>0</formula>
    </cfRule>
  </conditionalFormatting>
  <conditionalFormatting sqref="V27">
    <cfRule type="cellIs" dxfId="6384" priority="1153" operator="greaterThan">
      <formula>V26</formula>
    </cfRule>
    <cfRule type="cellIs" dxfId="6383" priority="1154" operator="equal">
      <formula>0</formula>
    </cfRule>
  </conditionalFormatting>
  <conditionalFormatting sqref="V28">
    <cfRule type="cellIs" dxfId="6382" priority="1151" operator="greaterThan">
      <formula>V27</formula>
    </cfRule>
    <cfRule type="cellIs" dxfId="6381" priority="1152" operator="equal">
      <formula>0</formula>
    </cfRule>
  </conditionalFormatting>
  <conditionalFormatting sqref="V27">
    <cfRule type="cellIs" dxfId="6380" priority="1149" operator="greaterThan">
      <formula>V26</formula>
    </cfRule>
    <cfRule type="cellIs" dxfId="6379" priority="1150" operator="equal">
      <formula>0</formula>
    </cfRule>
  </conditionalFormatting>
  <conditionalFormatting sqref="V28">
    <cfRule type="cellIs" dxfId="6378" priority="1147" operator="greaterThan">
      <formula>V27</formula>
    </cfRule>
    <cfRule type="cellIs" dxfId="6377" priority="1148" operator="equal">
      <formula>0</formula>
    </cfRule>
  </conditionalFormatting>
  <conditionalFormatting sqref="V27">
    <cfRule type="cellIs" dxfId="6376" priority="1145" operator="greaterThan">
      <formula>V26</formula>
    </cfRule>
    <cfRule type="cellIs" dxfId="6375" priority="1146" operator="equal">
      <formula>0</formula>
    </cfRule>
  </conditionalFormatting>
  <conditionalFormatting sqref="V28">
    <cfRule type="cellIs" dxfId="6374" priority="1143" operator="greaterThan">
      <formula>V27</formula>
    </cfRule>
    <cfRule type="cellIs" dxfId="6373" priority="1144" operator="equal">
      <formula>0</formula>
    </cfRule>
  </conditionalFormatting>
  <conditionalFormatting sqref="V27">
    <cfRule type="cellIs" dxfId="6372" priority="1141" operator="greaterThan">
      <formula>V26</formula>
    </cfRule>
    <cfRule type="cellIs" dxfId="6371" priority="1142" operator="equal">
      <formula>0</formula>
    </cfRule>
  </conditionalFormatting>
  <conditionalFormatting sqref="V28">
    <cfRule type="cellIs" dxfId="6370" priority="1139" operator="greaterThan">
      <formula>V27</formula>
    </cfRule>
    <cfRule type="cellIs" dxfId="6369" priority="1140" operator="equal">
      <formula>0</formula>
    </cfRule>
  </conditionalFormatting>
  <conditionalFormatting sqref="V27">
    <cfRule type="cellIs" dxfId="6368" priority="1137" operator="greaterThan">
      <formula>V26</formula>
    </cfRule>
    <cfRule type="cellIs" dxfId="6367" priority="1138" operator="equal">
      <formula>0</formula>
    </cfRule>
  </conditionalFormatting>
  <conditionalFormatting sqref="V28">
    <cfRule type="cellIs" dxfId="6366" priority="1135" operator="greaterThan">
      <formula>V27</formula>
    </cfRule>
    <cfRule type="cellIs" dxfId="6365" priority="1136" operator="equal">
      <formula>0</formula>
    </cfRule>
  </conditionalFormatting>
  <conditionalFormatting sqref="V27">
    <cfRule type="cellIs" dxfId="6364" priority="1133" operator="greaterThan">
      <formula>V26</formula>
    </cfRule>
    <cfRule type="cellIs" dxfId="6363" priority="1134" operator="equal">
      <formula>0</formula>
    </cfRule>
  </conditionalFormatting>
  <conditionalFormatting sqref="V28">
    <cfRule type="cellIs" dxfId="6362" priority="1131" operator="greaterThan">
      <formula>V27</formula>
    </cfRule>
    <cfRule type="cellIs" dxfId="6361" priority="1132" operator="equal">
      <formula>0</formula>
    </cfRule>
  </conditionalFormatting>
  <conditionalFormatting sqref="V27">
    <cfRule type="cellIs" dxfId="6360" priority="1129" operator="greaterThan">
      <formula>V26</formula>
    </cfRule>
    <cfRule type="cellIs" dxfId="6359" priority="1130" operator="equal">
      <formula>0</formula>
    </cfRule>
  </conditionalFormatting>
  <conditionalFormatting sqref="V28">
    <cfRule type="cellIs" dxfId="6358" priority="1127" operator="greaterThan">
      <formula>V27</formula>
    </cfRule>
    <cfRule type="cellIs" dxfId="6357" priority="1128" operator="equal">
      <formula>0</formula>
    </cfRule>
  </conditionalFormatting>
  <conditionalFormatting sqref="V27">
    <cfRule type="cellIs" dxfId="6356" priority="1125" operator="greaterThan">
      <formula>V26</formula>
    </cfRule>
    <cfRule type="cellIs" dxfId="6355" priority="1126" operator="equal">
      <formula>0</formula>
    </cfRule>
  </conditionalFormatting>
  <conditionalFormatting sqref="V19">
    <cfRule type="cellIs" dxfId="6354" priority="1123" operator="greaterThan">
      <formula>V18</formula>
    </cfRule>
    <cfRule type="cellIs" dxfId="6353" priority="1124" operator="equal">
      <formula>0</formula>
    </cfRule>
  </conditionalFormatting>
  <conditionalFormatting sqref="V18">
    <cfRule type="cellIs" dxfId="6352" priority="1121" operator="greaterThan">
      <formula>V17</formula>
    </cfRule>
    <cfRule type="cellIs" dxfId="6351" priority="1122" operator="equal">
      <formula>0</formula>
    </cfRule>
  </conditionalFormatting>
  <conditionalFormatting sqref="V19">
    <cfRule type="cellIs" dxfId="6350" priority="1119" operator="greaterThan">
      <formula>V18</formula>
    </cfRule>
    <cfRule type="cellIs" dxfId="6349" priority="1120" operator="equal">
      <formula>0</formula>
    </cfRule>
  </conditionalFormatting>
  <conditionalFormatting sqref="V18">
    <cfRule type="cellIs" dxfId="6348" priority="1117" operator="greaterThan">
      <formula>V17</formula>
    </cfRule>
    <cfRule type="cellIs" dxfId="6347" priority="1118" operator="equal">
      <formula>0</formula>
    </cfRule>
  </conditionalFormatting>
  <conditionalFormatting sqref="V19">
    <cfRule type="cellIs" dxfId="6346" priority="1115" operator="greaterThan">
      <formula>V18</formula>
    </cfRule>
    <cfRule type="cellIs" dxfId="6345" priority="1116" operator="equal">
      <formula>0</formula>
    </cfRule>
  </conditionalFormatting>
  <conditionalFormatting sqref="V18">
    <cfRule type="cellIs" dxfId="6344" priority="1113" operator="greaterThan">
      <formula>V17</formula>
    </cfRule>
    <cfRule type="cellIs" dxfId="6343" priority="1114" operator="equal">
      <formula>0</formula>
    </cfRule>
  </conditionalFormatting>
  <conditionalFormatting sqref="V19">
    <cfRule type="cellIs" dxfId="6342" priority="1111" operator="greaterThan">
      <formula>V18</formula>
    </cfRule>
    <cfRule type="cellIs" dxfId="6341" priority="1112" operator="equal">
      <formula>0</formula>
    </cfRule>
  </conditionalFormatting>
  <conditionalFormatting sqref="V18">
    <cfRule type="cellIs" dxfId="6340" priority="1109" operator="greaterThan">
      <formula>V17</formula>
    </cfRule>
    <cfRule type="cellIs" dxfId="6339" priority="1110" operator="equal">
      <formula>0</formula>
    </cfRule>
  </conditionalFormatting>
  <conditionalFormatting sqref="V16">
    <cfRule type="cellIs" dxfId="6338" priority="1107" operator="greaterThan">
      <formula>V15</formula>
    </cfRule>
    <cfRule type="cellIs" dxfId="6337" priority="1108" operator="equal">
      <formula>0</formula>
    </cfRule>
  </conditionalFormatting>
  <conditionalFormatting sqref="V16">
    <cfRule type="cellIs" dxfId="6336" priority="1105" operator="greaterThan">
      <formula>V15</formula>
    </cfRule>
    <cfRule type="cellIs" dxfId="6335" priority="1106" operator="equal">
      <formula>0</formula>
    </cfRule>
  </conditionalFormatting>
  <conditionalFormatting sqref="V16">
    <cfRule type="cellIs" dxfId="6334" priority="1103" operator="greaterThan">
      <formula>V15</formula>
    </cfRule>
    <cfRule type="cellIs" dxfId="6333" priority="1104" operator="equal">
      <formula>0</formula>
    </cfRule>
  </conditionalFormatting>
  <conditionalFormatting sqref="V16">
    <cfRule type="cellIs" dxfId="6332" priority="1101" operator="greaterThan">
      <formula>V15</formula>
    </cfRule>
    <cfRule type="cellIs" dxfId="6331" priority="1102" operator="equal">
      <formula>0</formula>
    </cfRule>
  </conditionalFormatting>
  <conditionalFormatting sqref="V19">
    <cfRule type="cellIs" dxfId="6330" priority="1099" operator="greaterThan">
      <formula>V18</formula>
    </cfRule>
    <cfRule type="cellIs" dxfId="6329" priority="1100" operator="equal">
      <formula>0</formula>
    </cfRule>
  </conditionalFormatting>
  <conditionalFormatting sqref="V19">
    <cfRule type="cellIs" dxfId="6328" priority="1097" operator="greaterThan">
      <formula>V18</formula>
    </cfRule>
    <cfRule type="cellIs" dxfId="6327" priority="1098" operator="equal">
      <formula>0</formula>
    </cfRule>
  </conditionalFormatting>
  <conditionalFormatting sqref="V19">
    <cfRule type="cellIs" dxfId="6326" priority="1095" operator="greaterThan">
      <formula>V18</formula>
    </cfRule>
    <cfRule type="cellIs" dxfId="6325" priority="1096" operator="equal">
      <formula>0</formula>
    </cfRule>
  </conditionalFormatting>
  <conditionalFormatting sqref="V19">
    <cfRule type="cellIs" dxfId="6324" priority="1093" operator="greaterThan">
      <formula>V18</formula>
    </cfRule>
    <cfRule type="cellIs" dxfId="6323" priority="1094" operator="equal">
      <formula>0</formula>
    </cfRule>
  </conditionalFormatting>
  <conditionalFormatting sqref="V19">
    <cfRule type="cellIs" dxfId="6322" priority="1091" operator="greaterThan">
      <formula>V18</formula>
    </cfRule>
    <cfRule type="cellIs" dxfId="6321" priority="1092" operator="equal">
      <formula>0</formula>
    </cfRule>
  </conditionalFormatting>
  <conditionalFormatting sqref="V19">
    <cfRule type="cellIs" dxfId="6320" priority="1089" operator="greaterThan">
      <formula>V18</formula>
    </cfRule>
    <cfRule type="cellIs" dxfId="6319" priority="1090" operator="equal">
      <formula>0</formula>
    </cfRule>
  </conditionalFormatting>
  <conditionalFormatting sqref="V19">
    <cfRule type="cellIs" dxfId="6318" priority="1087" operator="greaterThan">
      <formula>V18</formula>
    </cfRule>
    <cfRule type="cellIs" dxfId="6317" priority="1088" operator="equal">
      <formula>0</formula>
    </cfRule>
  </conditionalFormatting>
  <conditionalFormatting sqref="V19">
    <cfRule type="cellIs" dxfId="6316" priority="1085" operator="greaterThan">
      <formula>V18</formula>
    </cfRule>
    <cfRule type="cellIs" dxfId="6315" priority="1086" operator="equal">
      <formula>0</formula>
    </cfRule>
  </conditionalFormatting>
  <conditionalFormatting sqref="V19">
    <cfRule type="cellIs" dxfId="6314" priority="1083" operator="greaterThan">
      <formula>V18</formula>
    </cfRule>
    <cfRule type="cellIs" dxfId="6313" priority="1084" operator="equal">
      <formula>0</formula>
    </cfRule>
  </conditionalFormatting>
  <conditionalFormatting sqref="V19">
    <cfRule type="cellIs" dxfId="6312" priority="1081" operator="greaterThan">
      <formula>V18</formula>
    </cfRule>
    <cfRule type="cellIs" dxfId="6311" priority="1082" operator="equal">
      <formula>0</formula>
    </cfRule>
  </conditionalFormatting>
  <conditionalFormatting sqref="V22">
    <cfRule type="cellIs" dxfId="6310" priority="1079" operator="greaterThan">
      <formula>V21</formula>
    </cfRule>
    <cfRule type="cellIs" dxfId="6309" priority="1080" operator="equal">
      <formula>0</formula>
    </cfRule>
  </conditionalFormatting>
  <conditionalFormatting sqref="V21">
    <cfRule type="cellIs" dxfId="6308" priority="1077" operator="greaterThan">
      <formula>V20</formula>
    </cfRule>
    <cfRule type="cellIs" dxfId="6307" priority="1078" operator="equal">
      <formula>0</formula>
    </cfRule>
  </conditionalFormatting>
  <conditionalFormatting sqref="V22">
    <cfRule type="cellIs" dxfId="6306" priority="1075" operator="greaterThan">
      <formula>V21</formula>
    </cfRule>
    <cfRule type="cellIs" dxfId="6305" priority="1076" operator="equal">
      <formula>0</formula>
    </cfRule>
  </conditionalFormatting>
  <conditionalFormatting sqref="V21">
    <cfRule type="cellIs" dxfId="6304" priority="1073" operator="greaterThan">
      <formula>V20</formula>
    </cfRule>
    <cfRule type="cellIs" dxfId="6303" priority="1074" operator="equal">
      <formula>0</formula>
    </cfRule>
  </conditionalFormatting>
  <conditionalFormatting sqref="V22">
    <cfRule type="cellIs" dxfId="6302" priority="1071" operator="greaterThan">
      <formula>V21</formula>
    </cfRule>
    <cfRule type="cellIs" dxfId="6301" priority="1072" operator="equal">
      <formula>0</formula>
    </cfRule>
  </conditionalFormatting>
  <conditionalFormatting sqref="V21">
    <cfRule type="cellIs" dxfId="6300" priority="1069" operator="greaterThan">
      <formula>V20</formula>
    </cfRule>
    <cfRule type="cellIs" dxfId="6299" priority="1070" operator="equal">
      <formula>0</formula>
    </cfRule>
  </conditionalFormatting>
  <conditionalFormatting sqref="V22">
    <cfRule type="cellIs" dxfId="6298" priority="1067" operator="greaterThan">
      <formula>V21</formula>
    </cfRule>
    <cfRule type="cellIs" dxfId="6297" priority="1068" operator="equal">
      <formula>0</formula>
    </cfRule>
  </conditionalFormatting>
  <conditionalFormatting sqref="V21">
    <cfRule type="cellIs" dxfId="6296" priority="1065" operator="greaterThan">
      <formula>V20</formula>
    </cfRule>
    <cfRule type="cellIs" dxfId="6295" priority="1066" operator="equal">
      <formula>0</formula>
    </cfRule>
  </conditionalFormatting>
  <conditionalFormatting sqref="V22">
    <cfRule type="cellIs" dxfId="6294" priority="1063" operator="greaterThan">
      <formula>V21</formula>
    </cfRule>
    <cfRule type="cellIs" dxfId="6293" priority="1064" operator="equal">
      <formula>0</formula>
    </cfRule>
  </conditionalFormatting>
  <conditionalFormatting sqref="V21">
    <cfRule type="cellIs" dxfId="6292" priority="1061" operator="greaterThan">
      <formula>V20</formula>
    </cfRule>
    <cfRule type="cellIs" dxfId="6291" priority="1062" operator="equal">
      <formula>0</formula>
    </cfRule>
  </conditionalFormatting>
  <conditionalFormatting sqref="V22">
    <cfRule type="cellIs" dxfId="6290" priority="1059" operator="greaterThan">
      <formula>V21</formula>
    </cfRule>
    <cfRule type="cellIs" dxfId="6289" priority="1060" operator="equal">
      <formula>0</formula>
    </cfRule>
  </conditionalFormatting>
  <conditionalFormatting sqref="V21">
    <cfRule type="cellIs" dxfId="6288" priority="1057" operator="greaterThan">
      <formula>V20</formula>
    </cfRule>
    <cfRule type="cellIs" dxfId="6287" priority="1058" operator="equal">
      <formula>0</formula>
    </cfRule>
  </conditionalFormatting>
  <conditionalFormatting sqref="V22">
    <cfRule type="cellIs" dxfId="6286" priority="1055" operator="greaterThan">
      <formula>V21</formula>
    </cfRule>
    <cfRule type="cellIs" dxfId="6285" priority="1056" operator="equal">
      <formula>0</formula>
    </cfRule>
  </conditionalFormatting>
  <conditionalFormatting sqref="V21">
    <cfRule type="cellIs" dxfId="6284" priority="1053" operator="greaterThan">
      <formula>V20</formula>
    </cfRule>
    <cfRule type="cellIs" dxfId="6283" priority="1054" operator="equal">
      <formula>0</formula>
    </cfRule>
  </conditionalFormatting>
  <conditionalFormatting sqref="V22">
    <cfRule type="cellIs" dxfId="6282" priority="1051" operator="greaterThan">
      <formula>V21</formula>
    </cfRule>
    <cfRule type="cellIs" dxfId="6281" priority="1052" operator="equal">
      <formula>0</formula>
    </cfRule>
  </conditionalFormatting>
  <conditionalFormatting sqref="V21">
    <cfRule type="cellIs" dxfId="6280" priority="1049" operator="greaterThan">
      <formula>V20</formula>
    </cfRule>
    <cfRule type="cellIs" dxfId="6279" priority="1050" operator="equal">
      <formula>0</formula>
    </cfRule>
  </conditionalFormatting>
  <conditionalFormatting sqref="V22">
    <cfRule type="cellIs" dxfId="6278" priority="1047" operator="greaterThan">
      <formula>V21</formula>
    </cfRule>
    <cfRule type="cellIs" dxfId="6277" priority="1048" operator="equal">
      <formula>0</formula>
    </cfRule>
  </conditionalFormatting>
  <conditionalFormatting sqref="V21">
    <cfRule type="cellIs" dxfId="6276" priority="1045" operator="greaterThan">
      <formula>V20</formula>
    </cfRule>
    <cfRule type="cellIs" dxfId="6275" priority="1046" operator="equal">
      <formula>0</formula>
    </cfRule>
  </conditionalFormatting>
  <conditionalFormatting sqref="V22">
    <cfRule type="cellIs" dxfId="6274" priority="1043" operator="greaterThan">
      <formula>V21</formula>
    </cfRule>
    <cfRule type="cellIs" dxfId="6273" priority="1044" operator="equal">
      <formula>0</formula>
    </cfRule>
  </conditionalFormatting>
  <conditionalFormatting sqref="V21">
    <cfRule type="cellIs" dxfId="6272" priority="1041" operator="greaterThan">
      <formula>V20</formula>
    </cfRule>
    <cfRule type="cellIs" dxfId="6271" priority="1042" operator="equal">
      <formula>0</formula>
    </cfRule>
  </conditionalFormatting>
  <conditionalFormatting sqref="V22">
    <cfRule type="cellIs" dxfId="6270" priority="1039" operator="greaterThan">
      <formula>V21</formula>
    </cfRule>
    <cfRule type="cellIs" dxfId="6269" priority="1040" operator="equal">
      <formula>0</formula>
    </cfRule>
  </conditionalFormatting>
  <conditionalFormatting sqref="V22">
    <cfRule type="cellIs" dxfId="6268" priority="1037" operator="greaterThan">
      <formula>V21</formula>
    </cfRule>
    <cfRule type="cellIs" dxfId="6267" priority="1038" operator="equal">
      <formula>0</formula>
    </cfRule>
  </conditionalFormatting>
  <conditionalFormatting sqref="V22">
    <cfRule type="cellIs" dxfId="6266" priority="1035" operator="greaterThan">
      <formula>V21</formula>
    </cfRule>
    <cfRule type="cellIs" dxfId="6265" priority="1036" operator="equal">
      <formula>0</formula>
    </cfRule>
  </conditionalFormatting>
  <conditionalFormatting sqref="V22">
    <cfRule type="cellIs" dxfId="6264" priority="1033" operator="greaterThan">
      <formula>V21</formula>
    </cfRule>
    <cfRule type="cellIs" dxfId="6263" priority="1034" operator="equal">
      <formula>0</formula>
    </cfRule>
  </conditionalFormatting>
  <conditionalFormatting sqref="V22">
    <cfRule type="cellIs" dxfId="6262" priority="1031" operator="greaterThan">
      <formula>V21</formula>
    </cfRule>
    <cfRule type="cellIs" dxfId="6261" priority="1032" operator="equal">
      <formula>0</formula>
    </cfRule>
  </conditionalFormatting>
  <conditionalFormatting sqref="V22">
    <cfRule type="cellIs" dxfId="6260" priority="1029" operator="greaterThan">
      <formula>V21</formula>
    </cfRule>
    <cfRule type="cellIs" dxfId="6259" priority="1030" operator="equal">
      <formula>0</formula>
    </cfRule>
  </conditionalFormatting>
  <conditionalFormatting sqref="V22">
    <cfRule type="cellIs" dxfId="6258" priority="1027" operator="greaterThan">
      <formula>V21</formula>
    </cfRule>
    <cfRule type="cellIs" dxfId="6257" priority="1028" operator="equal">
      <formula>0</formula>
    </cfRule>
  </conditionalFormatting>
  <conditionalFormatting sqref="V22">
    <cfRule type="cellIs" dxfId="6256" priority="1025" operator="greaterThan">
      <formula>V21</formula>
    </cfRule>
    <cfRule type="cellIs" dxfId="6255" priority="1026" operator="equal">
      <formula>0</formula>
    </cfRule>
  </conditionalFormatting>
  <conditionalFormatting sqref="V22">
    <cfRule type="cellIs" dxfId="6254" priority="1023" operator="greaterThan">
      <formula>V21</formula>
    </cfRule>
    <cfRule type="cellIs" dxfId="6253" priority="1024" operator="equal">
      <formula>0</formula>
    </cfRule>
  </conditionalFormatting>
  <conditionalFormatting sqref="V22">
    <cfRule type="cellIs" dxfId="6252" priority="1021" operator="greaterThan">
      <formula>V21</formula>
    </cfRule>
    <cfRule type="cellIs" dxfId="6251" priority="1022" operator="equal">
      <formula>0</formula>
    </cfRule>
  </conditionalFormatting>
  <conditionalFormatting sqref="V22">
    <cfRule type="cellIs" dxfId="6250" priority="1019" operator="greaterThan">
      <formula>V21</formula>
    </cfRule>
    <cfRule type="cellIs" dxfId="6249" priority="1020" operator="equal">
      <formula>0</formula>
    </cfRule>
  </conditionalFormatting>
  <conditionalFormatting sqref="V22">
    <cfRule type="cellIs" dxfId="6248" priority="1017" operator="greaterThan">
      <formula>V21</formula>
    </cfRule>
    <cfRule type="cellIs" dxfId="6247" priority="1018" operator="equal">
      <formula>0</formula>
    </cfRule>
  </conditionalFormatting>
  <conditionalFormatting sqref="V22">
    <cfRule type="cellIs" dxfId="6246" priority="1015" operator="greaterThan">
      <formula>V21</formula>
    </cfRule>
    <cfRule type="cellIs" dxfId="6245" priority="1016" operator="equal">
      <formula>0</formula>
    </cfRule>
  </conditionalFormatting>
  <conditionalFormatting sqref="V22">
    <cfRule type="cellIs" dxfId="6244" priority="1013" operator="greaterThan">
      <formula>V21</formula>
    </cfRule>
    <cfRule type="cellIs" dxfId="6243" priority="1014" operator="equal">
      <formula>0</formula>
    </cfRule>
  </conditionalFormatting>
  <conditionalFormatting sqref="V22">
    <cfRule type="cellIs" dxfId="6242" priority="1011" operator="greaterThan">
      <formula>V21</formula>
    </cfRule>
    <cfRule type="cellIs" dxfId="6241" priority="1012" operator="equal">
      <formula>0</formula>
    </cfRule>
  </conditionalFormatting>
  <conditionalFormatting sqref="V22">
    <cfRule type="cellIs" dxfId="6240" priority="1009" operator="greaterThan">
      <formula>V21</formula>
    </cfRule>
    <cfRule type="cellIs" dxfId="6239" priority="1010" operator="equal">
      <formula>0</formula>
    </cfRule>
  </conditionalFormatting>
  <conditionalFormatting sqref="V22">
    <cfRule type="cellIs" dxfId="6238" priority="1007" operator="greaterThan">
      <formula>V21</formula>
    </cfRule>
    <cfRule type="cellIs" dxfId="6237" priority="1008" operator="equal">
      <formula>0</formula>
    </cfRule>
  </conditionalFormatting>
  <conditionalFormatting sqref="V22">
    <cfRule type="cellIs" dxfId="6236" priority="1005" operator="greaterThan">
      <formula>V21</formula>
    </cfRule>
    <cfRule type="cellIs" dxfId="6235" priority="1006" operator="equal">
      <formula>0</formula>
    </cfRule>
  </conditionalFormatting>
  <conditionalFormatting sqref="V22">
    <cfRule type="cellIs" dxfId="6234" priority="1003" operator="greaterThan">
      <formula>V21</formula>
    </cfRule>
    <cfRule type="cellIs" dxfId="6233" priority="1004" operator="equal">
      <formula>0</formula>
    </cfRule>
  </conditionalFormatting>
  <conditionalFormatting sqref="V22">
    <cfRule type="cellIs" dxfId="6232" priority="1001" operator="greaterThan">
      <formula>V21</formula>
    </cfRule>
    <cfRule type="cellIs" dxfId="6231" priority="1002" operator="equal">
      <formula>0</formula>
    </cfRule>
  </conditionalFormatting>
  <conditionalFormatting sqref="V22">
    <cfRule type="cellIs" dxfId="6230" priority="999" operator="greaterThan">
      <formula>V21</formula>
    </cfRule>
    <cfRule type="cellIs" dxfId="6229" priority="1000" operator="equal">
      <formula>0</formula>
    </cfRule>
  </conditionalFormatting>
  <conditionalFormatting sqref="V22">
    <cfRule type="cellIs" dxfId="6228" priority="997" operator="greaterThan">
      <formula>V21</formula>
    </cfRule>
    <cfRule type="cellIs" dxfId="6227" priority="998" operator="equal">
      <formula>0</formula>
    </cfRule>
  </conditionalFormatting>
  <conditionalFormatting sqref="V22">
    <cfRule type="cellIs" dxfId="6226" priority="995" operator="greaterThan">
      <formula>V21</formula>
    </cfRule>
    <cfRule type="cellIs" dxfId="6225" priority="996" operator="equal">
      <formula>0</formula>
    </cfRule>
  </conditionalFormatting>
  <conditionalFormatting sqref="V22">
    <cfRule type="cellIs" dxfId="6224" priority="993" operator="greaterThan">
      <formula>V21</formula>
    </cfRule>
    <cfRule type="cellIs" dxfId="6223" priority="994" operator="equal">
      <formula>0</formula>
    </cfRule>
  </conditionalFormatting>
  <conditionalFormatting sqref="V22">
    <cfRule type="cellIs" dxfId="6222" priority="991" operator="greaterThan">
      <formula>V21</formula>
    </cfRule>
    <cfRule type="cellIs" dxfId="6221" priority="992" operator="equal">
      <formula>0</formula>
    </cfRule>
  </conditionalFormatting>
  <conditionalFormatting sqref="V22">
    <cfRule type="cellIs" dxfId="6220" priority="989" operator="greaterThan">
      <formula>V21</formula>
    </cfRule>
    <cfRule type="cellIs" dxfId="6219" priority="990" operator="equal">
      <formula>0</formula>
    </cfRule>
  </conditionalFormatting>
  <conditionalFormatting sqref="V22">
    <cfRule type="cellIs" dxfId="6218" priority="987" operator="greaterThan">
      <formula>V21</formula>
    </cfRule>
    <cfRule type="cellIs" dxfId="6217" priority="988" operator="equal">
      <formula>0</formula>
    </cfRule>
  </conditionalFormatting>
  <conditionalFormatting sqref="V22">
    <cfRule type="cellIs" dxfId="6216" priority="985" operator="greaterThan">
      <formula>V21</formula>
    </cfRule>
    <cfRule type="cellIs" dxfId="6215" priority="986" operator="equal">
      <formula>0</formula>
    </cfRule>
  </conditionalFormatting>
  <conditionalFormatting sqref="V24">
    <cfRule type="cellIs" dxfId="6214" priority="983" operator="greaterThan">
      <formula>V23</formula>
    </cfRule>
    <cfRule type="cellIs" dxfId="6213" priority="984" operator="equal">
      <formula>0</formula>
    </cfRule>
  </conditionalFormatting>
  <conditionalFormatting sqref="V24">
    <cfRule type="cellIs" dxfId="6212" priority="981" operator="greaterThan">
      <formula>V23</formula>
    </cfRule>
    <cfRule type="cellIs" dxfId="6211" priority="982" operator="equal">
      <formula>0</formula>
    </cfRule>
  </conditionalFormatting>
  <conditionalFormatting sqref="V24">
    <cfRule type="cellIs" dxfId="6210" priority="979" operator="greaterThan">
      <formula>V23</formula>
    </cfRule>
    <cfRule type="cellIs" dxfId="6209" priority="980" operator="equal">
      <formula>0</formula>
    </cfRule>
  </conditionalFormatting>
  <conditionalFormatting sqref="V24">
    <cfRule type="cellIs" dxfId="6208" priority="977" operator="greaterThan">
      <formula>V23</formula>
    </cfRule>
    <cfRule type="cellIs" dxfId="6207" priority="978" operator="equal">
      <formula>0</formula>
    </cfRule>
  </conditionalFormatting>
  <conditionalFormatting sqref="V24">
    <cfRule type="cellIs" dxfId="6206" priority="975" operator="greaterThan">
      <formula>V23</formula>
    </cfRule>
    <cfRule type="cellIs" dxfId="6205" priority="976" operator="equal">
      <formula>0</formula>
    </cfRule>
  </conditionalFormatting>
  <conditionalFormatting sqref="V24">
    <cfRule type="cellIs" dxfId="6204" priority="973" operator="greaterThan">
      <formula>V23</formula>
    </cfRule>
    <cfRule type="cellIs" dxfId="6203" priority="974" operator="equal">
      <formula>0</formula>
    </cfRule>
  </conditionalFormatting>
  <conditionalFormatting sqref="V24">
    <cfRule type="cellIs" dxfId="6202" priority="971" operator="greaterThan">
      <formula>V23</formula>
    </cfRule>
    <cfRule type="cellIs" dxfId="6201" priority="972" operator="equal">
      <formula>0</formula>
    </cfRule>
  </conditionalFormatting>
  <conditionalFormatting sqref="V24">
    <cfRule type="cellIs" dxfId="6200" priority="969" operator="greaterThan">
      <formula>V23</formula>
    </cfRule>
    <cfRule type="cellIs" dxfId="6199" priority="970" operator="equal">
      <formula>0</formula>
    </cfRule>
  </conditionalFormatting>
  <conditionalFormatting sqref="V24">
    <cfRule type="cellIs" dxfId="6198" priority="967" operator="greaterThan">
      <formula>V23</formula>
    </cfRule>
    <cfRule type="cellIs" dxfId="6197" priority="968" operator="equal">
      <formula>0</formula>
    </cfRule>
  </conditionalFormatting>
  <conditionalFormatting sqref="V24">
    <cfRule type="cellIs" dxfId="6196" priority="965" operator="greaterThan">
      <formula>V23</formula>
    </cfRule>
    <cfRule type="cellIs" dxfId="6195" priority="966" operator="equal">
      <formula>0</formula>
    </cfRule>
  </conditionalFormatting>
  <conditionalFormatting sqref="V24">
    <cfRule type="cellIs" dxfId="6194" priority="963" operator="greaterThan">
      <formula>V23</formula>
    </cfRule>
    <cfRule type="cellIs" dxfId="6193" priority="964" operator="equal">
      <formula>0</formula>
    </cfRule>
  </conditionalFormatting>
  <conditionalFormatting sqref="V24">
    <cfRule type="cellIs" dxfId="6192" priority="961" operator="greaterThan">
      <formula>V23</formula>
    </cfRule>
    <cfRule type="cellIs" dxfId="6191" priority="962" operator="equal">
      <formula>0</formula>
    </cfRule>
  </conditionalFormatting>
  <conditionalFormatting sqref="V24">
    <cfRule type="cellIs" dxfId="6190" priority="959" operator="greaterThan">
      <formula>V23</formula>
    </cfRule>
    <cfRule type="cellIs" dxfId="6189" priority="960" operator="equal">
      <formula>0</formula>
    </cfRule>
  </conditionalFormatting>
  <conditionalFormatting sqref="V24">
    <cfRule type="cellIs" dxfId="6188" priority="957" operator="greaterThan">
      <formula>V23</formula>
    </cfRule>
    <cfRule type="cellIs" dxfId="6187" priority="958" operator="equal">
      <formula>0</formula>
    </cfRule>
  </conditionalFormatting>
  <conditionalFormatting sqref="V24">
    <cfRule type="cellIs" dxfId="6186" priority="955" operator="greaterThan">
      <formula>V23</formula>
    </cfRule>
    <cfRule type="cellIs" dxfId="6185" priority="956" operator="equal">
      <formula>0</formula>
    </cfRule>
  </conditionalFormatting>
  <conditionalFormatting sqref="V24">
    <cfRule type="cellIs" dxfId="6184" priority="953" operator="greaterThan">
      <formula>V23</formula>
    </cfRule>
    <cfRule type="cellIs" dxfId="6183" priority="954" operator="equal">
      <formula>0</formula>
    </cfRule>
  </conditionalFormatting>
  <conditionalFormatting sqref="V24">
    <cfRule type="cellIs" dxfId="6182" priority="951" operator="greaterThan">
      <formula>V23</formula>
    </cfRule>
    <cfRule type="cellIs" dxfId="6181" priority="952" operator="equal">
      <formula>0</formula>
    </cfRule>
  </conditionalFormatting>
  <conditionalFormatting sqref="V24">
    <cfRule type="cellIs" dxfId="6180" priority="949" operator="greaterThan">
      <formula>V23</formula>
    </cfRule>
    <cfRule type="cellIs" dxfId="6179" priority="950" operator="equal">
      <formula>0</formula>
    </cfRule>
  </conditionalFormatting>
  <conditionalFormatting sqref="V25">
    <cfRule type="cellIs" dxfId="6178" priority="947" operator="greaterThan">
      <formula>V24</formula>
    </cfRule>
    <cfRule type="cellIs" dxfId="6177" priority="948" operator="equal">
      <formula>0</formula>
    </cfRule>
  </conditionalFormatting>
  <conditionalFormatting sqref="V25">
    <cfRule type="cellIs" dxfId="6176" priority="945" operator="greaterThan">
      <formula>V24</formula>
    </cfRule>
    <cfRule type="cellIs" dxfId="6175" priority="946" operator="equal">
      <formula>0</formula>
    </cfRule>
  </conditionalFormatting>
  <conditionalFormatting sqref="V25">
    <cfRule type="cellIs" dxfId="6174" priority="943" operator="greaterThan">
      <formula>V24</formula>
    </cfRule>
    <cfRule type="cellIs" dxfId="6173" priority="944" operator="equal">
      <formula>0</formula>
    </cfRule>
  </conditionalFormatting>
  <conditionalFormatting sqref="V25">
    <cfRule type="cellIs" dxfId="6172" priority="941" operator="greaterThan">
      <formula>V24</formula>
    </cfRule>
    <cfRule type="cellIs" dxfId="6171" priority="942" operator="equal">
      <formula>0</formula>
    </cfRule>
  </conditionalFormatting>
  <conditionalFormatting sqref="V25">
    <cfRule type="cellIs" dxfId="6170" priority="939" operator="greaterThan">
      <formula>V24</formula>
    </cfRule>
    <cfRule type="cellIs" dxfId="6169" priority="940" operator="equal">
      <formula>0</formula>
    </cfRule>
  </conditionalFormatting>
  <conditionalFormatting sqref="V25">
    <cfRule type="cellIs" dxfId="6168" priority="937" operator="greaterThan">
      <formula>V24</formula>
    </cfRule>
    <cfRule type="cellIs" dxfId="6167" priority="938" operator="equal">
      <formula>0</formula>
    </cfRule>
  </conditionalFormatting>
  <conditionalFormatting sqref="V25">
    <cfRule type="cellIs" dxfId="6166" priority="935" operator="greaterThan">
      <formula>V24</formula>
    </cfRule>
    <cfRule type="cellIs" dxfId="6165" priority="936" operator="equal">
      <formula>0</formula>
    </cfRule>
  </conditionalFormatting>
  <conditionalFormatting sqref="V25">
    <cfRule type="cellIs" dxfId="6164" priority="933" operator="greaterThan">
      <formula>V24</formula>
    </cfRule>
    <cfRule type="cellIs" dxfId="6163" priority="934" operator="equal">
      <formula>0</formula>
    </cfRule>
  </conditionalFormatting>
  <conditionalFormatting sqref="V25">
    <cfRule type="cellIs" dxfId="6162" priority="931" operator="greaterThan">
      <formula>V24</formula>
    </cfRule>
    <cfRule type="cellIs" dxfId="6161" priority="932" operator="equal">
      <formula>0</formula>
    </cfRule>
  </conditionalFormatting>
  <conditionalFormatting sqref="V25">
    <cfRule type="cellIs" dxfId="6160" priority="929" operator="greaterThan">
      <formula>V24</formula>
    </cfRule>
    <cfRule type="cellIs" dxfId="6159" priority="930" operator="equal">
      <formula>0</formula>
    </cfRule>
  </conditionalFormatting>
  <conditionalFormatting sqref="V25">
    <cfRule type="cellIs" dxfId="6158" priority="927" operator="greaterThan">
      <formula>V24</formula>
    </cfRule>
    <cfRule type="cellIs" dxfId="6157" priority="928" operator="equal">
      <formula>0</formula>
    </cfRule>
  </conditionalFormatting>
  <conditionalFormatting sqref="V25">
    <cfRule type="cellIs" dxfId="6156" priority="925" operator="greaterThan">
      <formula>V24</formula>
    </cfRule>
    <cfRule type="cellIs" dxfId="6155" priority="926" operator="equal">
      <formula>0</formula>
    </cfRule>
  </conditionalFormatting>
  <conditionalFormatting sqref="V25">
    <cfRule type="cellIs" dxfId="6154" priority="923" operator="greaterThan">
      <formula>V24</formula>
    </cfRule>
    <cfRule type="cellIs" dxfId="6153" priority="924" operator="equal">
      <formula>0</formula>
    </cfRule>
  </conditionalFormatting>
  <conditionalFormatting sqref="V25">
    <cfRule type="cellIs" dxfId="6152" priority="921" operator="greaterThan">
      <formula>V24</formula>
    </cfRule>
    <cfRule type="cellIs" dxfId="6151" priority="922" operator="equal">
      <formula>0</formula>
    </cfRule>
  </conditionalFormatting>
  <conditionalFormatting sqref="V25">
    <cfRule type="cellIs" dxfId="6150" priority="919" operator="greaterThan">
      <formula>V24</formula>
    </cfRule>
    <cfRule type="cellIs" dxfId="6149" priority="920" operator="equal">
      <formula>0</formula>
    </cfRule>
  </conditionalFormatting>
  <conditionalFormatting sqref="V25">
    <cfRule type="cellIs" dxfId="6148" priority="917" operator="greaterThan">
      <formula>V24</formula>
    </cfRule>
    <cfRule type="cellIs" dxfId="6147" priority="918" operator="equal">
      <formula>0</formula>
    </cfRule>
  </conditionalFormatting>
  <conditionalFormatting sqref="V25">
    <cfRule type="cellIs" dxfId="6146" priority="915" operator="greaterThan">
      <formula>V24</formula>
    </cfRule>
    <cfRule type="cellIs" dxfId="6145" priority="916" operator="equal">
      <formula>0</formula>
    </cfRule>
  </conditionalFormatting>
  <conditionalFormatting sqref="V25">
    <cfRule type="cellIs" dxfId="6144" priority="913" operator="greaterThan">
      <formula>V24</formula>
    </cfRule>
    <cfRule type="cellIs" dxfId="6143" priority="914" operator="equal">
      <formula>0</formula>
    </cfRule>
  </conditionalFormatting>
  <conditionalFormatting sqref="V25">
    <cfRule type="cellIs" dxfId="6142" priority="911" operator="greaterThan">
      <formula>V24</formula>
    </cfRule>
    <cfRule type="cellIs" dxfId="6141" priority="912" operator="equal">
      <formula>0</formula>
    </cfRule>
  </conditionalFormatting>
  <conditionalFormatting sqref="V25">
    <cfRule type="cellIs" dxfId="6140" priority="909" operator="greaterThan">
      <formula>V24</formula>
    </cfRule>
    <cfRule type="cellIs" dxfId="6139" priority="910" operator="equal">
      <formula>0</formula>
    </cfRule>
  </conditionalFormatting>
  <conditionalFormatting sqref="V25">
    <cfRule type="cellIs" dxfId="6138" priority="907" operator="greaterThan">
      <formula>V24</formula>
    </cfRule>
    <cfRule type="cellIs" dxfId="6137" priority="908" operator="equal">
      <formula>0</formula>
    </cfRule>
  </conditionalFormatting>
  <conditionalFormatting sqref="V25">
    <cfRule type="cellIs" dxfId="6136" priority="905" operator="greaterThan">
      <formula>V24</formula>
    </cfRule>
    <cfRule type="cellIs" dxfId="6135" priority="906" operator="equal">
      <formula>0</formula>
    </cfRule>
  </conditionalFormatting>
  <conditionalFormatting sqref="V25">
    <cfRule type="cellIs" dxfId="6134" priority="903" operator="greaterThan">
      <formula>V24</formula>
    </cfRule>
    <cfRule type="cellIs" dxfId="6133" priority="904" operator="equal">
      <formula>0</formula>
    </cfRule>
  </conditionalFormatting>
  <conditionalFormatting sqref="V25">
    <cfRule type="cellIs" dxfId="6132" priority="901" operator="greaterThan">
      <formula>V24</formula>
    </cfRule>
    <cfRule type="cellIs" dxfId="6131" priority="902" operator="equal">
      <formula>0</formula>
    </cfRule>
  </conditionalFormatting>
  <conditionalFormatting sqref="V25">
    <cfRule type="cellIs" dxfId="6130" priority="899" operator="greaterThan">
      <formula>V24</formula>
    </cfRule>
    <cfRule type="cellIs" dxfId="6129" priority="900" operator="equal">
      <formula>0</formula>
    </cfRule>
  </conditionalFormatting>
  <conditionalFormatting sqref="V25">
    <cfRule type="cellIs" dxfId="6128" priority="897" operator="greaterThan">
      <formula>V24</formula>
    </cfRule>
    <cfRule type="cellIs" dxfId="6127" priority="898" operator="equal">
      <formula>0</formula>
    </cfRule>
  </conditionalFormatting>
  <conditionalFormatting sqref="V25">
    <cfRule type="cellIs" dxfId="6126" priority="895" operator="greaterThan">
      <formula>V24</formula>
    </cfRule>
    <cfRule type="cellIs" dxfId="6125" priority="896" operator="equal">
      <formula>0</formula>
    </cfRule>
  </conditionalFormatting>
  <conditionalFormatting sqref="V25">
    <cfRule type="cellIs" dxfId="6124" priority="893" operator="greaterThan">
      <formula>V24</formula>
    </cfRule>
    <cfRule type="cellIs" dxfId="6123" priority="894" operator="equal">
      <formula>0</formula>
    </cfRule>
  </conditionalFormatting>
  <conditionalFormatting sqref="V27">
    <cfRule type="cellIs" dxfId="6122" priority="891" operator="greaterThan">
      <formula>V26</formula>
    </cfRule>
    <cfRule type="cellIs" dxfId="6121" priority="892" operator="equal">
      <formula>0</formula>
    </cfRule>
  </conditionalFormatting>
  <conditionalFormatting sqref="V27">
    <cfRule type="cellIs" dxfId="6120" priority="889" operator="greaterThan">
      <formula>V26</formula>
    </cfRule>
    <cfRule type="cellIs" dxfId="6119" priority="890" operator="equal">
      <formula>0</formula>
    </cfRule>
  </conditionalFormatting>
  <conditionalFormatting sqref="V27">
    <cfRule type="cellIs" dxfId="6118" priority="887" operator="greaterThan">
      <formula>V26</formula>
    </cfRule>
    <cfRule type="cellIs" dxfId="6117" priority="888" operator="equal">
      <formula>0</formula>
    </cfRule>
  </conditionalFormatting>
  <conditionalFormatting sqref="V27">
    <cfRule type="cellIs" dxfId="6116" priority="885" operator="greaterThan">
      <formula>V26</formula>
    </cfRule>
    <cfRule type="cellIs" dxfId="6115" priority="886" operator="equal">
      <formula>0</formula>
    </cfRule>
  </conditionalFormatting>
  <conditionalFormatting sqref="V27">
    <cfRule type="cellIs" dxfId="6114" priority="883" operator="greaterThan">
      <formula>V26</formula>
    </cfRule>
    <cfRule type="cellIs" dxfId="6113" priority="884" operator="equal">
      <formula>0</formula>
    </cfRule>
  </conditionalFormatting>
  <conditionalFormatting sqref="V27">
    <cfRule type="cellIs" dxfId="6112" priority="881" operator="greaterThan">
      <formula>V26</formula>
    </cfRule>
    <cfRule type="cellIs" dxfId="6111" priority="882" operator="equal">
      <formula>0</formula>
    </cfRule>
  </conditionalFormatting>
  <conditionalFormatting sqref="V27">
    <cfRule type="cellIs" dxfId="6110" priority="879" operator="greaterThan">
      <formula>V26</formula>
    </cfRule>
    <cfRule type="cellIs" dxfId="6109" priority="880" operator="equal">
      <formula>0</formula>
    </cfRule>
  </conditionalFormatting>
  <conditionalFormatting sqref="V27">
    <cfRule type="cellIs" dxfId="6108" priority="877" operator="greaterThan">
      <formula>V26</formula>
    </cfRule>
    <cfRule type="cellIs" dxfId="6107" priority="878" operator="equal">
      <formula>0</formula>
    </cfRule>
  </conditionalFormatting>
  <conditionalFormatting sqref="V27">
    <cfRule type="cellIs" dxfId="6106" priority="875" operator="greaterThan">
      <formula>V26</formula>
    </cfRule>
    <cfRule type="cellIs" dxfId="6105" priority="876" operator="equal">
      <formula>0</formula>
    </cfRule>
  </conditionalFormatting>
  <conditionalFormatting sqref="V27">
    <cfRule type="cellIs" dxfId="6104" priority="873" operator="greaterThan">
      <formula>V26</formula>
    </cfRule>
    <cfRule type="cellIs" dxfId="6103" priority="874" operator="equal">
      <formula>0</formula>
    </cfRule>
  </conditionalFormatting>
  <conditionalFormatting sqref="V27">
    <cfRule type="cellIs" dxfId="6102" priority="871" operator="greaterThan">
      <formula>V26</formula>
    </cfRule>
    <cfRule type="cellIs" dxfId="6101" priority="872" operator="equal">
      <formula>0</formula>
    </cfRule>
  </conditionalFormatting>
  <conditionalFormatting sqref="V27">
    <cfRule type="cellIs" dxfId="6100" priority="869" operator="greaterThan">
      <formula>V26</formula>
    </cfRule>
    <cfRule type="cellIs" dxfId="6099" priority="870" operator="equal">
      <formula>0</formula>
    </cfRule>
  </conditionalFormatting>
  <conditionalFormatting sqref="V27">
    <cfRule type="cellIs" dxfId="6098" priority="867" operator="greaterThan">
      <formula>V26</formula>
    </cfRule>
    <cfRule type="cellIs" dxfId="6097" priority="868" operator="equal">
      <formula>0</formula>
    </cfRule>
  </conditionalFormatting>
  <conditionalFormatting sqref="V27">
    <cfRule type="cellIs" dxfId="6096" priority="865" operator="greaterThan">
      <formula>V26</formula>
    </cfRule>
    <cfRule type="cellIs" dxfId="6095" priority="866" operator="equal">
      <formula>0</formula>
    </cfRule>
  </conditionalFormatting>
  <conditionalFormatting sqref="V27">
    <cfRule type="cellIs" dxfId="6094" priority="863" operator="greaterThan">
      <formula>V26</formula>
    </cfRule>
    <cfRule type="cellIs" dxfId="6093" priority="864" operator="equal">
      <formula>0</formula>
    </cfRule>
  </conditionalFormatting>
  <conditionalFormatting sqref="V27">
    <cfRule type="cellIs" dxfId="6092" priority="861" operator="greaterThan">
      <formula>V26</formula>
    </cfRule>
    <cfRule type="cellIs" dxfId="6091" priority="862" operator="equal">
      <formula>0</formula>
    </cfRule>
  </conditionalFormatting>
  <conditionalFormatting sqref="V27">
    <cfRule type="cellIs" dxfId="6090" priority="859" operator="greaterThan">
      <formula>V26</formula>
    </cfRule>
    <cfRule type="cellIs" dxfId="6089" priority="860" operator="equal">
      <formula>0</formula>
    </cfRule>
  </conditionalFormatting>
  <conditionalFormatting sqref="V27">
    <cfRule type="cellIs" dxfId="6088" priority="857" operator="greaterThan">
      <formula>V26</formula>
    </cfRule>
    <cfRule type="cellIs" dxfId="6087" priority="858" operator="equal">
      <formula>0</formula>
    </cfRule>
  </conditionalFormatting>
  <conditionalFormatting sqref="V27">
    <cfRule type="cellIs" dxfId="6086" priority="855" operator="greaterThan">
      <formula>V26</formula>
    </cfRule>
    <cfRule type="cellIs" dxfId="6085" priority="856" operator="equal">
      <formula>0</formula>
    </cfRule>
  </conditionalFormatting>
  <conditionalFormatting sqref="V27">
    <cfRule type="cellIs" dxfId="6084" priority="853" operator="greaterThan">
      <formula>V26</formula>
    </cfRule>
    <cfRule type="cellIs" dxfId="6083" priority="854" operator="equal">
      <formula>0</formula>
    </cfRule>
  </conditionalFormatting>
  <conditionalFormatting sqref="V27">
    <cfRule type="cellIs" dxfId="6082" priority="851" operator="greaterThan">
      <formula>V26</formula>
    </cfRule>
    <cfRule type="cellIs" dxfId="6081" priority="852" operator="equal">
      <formula>0</formula>
    </cfRule>
  </conditionalFormatting>
  <conditionalFormatting sqref="V27">
    <cfRule type="cellIs" dxfId="6080" priority="849" operator="greaterThan">
      <formula>V26</formula>
    </cfRule>
    <cfRule type="cellIs" dxfId="6079" priority="850" operator="equal">
      <formula>0</formula>
    </cfRule>
  </conditionalFormatting>
  <conditionalFormatting sqref="V27">
    <cfRule type="cellIs" dxfId="6078" priority="847" operator="greaterThan">
      <formula>V26</formula>
    </cfRule>
    <cfRule type="cellIs" dxfId="6077" priority="848" operator="equal">
      <formula>0</formula>
    </cfRule>
  </conditionalFormatting>
  <conditionalFormatting sqref="V27">
    <cfRule type="cellIs" dxfId="6076" priority="845" operator="greaterThan">
      <formula>V26</formula>
    </cfRule>
    <cfRule type="cellIs" dxfId="6075" priority="846" operator="equal">
      <formula>0</formula>
    </cfRule>
  </conditionalFormatting>
  <conditionalFormatting sqref="V27">
    <cfRule type="cellIs" dxfId="6074" priority="843" operator="greaterThan">
      <formula>V26</formula>
    </cfRule>
    <cfRule type="cellIs" dxfId="6073" priority="844" operator="equal">
      <formula>0</formula>
    </cfRule>
  </conditionalFormatting>
  <conditionalFormatting sqref="V27">
    <cfRule type="cellIs" dxfId="6072" priority="841" operator="greaterThan">
      <formula>V26</formula>
    </cfRule>
    <cfRule type="cellIs" dxfId="6071" priority="842" operator="equal">
      <formula>0</formula>
    </cfRule>
  </conditionalFormatting>
  <conditionalFormatting sqref="V27">
    <cfRule type="cellIs" dxfId="6070" priority="839" operator="greaterThan">
      <formula>V26</formula>
    </cfRule>
    <cfRule type="cellIs" dxfId="6069" priority="840" operator="equal">
      <formula>0</formula>
    </cfRule>
  </conditionalFormatting>
  <conditionalFormatting sqref="V27">
    <cfRule type="cellIs" dxfId="6068" priority="837" operator="greaterThan">
      <formula>V26</formula>
    </cfRule>
    <cfRule type="cellIs" dxfId="6067" priority="838" operator="equal">
      <formula>0</formula>
    </cfRule>
  </conditionalFormatting>
  <conditionalFormatting sqref="V27">
    <cfRule type="cellIs" dxfId="6066" priority="835" operator="greaterThan">
      <formula>V26</formula>
    </cfRule>
    <cfRule type="cellIs" dxfId="6065" priority="836" operator="equal">
      <formula>0</formula>
    </cfRule>
  </conditionalFormatting>
  <conditionalFormatting sqref="V28">
    <cfRule type="cellIs" dxfId="6064" priority="833" operator="greaterThan">
      <formula>V27</formula>
    </cfRule>
    <cfRule type="cellIs" dxfId="6063" priority="834" operator="equal">
      <formula>0</formula>
    </cfRule>
  </conditionalFormatting>
  <conditionalFormatting sqref="V28">
    <cfRule type="cellIs" dxfId="6062" priority="831" operator="greaterThan">
      <formula>V27</formula>
    </cfRule>
    <cfRule type="cellIs" dxfId="6061" priority="832" operator="equal">
      <formula>0</formula>
    </cfRule>
  </conditionalFormatting>
  <conditionalFormatting sqref="V28">
    <cfRule type="cellIs" dxfId="6060" priority="829" operator="greaterThan">
      <formula>V27</formula>
    </cfRule>
    <cfRule type="cellIs" dxfId="6059" priority="830" operator="equal">
      <formula>0</formula>
    </cfRule>
  </conditionalFormatting>
  <conditionalFormatting sqref="V28">
    <cfRule type="cellIs" dxfId="6058" priority="827" operator="greaterThan">
      <formula>V27</formula>
    </cfRule>
    <cfRule type="cellIs" dxfId="6057" priority="828" operator="equal">
      <formula>0</formula>
    </cfRule>
  </conditionalFormatting>
  <conditionalFormatting sqref="V28">
    <cfRule type="cellIs" dxfId="6056" priority="825" operator="greaterThan">
      <formula>V27</formula>
    </cfRule>
    <cfRule type="cellIs" dxfId="6055" priority="826" operator="equal">
      <formula>0</formula>
    </cfRule>
  </conditionalFormatting>
  <conditionalFormatting sqref="V28">
    <cfRule type="cellIs" dxfId="6054" priority="823" operator="greaterThan">
      <formula>V27</formula>
    </cfRule>
    <cfRule type="cellIs" dxfId="6053" priority="824" operator="equal">
      <formula>0</formula>
    </cfRule>
  </conditionalFormatting>
  <conditionalFormatting sqref="V28">
    <cfRule type="cellIs" dxfId="6052" priority="821" operator="greaterThan">
      <formula>V27</formula>
    </cfRule>
    <cfRule type="cellIs" dxfId="6051" priority="822" operator="equal">
      <formula>0</formula>
    </cfRule>
  </conditionalFormatting>
  <conditionalFormatting sqref="V28">
    <cfRule type="cellIs" dxfId="6050" priority="819" operator="greaterThan">
      <formula>V27</formula>
    </cfRule>
    <cfRule type="cellIs" dxfId="6049" priority="820" operator="equal">
      <formula>0</formula>
    </cfRule>
  </conditionalFormatting>
  <conditionalFormatting sqref="V28">
    <cfRule type="cellIs" dxfId="6048" priority="817" operator="greaterThan">
      <formula>V27</formula>
    </cfRule>
    <cfRule type="cellIs" dxfId="6047" priority="818" operator="equal">
      <formula>0</formula>
    </cfRule>
  </conditionalFormatting>
  <conditionalFormatting sqref="V28">
    <cfRule type="cellIs" dxfId="6046" priority="815" operator="greaterThan">
      <formula>V27</formula>
    </cfRule>
    <cfRule type="cellIs" dxfId="6045" priority="816" operator="equal">
      <formula>0</formula>
    </cfRule>
  </conditionalFormatting>
  <conditionalFormatting sqref="V28">
    <cfRule type="cellIs" dxfId="6044" priority="813" operator="greaterThan">
      <formula>V27</formula>
    </cfRule>
    <cfRule type="cellIs" dxfId="6043" priority="814" operator="equal">
      <formula>0</formula>
    </cfRule>
  </conditionalFormatting>
  <conditionalFormatting sqref="V28">
    <cfRule type="cellIs" dxfId="6042" priority="811" operator="greaterThan">
      <formula>V27</formula>
    </cfRule>
    <cfRule type="cellIs" dxfId="6041" priority="812" operator="equal">
      <formula>0</formula>
    </cfRule>
  </conditionalFormatting>
  <conditionalFormatting sqref="V28">
    <cfRule type="cellIs" dxfId="6040" priority="809" operator="greaterThan">
      <formula>V27</formula>
    </cfRule>
    <cfRule type="cellIs" dxfId="6039" priority="810" operator="equal">
      <formula>0</formula>
    </cfRule>
  </conditionalFormatting>
  <conditionalFormatting sqref="V28">
    <cfRule type="cellIs" dxfId="6038" priority="807" operator="greaterThan">
      <formula>V27</formula>
    </cfRule>
    <cfRule type="cellIs" dxfId="6037" priority="808" operator="equal">
      <formula>0</formula>
    </cfRule>
  </conditionalFormatting>
  <conditionalFormatting sqref="V28">
    <cfRule type="cellIs" dxfId="6036" priority="805" operator="greaterThan">
      <formula>V27</formula>
    </cfRule>
    <cfRule type="cellIs" dxfId="6035" priority="806" operator="equal">
      <formula>0</formula>
    </cfRule>
  </conditionalFormatting>
  <conditionalFormatting sqref="V28">
    <cfRule type="cellIs" dxfId="6034" priority="803" operator="greaterThan">
      <formula>V27</formula>
    </cfRule>
    <cfRule type="cellIs" dxfId="6033" priority="804" operator="equal">
      <formula>0</formula>
    </cfRule>
  </conditionalFormatting>
  <conditionalFormatting sqref="V28">
    <cfRule type="cellIs" dxfId="6032" priority="801" operator="greaterThan">
      <formula>V27</formula>
    </cfRule>
    <cfRule type="cellIs" dxfId="6031" priority="802" operator="equal">
      <formula>0</formula>
    </cfRule>
  </conditionalFormatting>
  <conditionalFormatting sqref="V28">
    <cfRule type="cellIs" dxfId="6030" priority="799" operator="greaterThan">
      <formula>V27</formula>
    </cfRule>
    <cfRule type="cellIs" dxfId="6029" priority="800" operator="equal">
      <formula>0</formula>
    </cfRule>
  </conditionalFormatting>
  <conditionalFormatting sqref="V28">
    <cfRule type="cellIs" dxfId="6028" priority="797" operator="greaterThan">
      <formula>V27</formula>
    </cfRule>
    <cfRule type="cellIs" dxfId="6027" priority="798" operator="equal">
      <formula>0</formula>
    </cfRule>
  </conditionalFormatting>
  <conditionalFormatting sqref="V28">
    <cfRule type="cellIs" dxfId="6026" priority="795" operator="greaterThan">
      <formula>V27</formula>
    </cfRule>
    <cfRule type="cellIs" dxfId="6025" priority="796" operator="equal">
      <formula>0</formula>
    </cfRule>
  </conditionalFormatting>
  <conditionalFormatting sqref="V28">
    <cfRule type="cellIs" dxfId="6024" priority="793" operator="greaterThan">
      <formula>V27</formula>
    </cfRule>
    <cfRule type="cellIs" dxfId="6023" priority="794" operator="equal">
      <formula>0</formula>
    </cfRule>
  </conditionalFormatting>
  <conditionalFormatting sqref="V28">
    <cfRule type="cellIs" dxfId="6022" priority="791" operator="greaterThan">
      <formula>V27</formula>
    </cfRule>
    <cfRule type="cellIs" dxfId="6021" priority="792" operator="equal">
      <formula>0</formula>
    </cfRule>
  </conditionalFormatting>
  <conditionalFormatting sqref="V28">
    <cfRule type="cellIs" dxfId="6020" priority="789" operator="greaterThan">
      <formula>V27</formula>
    </cfRule>
    <cfRule type="cellIs" dxfId="6019" priority="790" operator="equal">
      <formula>0</formula>
    </cfRule>
  </conditionalFormatting>
  <conditionalFormatting sqref="V28">
    <cfRule type="cellIs" dxfId="6018" priority="787" operator="greaterThan">
      <formula>V27</formula>
    </cfRule>
    <cfRule type="cellIs" dxfId="6017" priority="788" operator="equal">
      <formula>0</formula>
    </cfRule>
  </conditionalFormatting>
  <conditionalFormatting sqref="V28">
    <cfRule type="cellIs" dxfId="6016" priority="785" operator="greaterThan">
      <formula>V27</formula>
    </cfRule>
    <cfRule type="cellIs" dxfId="6015" priority="786" operator="equal">
      <formula>0</formula>
    </cfRule>
  </conditionalFormatting>
  <conditionalFormatting sqref="V28">
    <cfRule type="cellIs" dxfId="6014" priority="783" operator="greaterThan">
      <formula>V27</formula>
    </cfRule>
    <cfRule type="cellIs" dxfId="6013" priority="784" operator="equal">
      <formula>0</formula>
    </cfRule>
  </conditionalFormatting>
  <conditionalFormatting sqref="V28">
    <cfRule type="cellIs" dxfId="6012" priority="781" operator="greaterThan">
      <formula>V27</formula>
    </cfRule>
    <cfRule type="cellIs" dxfId="6011" priority="782" operator="equal">
      <formula>0</formula>
    </cfRule>
  </conditionalFormatting>
  <conditionalFormatting sqref="V28">
    <cfRule type="cellIs" dxfId="6010" priority="779" operator="greaterThan">
      <formula>V27</formula>
    </cfRule>
    <cfRule type="cellIs" dxfId="6009" priority="780" operator="equal">
      <formula>0</formula>
    </cfRule>
  </conditionalFormatting>
  <conditionalFormatting sqref="V28">
    <cfRule type="cellIs" dxfId="6008" priority="777" operator="greaterThan">
      <formula>V27</formula>
    </cfRule>
    <cfRule type="cellIs" dxfId="6007" priority="778" operator="equal">
      <formula>0</formula>
    </cfRule>
  </conditionalFormatting>
  <conditionalFormatting sqref="V28">
    <cfRule type="cellIs" dxfId="6006" priority="775" operator="greaterThan">
      <formula>V27</formula>
    </cfRule>
    <cfRule type="cellIs" dxfId="6005" priority="776" operator="equal">
      <formula>0</formula>
    </cfRule>
  </conditionalFormatting>
  <conditionalFormatting sqref="V28">
    <cfRule type="cellIs" dxfId="6004" priority="773" operator="greaterThan">
      <formula>V27</formula>
    </cfRule>
    <cfRule type="cellIs" dxfId="6003" priority="774" operator="equal">
      <formula>0</formula>
    </cfRule>
  </conditionalFormatting>
  <conditionalFormatting sqref="V28">
    <cfRule type="cellIs" dxfId="6002" priority="771" operator="greaterThan">
      <formula>V27</formula>
    </cfRule>
    <cfRule type="cellIs" dxfId="6001" priority="772" operator="equal">
      <formula>0</formula>
    </cfRule>
  </conditionalFormatting>
  <conditionalFormatting sqref="V28">
    <cfRule type="cellIs" dxfId="6000" priority="769" operator="greaterThan">
      <formula>V27</formula>
    </cfRule>
    <cfRule type="cellIs" dxfId="5999" priority="770" operator="equal">
      <formula>0</formula>
    </cfRule>
  </conditionalFormatting>
  <conditionalFormatting sqref="V28">
    <cfRule type="cellIs" dxfId="5998" priority="767" operator="greaterThan">
      <formula>V27</formula>
    </cfRule>
    <cfRule type="cellIs" dxfId="5997" priority="768" operator="equal">
      <formula>0</formula>
    </cfRule>
  </conditionalFormatting>
  <conditionalFormatting sqref="V28">
    <cfRule type="cellIs" dxfId="5996" priority="765" operator="greaterThan">
      <formula>V27</formula>
    </cfRule>
    <cfRule type="cellIs" dxfId="5995" priority="766" operator="equal">
      <formula>0</formula>
    </cfRule>
  </conditionalFormatting>
  <conditionalFormatting sqref="V28">
    <cfRule type="cellIs" dxfId="5994" priority="763" operator="greaterThan">
      <formula>V27</formula>
    </cfRule>
    <cfRule type="cellIs" dxfId="5993" priority="764" operator="equal">
      <formula>0</formula>
    </cfRule>
  </conditionalFormatting>
  <conditionalFormatting sqref="V28">
    <cfRule type="cellIs" dxfId="5992" priority="761" operator="greaterThan">
      <formula>V27</formula>
    </cfRule>
    <cfRule type="cellIs" dxfId="5991" priority="762" operator="equal">
      <formula>0</formula>
    </cfRule>
  </conditionalFormatting>
  <conditionalFormatting sqref="V28">
    <cfRule type="cellIs" dxfId="5990" priority="759" operator="greaterThan">
      <formula>V27</formula>
    </cfRule>
    <cfRule type="cellIs" dxfId="5989" priority="760" operator="equal">
      <formula>0</formula>
    </cfRule>
  </conditionalFormatting>
  <conditionalFormatting sqref="V28">
    <cfRule type="cellIs" dxfId="5988" priority="757" operator="greaterThan">
      <formula>V27</formula>
    </cfRule>
    <cfRule type="cellIs" dxfId="5987" priority="758" operator="equal">
      <formula>0</formula>
    </cfRule>
  </conditionalFormatting>
  <conditionalFormatting sqref="V28">
    <cfRule type="cellIs" dxfId="5986" priority="755" operator="greaterThan">
      <formula>V27</formula>
    </cfRule>
    <cfRule type="cellIs" dxfId="5985" priority="756" operator="equal">
      <formula>0</formula>
    </cfRule>
  </conditionalFormatting>
  <conditionalFormatting sqref="V28">
    <cfRule type="cellIs" dxfId="5984" priority="753" operator="greaterThan">
      <formula>V27</formula>
    </cfRule>
    <cfRule type="cellIs" dxfId="5983" priority="754" operator="equal">
      <formula>0</formula>
    </cfRule>
  </conditionalFormatting>
  <conditionalFormatting sqref="V28">
    <cfRule type="cellIs" dxfId="5982" priority="751" operator="greaterThan">
      <formula>V27</formula>
    </cfRule>
    <cfRule type="cellIs" dxfId="5981" priority="752" operator="equal">
      <formula>0</formula>
    </cfRule>
  </conditionalFormatting>
  <conditionalFormatting sqref="V28">
    <cfRule type="cellIs" dxfId="5980" priority="749" operator="greaterThan">
      <formula>V27</formula>
    </cfRule>
    <cfRule type="cellIs" dxfId="5979" priority="750" operator="equal">
      <formula>0</formula>
    </cfRule>
  </conditionalFormatting>
  <conditionalFormatting sqref="V28">
    <cfRule type="cellIs" dxfId="5978" priority="747" operator="greaterThan">
      <formula>V27</formula>
    </cfRule>
    <cfRule type="cellIs" dxfId="5977" priority="748" operator="equal">
      <formula>0</formula>
    </cfRule>
  </conditionalFormatting>
  <conditionalFormatting sqref="V28">
    <cfRule type="cellIs" dxfId="5976" priority="745" operator="greaterThan">
      <formula>V27</formula>
    </cfRule>
    <cfRule type="cellIs" dxfId="5975" priority="746" operator="equal">
      <formula>0</formula>
    </cfRule>
  </conditionalFormatting>
  <conditionalFormatting sqref="V28">
    <cfRule type="cellIs" dxfId="5974" priority="743" operator="greaterThan">
      <formula>V27</formula>
    </cfRule>
    <cfRule type="cellIs" dxfId="5973" priority="744" operator="equal">
      <formula>0</formula>
    </cfRule>
  </conditionalFormatting>
  <conditionalFormatting sqref="V28">
    <cfRule type="cellIs" dxfId="5972" priority="741" operator="greaterThan">
      <formula>V27</formula>
    </cfRule>
    <cfRule type="cellIs" dxfId="5971" priority="742" operator="equal">
      <formula>0</formula>
    </cfRule>
  </conditionalFormatting>
  <conditionalFormatting sqref="V28">
    <cfRule type="cellIs" dxfId="5970" priority="739" operator="greaterThan">
      <formula>V27</formula>
    </cfRule>
    <cfRule type="cellIs" dxfId="5969" priority="740" operator="equal">
      <formula>0</formula>
    </cfRule>
  </conditionalFormatting>
  <conditionalFormatting sqref="V28">
    <cfRule type="cellIs" dxfId="5968" priority="737" operator="greaterThan">
      <formula>V27</formula>
    </cfRule>
    <cfRule type="cellIs" dxfId="5967" priority="738" operator="equal">
      <formula>0</formula>
    </cfRule>
  </conditionalFormatting>
  <conditionalFormatting sqref="V28">
    <cfRule type="cellIs" dxfId="5966" priority="735" operator="greaterThan">
      <formula>V27</formula>
    </cfRule>
    <cfRule type="cellIs" dxfId="5965" priority="736" operator="equal">
      <formula>0</formula>
    </cfRule>
  </conditionalFormatting>
  <conditionalFormatting sqref="V28">
    <cfRule type="cellIs" dxfId="5964" priority="733" operator="greaterThan">
      <formula>V27</formula>
    </cfRule>
    <cfRule type="cellIs" dxfId="5963" priority="734" operator="equal">
      <formula>0</formula>
    </cfRule>
  </conditionalFormatting>
  <conditionalFormatting sqref="V28">
    <cfRule type="cellIs" dxfId="5962" priority="731" operator="greaterThan">
      <formula>V27</formula>
    </cfRule>
    <cfRule type="cellIs" dxfId="5961" priority="732" operator="equal">
      <formula>0</formula>
    </cfRule>
  </conditionalFormatting>
  <conditionalFormatting sqref="V28">
    <cfRule type="cellIs" dxfId="5960" priority="729" operator="greaterThan">
      <formula>V27</formula>
    </cfRule>
    <cfRule type="cellIs" dxfId="5959" priority="730" operator="equal">
      <formula>0</formula>
    </cfRule>
  </conditionalFormatting>
  <conditionalFormatting sqref="V28">
    <cfRule type="cellIs" dxfId="5958" priority="727" operator="greaterThan">
      <formula>V27</formula>
    </cfRule>
    <cfRule type="cellIs" dxfId="5957" priority="728" operator="equal">
      <formula>0</formula>
    </cfRule>
  </conditionalFormatting>
  <conditionalFormatting sqref="V28">
    <cfRule type="cellIs" dxfId="5956" priority="725" operator="greaterThan">
      <formula>V27</formula>
    </cfRule>
    <cfRule type="cellIs" dxfId="5955" priority="726" operator="equal">
      <formula>0</formula>
    </cfRule>
  </conditionalFormatting>
  <conditionalFormatting sqref="V28">
    <cfRule type="cellIs" dxfId="5954" priority="723" operator="greaterThan">
      <formula>V27</formula>
    </cfRule>
    <cfRule type="cellIs" dxfId="5953" priority="724" operator="equal">
      <formula>0</formula>
    </cfRule>
  </conditionalFormatting>
  <conditionalFormatting sqref="V28">
    <cfRule type="cellIs" dxfId="5952" priority="721" operator="greaterThan">
      <formula>V27</formula>
    </cfRule>
    <cfRule type="cellIs" dxfId="5951" priority="722" operator="equal">
      <formula>0</formula>
    </cfRule>
  </conditionalFormatting>
  <conditionalFormatting sqref="V28">
    <cfRule type="cellIs" dxfId="5950" priority="719" operator="greaterThan">
      <formula>V27</formula>
    </cfRule>
    <cfRule type="cellIs" dxfId="5949" priority="720" operator="equal">
      <formula>0</formula>
    </cfRule>
  </conditionalFormatting>
  <conditionalFormatting sqref="V28">
    <cfRule type="cellIs" dxfId="5948" priority="717" operator="greaterThan">
      <formula>V27</formula>
    </cfRule>
    <cfRule type="cellIs" dxfId="5947" priority="718" operator="equal">
      <formula>0</formula>
    </cfRule>
  </conditionalFormatting>
  <conditionalFormatting sqref="V28">
    <cfRule type="cellIs" dxfId="5946" priority="715" operator="greaterThan">
      <formula>V27</formula>
    </cfRule>
    <cfRule type="cellIs" dxfId="5945" priority="716" operator="equal">
      <formula>0</formula>
    </cfRule>
  </conditionalFormatting>
  <conditionalFormatting sqref="V28">
    <cfRule type="cellIs" dxfId="5944" priority="713" operator="greaterThan">
      <formula>V27</formula>
    </cfRule>
    <cfRule type="cellIs" dxfId="5943" priority="714" operator="equal">
      <formula>0</formula>
    </cfRule>
  </conditionalFormatting>
  <conditionalFormatting sqref="V28">
    <cfRule type="cellIs" dxfId="5942" priority="711" operator="greaterThan">
      <formula>V27</formula>
    </cfRule>
    <cfRule type="cellIs" dxfId="5941" priority="712" operator="equal">
      <formula>0</formula>
    </cfRule>
  </conditionalFormatting>
  <conditionalFormatting sqref="V28">
    <cfRule type="cellIs" dxfId="5940" priority="709" operator="greaterThan">
      <formula>V27</formula>
    </cfRule>
    <cfRule type="cellIs" dxfId="5939" priority="710" operator="equal">
      <formula>0</formula>
    </cfRule>
  </conditionalFormatting>
  <conditionalFormatting sqref="V28">
    <cfRule type="cellIs" dxfId="5938" priority="707" operator="greaterThan">
      <formula>V27</formula>
    </cfRule>
    <cfRule type="cellIs" dxfId="5937" priority="708" operator="equal">
      <formula>0</formula>
    </cfRule>
  </conditionalFormatting>
  <conditionalFormatting sqref="V28">
    <cfRule type="cellIs" dxfId="5936" priority="705" operator="greaterThan">
      <formula>V27</formula>
    </cfRule>
    <cfRule type="cellIs" dxfId="5935" priority="706" operator="equal">
      <formula>0</formula>
    </cfRule>
  </conditionalFormatting>
  <conditionalFormatting sqref="V28">
    <cfRule type="cellIs" dxfId="5934" priority="703" operator="greaterThan">
      <formula>V27</formula>
    </cfRule>
    <cfRule type="cellIs" dxfId="5933" priority="704" operator="equal">
      <formula>0</formula>
    </cfRule>
  </conditionalFormatting>
  <conditionalFormatting sqref="V28">
    <cfRule type="cellIs" dxfId="5932" priority="701" operator="greaterThan">
      <formula>V27</formula>
    </cfRule>
    <cfRule type="cellIs" dxfId="5931" priority="702" operator="equal">
      <formula>0</formula>
    </cfRule>
  </conditionalFormatting>
  <conditionalFormatting sqref="V28">
    <cfRule type="cellIs" dxfId="5930" priority="699" operator="greaterThan">
      <formula>V27</formula>
    </cfRule>
    <cfRule type="cellIs" dxfId="5929" priority="700" operator="equal">
      <formula>0</formula>
    </cfRule>
  </conditionalFormatting>
  <conditionalFormatting sqref="V28">
    <cfRule type="cellIs" dxfId="5928" priority="697" operator="greaterThan">
      <formula>V27</formula>
    </cfRule>
    <cfRule type="cellIs" dxfId="5927" priority="698" operator="equal">
      <formula>0</formula>
    </cfRule>
  </conditionalFormatting>
  <conditionalFormatting sqref="V28">
    <cfRule type="cellIs" dxfId="5926" priority="695" operator="greaterThan">
      <formula>V27</formula>
    </cfRule>
    <cfRule type="cellIs" dxfId="5925" priority="696" operator="equal">
      <formula>0</formula>
    </cfRule>
  </conditionalFormatting>
  <conditionalFormatting sqref="V28">
    <cfRule type="cellIs" dxfId="5924" priority="693" operator="greaterThan">
      <formula>V27</formula>
    </cfRule>
    <cfRule type="cellIs" dxfId="5923" priority="694" operator="equal">
      <formula>0</formula>
    </cfRule>
  </conditionalFormatting>
  <conditionalFormatting sqref="V28">
    <cfRule type="cellIs" dxfId="5922" priority="691" operator="greaterThan">
      <formula>V27</formula>
    </cfRule>
    <cfRule type="cellIs" dxfId="5921" priority="692" operator="equal">
      <formula>0</formula>
    </cfRule>
  </conditionalFormatting>
  <conditionalFormatting sqref="V28">
    <cfRule type="cellIs" dxfId="5920" priority="689" operator="greaterThan">
      <formula>V27</formula>
    </cfRule>
    <cfRule type="cellIs" dxfId="5919" priority="690" operator="equal">
      <formula>0</formula>
    </cfRule>
  </conditionalFormatting>
  <conditionalFormatting sqref="V28">
    <cfRule type="cellIs" dxfId="5918" priority="687" operator="greaterThan">
      <formula>V27</formula>
    </cfRule>
    <cfRule type="cellIs" dxfId="5917" priority="688" operator="equal">
      <formula>0</formula>
    </cfRule>
  </conditionalFormatting>
  <conditionalFormatting sqref="V28">
    <cfRule type="cellIs" dxfId="5916" priority="685" operator="greaterThan">
      <formula>V27</formula>
    </cfRule>
    <cfRule type="cellIs" dxfId="5915" priority="686" operator="equal">
      <formula>0</formula>
    </cfRule>
  </conditionalFormatting>
  <conditionalFormatting sqref="V28">
    <cfRule type="cellIs" dxfId="5914" priority="683" operator="greaterThan">
      <formula>V27</formula>
    </cfRule>
    <cfRule type="cellIs" dxfId="5913" priority="684" operator="equal">
      <formula>0</formula>
    </cfRule>
  </conditionalFormatting>
  <conditionalFormatting sqref="V28">
    <cfRule type="cellIs" dxfId="5912" priority="681" operator="greaterThan">
      <formula>V27</formula>
    </cfRule>
    <cfRule type="cellIs" dxfId="5911" priority="682" operator="equal">
      <formula>0</formula>
    </cfRule>
  </conditionalFormatting>
  <conditionalFormatting sqref="V28">
    <cfRule type="cellIs" dxfId="5910" priority="679" operator="greaterThan">
      <formula>V27</formula>
    </cfRule>
    <cfRule type="cellIs" dxfId="5909" priority="680" operator="equal">
      <formula>0</formula>
    </cfRule>
  </conditionalFormatting>
  <conditionalFormatting sqref="V28">
    <cfRule type="cellIs" dxfId="5908" priority="677" operator="greaterThan">
      <formula>V27</formula>
    </cfRule>
    <cfRule type="cellIs" dxfId="5907" priority="678" operator="equal">
      <formula>0</formula>
    </cfRule>
  </conditionalFormatting>
  <conditionalFormatting sqref="V28">
    <cfRule type="cellIs" dxfId="5906" priority="675" operator="greaterThan">
      <formula>V27</formula>
    </cfRule>
    <cfRule type="cellIs" dxfId="5905" priority="676" operator="equal">
      <formula>0</formula>
    </cfRule>
  </conditionalFormatting>
  <conditionalFormatting sqref="V28">
    <cfRule type="cellIs" dxfId="5904" priority="673" operator="greaterThan">
      <formula>V27</formula>
    </cfRule>
    <cfRule type="cellIs" dxfId="5903" priority="674" operator="equal">
      <formula>0</formula>
    </cfRule>
  </conditionalFormatting>
  <conditionalFormatting sqref="V28">
    <cfRule type="cellIs" dxfId="5902" priority="671" operator="greaterThan">
      <formula>V27</formula>
    </cfRule>
    <cfRule type="cellIs" dxfId="5901" priority="672" operator="equal">
      <formula>0</formula>
    </cfRule>
  </conditionalFormatting>
  <conditionalFormatting sqref="V28">
    <cfRule type="cellIs" dxfId="5900" priority="669" operator="greaterThan">
      <formula>V27</formula>
    </cfRule>
    <cfRule type="cellIs" dxfId="5899" priority="670" operator="equal">
      <formula>0</formula>
    </cfRule>
  </conditionalFormatting>
  <conditionalFormatting sqref="V28">
    <cfRule type="cellIs" dxfId="5898" priority="667" operator="greaterThan">
      <formula>V27</formula>
    </cfRule>
    <cfRule type="cellIs" dxfId="5897" priority="668" operator="equal">
      <formula>0</formula>
    </cfRule>
  </conditionalFormatting>
  <conditionalFormatting sqref="V12:V13 X12:X13 X15:X16 X18:X19 X21:X25 X27:X28 V15:V16 V18:V19 V21:V22 V24:V25 V27:V28">
    <cfRule type="cellIs" dxfId="5896" priority="666" operator="equal">
      <formula>0</formula>
    </cfRule>
  </conditionalFormatting>
  <conditionalFormatting sqref="V28">
    <cfRule type="cellIs" dxfId="5895" priority="664" operator="greaterThan">
      <formula>V27</formula>
    </cfRule>
    <cfRule type="cellIs" dxfId="5894" priority="665" operator="equal">
      <formula>0</formula>
    </cfRule>
  </conditionalFormatting>
  <conditionalFormatting sqref="V27">
    <cfRule type="cellIs" dxfId="5893" priority="662" operator="greaterThan">
      <formula>V26</formula>
    </cfRule>
    <cfRule type="cellIs" dxfId="5892" priority="663" operator="equal">
      <formula>0</formula>
    </cfRule>
  </conditionalFormatting>
  <conditionalFormatting sqref="V13">
    <cfRule type="cellIs" dxfId="5891" priority="660" operator="greaterThan">
      <formula>V12</formula>
    </cfRule>
    <cfRule type="cellIs" dxfId="5890" priority="661" operator="equal">
      <formula>0</formula>
    </cfRule>
  </conditionalFormatting>
  <conditionalFormatting sqref="V12">
    <cfRule type="cellIs" dxfId="5889" priority="658" operator="greaterThan">
      <formula>V11</formula>
    </cfRule>
    <cfRule type="cellIs" dxfId="5888" priority="659" operator="equal">
      <formula>0</formula>
    </cfRule>
  </conditionalFormatting>
  <conditionalFormatting sqref="V16">
    <cfRule type="cellIs" dxfId="5887" priority="656" operator="greaterThan">
      <formula>V15</formula>
    </cfRule>
    <cfRule type="cellIs" dxfId="5886" priority="657" operator="equal">
      <formula>0</formula>
    </cfRule>
  </conditionalFormatting>
  <conditionalFormatting sqref="V15">
    <cfRule type="cellIs" dxfId="5885" priority="654" operator="greaterThan">
      <formula>V14</formula>
    </cfRule>
    <cfRule type="cellIs" dxfId="5884" priority="655" operator="equal">
      <formula>0</formula>
    </cfRule>
  </conditionalFormatting>
  <conditionalFormatting sqref="V19">
    <cfRule type="cellIs" dxfId="5883" priority="652" operator="greaterThan">
      <formula>V18</formula>
    </cfRule>
    <cfRule type="cellIs" dxfId="5882" priority="653" operator="equal">
      <formula>0</formula>
    </cfRule>
  </conditionalFormatting>
  <conditionalFormatting sqref="V18">
    <cfRule type="cellIs" dxfId="5881" priority="650" operator="greaterThan">
      <formula>V17</formula>
    </cfRule>
    <cfRule type="cellIs" dxfId="5880" priority="651" operator="equal">
      <formula>0</formula>
    </cfRule>
  </conditionalFormatting>
  <conditionalFormatting sqref="V22 V24:V25">
    <cfRule type="cellIs" dxfId="5879" priority="648" operator="greaterThan">
      <formula>V21</formula>
    </cfRule>
    <cfRule type="cellIs" dxfId="5878" priority="649" operator="equal">
      <formula>0</formula>
    </cfRule>
  </conditionalFormatting>
  <conditionalFormatting sqref="V21">
    <cfRule type="cellIs" dxfId="5877" priority="646" operator="greaterThan">
      <formula>V20</formula>
    </cfRule>
    <cfRule type="cellIs" dxfId="5876" priority="647" operator="equal">
      <formula>0</formula>
    </cfRule>
  </conditionalFormatting>
  <conditionalFormatting sqref="V24">
    <cfRule type="cellIs" dxfId="5875" priority="644" operator="greaterThan">
      <formula>V23</formula>
    </cfRule>
    <cfRule type="cellIs" dxfId="5874" priority="645" operator="equal">
      <formula>0</formula>
    </cfRule>
  </conditionalFormatting>
  <conditionalFormatting sqref="V27:V28">
    <cfRule type="cellIs" dxfId="5873" priority="642" operator="greaterThan">
      <formula>V26</formula>
    </cfRule>
    <cfRule type="cellIs" dxfId="5872" priority="643" operator="equal">
      <formula>0</formula>
    </cfRule>
  </conditionalFormatting>
  <conditionalFormatting sqref="V27">
    <cfRule type="cellIs" dxfId="5871" priority="640" operator="greaterThan">
      <formula>V26</formula>
    </cfRule>
    <cfRule type="cellIs" dxfId="5870" priority="641" operator="equal">
      <formula>0</formula>
    </cfRule>
  </conditionalFormatting>
  <conditionalFormatting sqref="V16">
    <cfRule type="cellIs" dxfId="5869" priority="638" operator="greaterThan">
      <formula>V15</formula>
    </cfRule>
    <cfRule type="cellIs" dxfId="5868" priority="639" operator="equal">
      <formula>0</formula>
    </cfRule>
  </conditionalFormatting>
  <conditionalFormatting sqref="V15">
    <cfRule type="cellIs" dxfId="5867" priority="636" operator="greaterThan">
      <formula>V14</formula>
    </cfRule>
    <cfRule type="cellIs" dxfId="5866" priority="637" operator="equal">
      <formula>0</formula>
    </cfRule>
  </conditionalFormatting>
  <conditionalFormatting sqref="V19">
    <cfRule type="cellIs" dxfId="5865" priority="634" operator="greaterThan">
      <formula>V18</formula>
    </cfRule>
    <cfRule type="cellIs" dxfId="5864" priority="635" operator="equal">
      <formula>0</formula>
    </cfRule>
  </conditionalFormatting>
  <conditionalFormatting sqref="V18">
    <cfRule type="cellIs" dxfId="5863" priority="632" operator="greaterThan">
      <formula>V17</formula>
    </cfRule>
    <cfRule type="cellIs" dxfId="5862" priority="633" operator="equal">
      <formula>0</formula>
    </cfRule>
  </conditionalFormatting>
  <conditionalFormatting sqref="V22">
    <cfRule type="cellIs" dxfId="5861" priority="630" operator="greaterThan">
      <formula>V21</formula>
    </cfRule>
    <cfRule type="cellIs" dxfId="5860" priority="631" operator="equal">
      <formula>0</formula>
    </cfRule>
  </conditionalFormatting>
  <conditionalFormatting sqref="V21">
    <cfRule type="cellIs" dxfId="5859" priority="628" operator="greaterThan">
      <formula>V20</formula>
    </cfRule>
    <cfRule type="cellIs" dxfId="5858" priority="629" operator="equal">
      <formula>0</formula>
    </cfRule>
  </conditionalFormatting>
  <conditionalFormatting sqref="V25">
    <cfRule type="cellIs" dxfId="5857" priority="626" operator="greaterThan">
      <formula>V24</formula>
    </cfRule>
    <cfRule type="cellIs" dxfId="5856" priority="627" operator="equal">
      <formula>0</formula>
    </cfRule>
  </conditionalFormatting>
  <conditionalFormatting sqref="V24">
    <cfRule type="cellIs" dxfId="5855" priority="624" operator="greaterThan">
      <formula>V23</formula>
    </cfRule>
    <cfRule type="cellIs" dxfId="5854" priority="625" operator="equal">
      <formula>0</formula>
    </cfRule>
  </conditionalFormatting>
  <conditionalFormatting sqref="V28">
    <cfRule type="cellIs" dxfId="5853" priority="622" operator="greaterThan">
      <formula>V27</formula>
    </cfRule>
    <cfRule type="cellIs" dxfId="5852" priority="623" operator="equal">
      <formula>0</formula>
    </cfRule>
  </conditionalFormatting>
  <conditionalFormatting sqref="V27">
    <cfRule type="cellIs" dxfId="5851" priority="620" operator="greaterThan">
      <formula>V26</formula>
    </cfRule>
    <cfRule type="cellIs" dxfId="5850" priority="621" operator="equal">
      <formula>0</formula>
    </cfRule>
  </conditionalFormatting>
  <conditionalFormatting sqref="V30:V31 X30:X31">
    <cfRule type="cellIs" dxfId="5849" priority="619" operator="equal">
      <formula>0</formula>
    </cfRule>
  </conditionalFormatting>
  <conditionalFormatting sqref="V31">
    <cfRule type="cellIs" dxfId="5848" priority="617" operator="greaterThan">
      <formula>V30</formula>
    </cfRule>
    <cfRule type="cellIs" dxfId="5847" priority="618" operator="equal">
      <formula>0</formula>
    </cfRule>
  </conditionalFormatting>
  <conditionalFormatting sqref="V30">
    <cfRule type="cellIs" dxfId="5846" priority="615" operator="greaterThan">
      <formula>V29</formula>
    </cfRule>
    <cfRule type="cellIs" dxfId="5845" priority="616" operator="equal">
      <formula>0</formula>
    </cfRule>
  </conditionalFormatting>
  <conditionalFormatting sqref="V33:V34 X33:X34">
    <cfRule type="cellIs" dxfId="5844" priority="614" operator="equal">
      <formula>0</formula>
    </cfRule>
  </conditionalFormatting>
  <conditionalFormatting sqref="V34">
    <cfRule type="cellIs" dxfId="5843" priority="612" operator="greaterThan">
      <formula>V33</formula>
    </cfRule>
    <cfRule type="cellIs" dxfId="5842" priority="613" operator="equal">
      <formula>0</formula>
    </cfRule>
  </conditionalFormatting>
  <conditionalFormatting sqref="V33">
    <cfRule type="cellIs" dxfId="5841" priority="610" operator="greaterThan">
      <formula>V32</formula>
    </cfRule>
    <cfRule type="cellIs" dxfId="5840" priority="611" operator="equal">
      <formula>0</formula>
    </cfRule>
  </conditionalFormatting>
  <conditionalFormatting sqref="V36:V37 X36:X37">
    <cfRule type="cellIs" dxfId="5839" priority="609" operator="equal">
      <formula>0</formula>
    </cfRule>
  </conditionalFormatting>
  <conditionalFormatting sqref="V37">
    <cfRule type="cellIs" dxfId="5838" priority="607" operator="greaterThan">
      <formula>V36</formula>
    </cfRule>
    <cfRule type="cellIs" dxfId="5837" priority="608" operator="equal">
      <formula>0</formula>
    </cfRule>
  </conditionalFormatting>
  <conditionalFormatting sqref="V36">
    <cfRule type="cellIs" dxfId="5836" priority="605" operator="greaterThan">
      <formula>V35</formula>
    </cfRule>
    <cfRule type="cellIs" dxfId="5835" priority="606" operator="equal">
      <formula>0</formula>
    </cfRule>
  </conditionalFormatting>
  <conditionalFormatting sqref="V16">
    <cfRule type="cellIs" dxfId="5834" priority="603" operator="greaterThan">
      <formula>V15</formula>
    </cfRule>
    <cfRule type="cellIs" dxfId="5833" priority="604" operator="equal">
      <formula>0</formula>
    </cfRule>
  </conditionalFormatting>
  <conditionalFormatting sqref="V15">
    <cfRule type="cellIs" dxfId="5832" priority="601" operator="greaterThan">
      <formula>V14</formula>
    </cfRule>
    <cfRule type="cellIs" dxfId="5831" priority="602" operator="equal">
      <formula>0</formula>
    </cfRule>
  </conditionalFormatting>
  <conditionalFormatting sqref="V16">
    <cfRule type="cellIs" dxfId="5830" priority="599" operator="greaterThan">
      <formula>V15</formula>
    </cfRule>
    <cfRule type="cellIs" dxfId="5829" priority="600" operator="equal">
      <formula>0</formula>
    </cfRule>
  </conditionalFormatting>
  <conditionalFormatting sqref="V15">
    <cfRule type="cellIs" dxfId="5828" priority="597" operator="greaterThan">
      <formula>V14</formula>
    </cfRule>
    <cfRule type="cellIs" dxfId="5827" priority="598" operator="equal">
      <formula>0</formula>
    </cfRule>
  </conditionalFormatting>
  <conditionalFormatting sqref="V19">
    <cfRule type="cellIs" dxfId="5826" priority="595" operator="greaterThan">
      <formula>V18</formula>
    </cfRule>
    <cfRule type="cellIs" dxfId="5825" priority="596" operator="equal">
      <formula>0</formula>
    </cfRule>
  </conditionalFormatting>
  <conditionalFormatting sqref="V18">
    <cfRule type="cellIs" dxfId="5824" priority="593" operator="greaterThan">
      <formula>V17</formula>
    </cfRule>
    <cfRule type="cellIs" dxfId="5823" priority="594" operator="equal">
      <formula>0</formula>
    </cfRule>
  </conditionalFormatting>
  <conditionalFormatting sqref="V19">
    <cfRule type="cellIs" dxfId="5822" priority="591" operator="greaterThan">
      <formula>V18</formula>
    </cfRule>
    <cfRule type="cellIs" dxfId="5821" priority="592" operator="equal">
      <formula>0</formula>
    </cfRule>
  </conditionalFormatting>
  <conditionalFormatting sqref="V18">
    <cfRule type="cellIs" dxfId="5820" priority="589" operator="greaterThan">
      <formula>V17</formula>
    </cfRule>
    <cfRule type="cellIs" dxfId="5819" priority="590" operator="equal">
      <formula>0</formula>
    </cfRule>
  </conditionalFormatting>
  <conditionalFormatting sqref="V19">
    <cfRule type="cellIs" dxfId="5818" priority="587" operator="greaterThan">
      <formula>V18</formula>
    </cfRule>
    <cfRule type="cellIs" dxfId="5817" priority="588" operator="equal">
      <formula>0</formula>
    </cfRule>
  </conditionalFormatting>
  <conditionalFormatting sqref="V18">
    <cfRule type="cellIs" dxfId="5816" priority="585" operator="greaterThan">
      <formula>V17</formula>
    </cfRule>
    <cfRule type="cellIs" dxfId="5815" priority="586" operator="equal">
      <formula>0</formula>
    </cfRule>
  </conditionalFormatting>
  <conditionalFormatting sqref="V19">
    <cfRule type="cellIs" dxfId="5814" priority="583" operator="greaterThan">
      <formula>V18</formula>
    </cfRule>
    <cfRule type="cellIs" dxfId="5813" priority="584" operator="equal">
      <formula>0</formula>
    </cfRule>
  </conditionalFormatting>
  <conditionalFormatting sqref="V18">
    <cfRule type="cellIs" dxfId="5812" priority="581" operator="greaterThan">
      <formula>V17</formula>
    </cfRule>
    <cfRule type="cellIs" dxfId="5811" priority="582" operator="equal">
      <formula>0</formula>
    </cfRule>
  </conditionalFormatting>
  <conditionalFormatting sqref="V22">
    <cfRule type="cellIs" dxfId="5810" priority="579" operator="greaterThan">
      <formula>V21</formula>
    </cfRule>
    <cfRule type="cellIs" dxfId="5809" priority="580" operator="equal">
      <formula>0</formula>
    </cfRule>
  </conditionalFormatting>
  <conditionalFormatting sqref="V21">
    <cfRule type="cellIs" dxfId="5808" priority="577" operator="greaterThan">
      <formula>V20</formula>
    </cfRule>
    <cfRule type="cellIs" dxfId="5807" priority="578" operator="equal">
      <formula>0</formula>
    </cfRule>
  </conditionalFormatting>
  <conditionalFormatting sqref="V22">
    <cfRule type="cellIs" dxfId="5806" priority="575" operator="greaterThan">
      <formula>V21</formula>
    </cfRule>
    <cfRule type="cellIs" dxfId="5805" priority="576" operator="equal">
      <formula>0</formula>
    </cfRule>
  </conditionalFormatting>
  <conditionalFormatting sqref="V21">
    <cfRule type="cellIs" dxfId="5804" priority="573" operator="greaterThan">
      <formula>V20</formula>
    </cfRule>
    <cfRule type="cellIs" dxfId="5803" priority="574" operator="equal">
      <formula>0</formula>
    </cfRule>
  </conditionalFormatting>
  <conditionalFormatting sqref="V22">
    <cfRule type="cellIs" dxfId="5802" priority="571" operator="greaterThan">
      <formula>V21</formula>
    </cfRule>
    <cfRule type="cellIs" dxfId="5801" priority="572" operator="equal">
      <formula>0</formula>
    </cfRule>
  </conditionalFormatting>
  <conditionalFormatting sqref="V21">
    <cfRule type="cellIs" dxfId="5800" priority="569" operator="greaterThan">
      <formula>V20</formula>
    </cfRule>
    <cfRule type="cellIs" dxfId="5799" priority="570" operator="equal">
      <formula>0</formula>
    </cfRule>
  </conditionalFormatting>
  <conditionalFormatting sqref="V22">
    <cfRule type="cellIs" dxfId="5798" priority="567" operator="greaterThan">
      <formula>V21</formula>
    </cfRule>
    <cfRule type="cellIs" dxfId="5797" priority="568" operator="equal">
      <formula>0</formula>
    </cfRule>
  </conditionalFormatting>
  <conditionalFormatting sqref="V21">
    <cfRule type="cellIs" dxfId="5796" priority="565" operator="greaterThan">
      <formula>V20</formula>
    </cfRule>
    <cfRule type="cellIs" dxfId="5795" priority="566" operator="equal">
      <formula>0</formula>
    </cfRule>
  </conditionalFormatting>
  <conditionalFormatting sqref="V22">
    <cfRule type="cellIs" dxfId="5794" priority="563" operator="greaterThan">
      <formula>V21</formula>
    </cfRule>
    <cfRule type="cellIs" dxfId="5793" priority="564" operator="equal">
      <formula>0</formula>
    </cfRule>
  </conditionalFormatting>
  <conditionalFormatting sqref="V21">
    <cfRule type="cellIs" dxfId="5792" priority="561" operator="greaterThan">
      <formula>V20</formula>
    </cfRule>
    <cfRule type="cellIs" dxfId="5791" priority="562" operator="equal">
      <formula>0</formula>
    </cfRule>
  </conditionalFormatting>
  <conditionalFormatting sqref="V22">
    <cfRule type="cellIs" dxfId="5790" priority="559" operator="greaterThan">
      <formula>V21</formula>
    </cfRule>
    <cfRule type="cellIs" dxfId="5789" priority="560" operator="equal">
      <formula>0</formula>
    </cfRule>
  </conditionalFormatting>
  <conditionalFormatting sqref="V21">
    <cfRule type="cellIs" dxfId="5788" priority="557" operator="greaterThan">
      <formula>V20</formula>
    </cfRule>
    <cfRule type="cellIs" dxfId="5787" priority="558" operator="equal">
      <formula>0</formula>
    </cfRule>
  </conditionalFormatting>
  <conditionalFormatting sqref="V24">
    <cfRule type="cellIs" dxfId="5786" priority="555" operator="greaterThan">
      <formula>V23</formula>
    </cfRule>
    <cfRule type="cellIs" dxfId="5785" priority="556" operator="equal">
      <formula>0</formula>
    </cfRule>
  </conditionalFormatting>
  <conditionalFormatting sqref="V25">
    <cfRule type="cellIs" dxfId="5784" priority="553" operator="greaterThan">
      <formula>V24</formula>
    </cfRule>
    <cfRule type="cellIs" dxfId="5783" priority="554" operator="equal">
      <formula>0</formula>
    </cfRule>
  </conditionalFormatting>
  <conditionalFormatting sqref="V24">
    <cfRule type="cellIs" dxfId="5782" priority="551" operator="greaterThan">
      <formula>V23</formula>
    </cfRule>
    <cfRule type="cellIs" dxfId="5781" priority="552" operator="equal">
      <formula>0</formula>
    </cfRule>
  </conditionalFormatting>
  <conditionalFormatting sqref="V25">
    <cfRule type="cellIs" dxfId="5780" priority="549" operator="greaterThan">
      <formula>V24</formula>
    </cfRule>
    <cfRule type="cellIs" dxfId="5779" priority="550" operator="equal">
      <formula>0</formula>
    </cfRule>
  </conditionalFormatting>
  <conditionalFormatting sqref="V24">
    <cfRule type="cellIs" dxfId="5778" priority="547" operator="greaterThan">
      <formula>V23</formula>
    </cfRule>
    <cfRule type="cellIs" dxfId="5777" priority="548" operator="equal">
      <formula>0</formula>
    </cfRule>
  </conditionalFormatting>
  <conditionalFormatting sqref="V25">
    <cfRule type="cellIs" dxfId="5776" priority="545" operator="greaterThan">
      <formula>V24</formula>
    </cfRule>
    <cfRule type="cellIs" dxfId="5775" priority="546" operator="equal">
      <formula>0</formula>
    </cfRule>
  </conditionalFormatting>
  <conditionalFormatting sqref="V24">
    <cfRule type="cellIs" dxfId="5774" priority="543" operator="greaterThan">
      <formula>V23</formula>
    </cfRule>
    <cfRule type="cellIs" dxfId="5773" priority="544" operator="equal">
      <formula>0</formula>
    </cfRule>
  </conditionalFormatting>
  <conditionalFormatting sqref="V25">
    <cfRule type="cellIs" dxfId="5772" priority="541" operator="greaterThan">
      <formula>V24</formula>
    </cfRule>
    <cfRule type="cellIs" dxfId="5771" priority="542" operator="equal">
      <formula>0</formula>
    </cfRule>
  </conditionalFormatting>
  <conditionalFormatting sqref="V24">
    <cfRule type="cellIs" dxfId="5770" priority="539" operator="greaterThan">
      <formula>V23</formula>
    </cfRule>
    <cfRule type="cellIs" dxfId="5769" priority="540" operator="equal">
      <formula>0</formula>
    </cfRule>
  </conditionalFormatting>
  <conditionalFormatting sqref="V25">
    <cfRule type="cellIs" dxfId="5768" priority="537" operator="greaterThan">
      <formula>V24</formula>
    </cfRule>
    <cfRule type="cellIs" dxfId="5767" priority="538" operator="equal">
      <formula>0</formula>
    </cfRule>
  </conditionalFormatting>
  <conditionalFormatting sqref="V24">
    <cfRule type="cellIs" dxfId="5766" priority="535" operator="greaterThan">
      <formula>V23</formula>
    </cfRule>
    <cfRule type="cellIs" dxfId="5765" priority="536" operator="equal">
      <formula>0</formula>
    </cfRule>
  </conditionalFormatting>
  <conditionalFormatting sqref="V25">
    <cfRule type="cellIs" dxfId="5764" priority="533" operator="greaterThan">
      <formula>V24</formula>
    </cfRule>
    <cfRule type="cellIs" dxfId="5763" priority="534" operator="equal">
      <formula>0</formula>
    </cfRule>
  </conditionalFormatting>
  <conditionalFormatting sqref="V24">
    <cfRule type="cellIs" dxfId="5762" priority="531" operator="greaterThan">
      <formula>V23</formula>
    </cfRule>
    <cfRule type="cellIs" dxfId="5761" priority="532" operator="equal">
      <formula>0</formula>
    </cfRule>
  </conditionalFormatting>
  <conditionalFormatting sqref="V25">
    <cfRule type="cellIs" dxfId="5760" priority="529" operator="greaterThan">
      <formula>V24</formula>
    </cfRule>
    <cfRule type="cellIs" dxfId="5759" priority="530" operator="equal">
      <formula>0</formula>
    </cfRule>
  </conditionalFormatting>
  <conditionalFormatting sqref="V24">
    <cfRule type="cellIs" dxfId="5758" priority="527" operator="greaterThan">
      <formula>V23</formula>
    </cfRule>
    <cfRule type="cellIs" dxfId="5757" priority="528" operator="equal">
      <formula>0</formula>
    </cfRule>
  </conditionalFormatting>
  <conditionalFormatting sqref="V27:V28">
    <cfRule type="cellIs" dxfId="5756" priority="525" operator="greaterThan">
      <formula>V26</formula>
    </cfRule>
    <cfRule type="cellIs" dxfId="5755" priority="526" operator="equal">
      <formula>0</formula>
    </cfRule>
  </conditionalFormatting>
  <conditionalFormatting sqref="V27">
    <cfRule type="cellIs" dxfId="5754" priority="523" operator="greaterThan">
      <formula>V26</formula>
    </cfRule>
    <cfRule type="cellIs" dxfId="5753" priority="524" operator="equal">
      <formula>0</formula>
    </cfRule>
  </conditionalFormatting>
  <conditionalFormatting sqref="V28">
    <cfRule type="cellIs" dxfId="5752" priority="521" operator="greaterThan">
      <formula>V27</formula>
    </cfRule>
    <cfRule type="cellIs" dxfId="5751" priority="522" operator="equal">
      <formula>0</formula>
    </cfRule>
  </conditionalFormatting>
  <conditionalFormatting sqref="V27">
    <cfRule type="cellIs" dxfId="5750" priority="519" operator="greaterThan">
      <formula>V26</formula>
    </cfRule>
    <cfRule type="cellIs" dxfId="5749" priority="520" operator="equal">
      <formula>0</formula>
    </cfRule>
  </conditionalFormatting>
  <conditionalFormatting sqref="V27">
    <cfRule type="cellIs" dxfId="5748" priority="517" operator="greaterThan">
      <formula>V26</formula>
    </cfRule>
    <cfRule type="cellIs" dxfId="5747" priority="518" operator="equal">
      <formula>0</formula>
    </cfRule>
  </conditionalFormatting>
  <conditionalFormatting sqref="V28">
    <cfRule type="cellIs" dxfId="5746" priority="515" operator="greaterThan">
      <formula>V27</formula>
    </cfRule>
    <cfRule type="cellIs" dxfId="5745" priority="516" operator="equal">
      <formula>0</formula>
    </cfRule>
  </conditionalFormatting>
  <conditionalFormatting sqref="V27">
    <cfRule type="cellIs" dxfId="5744" priority="513" operator="greaterThan">
      <formula>V26</formula>
    </cfRule>
    <cfRule type="cellIs" dxfId="5743" priority="514" operator="equal">
      <formula>0</formula>
    </cfRule>
  </conditionalFormatting>
  <conditionalFormatting sqref="V28">
    <cfRule type="cellIs" dxfId="5742" priority="511" operator="greaterThan">
      <formula>V27</formula>
    </cfRule>
    <cfRule type="cellIs" dxfId="5741" priority="512" operator="equal">
      <formula>0</formula>
    </cfRule>
  </conditionalFormatting>
  <conditionalFormatting sqref="V27">
    <cfRule type="cellIs" dxfId="5740" priority="509" operator="greaterThan">
      <formula>V26</formula>
    </cfRule>
    <cfRule type="cellIs" dxfId="5739" priority="510" operator="equal">
      <formula>0</formula>
    </cfRule>
  </conditionalFormatting>
  <conditionalFormatting sqref="V28">
    <cfRule type="cellIs" dxfId="5738" priority="507" operator="greaterThan">
      <formula>V27</formula>
    </cfRule>
    <cfRule type="cellIs" dxfId="5737" priority="508" operator="equal">
      <formula>0</formula>
    </cfRule>
  </conditionalFormatting>
  <conditionalFormatting sqref="V27">
    <cfRule type="cellIs" dxfId="5736" priority="505" operator="greaterThan">
      <formula>V26</formula>
    </cfRule>
    <cfRule type="cellIs" dxfId="5735" priority="506" operator="equal">
      <formula>0</formula>
    </cfRule>
  </conditionalFormatting>
  <conditionalFormatting sqref="V28">
    <cfRule type="cellIs" dxfId="5734" priority="503" operator="greaterThan">
      <formula>V27</formula>
    </cfRule>
    <cfRule type="cellIs" dxfId="5733" priority="504" operator="equal">
      <formula>0</formula>
    </cfRule>
  </conditionalFormatting>
  <conditionalFormatting sqref="V27">
    <cfRule type="cellIs" dxfId="5732" priority="501" operator="greaterThan">
      <formula>V26</formula>
    </cfRule>
    <cfRule type="cellIs" dxfId="5731" priority="502" operator="equal">
      <formula>0</formula>
    </cfRule>
  </conditionalFormatting>
  <conditionalFormatting sqref="V28">
    <cfRule type="cellIs" dxfId="5730" priority="499" operator="greaterThan">
      <formula>V27</formula>
    </cfRule>
    <cfRule type="cellIs" dxfId="5729" priority="500" operator="equal">
      <formula>0</formula>
    </cfRule>
  </conditionalFormatting>
  <conditionalFormatting sqref="V27">
    <cfRule type="cellIs" dxfId="5728" priority="497" operator="greaterThan">
      <formula>V26</formula>
    </cfRule>
    <cfRule type="cellIs" dxfId="5727" priority="498" operator="equal">
      <formula>0</formula>
    </cfRule>
  </conditionalFormatting>
  <conditionalFormatting sqref="V28">
    <cfRule type="cellIs" dxfId="5726" priority="495" operator="greaterThan">
      <formula>V27</formula>
    </cfRule>
    <cfRule type="cellIs" dxfId="5725" priority="496" operator="equal">
      <formula>0</formula>
    </cfRule>
  </conditionalFormatting>
  <conditionalFormatting sqref="V27">
    <cfRule type="cellIs" dxfId="5724" priority="493" operator="greaterThan">
      <formula>V26</formula>
    </cfRule>
    <cfRule type="cellIs" dxfId="5723" priority="494" operator="equal">
      <formula>0</formula>
    </cfRule>
  </conditionalFormatting>
  <conditionalFormatting sqref="V28">
    <cfRule type="cellIs" dxfId="5722" priority="491" operator="greaterThan">
      <formula>V27</formula>
    </cfRule>
    <cfRule type="cellIs" dxfId="5721" priority="492" operator="equal">
      <formula>0</formula>
    </cfRule>
  </conditionalFormatting>
  <conditionalFormatting sqref="V27">
    <cfRule type="cellIs" dxfId="5720" priority="489" operator="greaterThan">
      <formula>V26</formula>
    </cfRule>
    <cfRule type="cellIs" dxfId="5719" priority="490" operator="equal">
      <formula>0</formula>
    </cfRule>
  </conditionalFormatting>
  <conditionalFormatting sqref="V19">
    <cfRule type="cellIs" dxfId="5718" priority="487" operator="greaterThan">
      <formula>V18</formula>
    </cfRule>
    <cfRule type="cellIs" dxfId="5717" priority="488" operator="equal">
      <formula>0</formula>
    </cfRule>
  </conditionalFormatting>
  <conditionalFormatting sqref="V18">
    <cfRule type="cellIs" dxfId="5716" priority="485" operator="greaterThan">
      <formula>V17</formula>
    </cfRule>
    <cfRule type="cellIs" dxfId="5715" priority="486" operator="equal">
      <formula>0</formula>
    </cfRule>
  </conditionalFormatting>
  <conditionalFormatting sqref="V19">
    <cfRule type="cellIs" dxfId="5714" priority="483" operator="greaterThan">
      <formula>V18</formula>
    </cfRule>
    <cfRule type="cellIs" dxfId="5713" priority="484" operator="equal">
      <formula>0</formula>
    </cfRule>
  </conditionalFormatting>
  <conditionalFormatting sqref="V18">
    <cfRule type="cellIs" dxfId="5712" priority="481" operator="greaterThan">
      <formula>V17</formula>
    </cfRule>
    <cfRule type="cellIs" dxfId="5711" priority="482" operator="equal">
      <formula>0</formula>
    </cfRule>
  </conditionalFormatting>
  <conditionalFormatting sqref="V19">
    <cfRule type="cellIs" dxfId="5710" priority="479" operator="greaterThan">
      <formula>V18</formula>
    </cfRule>
    <cfRule type="cellIs" dxfId="5709" priority="480" operator="equal">
      <formula>0</formula>
    </cfRule>
  </conditionalFormatting>
  <conditionalFormatting sqref="V18">
    <cfRule type="cellIs" dxfId="5708" priority="477" operator="greaterThan">
      <formula>V17</formula>
    </cfRule>
    <cfRule type="cellIs" dxfId="5707" priority="478" operator="equal">
      <formula>0</formula>
    </cfRule>
  </conditionalFormatting>
  <conditionalFormatting sqref="V19">
    <cfRule type="cellIs" dxfId="5706" priority="475" operator="greaterThan">
      <formula>V18</formula>
    </cfRule>
    <cfRule type="cellIs" dxfId="5705" priority="476" operator="equal">
      <formula>0</formula>
    </cfRule>
  </conditionalFormatting>
  <conditionalFormatting sqref="V18">
    <cfRule type="cellIs" dxfId="5704" priority="473" operator="greaterThan">
      <formula>V17</formula>
    </cfRule>
    <cfRule type="cellIs" dxfId="5703" priority="474" operator="equal">
      <formula>0</formula>
    </cfRule>
  </conditionalFormatting>
  <conditionalFormatting sqref="V16">
    <cfRule type="cellIs" dxfId="5702" priority="471" operator="greaterThan">
      <formula>V15</formula>
    </cfRule>
    <cfRule type="cellIs" dxfId="5701" priority="472" operator="equal">
      <formula>0</formula>
    </cfRule>
  </conditionalFormatting>
  <conditionalFormatting sqref="V16">
    <cfRule type="cellIs" dxfId="5700" priority="469" operator="greaterThan">
      <formula>V15</formula>
    </cfRule>
    <cfRule type="cellIs" dxfId="5699" priority="470" operator="equal">
      <formula>0</formula>
    </cfRule>
  </conditionalFormatting>
  <conditionalFormatting sqref="V16">
    <cfRule type="cellIs" dxfId="5698" priority="467" operator="greaterThan">
      <formula>V15</formula>
    </cfRule>
    <cfRule type="cellIs" dxfId="5697" priority="468" operator="equal">
      <formula>0</formula>
    </cfRule>
  </conditionalFormatting>
  <conditionalFormatting sqref="V16">
    <cfRule type="cellIs" dxfId="5696" priority="465" operator="greaterThan">
      <formula>V15</formula>
    </cfRule>
    <cfRule type="cellIs" dxfId="5695" priority="466" operator="equal">
      <formula>0</formula>
    </cfRule>
  </conditionalFormatting>
  <conditionalFormatting sqref="V19">
    <cfRule type="cellIs" dxfId="5694" priority="463" operator="greaterThan">
      <formula>V18</formula>
    </cfRule>
    <cfRule type="cellIs" dxfId="5693" priority="464" operator="equal">
      <formula>0</formula>
    </cfRule>
  </conditionalFormatting>
  <conditionalFormatting sqref="V19">
    <cfRule type="cellIs" dxfId="5692" priority="461" operator="greaterThan">
      <formula>V18</formula>
    </cfRule>
    <cfRule type="cellIs" dxfId="5691" priority="462" operator="equal">
      <formula>0</formula>
    </cfRule>
  </conditionalFormatting>
  <conditionalFormatting sqref="V19">
    <cfRule type="cellIs" dxfId="5690" priority="459" operator="greaterThan">
      <formula>V18</formula>
    </cfRule>
    <cfRule type="cellIs" dxfId="5689" priority="460" operator="equal">
      <formula>0</formula>
    </cfRule>
  </conditionalFormatting>
  <conditionalFormatting sqref="V19">
    <cfRule type="cellIs" dxfId="5688" priority="457" operator="greaterThan">
      <formula>V18</formula>
    </cfRule>
    <cfRule type="cellIs" dxfId="5687" priority="458" operator="equal">
      <formula>0</formula>
    </cfRule>
  </conditionalFormatting>
  <conditionalFormatting sqref="V19">
    <cfRule type="cellIs" dxfId="5686" priority="455" operator="greaterThan">
      <formula>V18</formula>
    </cfRule>
    <cfRule type="cellIs" dxfId="5685" priority="456" operator="equal">
      <formula>0</formula>
    </cfRule>
  </conditionalFormatting>
  <conditionalFormatting sqref="V19">
    <cfRule type="cellIs" dxfId="5684" priority="453" operator="greaterThan">
      <formula>V18</formula>
    </cfRule>
    <cfRule type="cellIs" dxfId="5683" priority="454" operator="equal">
      <formula>0</formula>
    </cfRule>
  </conditionalFormatting>
  <conditionalFormatting sqref="V19">
    <cfRule type="cellIs" dxfId="5682" priority="451" operator="greaterThan">
      <formula>V18</formula>
    </cfRule>
    <cfRule type="cellIs" dxfId="5681" priority="452" operator="equal">
      <formula>0</formula>
    </cfRule>
  </conditionalFormatting>
  <conditionalFormatting sqref="V19">
    <cfRule type="cellIs" dxfId="5680" priority="449" operator="greaterThan">
      <formula>V18</formula>
    </cfRule>
    <cfRule type="cellIs" dxfId="5679" priority="450" operator="equal">
      <formula>0</formula>
    </cfRule>
  </conditionalFormatting>
  <conditionalFormatting sqref="V19">
    <cfRule type="cellIs" dxfId="5678" priority="447" operator="greaterThan">
      <formula>V18</formula>
    </cfRule>
    <cfRule type="cellIs" dxfId="5677" priority="448" operator="equal">
      <formula>0</formula>
    </cfRule>
  </conditionalFormatting>
  <conditionalFormatting sqref="V19">
    <cfRule type="cellIs" dxfId="5676" priority="445" operator="greaterThan">
      <formula>V18</formula>
    </cfRule>
    <cfRule type="cellIs" dxfId="5675" priority="446" operator="equal">
      <formula>0</formula>
    </cfRule>
  </conditionalFormatting>
  <conditionalFormatting sqref="V22">
    <cfRule type="cellIs" dxfId="5674" priority="443" operator="greaterThan">
      <formula>V21</formula>
    </cfRule>
    <cfRule type="cellIs" dxfId="5673" priority="444" operator="equal">
      <formula>0</formula>
    </cfRule>
  </conditionalFormatting>
  <conditionalFormatting sqref="V21">
    <cfRule type="cellIs" dxfId="5672" priority="441" operator="greaterThan">
      <formula>V20</formula>
    </cfRule>
    <cfRule type="cellIs" dxfId="5671" priority="442" operator="equal">
      <formula>0</formula>
    </cfRule>
  </conditionalFormatting>
  <conditionalFormatting sqref="V22">
    <cfRule type="cellIs" dxfId="5670" priority="439" operator="greaterThan">
      <formula>V21</formula>
    </cfRule>
    <cfRule type="cellIs" dxfId="5669" priority="440" operator="equal">
      <formula>0</formula>
    </cfRule>
  </conditionalFormatting>
  <conditionalFormatting sqref="V21">
    <cfRule type="cellIs" dxfId="5668" priority="437" operator="greaterThan">
      <formula>V20</formula>
    </cfRule>
    <cfRule type="cellIs" dxfId="5667" priority="438" operator="equal">
      <formula>0</formula>
    </cfRule>
  </conditionalFormatting>
  <conditionalFormatting sqref="V22">
    <cfRule type="cellIs" dxfId="5666" priority="435" operator="greaterThan">
      <formula>V21</formula>
    </cfRule>
    <cfRule type="cellIs" dxfId="5665" priority="436" operator="equal">
      <formula>0</formula>
    </cfRule>
  </conditionalFormatting>
  <conditionalFormatting sqref="V21">
    <cfRule type="cellIs" dxfId="5664" priority="433" operator="greaterThan">
      <formula>V20</formula>
    </cfRule>
    <cfRule type="cellIs" dxfId="5663" priority="434" operator="equal">
      <formula>0</formula>
    </cfRule>
  </conditionalFormatting>
  <conditionalFormatting sqref="V22">
    <cfRule type="cellIs" dxfId="5662" priority="431" operator="greaterThan">
      <formula>V21</formula>
    </cfRule>
    <cfRule type="cellIs" dxfId="5661" priority="432" operator="equal">
      <formula>0</formula>
    </cfRule>
  </conditionalFormatting>
  <conditionalFormatting sqref="V21">
    <cfRule type="cellIs" dxfId="5660" priority="429" operator="greaterThan">
      <formula>V20</formula>
    </cfRule>
    <cfRule type="cellIs" dxfId="5659" priority="430" operator="equal">
      <formula>0</formula>
    </cfRule>
  </conditionalFormatting>
  <conditionalFormatting sqref="V22">
    <cfRule type="cellIs" dxfId="5658" priority="427" operator="greaterThan">
      <formula>V21</formula>
    </cfRule>
    <cfRule type="cellIs" dxfId="5657" priority="428" operator="equal">
      <formula>0</formula>
    </cfRule>
  </conditionalFormatting>
  <conditionalFormatting sqref="V21">
    <cfRule type="cellIs" dxfId="5656" priority="425" operator="greaterThan">
      <formula>V20</formula>
    </cfRule>
    <cfRule type="cellIs" dxfId="5655" priority="426" operator="equal">
      <formula>0</formula>
    </cfRule>
  </conditionalFormatting>
  <conditionalFormatting sqref="V22">
    <cfRule type="cellIs" dxfId="5654" priority="423" operator="greaterThan">
      <formula>V21</formula>
    </cfRule>
    <cfRule type="cellIs" dxfId="5653" priority="424" operator="equal">
      <formula>0</formula>
    </cfRule>
  </conditionalFormatting>
  <conditionalFormatting sqref="V21">
    <cfRule type="cellIs" dxfId="5652" priority="421" operator="greaterThan">
      <formula>V20</formula>
    </cfRule>
    <cfRule type="cellIs" dxfId="5651" priority="422" operator="equal">
      <formula>0</formula>
    </cfRule>
  </conditionalFormatting>
  <conditionalFormatting sqref="V22">
    <cfRule type="cellIs" dxfId="5650" priority="419" operator="greaterThan">
      <formula>V21</formula>
    </cfRule>
    <cfRule type="cellIs" dxfId="5649" priority="420" operator="equal">
      <formula>0</formula>
    </cfRule>
  </conditionalFormatting>
  <conditionalFormatting sqref="V21">
    <cfRule type="cellIs" dxfId="5648" priority="417" operator="greaterThan">
      <formula>V20</formula>
    </cfRule>
    <cfRule type="cellIs" dxfId="5647" priority="418" operator="equal">
      <formula>0</formula>
    </cfRule>
  </conditionalFormatting>
  <conditionalFormatting sqref="V22">
    <cfRule type="cellIs" dxfId="5646" priority="415" operator="greaterThan">
      <formula>V21</formula>
    </cfRule>
    <cfRule type="cellIs" dxfId="5645" priority="416" operator="equal">
      <formula>0</formula>
    </cfRule>
  </conditionalFormatting>
  <conditionalFormatting sqref="V21">
    <cfRule type="cellIs" dxfId="5644" priority="413" operator="greaterThan">
      <formula>V20</formula>
    </cfRule>
    <cfRule type="cellIs" dxfId="5643" priority="414" operator="equal">
      <formula>0</formula>
    </cfRule>
  </conditionalFormatting>
  <conditionalFormatting sqref="V22">
    <cfRule type="cellIs" dxfId="5642" priority="411" operator="greaterThan">
      <formula>V21</formula>
    </cfRule>
    <cfRule type="cellIs" dxfId="5641" priority="412" operator="equal">
      <formula>0</formula>
    </cfRule>
  </conditionalFormatting>
  <conditionalFormatting sqref="V21">
    <cfRule type="cellIs" dxfId="5640" priority="409" operator="greaterThan">
      <formula>V20</formula>
    </cfRule>
    <cfRule type="cellIs" dxfId="5639" priority="410" operator="equal">
      <formula>0</formula>
    </cfRule>
  </conditionalFormatting>
  <conditionalFormatting sqref="V22">
    <cfRule type="cellIs" dxfId="5638" priority="407" operator="greaterThan">
      <formula>V21</formula>
    </cfRule>
    <cfRule type="cellIs" dxfId="5637" priority="408" operator="equal">
      <formula>0</formula>
    </cfRule>
  </conditionalFormatting>
  <conditionalFormatting sqref="V21">
    <cfRule type="cellIs" dxfId="5636" priority="405" operator="greaterThan">
      <formula>V20</formula>
    </cfRule>
    <cfRule type="cellIs" dxfId="5635" priority="406" operator="equal">
      <formula>0</formula>
    </cfRule>
  </conditionalFormatting>
  <conditionalFormatting sqref="V22">
    <cfRule type="cellIs" dxfId="5634" priority="403" operator="greaterThan">
      <formula>V21</formula>
    </cfRule>
    <cfRule type="cellIs" dxfId="5633" priority="404" operator="equal">
      <formula>0</formula>
    </cfRule>
  </conditionalFormatting>
  <conditionalFormatting sqref="V22">
    <cfRule type="cellIs" dxfId="5632" priority="401" operator="greaterThan">
      <formula>V21</formula>
    </cfRule>
    <cfRule type="cellIs" dxfId="5631" priority="402" operator="equal">
      <formula>0</formula>
    </cfRule>
  </conditionalFormatting>
  <conditionalFormatting sqref="V22">
    <cfRule type="cellIs" dxfId="5630" priority="399" operator="greaterThan">
      <formula>V21</formula>
    </cfRule>
    <cfRule type="cellIs" dxfId="5629" priority="400" operator="equal">
      <formula>0</formula>
    </cfRule>
  </conditionalFormatting>
  <conditionalFormatting sqref="V22">
    <cfRule type="cellIs" dxfId="5628" priority="397" operator="greaterThan">
      <formula>V21</formula>
    </cfRule>
    <cfRule type="cellIs" dxfId="5627" priority="398" operator="equal">
      <formula>0</formula>
    </cfRule>
  </conditionalFormatting>
  <conditionalFormatting sqref="V22">
    <cfRule type="cellIs" dxfId="5626" priority="395" operator="greaterThan">
      <formula>V21</formula>
    </cfRule>
    <cfRule type="cellIs" dxfId="5625" priority="396" operator="equal">
      <formula>0</formula>
    </cfRule>
  </conditionalFormatting>
  <conditionalFormatting sqref="V22">
    <cfRule type="cellIs" dxfId="5624" priority="393" operator="greaterThan">
      <formula>V21</formula>
    </cfRule>
    <cfRule type="cellIs" dxfId="5623" priority="394" operator="equal">
      <formula>0</formula>
    </cfRule>
  </conditionalFormatting>
  <conditionalFormatting sqref="V22">
    <cfRule type="cellIs" dxfId="5622" priority="391" operator="greaterThan">
      <formula>V21</formula>
    </cfRule>
    <cfRule type="cellIs" dxfId="5621" priority="392" operator="equal">
      <formula>0</formula>
    </cfRule>
  </conditionalFormatting>
  <conditionalFormatting sqref="V22">
    <cfRule type="cellIs" dxfId="5620" priority="389" operator="greaterThan">
      <formula>V21</formula>
    </cfRule>
    <cfRule type="cellIs" dxfId="5619" priority="390" operator="equal">
      <formula>0</formula>
    </cfRule>
  </conditionalFormatting>
  <conditionalFormatting sqref="V22">
    <cfRule type="cellIs" dxfId="5618" priority="387" operator="greaterThan">
      <formula>V21</formula>
    </cfRule>
    <cfRule type="cellIs" dxfId="5617" priority="388" operator="equal">
      <formula>0</formula>
    </cfRule>
  </conditionalFormatting>
  <conditionalFormatting sqref="V22">
    <cfRule type="cellIs" dxfId="5616" priority="385" operator="greaterThan">
      <formula>V21</formula>
    </cfRule>
    <cfRule type="cellIs" dxfId="5615" priority="386" operator="equal">
      <formula>0</formula>
    </cfRule>
  </conditionalFormatting>
  <conditionalFormatting sqref="V22">
    <cfRule type="cellIs" dxfId="5614" priority="383" operator="greaterThan">
      <formula>V21</formula>
    </cfRule>
    <cfRule type="cellIs" dxfId="5613" priority="384" operator="equal">
      <formula>0</formula>
    </cfRule>
  </conditionalFormatting>
  <conditionalFormatting sqref="V22">
    <cfRule type="cellIs" dxfId="5612" priority="381" operator="greaterThan">
      <formula>V21</formula>
    </cfRule>
    <cfRule type="cellIs" dxfId="5611" priority="382" operator="equal">
      <formula>0</formula>
    </cfRule>
  </conditionalFormatting>
  <conditionalFormatting sqref="V22">
    <cfRule type="cellIs" dxfId="5610" priority="379" operator="greaterThan">
      <formula>V21</formula>
    </cfRule>
    <cfRule type="cellIs" dxfId="5609" priority="380" operator="equal">
      <formula>0</formula>
    </cfRule>
  </conditionalFormatting>
  <conditionalFormatting sqref="V22">
    <cfRule type="cellIs" dxfId="5608" priority="377" operator="greaterThan">
      <formula>V21</formula>
    </cfRule>
    <cfRule type="cellIs" dxfId="5607" priority="378" operator="equal">
      <formula>0</formula>
    </cfRule>
  </conditionalFormatting>
  <conditionalFormatting sqref="V22">
    <cfRule type="cellIs" dxfId="5606" priority="375" operator="greaterThan">
      <formula>V21</formula>
    </cfRule>
    <cfRule type="cellIs" dxfId="5605" priority="376" operator="equal">
      <formula>0</formula>
    </cfRule>
  </conditionalFormatting>
  <conditionalFormatting sqref="V22">
    <cfRule type="cellIs" dxfId="5604" priority="373" operator="greaterThan">
      <formula>V21</formula>
    </cfRule>
    <cfRule type="cellIs" dxfId="5603" priority="374" operator="equal">
      <formula>0</formula>
    </cfRule>
  </conditionalFormatting>
  <conditionalFormatting sqref="V22">
    <cfRule type="cellIs" dxfId="5602" priority="371" operator="greaterThan">
      <formula>V21</formula>
    </cfRule>
    <cfRule type="cellIs" dxfId="5601" priority="372" operator="equal">
      <formula>0</formula>
    </cfRule>
  </conditionalFormatting>
  <conditionalFormatting sqref="V22">
    <cfRule type="cellIs" dxfId="5600" priority="369" operator="greaterThan">
      <formula>V21</formula>
    </cfRule>
    <cfRule type="cellIs" dxfId="5599" priority="370" operator="equal">
      <formula>0</formula>
    </cfRule>
  </conditionalFormatting>
  <conditionalFormatting sqref="V22">
    <cfRule type="cellIs" dxfId="5598" priority="367" operator="greaterThan">
      <formula>V21</formula>
    </cfRule>
    <cfRule type="cellIs" dxfId="5597" priority="368" operator="equal">
      <formula>0</formula>
    </cfRule>
  </conditionalFormatting>
  <conditionalFormatting sqref="V22">
    <cfRule type="cellIs" dxfId="5596" priority="365" operator="greaterThan">
      <formula>V21</formula>
    </cfRule>
    <cfRule type="cellIs" dxfId="5595" priority="366" operator="equal">
      <formula>0</formula>
    </cfRule>
  </conditionalFormatting>
  <conditionalFormatting sqref="V22">
    <cfRule type="cellIs" dxfId="5594" priority="363" operator="greaterThan">
      <formula>V21</formula>
    </cfRule>
    <cfRule type="cellIs" dxfId="5593" priority="364" operator="equal">
      <formula>0</formula>
    </cfRule>
  </conditionalFormatting>
  <conditionalFormatting sqref="V22">
    <cfRule type="cellIs" dxfId="5592" priority="361" operator="greaterThan">
      <formula>V21</formula>
    </cfRule>
    <cfRule type="cellIs" dxfId="5591" priority="362" operator="equal">
      <formula>0</formula>
    </cfRule>
  </conditionalFormatting>
  <conditionalFormatting sqref="V22">
    <cfRule type="cellIs" dxfId="5590" priority="359" operator="greaterThan">
      <formula>V21</formula>
    </cfRule>
    <cfRule type="cellIs" dxfId="5589" priority="360" operator="equal">
      <formula>0</formula>
    </cfRule>
  </conditionalFormatting>
  <conditionalFormatting sqref="V22">
    <cfRule type="cellIs" dxfId="5588" priority="357" operator="greaterThan">
      <formula>V21</formula>
    </cfRule>
    <cfRule type="cellIs" dxfId="5587" priority="358" operator="equal">
      <formula>0</formula>
    </cfRule>
  </conditionalFormatting>
  <conditionalFormatting sqref="V22">
    <cfRule type="cellIs" dxfId="5586" priority="355" operator="greaterThan">
      <formula>V21</formula>
    </cfRule>
    <cfRule type="cellIs" dxfId="5585" priority="356" operator="equal">
      <formula>0</formula>
    </cfRule>
  </conditionalFormatting>
  <conditionalFormatting sqref="V22">
    <cfRule type="cellIs" dxfId="5584" priority="353" operator="greaterThan">
      <formula>V21</formula>
    </cfRule>
    <cfRule type="cellIs" dxfId="5583" priority="354" operator="equal">
      <formula>0</formula>
    </cfRule>
  </conditionalFormatting>
  <conditionalFormatting sqref="V22">
    <cfRule type="cellIs" dxfId="5582" priority="351" operator="greaterThan">
      <formula>V21</formula>
    </cfRule>
    <cfRule type="cellIs" dxfId="5581" priority="352" operator="equal">
      <formula>0</formula>
    </cfRule>
  </conditionalFormatting>
  <conditionalFormatting sqref="V22">
    <cfRule type="cellIs" dxfId="5580" priority="349" operator="greaterThan">
      <formula>V21</formula>
    </cfRule>
    <cfRule type="cellIs" dxfId="5579" priority="350" operator="equal">
      <formula>0</formula>
    </cfRule>
  </conditionalFormatting>
  <conditionalFormatting sqref="V24">
    <cfRule type="cellIs" dxfId="5578" priority="347" operator="greaterThan">
      <formula>V23</formula>
    </cfRule>
    <cfRule type="cellIs" dxfId="5577" priority="348" operator="equal">
      <formula>0</formula>
    </cfRule>
  </conditionalFormatting>
  <conditionalFormatting sqref="V24">
    <cfRule type="cellIs" dxfId="5576" priority="345" operator="greaterThan">
      <formula>V23</formula>
    </cfRule>
    <cfRule type="cellIs" dxfId="5575" priority="346" operator="equal">
      <formula>0</formula>
    </cfRule>
  </conditionalFormatting>
  <conditionalFormatting sqref="V24">
    <cfRule type="cellIs" dxfId="5574" priority="343" operator="greaterThan">
      <formula>V23</formula>
    </cfRule>
    <cfRule type="cellIs" dxfId="5573" priority="344" operator="equal">
      <formula>0</formula>
    </cfRule>
  </conditionalFormatting>
  <conditionalFormatting sqref="V24">
    <cfRule type="cellIs" dxfId="5572" priority="341" operator="greaterThan">
      <formula>V23</formula>
    </cfRule>
    <cfRule type="cellIs" dxfId="5571" priority="342" operator="equal">
      <formula>0</formula>
    </cfRule>
  </conditionalFormatting>
  <conditionalFormatting sqref="V24">
    <cfRule type="cellIs" dxfId="5570" priority="339" operator="greaterThan">
      <formula>V23</formula>
    </cfRule>
    <cfRule type="cellIs" dxfId="5569" priority="340" operator="equal">
      <formula>0</formula>
    </cfRule>
  </conditionalFormatting>
  <conditionalFormatting sqref="V24">
    <cfRule type="cellIs" dxfId="5568" priority="337" operator="greaterThan">
      <formula>V23</formula>
    </cfRule>
    <cfRule type="cellIs" dxfId="5567" priority="338" operator="equal">
      <formula>0</formula>
    </cfRule>
  </conditionalFormatting>
  <conditionalFormatting sqref="V24">
    <cfRule type="cellIs" dxfId="5566" priority="335" operator="greaterThan">
      <formula>V23</formula>
    </cfRule>
    <cfRule type="cellIs" dxfId="5565" priority="336" operator="equal">
      <formula>0</formula>
    </cfRule>
  </conditionalFormatting>
  <conditionalFormatting sqref="V24">
    <cfRule type="cellIs" dxfId="5564" priority="333" operator="greaterThan">
      <formula>V23</formula>
    </cfRule>
    <cfRule type="cellIs" dxfId="5563" priority="334" operator="equal">
      <formula>0</formula>
    </cfRule>
  </conditionalFormatting>
  <conditionalFormatting sqref="V24">
    <cfRule type="cellIs" dxfId="5562" priority="331" operator="greaterThan">
      <formula>V23</formula>
    </cfRule>
    <cfRule type="cellIs" dxfId="5561" priority="332" operator="equal">
      <formula>0</formula>
    </cfRule>
  </conditionalFormatting>
  <conditionalFormatting sqref="V24">
    <cfRule type="cellIs" dxfId="5560" priority="329" operator="greaterThan">
      <formula>V23</formula>
    </cfRule>
    <cfRule type="cellIs" dxfId="5559" priority="330" operator="equal">
      <formula>0</formula>
    </cfRule>
  </conditionalFormatting>
  <conditionalFormatting sqref="V24">
    <cfRule type="cellIs" dxfId="5558" priority="327" operator="greaterThan">
      <formula>V23</formula>
    </cfRule>
    <cfRule type="cellIs" dxfId="5557" priority="328" operator="equal">
      <formula>0</formula>
    </cfRule>
  </conditionalFormatting>
  <conditionalFormatting sqref="V24">
    <cfRule type="cellIs" dxfId="5556" priority="325" operator="greaterThan">
      <formula>V23</formula>
    </cfRule>
    <cfRule type="cellIs" dxfId="5555" priority="326" operator="equal">
      <formula>0</formula>
    </cfRule>
  </conditionalFormatting>
  <conditionalFormatting sqref="V24">
    <cfRule type="cellIs" dxfId="5554" priority="323" operator="greaterThan">
      <formula>V23</formula>
    </cfRule>
    <cfRule type="cellIs" dxfId="5553" priority="324" operator="equal">
      <formula>0</formula>
    </cfRule>
  </conditionalFormatting>
  <conditionalFormatting sqref="V24">
    <cfRule type="cellIs" dxfId="5552" priority="321" operator="greaterThan">
      <formula>V23</formula>
    </cfRule>
    <cfRule type="cellIs" dxfId="5551" priority="322" operator="equal">
      <formula>0</formula>
    </cfRule>
  </conditionalFormatting>
  <conditionalFormatting sqref="V24">
    <cfRule type="cellIs" dxfId="5550" priority="319" operator="greaterThan">
      <formula>V23</formula>
    </cfRule>
    <cfRule type="cellIs" dxfId="5549" priority="320" operator="equal">
      <formula>0</formula>
    </cfRule>
  </conditionalFormatting>
  <conditionalFormatting sqref="V24">
    <cfRule type="cellIs" dxfId="5548" priority="317" operator="greaterThan">
      <formula>V23</formula>
    </cfRule>
    <cfRule type="cellIs" dxfId="5547" priority="318" operator="equal">
      <formula>0</formula>
    </cfRule>
  </conditionalFormatting>
  <conditionalFormatting sqref="V24">
    <cfRule type="cellIs" dxfId="5546" priority="315" operator="greaterThan">
      <formula>V23</formula>
    </cfRule>
    <cfRule type="cellIs" dxfId="5545" priority="316" operator="equal">
      <formula>0</formula>
    </cfRule>
  </conditionalFormatting>
  <conditionalFormatting sqref="V24">
    <cfRule type="cellIs" dxfId="5544" priority="313" operator="greaterThan">
      <formula>V23</formula>
    </cfRule>
    <cfRule type="cellIs" dxfId="5543" priority="314" operator="equal">
      <formula>0</formula>
    </cfRule>
  </conditionalFormatting>
  <conditionalFormatting sqref="V25">
    <cfRule type="cellIs" dxfId="5542" priority="311" operator="greaterThan">
      <formula>V24</formula>
    </cfRule>
    <cfRule type="cellIs" dxfId="5541" priority="312" operator="equal">
      <formula>0</formula>
    </cfRule>
  </conditionalFormatting>
  <conditionalFormatting sqref="V25">
    <cfRule type="cellIs" dxfId="5540" priority="309" operator="greaterThan">
      <formula>V24</formula>
    </cfRule>
    <cfRule type="cellIs" dxfId="5539" priority="310" operator="equal">
      <formula>0</formula>
    </cfRule>
  </conditionalFormatting>
  <conditionalFormatting sqref="V25">
    <cfRule type="cellIs" dxfId="5538" priority="307" operator="greaterThan">
      <formula>V24</formula>
    </cfRule>
    <cfRule type="cellIs" dxfId="5537" priority="308" operator="equal">
      <formula>0</formula>
    </cfRule>
  </conditionalFormatting>
  <conditionalFormatting sqref="V25">
    <cfRule type="cellIs" dxfId="5536" priority="305" operator="greaterThan">
      <formula>V24</formula>
    </cfRule>
    <cfRule type="cellIs" dxfId="5535" priority="306" operator="equal">
      <formula>0</formula>
    </cfRule>
  </conditionalFormatting>
  <conditionalFormatting sqref="V25">
    <cfRule type="cellIs" dxfId="5534" priority="303" operator="greaterThan">
      <formula>V24</formula>
    </cfRule>
    <cfRule type="cellIs" dxfId="5533" priority="304" operator="equal">
      <formula>0</formula>
    </cfRule>
  </conditionalFormatting>
  <conditionalFormatting sqref="V25">
    <cfRule type="cellIs" dxfId="5532" priority="301" operator="greaterThan">
      <formula>V24</formula>
    </cfRule>
    <cfRule type="cellIs" dxfId="5531" priority="302" operator="equal">
      <formula>0</formula>
    </cfRule>
  </conditionalFormatting>
  <conditionalFormatting sqref="V25">
    <cfRule type="cellIs" dxfId="5530" priority="299" operator="greaterThan">
      <formula>V24</formula>
    </cfRule>
    <cfRule type="cellIs" dxfId="5529" priority="300" operator="equal">
      <formula>0</formula>
    </cfRule>
  </conditionalFormatting>
  <conditionalFormatting sqref="V25">
    <cfRule type="cellIs" dxfId="5528" priority="297" operator="greaterThan">
      <formula>V24</formula>
    </cfRule>
    <cfRule type="cellIs" dxfId="5527" priority="298" operator="equal">
      <formula>0</formula>
    </cfRule>
  </conditionalFormatting>
  <conditionalFormatting sqref="V25">
    <cfRule type="cellIs" dxfId="5526" priority="295" operator="greaterThan">
      <formula>V24</formula>
    </cfRule>
    <cfRule type="cellIs" dxfId="5525" priority="296" operator="equal">
      <formula>0</formula>
    </cfRule>
  </conditionalFormatting>
  <conditionalFormatting sqref="V25">
    <cfRule type="cellIs" dxfId="5524" priority="293" operator="greaterThan">
      <formula>V24</formula>
    </cfRule>
    <cfRule type="cellIs" dxfId="5523" priority="294" operator="equal">
      <formula>0</formula>
    </cfRule>
  </conditionalFormatting>
  <conditionalFormatting sqref="V25">
    <cfRule type="cellIs" dxfId="5522" priority="291" operator="greaterThan">
      <formula>V24</formula>
    </cfRule>
    <cfRule type="cellIs" dxfId="5521" priority="292" operator="equal">
      <formula>0</formula>
    </cfRule>
  </conditionalFormatting>
  <conditionalFormatting sqref="V25">
    <cfRule type="cellIs" dxfId="5520" priority="289" operator="greaterThan">
      <formula>V24</formula>
    </cfRule>
    <cfRule type="cellIs" dxfId="5519" priority="290" operator="equal">
      <formula>0</formula>
    </cfRule>
  </conditionalFormatting>
  <conditionalFormatting sqref="V25">
    <cfRule type="cellIs" dxfId="5518" priority="287" operator="greaterThan">
      <formula>V24</formula>
    </cfRule>
    <cfRule type="cellIs" dxfId="5517" priority="288" operator="equal">
      <formula>0</formula>
    </cfRule>
  </conditionalFormatting>
  <conditionalFormatting sqref="V25">
    <cfRule type="cellIs" dxfId="5516" priority="285" operator="greaterThan">
      <formula>V24</formula>
    </cfRule>
    <cfRule type="cellIs" dxfId="5515" priority="286" operator="equal">
      <formula>0</formula>
    </cfRule>
  </conditionalFormatting>
  <conditionalFormatting sqref="V25">
    <cfRule type="cellIs" dxfId="5514" priority="283" operator="greaterThan">
      <formula>V24</formula>
    </cfRule>
    <cfRule type="cellIs" dxfId="5513" priority="284" operator="equal">
      <formula>0</formula>
    </cfRule>
  </conditionalFormatting>
  <conditionalFormatting sqref="V25">
    <cfRule type="cellIs" dxfId="5512" priority="281" operator="greaterThan">
      <formula>V24</formula>
    </cfRule>
    <cfRule type="cellIs" dxfId="5511" priority="282" operator="equal">
      <formula>0</formula>
    </cfRule>
  </conditionalFormatting>
  <conditionalFormatting sqref="V25">
    <cfRule type="cellIs" dxfId="5510" priority="279" operator="greaterThan">
      <formula>V24</formula>
    </cfRule>
    <cfRule type="cellIs" dxfId="5509" priority="280" operator="equal">
      <formula>0</formula>
    </cfRule>
  </conditionalFormatting>
  <conditionalFormatting sqref="V25">
    <cfRule type="cellIs" dxfId="5508" priority="277" operator="greaterThan">
      <formula>V24</formula>
    </cfRule>
    <cfRule type="cellIs" dxfId="5507" priority="278" operator="equal">
      <formula>0</formula>
    </cfRule>
  </conditionalFormatting>
  <conditionalFormatting sqref="V25">
    <cfRule type="cellIs" dxfId="5506" priority="275" operator="greaterThan">
      <formula>V24</formula>
    </cfRule>
    <cfRule type="cellIs" dxfId="5505" priority="276" operator="equal">
      <formula>0</formula>
    </cfRule>
  </conditionalFormatting>
  <conditionalFormatting sqref="V25">
    <cfRule type="cellIs" dxfId="5504" priority="273" operator="greaterThan">
      <formula>V24</formula>
    </cfRule>
    <cfRule type="cellIs" dxfId="5503" priority="274" operator="equal">
      <formula>0</formula>
    </cfRule>
  </conditionalFormatting>
  <conditionalFormatting sqref="V25">
    <cfRule type="cellIs" dxfId="5502" priority="271" operator="greaterThan">
      <formula>V24</formula>
    </cfRule>
    <cfRule type="cellIs" dxfId="5501" priority="272" operator="equal">
      <formula>0</formula>
    </cfRule>
  </conditionalFormatting>
  <conditionalFormatting sqref="V25">
    <cfRule type="cellIs" dxfId="5500" priority="269" operator="greaterThan">
      <formula>V24</formula>
    </cfRule>
    <cfRule type="cellIs" dxfId="5499" priority="270" operator="equal">
      <formula>0</formula>
    </cfRule>
  </conditionalFormatting>
  <conditionalFormatting sqref="V25">
    <cfRule type="cellIs" dxfId="5498" priority="267" operator="greaterThan">
      <formula>V24</formula>
    </cfRule>
    <cfRule type="cellIs" dxfId="5497" priority="268" operator="equal">
      <formula>0</formula>
    </cfRule>
  </conditionalFormatting>
  <conditionalFormatting sqref="V25">
    <cfRule type="cellIs" dxfId="5496" priority="265" operator="greaterThan">
      <formula>V24</formula>
    </cfRule>
    <cfRule type="cellIs" dxfId="5495" priority="266" operator="equal">
      <formula>0</formula>
    </cfRule>
  </conditionalFormatting>
  <conditionalFormatting sqref="V25">
    <cfRule type="cellIs" dxfId="5494" priority="263" operator="greaterThan">
      <formula>V24</formula>
    </cfRule>
    <cfRule type="cellIs" dxfId="5493" priority="264" operator="equal">
      <formula>0</formula>
    </cfRule>
  </conditionalFormatting>
  <conditionalFormatting sqref="V25">
    <cfRule type="cellIs" dxfId="5492" priority="261" operator="greaterThan">
      <formula>V24</formula>
    </cfRule>
    <cfRule type="cellIs" dxfId="5491" priority="262" operator="equal">
      <formula>0</formula>
    </cfRule>
  </conditionalFormatting>
  <conditionalFormatting sqref="V25">
    <cfRule type="cellIs" dxfId="5490" priority="259" operator="greaterThan">
      <formula>V24</formula>
    </cfRule>
    <cfRule type="cellIs" dxfId="5489" priority="260" operator="equal">
      <formula>0</formula>
    </cfRule>
  </conditionalFormatting>
  <conditionalFormatting sqref="V25">
    <cfRule type="cellIs" dxfId="5488" priority="257" operator="greaterThan">
      <formula>V24</formula>
    </cfRule>
    <cfRule type="cellIs" dxfId="5487" priority="258" operator="equal">
      <formula>0</formula>
    </cfRule>
  </conditionalFormatting>
  <conditionalFormatting sqref="V27">
    <cfRule type="cellIs" dxfId="5486" priority="255" operator="greaterThan">
      <formula>V26</formula>
    </cfRule>
    <cfRule type="cellIs" dxfId="5485" priority="256" operator="equal">
      <formula>0</formula>
    </cfRule>
  </conditionalFormatting>
  <conditionalFormatting sqref="V27">
    <cfRule type="cellIs" dxfId="5484" priority="253" operator="greaterThan">
      <formula>V26</formula>
    </cfRule>
    <cfRule type="cellIs" dxfId="5483" priority="254" operator="equal">
      <formula>0</formula>
    </cfRule>
  </conditionalFormatting>
  <conditionalFormatting sqref="V27">
    <cfRule type="cellIs" dxfId="5482" priority="251" operator="greaterThan">
      <formula>V26</formula>
    </cfRule>
    <cfRule type="cellIs" dxfId="5481" priority="252" operator="equal">
      <formula>0</formula>
    </cfRule>
  </conditionalFormatting>
  <conditionalFormatting sqref="V27">
    <cfRule type="cellIs" dxfId="5480" priority="249" operator="greaterThan">
      <formula>V26</formula>
    </cfRule>
    <cfRule type="cellIs" dxfId="5479" priority="250" operator="equal">
      <formula>0</formula>
    </cfRule>
  </conditionalFormatting>
  <conditionalFormatting sqref="V27">
    <cfRule type="cellIs" dxfId="5478" priority="247" operator="greaterThan">
      <formula>V26</formula>
    </cfRule>
    <cfRule type="cellIs" dxfId="5477" priority="248" operator="equal">
      <formula>0</formula>
    </cfRule>
  </conditionalFormatting>
  <conditionalFormatting sqref="V27">
    <cfRule type="cellIs" dxfId="5476" priority="245" operator="greaterThan">
      <formula>V26</formula>
    </cfRule>
    <cfRule type="cellIs" dxfId="5475" priority="246" operator="equal">
      <formula>0</formula>
    </cfRule>
  </conditionalFormatting>
  <conditionalFormatting sqref="V27">
    <cfRule type="cellIs" dxfId="5474" priority="243" operator="greaterThan">
      <formula>V26</formula>
    </cfRule>
    <cfRule type="cellIs" dxfId="5473" priority="244" operator="equal">
      <formula>0</formula>
    </cfRule>
  </conditionalFormatting>
  <conditionalFormatting sqref="V27">
    <cfRule type="cellIs" dxfId="5472" priority="241" operator="greaterThan">
      <formula>V26</formula>
    </cfRule>
    <cfRule type="cellIs" dxfId="5471" priority="242" operator="equal">
      <formula>0</formula>
    </cfRule>
  </conditionalFormatting>
  <conditionalFormatting sqref="V27">
    <cfRule type="cellIs" dxfId="5470" priority="239" operator="greaterThan">
      <formula>V26</formula>
    </cfRule>
    <cfRule type="cellIs" dxfId="5469" priority="240" operator="equal">
      <formula>0</formula>
    </cfRule>
  </conditionalFormatting>
  <conditionalFormatting sqref="V27">
    <cfRule type="cellIs" dxfId="5468" priority="237" operator="greaterThan">
      <formula>V26</formula>
    </cfRule>
    <cfRule type="cellIs" dxfId="5467" priority="238" operator="equal">
      <formula>0</formula>
    </cfRule>
  </conditionalFormatting>
  <conditionalFormatting sqref="V27">
    <cfRule type="cellIs" dxfId="5466" priority="235" operator="greaterThan">
      <formula>V26</formula>
    </cfRule>
    <cfRule type="cellIs" dxfId="5465" priority="236" operator="equal">
      <formula>0</formula>
    </cfRule>
  </conditionalFormatting>
  <conditionalFormatting sqref="V27">
    <cfRule type="cellIs" dxfId="5464" priority="233" operator="greaterThan">
      <formula>V26</formula>
    </cfRule>
    <cfRule type="cellIs" dxfId="5463" priority="234" operator="equal">
      <formula>0</formula>
    </cfRule>
  </conditionalFormatting>
  <conditionalFormatting sqref="V27">
    <cfRule type="cellIs" dxfId="5462" priority="231" operator="greaterThan">
      <formula>V26</formula>
    </cfRule>
    <cfRule type="cellIs" dxfId="5461" priority="232" operator="equal">
      <formula>0</formula>
    </cfRule>
  </conditionalFormatting>
  <conditionalFormatting sqref="V27">
    <cfRule type="cellIs" dxfId="5460" priority="229" operator="greaterThan">
      <formula>V26</formula>
    </cfRule>
    <cfRule type="cellIs" dxfId="5459" priority="230" operator="equal">
      <formula>0</formula>
    </cfRule>
  </conditionalFormatting>
  <conditionalFormatting sqref="V27">
    <cfRule type="cellIs" dxfId="5458" priority="227" operator="greaterThan">
      <formula>V26</formula>
    </cfRule>
    <cfRule type="cellIs" dxfId="5457" priority="228" operator="equal">
      <formula>0</formula>
    </cfRule>
  </conditionalFormatting>
  <conditionalFormatting sqref="V27">
    <cfRule type="cellIs" dxfId="5456" priority="225" operator="greaterThan">
      <formula>V26</formula>
    </cfRule>
    <cfRule type="cellIs" dxfId="5455" priority="226" operator="equal">
      <formula>0</formula>
    </cfRule>
  </conditionalFormatting>
  <conditionalFormatting sqref="V27">
    <cfRule type="cellIs" dxfId="5454" priority="223" operator="greaterThan">
      <formula>V26</formula>
    </cfRule>
    <cfRule type="cellIs" dxfId="5453" priority="224" operator="equal">
      <formula>0</formula>
    </cfRule>
  </conditionalFormatting>
  <conditionalFormatting sqref="V27">
    <cfRule type="cellIs" dxfId="5452" priority="221" operator="greaterThan">
      <formula>V26</formula>
    </cfRule>
    <cfRule type="cellIs" dxfId="5451" priority="222" operator="equal">
      <formula>0</formula>
    </cfRule>
  </conditionalFormatting>
  <conditionalFormatting sqref="V27">
    <cfRule type="cellIs" dxfId="5450" priority="219" operator="greaterThan">
      <formula>V26</formula>
    </cfRule>
    <cfRule type="cellIs" dxfId="5449" priority="220" operator="equal">
      <formula>0</formula>
    </cfRule>
  </conditionalFormatting>
  <conditionalFormatting sqref="V27">
    <cfRule type="cellIs" dxfId="5448" priority="217" operator="greaterThan">
      <formula>V26</formula>
    </cfRule>
    <cfRule type="cellIs" dxfId="5447" priority="218" operator="equal">
      <formula>0</formula>
    </cfRule>
  </conditionalFormatting>
  <conditionalFormatting sqref="V27">
    <cfRule type="cellIs" dxfId="5446" priority="215" operator="greaterThan">
      <formula>V26</formula>
    </cfRule>
    <cfRule type="cellIs" dxfId="5445" priority="216" operator="equal">
      <formula>0</formula>
    </cfRule>
  </conditionalFormatting>
  <conditionalFormatting sqref="V27">
    <cfRule type="cellIs" dxfId="5444" priority="213" operator="greaterThan">
      <formula>V26</formula>
    </cfRule>
    <cfRule type="cellIs" dxfId="5443" priority="214" operator="equal">
      <formula>0</formula>
    </cfRule>
  </conditionalFormatting>
  <conditionalFormatting sqref="V27">
    <cfRule type="cellIs" dxfId="5442" priority="211" operator="greaterThan">
      <formula>V26</formula>
    </cfRule>
    <cfRule type="cellIs" dxfId="5441" priority="212" operator="equal">
      <formula>0</formula>
    </cfRule>
  </conditionalFormatting>
  <conditionalFormatting sqref="V27">
    <cfRule type="cellIs" dxfId="5440" priority="209" operator="greaterThan">
      <formula>V26</formula>
    </cfRule>
    <cfRule type="cellIs" dxfId="5439" priority="210" operator="equal">
      <formula>0</formula>
    </cfRule>
  </conditionalFormatting>
  <conditionalFormatting sqref="V27">
    <cfRule type="cellIs" dxfId="5438" priority="207" operator="greaterThan">
      <formula>V26</formula>
    </cfRule>
    <cfRule type="cellIs" dxfId="5437" priority="208" operator="equal">
      <formula>0</formula>
    </cfRule>
  </conditionalFormatting>
  <conditionalFormatting sqref="V27">
    <cfRule type="cellIs" dxfId="5436" priority="205" operator="greaterThan">
      <formula>V26</formula>
    </cfRule>
    <cfRule type="cellIs" dxfId="5435" priority="206" operator="equal">
      <formula>0</formula>
    </cfRule>
  </conditionalFormatting>
  <conditionalFormatting sqref="V27">
    <cfRule type="cellIs" dxfId="5434" priority="203" operator="greaterThan">
      <formula>V26</formula>
    </cfRule>
    <cfRule type="cellIs" dxfId="5433" priority="204" operator="equal">
      <formula>0</formula>
    </cfRule>
  </conditionalFormatting>
  <conditionalFormatting sqref="V27">
    <cfRule type="cellIs" dxfId="5432" priority="201" operator="greaterThan">
      <formula>V26</formula>
    </cfRule>
    <cfRule type="cellIs" dxfId="5431" priority="202" operator="equal">
      <formula>0</formula>
    </cfRule>
  </conditionalFormatting>
  <conditionalFormatting sqref="V27">
    <cfRule type="cellIs" dxfId="5430" priority="199" operator="greaterThan">
      <formula>V26</formula>
    </cfRule>
    <cfRule type="cellIs" dxfId="5429" priority="200" operator="equal">
      <formula>0</formula>
    </cfRule>
  </conditionalFormatting>
  <conditionalFormatting sqref="V28">
    <cfRule type="cellIs" dxfId="5428" priority="197" operator="greaterThan">
      <formula>V27</formula>
    </cfRule>
    <cfRule type="cellIs" dxfId="5427" priority="198" operator="equal">
      <formula>0</formula>
    </cfRule>
  </conditionalFormatting>
  <conditionalFormatting sqref="V28">
    <cfRule type="cellIs" dxfId="5426" priority="195" operator="greaterThan">
      <formula>V27</formula>
    </cfRule>
    <cfRule type="cellIs" dxfId="5425" priority="196" operator="equal">
      <formula>0</formula>
    </cfRule>
  </conditionalFormatting>
  <conditionalFormatting sqref="V28">
    <cfRule type="cellIs" dxfId="5424" priority="193" operator="greaterThan">
      <formula>V27</formula>
    </cfRule>
    <cfRule type="cellIs" dxfId="5423" priority="194" operator="equal">
      <formula>0</formula>
    </cfRule>
  </conditionalFormatting>
  <conditionalFormatting sqref="V28">
    <cfRule type="cellIs" dxfId="5422" priority="191" operator="greaterThan">
      <formula>V27</formula>
    </cfRule>
    <cfRule type="cellIs" dxfId="5421" priority="192" operator="equal">
      <formula>0</formula>
    </cfRule>
  </conditionalFormatting>
  <conditionalFormatting sqref="V28">
    <cfRule type="cellIs" dxfId="5420" priority="189" operator="greaterThan">
      <formula>V27</formula>
    </cfRule>
    <cfRule type="cellIs" dxfId="5419" priority="190" operator="equal">
      <formula>0</formula>
    </cfRule>
  </conditionalFormatting>
  <conditionalFormatting sqref="V28">
    <cfRule type="cellIs" dxfId="5418" priority="187" operator="greaterThan">
      <formula>V27</formula>
    </cfRule>
    <cfRule type="cellIs" dxfId="5417" priority="188" operator="equal">
      <formula>0</formula>
    </cfRule>
  </conditionalFormatting>
  <conditionalFormatting sqref="V28">
    <cfRule type="cellIs" dxfId="5416" priority="185" operator="greaterThan">
      <formula>V27</formula>
    </cfRule>
    <cfRule type="cellIs" dxfId="5415" priority="186" operator="equal">
      <formula>0</formula>
    </cfRule>
  </conditionalFormatting>
  <conditionalFormatting sqref="V28">
    <cfRule type="cellIs" dxfId="5414" priority="183" operator="greaterThan">
      <formula>V27</formula>
    </cfRule>
    <cfRule type="cellIs" dxfId="5413" priority="184" operator="equal">
      <formula>0</formula>
    </cfRule>
  </conditionalFormatting>
  <conditionalFormatting sqref="V28">
    <cfRule type="cellIs" dxfId="5412" priority="181" operator="greaterThan">
      <formula>V27</formula>
    </cfRule>
    <cfRule type="cellIs" dxfId="5411" priority="182" operator="equal">
      <formula>0</formula>
    </cfRule>
  </conditionalFormatting>
  <conditionalFormatting sqref="V28">
    <cfRule type="cellIs" dxfId="5410" priority="179" operator="greaterThan">
      <formula>V27</formula>
    </cfRule>
    <cfRule type="cellIs" dxfId="5409" priority="180" operator="equal">
      <formula>0</formula>
    </cfRule>
  </conditionalFormatting>
  <conditionalFormatting sqref="V28">
    <cfRule type="cellIs" dxfId="5408" priority="177" operator="greaterThan">
      <formula>V27</formula>
    </cfRule>
    <cfRule type="cellIs" dxfId="5407" priority="178" operator="equal">
      <formula>0</formula>
    </cfRule>
  </conditionalFormatting>
  <conditionalFormatting sqref="V28">
    <cfRule type="cellIs" dxfId="5406" priority="175" operator="greaterThan">
      <formula>V27</formula>
    </cfRule>
    <cfRule type="cellIs" dxfId="5405" priority="176" operator="equal">
      <formula>0</formula>
    </cfRule>
  </conditionalFormatting>
  <conditionalFormatting sqref="V28">
    <cfRule type="cellIs" dxfId="5404" priority="173" operator="greaterThan">
      <formula>V27</formula>
    </cfRule>
    <cfRule type="cellIs" dxfId="5403" priority="174" operator="equal">
      <formula>0</formula>
    </cfRule>
  </conditionalFormatting>
  <conditionalFormatting sqref="V28">
    <cfRule type="cellIs" dxfId="5402" priority="171" operator="greaterThan">
      <formula>V27</formula>
    </cfRule>
    <cfRule type="cellIs" dxfId="5401" priority="172" operator="equal">
      <formula>0</formula>
    </cfRule>
  </conditionalFormatting>
  <conditionalFormatting sqref="V28">
    <cfRule type="cellIs" dxfId="5400" priority="169" operator="greaterThan">
      <formula>V27</formula>
    </cfRule>
    <cfRule type="cellIs" dxfId="5399" priority="170" operator="equal">
      <formula>0</formula>
    </cfRule>
  </conditionalFormatting>
  <conditionalFormatting sqref="V28">
    <cfRule type="cellIs" dxfId="5398" priority="167" operator="greaterThan">
      <formula>V27</formula>
    </cfRule>
    <cfRule type="cellIs" dxfId="5397" priority="168" operator="equal">
      <formula>0</formula>
    </cfRule>
  </conditionalFormatting>
  <conditionalFormatting sqref="V28">
    <cfRule type="cellIs" dxfId="5396" priority="165" operator="greaterThan">
      <formula>V27</formula>
    </cfRule>
    <cfRule type="cellIs" dxfId="5395" priority="166" operator="equal">
      <formula>0</formula>
    </cfRule>
  </conditionalFormatting>
  <conditionalFormatting sqref="V28">
    <cfRule type="cellIs" dxfId="5394" priority="163" operator="greaterThan">
      <formula>V27</formula>
    </cfRule>
    <cfRule type="cellIs" dxfId="5393" priority="164" operator="equal">
      <formula>0</formula>
    </cfRule>
  </conditionalFormatting>
  <conditionalFormatting sqref="V28">
    <cfRule type="cellIs" dxfId="5392" priority="161" operator="greaterThan">
      <formula>V27</formula>
    </cfRule>
    <cfRule type="cellIs" dxfId="5391" priority="162" operator="equal">
      <formula>0</formula>
    </cfRule>
  </conditionalFormatting>
  <conditionalFormatting sqref="V28">
    <cfRule type="cellIs" dxfId="5390" priority="159" operator="greaterThan">
      <formula>V27</formula>
    </cfRule>
    <cfRule type="cellIs" dxfId="5389" priority="160" operator="equal">
      <formula>0</formula>
    </cfRule>
  </conditionalFormatting>
  <conditionalFormatting sqref="V28">
    <cfRule type="cellIs" dxfId="5388" priority="157" operator="greaterThan">
      <formula>V27</formula>
    </cfRule>
    <cfRule type="cellIs" dxfId="5387" priority="158" operator="equal">
      <formula>0</formula>
    </cfRule>
  </conditionalFormatting>
  <conditionalFormatting sqref="V28">
    <cfRule type="cellIs" dxfId="5386" priority="155" operator="greaterThan">
      <formula>V27</formula>
    </cfRule>
    <cfRule type="cellIs" dxfId="5385" priority="156" operator="equal">
      <formula>0</formula>
    </cfRule>
  </conditionalFormatting>
  <conditionalFormatting sqref="V28">
    <cfRule type="cellIs" dxfId="5384" priority="153" operator="greaterThan">
      <formula>V27</formula>
    </cfRule>
    <cfRule type="cellIs" dxfId="5383" priority="154" operator="equal">
      <formula>0</formula>
    </cfRule>
  </conditionalFormatting>
  <conditionalFormatting sqref="V28">
    <cfRule type="cellIs" dxfId="5382" priority="151" operator="greaterThan">
      <formula>V27</formula>
    </cfRule>
    <cfRule type="cellIs" dxfId="5381" priority="152" operator="equal">
      <formula>0</formula>
    </cfRule>
  </conditionalFormatting>
  <conditionalFormatting sqref="V28">
    <cfRule type="cellIs" dxfId="5380" priority="149" operator="greaterThan">
      <formula>V27</formula>
    </cfRule>
    <cfRule type="cellIs" dxfId="5379" priority="150" operator="equal">
      <formula>0</formula>
    </cfRule>
  </conditionalFormatting>
  <conditionalFormatting sqref="V28">
    <cfRule type="cellIs" dxfId="5378" priority="147" operator="greaterThan">
      <formula>V27</formula>
    </cfRule>
    <cfRule type="cellIs" dxfId="5377" priority="148" operator="equal">
      <formula>0</formula>
    </cfRule>
  </conditionalFormatting>
  <conditionalFormatting sqref="V28">
    <cfRule type="cellIs" dxfId="5376" priority="145" operator="greaterThan">
      <formula>V27</formula>
    </cfRule>
    <cfRule type="cellIs" dxfId="5375" priority="146" operator="equal">
      <formula>0</formula>
    </cfRule>
  </conditionalFormatting>
  <conditionalFormatting sqref="V28">
    <cfRule type="cellIs" dxfId="5374" priority="143" operator="greaterThan">
      <formula>V27</formula>
    </cfRule>
    <cfRule type="cellIs" dxfId="5373" priority="144" operator="equal">
      <formula>0</formula>
    </cfRule>
  </conditionalFormatting>
  <conditionalFormatting sqref="V28">
    <cfRule type="cellIs" dxfId="5372" priority="141" operator="greaterThan">
      <formula>V27</formula>
    </cfRule>
    <cfRule type="cellIs" dxfId="5371" priority="142" operator="equal">
      <formula>0</formula>
    </cfRule>
  </conditionalFormatting>
  <conditionalFormatting sqref="V28">
    <cfRule type="cellIs" dxfId="5370" priority="139" operator="greaterThan">
      <formula>V27</formula>
    </cfRule>
    <cfRule type="cellIs" dxfId="5369" priority="140" operator="equal">
      <formula>0</formula>
    </cfRule>
  </conditionalFormatting>
  <conditionalFormatting sqref="V28">
    <cfRule type="cellIs" dxfId="5368" priority="137" operator="greaterThan">
      <formula>V27</formula>
    </cfRule>
    <cfRule type="cellIs" dxfId="5367" priority="138" operator="equal">
      <formula>0</formula>
    </cfRule>
  </conditionalFormatting>
  <conditionalFormatting sqref="V28">
    <cfRule type="cellIs" dxfId="5366" priority="135" operator="greaterThan">
      <formula>V27</formula>
    </cfRule>
    <cfRule type="cellIs" dxfId="5365" priority="136" operator="equal">
      <formula>0</formula>
    </cfRule>
  </conditionalFormatting>
  <conditionalFormatting sqref="V28">
    <cfRule type="cellIs" dxfId="5364" priority="133" operator="greaterThan">
      <formula>V27</formula>
    </cfRule>
    <cfRule type="cellIs" dxfId="5363" priority="134" operator="equal">
      <formula>0</formula>
    </cfRule>
  </conditionalFormatting>
  <conditionalFormatting sqref="V28">
    <cfRule type="cellIs" dxfId="5362" priority="131" operator="greaterThan">
      <formula>V27</formula>
    </cfRule>
    <cfRule type="cellIs" dxfId="5361" priority="132" operator="equal">
      <formula>0</formula>
    </cfRule>
  </conditionalFormatting>
  <conditionalFormatting sqref="V28">
    <cfRule type="cellIs" dxfId="5360" priority="129" operator="greaterThan">
      <formula>V27</formula>
    </cfRule>
    <cfRule type="cellIs" dxfId="5359" priority="130" operator="equal">
      <formula>0</formula>
    </cfRule>
  </conditionalFormatting>
  <conditionalFormatting sqref="V28">
    <cfRule type="cellIs" dxfId="5358" priority="127" operator="greaterThan">
      <formula>V27</formula>
    </cfRule>
    <cfRule type="cellIs" dxfId="5357" priority="128" operator="equal">
      <formula>0</formula>
    </cfRule>
  </conditionalFormatting>
  <conditionalFormatting sqref="V28">
    <cfRule type="cellIs" dxfId="5356" priority="125" operator="greaterThan">
      <formula>V27</formula>
    </cfRule>
    <cfRule type="cellIs" dxfId="5355" priority="126" operator="equal">
      <formula>0</formula>
    </cfRule>
  </conditionalFormatting>
  <conditionalFormatting sqref="V28">
    <cfRule type="cellIs" dxfId="5354" priority="123" operator="greaterThan">
      <formula>V27</formula>
    </cfRule>
    <cfRule type="cellIs" dxfId="5353" priority="124" operator="equal">
      <formula>0</formula>
    </cfRule>
  </conditionalFormatting>
  <conditionalFormatting sqref="V28">
    <cfRule type="cellIs" dxfId="5352" priority="121" operator="greaterThan">
      <formula>V27</formula>
    </cfRule>
    <cfRule type="cellIs" dxfId="5351" priority="122" operator="equal">
      <formula>0</formula>
    </cfRule>
  </conditionalFormatting>
  <conditionalFormatting sqref="V28">
    <cfRule type="cellIs" dxfId="5350" priority="119" operator="greaterThan">
      <formula>V27</formula>
    </cfRule>
    <cfRule type="cellIs" dxfId="5349" priority="120" operator="equal">
      <formula>0</formula>
    </cfRule>
  </conditionalFormatting>
  <conditionalFormatting sqref="V28">
    <cfRule type="cellIs" dxfId="5348" priority="117" operator="greaterThan">
      <formula>V27</formula>
    </cfRule>
    <cfRule type="cellIs" dxfId="5347" priority="118" operator="equal">
      <formula>0</formula>
    </cfRule>
  </conditionalFormatting>
  <conditionalFormatting sqref="V28">
    <cfRule type="cellIs" dxfId="5346" priority="115" operator="greaterThan">
      <formula>V27</formula>
    </cfRule>
    <cfRule type="cellIs" dxfId="5345" priority="116" operator="equal">
      <formula>0</formula>
    </cfRule>
  </conditionalFormatting>
  <conditionalFormatting sqref="V28">
    <cfRule type="cellIs" dxfId="5344" priority="113" operator="greaterThan">
      <formula>V27</formula>
    </cfRule>
    <cfRule type="cellIs" dxfId="5343" priority="114" operator="equal">
      <formula>0</formula>
    </cfRule>
  </conditionalFormatting>
  <conditionalFormatting sqref="V28">
    <cfRule type="cellIs" dxfId="5342" priority="111" operator="greaterThan">
      <formula>V27</formula>
    </cfRule>
    <cfRule type="cellIs" dxfId="5341" priority="112" operator="equal">
      <formula>0</formula>
    </cfRule>
  </conditionalFormatting>
  <conditionalFormatting sqref="V28">
    <cfRule type="cellIs" dxfId="5340" priority="109" operator="greaterThan">
      <formula>V27</formula>
    </cfRule>
    <cfRule type="cellIs" dxfId="5339" priority="110" operator="equal">
      <formula>0</formula>
    </cfRule>
  </conditionalFormatting>
  <conditionalFormatting sqref="V28">
    <cfRule type="cellIs" dxfId="5338" priority="107" operator="greaterThan">
      <formula>V27</formula>
    </cfRule>
    <cfRule type="cellIs" dxfId="5337" priority="108" operator="equal">
      <formula>0</formula>
    </cfRule>
  </conditionalFormatting>
  <conditionalFormatting sqref="V28">
    <cfRule type="cellIs" dxfId="5336" priority="105" operator="greaterThan">
      <formula>V27</formula>
    </cfRule>
    <cfRule type="cellIs" dxfId="5335" priority="106" operator="equal">
      <formula>0</formula>
    </cfRule>
  </conditionalFormatting>
  <conditionalFormatting sqref="V28">
    <cfRule type="cellIs" dxfId="5334" priority="103" operator="greaterThan">
      <formula>V27</formula>
    </cfRule>
    <cfRule type="cellIs" dxfId="5333" priority="104" operator="equal">
      <formula>0</formula>
    </cfRule>
  </conditionalFormatting>
  <conditionalFormatting sqref="V28">
    <cfRule type="cellIs" dxfId="5332" priority="101" operator="greaterThan">
      <formula>V27</formula>
    </cfRule>
    <cfRule type="cellIs" dxfId="5331" priority="102" operator="equal">
      <formula>0</formula>
    </cfRule>
  </conditionalFormatting>
  <conditionalFormatting sqref="V28">
    <cfRule type="cellIs" dxfId="5330" priority="99" operator="greaterThan">
      <formula>V27</formula>
    </cfRule>
    <cfRule type="cellIs" dxfId="5329" priority="100" operator="equal">
      <formula>0</formula>
    </cfRule>
  </conditionalFormatting>
  <conditionalFormatting sqref="V28">
    <cfRule type="cellIs" dxfId="5328" priority="97" operator="greaterThan">
      <formula>V27</formula>
    </cfRule>
    <cfRule type="cellIs" dxfId="5327" priority="98" operator="equal">
      <formula>0</formula>
    </cfRule>
  </conditionalFormatting>
  <conditionalFormatting sqref="V28">
    <cfRule type="cellIs" dxfId="5326" priority="95" operator="greaterThan">
      <formula>V27</formula>
    </cfRule>
    <cfRule type="cellIs" dxfId="5325" priority="96" operator="equal">
      <formula>0</formula>
    </cfRule>
  </conditionalFormatting>
  <conditionalFormatting sqref="V28">
    <cfRule type="cellIs" dxfId="5324" priority="93" operator="greaterThan">
      <formula>V27</formula>
    </cfRule>
    <cfRule type="cellIs" dxfId="5323" priority="94" operator="equal">
      <formula>0</formula>
    </cfRule>
  </conditionalFormatting>
  <conditionalFormatting sqref="V28">
    <cfRule type="cellIs" dxfId="5322" priority="91" operator="greaterThan">
      <formula>V27</formula>
    </cfRule>
    <cfRule type="cellIs" dxfId="5321" priority="92" operator="equal">
      <formula>0</formula>
    </cfRule>
  </conditionalFormatting>
  <conditionalFormatting sqref="V28">
    <cfRule type="cellIs" dxfId="5320" priority="89" operator="greaterThan">
      <formula>V27</formula>
    </cfRule>
    <cfRule type="cellIs" dxfId="5319" priority="90" operator="equal">
      <formula>0</formula>
    </cfRule>
  </conditionalFormatting>
  <conditionalFormatting sqref="V28">
    <cfRule type="cellIs" dxfId="5318" priority="87" operator="greaterThan">
      <formula>V27</formula>
    </cfRule>
    <cfRule type="cellIs" dxfId="5317" priority="88" operator="equal">
      <formula>0</formula>
    </cfRule>
  </conditionalFormatting>
  <conditionalFormatting sqref="V28">
    <cfRule type="cellIs" dxfId="5316" priority="85" operator="greaterThan">
      <formula>V27</formula>
    </cfRule>
    <cfRule type="cellIs" dxfId="5315" priority="86" operator="equal">
      <formula>0</formula>
    </cfRule>
  </conditionalFormatting>
  <conditionalFormatting sqref="V28">
    <cfRule type="cellIs" dxfId="5314" priority="83" operator="greaterThan">
      <formula>V27</formula>
    </cfRule>
    <cfRule type="cellIs" dxfId="5313" priority="84" operator="equal">
      <formula>0</formula>
    </cfRule>
  </conditionalFormatting>
  <conditionalFormatting sqref="V28">
    <cfRule type="cellIs" dxfId="5312" priority="81" operator="greaterThan">
      <formula>V27</formula>
    </cfRule>
    <cfRule type="cellIs" dxfId="5311" priority="82" operator="equal">
      <formula>0</formula>
    </cfRule>
  </conditionalFormatting>
  <conditionalFormatting sqref="V28">
    <cfRule type="cellIs" dxfId="5310" priority="79" operator="greaterThan">
      <formula>V27</formula>
    </cfRule>
    <cfRule type="cellIs" dxfId="5309" priority="80" operator="equal">
      <formula>0</formula>
    </cfRule>
  </conditionalFormatting>
  <conditionalFormatting sqref="V28">
    <cfRule type="cellIs" dxfId="5308" priority="77" operator="greaterThan">
      <formula>V27</formula>
    </cfRule>
    <cfRule type="cellIs" dxfId="5307" priority="78" operator="equal">
      <formula>0</formula>
    </cfRule>
  </conditionalFormatting>
  <conditionalFormatting sqref="V28">
    <cfRule type="cellIs" dxfId="5306" priority="75" operator="greaterThan">
      <formula>V27</formula>
    </cfRule>
    <cfRule type="cellIs" dxfId="5305" priority="76" operator="equal">
      <formula>0</formula>
    </cfRule>
  </conditionalFormatting>
  <conditionalFormatting sqref="V28">
    <cfRule type="cellIs" dxfId="5304" priority="73" operator="greaterThan">
      <formula>V27</formula>
    </cfRule>
    <cfRule type="cellIs" dxfId="5303" priority="74" operator="equal">
      <formula>0</formula>
    </cfRule>
  </conditionalFormatting>
  <conditionalFormatting sqref="V28">
    <cfRule type="cellIs" dxfId="5302" priority="71" operator="greaterThan">
      <formula>V27</formula>
    </cfRule>
    <cfRule type="cellIs" dxfId="5301" priority="72" operator="equal">
      <formula>0</formula>
    </cfRule>
  </conditionalFormatting>
  <conditionalFormatting sqref="V28">
    <cfRule type="cellIs" dxfId="5300" priority="69" operator="greaterThan">
      <formula>V27</formula>
    </cfRule>
    <cfRule type="cellIs" dxfId="5299" priority="70" operator="equal">
      <formula>0</formula>
    </cfRule>
  </conditionalFormatting>
  <conditionalFormatting sqref="V28">
    <cfRule type="cellIs" dxfId="5298" priority="67" operator="greaterThan">
      <formula>V27</formula>
    </cfRule>
    <cfRule type="cellIs" dxfId="5297" priority="68" operator="equal">
      <formula>0</formula>
    </cfRule>
  </conditionalFormatting>
  <conditionalFormatting sqref="V28">
    <cfRule type="cellIs" dxfId="5296" priority="65" operator="greaterThan">
      <formula>V27</formula>
    </cfRule>
    <cfRule type="cellIs" dxfId="5295" priority="66" operator="equal">
      <formula>0</formula>
    </cfRule>
  </conditionalFormatting>
  <conditionalFormatting sqref="V28">
    <cfRule type="cellIs" dxfId="5294" priority="63" operator="greaterThan">
      <formula>V27</formula>
    </cfRule>
    <cfRule type="cellIs" dxfId="5293" priority="64" operator="equal">
      <formula>0</formula>
    </cfRule>
  </conditionalFormatting>
  <conditionalFormatting sqref="V28">
    <cfRule type="cellIs" dxfId="5292" priority="61" operator="greaterThan">
      <formula>V27</formula>
    </cfRule>
    <cfRule type="cellIs" dxfId="5291" priority="62" operator="equal">
      <formula>0</formula>
    </cfRule>
  </conditionalFormatting>
  <conditionalFormatting sqref="V28">
    <cfRule type="cellIs" dxfId="5290" priority="59" operator="greaterThan">
      <formula>V27</formula>
    </cfRule>
    <cfRule type="cellIs" dxfId="5289" priority="60" operator="equal">
      <formula>0</formula>
    </cfRule>
  </conditionalFormatting>
  <conditionalFormatting sqref="V28">
    <cfRule type="cellIs" dxfId="5288" priority="57" operator="greaterThan">
      <formula>V27</formula>
    </cfRule>
    <cfRule type="cellIs" dxfId="5287" priority="58" operator="equal">
      <formula>0</formula>
    </cfRule>
  </conditionalFormatting>
  <conditionalFormatting sqref="V28">
    <cfRule type="cellIs" dxfId="5286" priority="55" operator="greaterThan">
      <formula>V27</formula>
    </cfRule>
    <cfRule type="cellIs" dxfId="5285" priority="56" operator="equal">
      <formula>0</formula>
    </cfRule>
  </conditionalFormatting>
  <conditionalFormatting sqref="V28">
    <cfRule type="cellIs" dxfId="5284" priority="53" operator="greaterThan">
      <formula>V27</formula>
    </cfRule>
    <cfRule type="cellIs" dxfId="5283" priority="54" operator="equal">
      <formula>0</formula>
    </cfRule>
  </conditionalFormatting>
  <conditionalFormatting sqref="V28">
    <cfRule type="cellIs" dxfId="5282" priority="51" operator="greaterThan">
      <formula>V27</formula>
    </cfRule>
    <cfRule type="cellIs" dxfId="5281" priority="52" operator="equal">
      <formula>0</formula>
    </cfRule>
  </conditionalFormatting>
  <conditionalFormatting sqref="V28">
    <cfRule type="cellIs" dxfId="5280" priority="49" operator="greaterThan">
      <formula>V27</formula>
    </cfRule>
    <cfRule type="cellIs" dxfId="5279" priority="50" operator="equal">
      <formula>0</formula>
    </cfRule>
  </conditionalFormatting>
  <conditionalFormatting sqref="V28">
    <cfRule type="cellIs" dxfId="5278" priority="47" operator="greaterThan">
      <formula>V27</formula>
    </cfRule>
    <cfRule type="cellIs" dxfId="5277" priority="48" operator="equal">
      <formula>0</formula>
    </cfRule>
  </conditionalFormatting>
  <conditionalFormatting sqref="V28">
    <cfRule type="cellIs" dxfId="5276" priority="45" operator="greaterThan">
      <formula>V27</formula>
    </cfRule>
    <cfRule type="cellIs" dxfId="5275" priority="46" operator="equal">
      <formula>0</formula>
    </cfRule>
  </conditionalFormatting>
  <conditionalFormatting sqref="V28">
    <cfRule type="cellIs" dxfId="5274" priority="43" operator="greaterThan">
      <formula>V27</formula>
    </cfRule>
    <cfRule type="cellIs" dxfId="5273" priority="44" operator="equal">
      <formula>0</formula>
    </cfRule>
  </conditionalFormatting>
  <conditionalFormatting sqref="V28">
    <cfRule type="cellIs" dxfId="5272" priority="41" operator="greaterThan">
      <formula>V27</formula>
    </cfRule>
    <cfRule type="cellIs" dxfId="5271" priority="42" operator="equal">
      <formula>0</formula>
    </cfRule>
  </conditionalFormatting>
  <conditionalFormatting sqref="V28">
    <cfRule type="cellIs" dxfId="5270" priority="39" operator="greaterThan">
      <formula>V27</formula>
    </cfRule>
    <cfRule type="cellIs" dxfId="5269" priority="40" operator="equal">
      <formula>0</formula>
    </cfRule>
  </conditionalFormatting>
  <conditionalFormatting sqref="V28">
    <cfRule type="cellIs" dxfId="5268" priority="37" operator="greaterThan">
      <formula>V27</formula>
    </cfRule>
    <cfRule type="cellIs" dxfId="5267" priority="38" operator="equal">
      <formula>0</formula>
    </cfRule>
  </conditionalFormatting>
  <conditionalFormatting sqref="V28">
    <cfRule type="cellIs" dxfId="5266" priority="35" operator="greaterThan">
      <formula>V27</formula>
    </cfRule>
    <cfRule type="cellIs" dxfId="5265" priority="36" operator="equal">
      <formula>0</formula>
    </cfRule>
  </conditionalFormatting>
  <conditionalFormatting sqref="V28">
    <cfRule type="cellIs" dxfId="5264" priority="33" operator="greaterThan">
      <formula>V27</formula>
    </cfRule>
    <cfRule type="cellIs" dxfId="5263" priority="34" operator="equal">
      <formula>0</formula>
    </cfRule>
  </conditionalFormatting>
  <conditionalFormatting sqref="V28">
    <cfRule type="cellIs" dxfId="5262" priority="31" operator="greaterThan">
      <formula>V27</formula>
    </cfRule>
    <cfRule type="cellIs" dxfId="5261" priority="32" operator="equal">
      <formula>0</formula>
    </cfRule>
  </conditionalFormatting>
  <conditionalFormatting sqref="V13">
    <cfRule type="cellIs" dxfId="5260" priority="30" operator="equal">
      <formula>0</formula>
    </cfRule>
  </conditionalFormatting>
  <conditionalFormatting sqref="V13">
    <cfRule type="cellIs" dxfId="5259" priority="28" operator="greaterThan">
      <formula>V12</formula>
    </cfRule>
    <cfRule type="cellIs" dxfId="5258" priority="29" operator="equal">
      <formula>0</formula>
    </cfRule>
  </conditionalFormatting>
  <conditionalFormatting sqref="V13">
    <cfRule type="cellIs" dxfId="5257" priority="26" operator="greaterThan">
      <formula>V12</formula>
    </cfRule>
    <cfRule type="cellIs" dxfId="5256" priority="27" operator="equal">
      <formula>0</formula>
    </cfRule>
  </conditionalFormatting>
  <conditionalFormatting sqref="V16">
    <cfRule type="cellIs" dxfId="5255" priority="25" operator="equal">
      <formula>0</formula>
    </cfRule>
  </conditionalFormatting>
  <conditionalFormatting sqref="V16">
    <cfRule type="cellIs" dxfId="5254" priority="23" operator="greaterThan">
      <formula>V15</formula>
    </cfRule>
    <cfRule type="cellIs" dxfId="5253" priority="24" operator="equal">
      <formula>0</formula>
    </cfRule>
  </conditionalFormatting>
  <conditionalFormatting sqref="V16">
    <cfRule type="cellIs" dxfId="5252" priority="21" operator="greaterThan">
      <formula>V15</formula>
    </cfRule>
    <cfRule type="cellIs" dxfId="5251" priority="22" operator="equal">
      <formula>0</formula>
    </cfRule>
  </conditionalFormatting>
  <conditionalFormatting sqref="V19">
    <cfRule type="cellIs" dxfId="5250" priority="20" operator="equal">
      <formula>0</formula>
    </cfRule>
  </conditionalFormatting>
  <conditionalFormatting sqref="V19">
    <cfRule type="cellIs" dxfId="5249" priority="18" operator="greaterThan">
      <formula>V18</formula>
    </cfRule>
    <cfRule type="cellIs" dxfId="5248" priority="19" operator="equal">
      <formula>0</formula>
    </cfRule>
  </conditionalFormatting>
  <conditionalFormatting sqref="V19">
    <cfRule type="cellIs" dxfId="5247" priority="16" operator="greaterThan">
      <formula>V18</formula>
    </cfRule>
    <cfRule type="cellIs" dxfId="5246" priority="17" operator="equal">
      <formula>0</formula>
    </cfRule>
  </conditionalFormatting>
  <conditionalFormatting sqref="V22">
    <cfRule type="cellIs" dxfId="5245" priority="15" operator="equal">
      <formula>0</formula>
    </cfRule>
  </conditionalFormatting>
  <conditionalFormatting sqref="V22">
    <cfRule type="cellIs" dxfId="5244" priority="13" operator="greaterThan">
      <formula>V21</formula>
    </cfRule>
    <cfRule type="cellIs" dxfId="5243" priority="14" operator="equal">
      <formula>0</formula>
    </cfRule>
  </conditionalFormatting>
  <conditionalFormatting sqref="V22">
    <cfRule type="cellIs" dxfId="5242" priority="11" operator="greaterThan">
      <formula>V21</formula>
    </cfRule>
    <cfRule type="cellIs" dxfId="5241" priority="12" operator="equal">
      <formula>0</formula>
    </cfRule>
  </conditionalFormatting>
  <conditionalFormatting sqref="V25">
    <cfRule type="cellIs" dxfId="5240" priority="10" operator="equal">
      <formula>0</formula>
    </cfRule>
  </conditionalFormatting>
  <conditionalFormatting sqref="V25">
    <cfRule type="cellIs" dxfId="5239" priority="8" operator="greaterThan">
      <formula>V24</formula>
    </cfRule>
    <cfRule type="cellIs" dxfId="5238" priority="9" operator="equal">
      <formula>0</formula>
    </cfRule>
  </conditionalFormatting>
  <conditionalFormatting sqref="V25">
    <cfRule type="cellIs" dxfId="5237" priority="6" operator="greaterThan">
      <formula>V24</formula>
    </cfRule>
    <cfRule type="cellIs" dxfId="5236" priority="7" operator="equal">
      <formula>0</formula>
    </cfRule>
  </conditionalFormatting>
  <conditionalFormatting sqref="V28">
    <cfRule type="cellIs" dxfId="5235" priority="5" operator="equal">
      <formula>0</formula>
    </cfRule>
  </conditionalFormatting>
  <conditionalFormatting sqref="V28">
    <cfRule type="cellIs" dxfId="5234" priority="3" operator="greaterThan">
      <formula>V27</formula>
    </cfRule>
    <cfRule type="cellIs" dxfId="5233" priority="4" operator="equal">
      <formula>0</formula>
    </cfRule>
  </conditionalFormatting>
  <conditionalFormatting sqref="V28">
    <cfRule type="cellIs" dxfId="5232" priority="1" operator="greaterThan">
      <formula>V27</formula>
    </cfRule>
    <cfRule type="cellIs" dxfId="5231" priority="2" operator="equal">
      <formula>0</formula>
    </cfRule>
  </conditionalFormatting>
  <dataValidations count="25">
    <dataValidation type="whole" allowBlank="1" showInputMessage="1" showErrorMessage="1" sqref="X51 X44:X48 Y16:Y51 X38:X41 X17 X20 X23 X26 X29 X32 X35">
      <formula1>0</formula1>
      <formula2>5000</formula2>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operator="greaterThanOrEqual" allowBlank="1" showInputMessage="1" showErrorMessage="1" errorTitle="المجموع" error="العدد المناسب" sqref="O49 M42 P33 P30 P12 P15 P18 P21 P27 P24 P36">
      <formula1>0</formula1>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&amp;R&amp;"-,Gras"&amp;8&amp;K00-019Echamil V.08      &amp;F                           &amp;K00-016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8">
    <tabColor rgb="FF00B050"/>
  </sheetPr>
  <dimension ref="A1:Z54"/>
  <sheetViews>
    <sheetView showGridLines="0" rightToLeft="1" topLeftCell="G1" zoomScale="115" zoomScaleNormal="115" workbookViewId="0">
      <selection activeCell="F42" sqref="F42"/>
    </sheetView>
  </sheetViews>
  <sheetFormatPr baseColWidth="10" defaultColWidth="0" defaultRowHeight="14.4" zeroHeight="1"/>
  <cols>
    <col min="1" max="1" width="1"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s="1041" customFormat="1"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s="1041" customFormat="1"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59" t="s">
        <v>603</v>
      </c>
      <c r="W2" s="4459"/>
      <c r="X2" s="4459"/>
      <c r="Y2" s="1945"/>
      <c r="Z2" s="1420"/>
    </row>
    <row r="3" spans="1:26" s="1041" customFormat="1"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59"/>
      <c r="W3" s="4459"/>
      <c r="X3" s="4459"/>
      <c r="Y3" s="1945"/>
      <c r="Z3" s="1420"/>
    </row>
    <row r="4" spans="1:26" ht="20.100000000000001" customHeight="1">
      <c r="A4" s="1418"/>
      <c r="B4" s="1431"/>
      <c r="C4" s="1432"/>
      <c r="D4" s="1946" t="s">
        <v>1463</v>
      </c>
      <c r="E4" s="1434"/>
      <c r="F4" s="1434"/>
      <c r="M4" s="1947"/>
      <c r="N4" s="1438"/>
      <c r="O4" s="1438"/>
      <c r="P4" s="1948" t="s">
        <v>1464</v>
      </c>
      <c r="Q4" s="1948"/>
      <c r="R4" s="1441"/>
      <c r="S4" s="1430"/>
      <c r="T4" s="1424"/>
      <c r="U4" s="1944"/>
      <c r="V4" s="4459"/>
      <c r="W4" s="4459"/>
      <c r="X4" s="4459"/>
      <c r="Y4" s="1945"/>
      <c r="Z4" s="1420"/>
    </row>
    <row r="5" spans="1:26" ht="2.1" customHeight="1">
      <c r="A5" s="1418"/>
      <c r="B5" s="1431"/>
      <c r="C5" s="1442"/>
      <c r="D5" s="1434"/>
      <c r="E5" s="1434"/>
      <c r="F5" s="1434"/>
      <c r="G5" s="1434"/>
      <c r="H5" s="1444"/>
      <c r="I5" s="1445"/>
      <c r="J5" s="1445"/>
      <c r="K5" s="1445"/>
      <c r="L5" s="1446"/>
      <c r="M5" s="1438"/>
      <c r="N5" s="1438"/>
      <c r="O5" s="1438"/>
      <c r="P5" s="1443"/>
      <c r="Q5" s="1440"/>
      <c r="R5" s="1441"/>
      <c r="S5" s="1430"/>
      <c r="T5" s="1424"/>
      <c r="U5" s="1944"/>
      <c r="V5" s="4459"/>
      <c r="W5" s="4459"/>
      <c r="X5" s="4459"/>
      <c r="Y5" s="1945"/>
      <c r="Z5" s="1420"/>
    </row>
    <row r="6" spans="1:26" ht="15.9" customHeight="1">
      <c r="A6" s="1418"/>
      <c r="B6" s="1431"/>
      <c r="C6" s="1442"/>
      <c r="F6" s="1951"/>
      <c r="G6" s="1952" t="s">
        <v>936</v>
      </c>
      <c r="H6" s="1953" t="s">
        <v>1096</v>
      </c>
      <c r="I6" s="1954"/>
      <c r="K6" s="1955"/>
      <c r="L6" s="2041"/>
      <c r="M6" s="1955"/>
      <c r="N6" s="1956" t="s">
        <v>1108</v>
      </c>
      <c r="O6" s="2041"/>
      <c r="P6" s="1957" t="s">
        <v>1097</v>
      </c>
      <c r="Q6" s="1440"/>
      <c r="R6" s="1441"/>
      <c r="S6" s="1430"/>
      <c r="T6" s="1424"/>
      <c r="U6" s="1944"/>
      <c r="V6" s="4459"/>
      <c r="W6" s="4459"/>
      <c r="X6" s="4459"/>
      <c r="Y6" s="1950"/>
      <c r="Z6" s="1420"/>
    </row>
    <row r="7" spans="1:26" ht="2.1" customHeight="1">
      <c r="A7" s="1418"/>
      <c r="B7" s="1431"/>
      <c r="C7" s="1442"/>
      <c r="D7" s="1493"/>
      <c r="E7" s="1949"/>
      <c r="F7" s="1949"/>
      <c r="G7" s="1949"/>
      <c r="H7" s="1949"/>
      <c r="I7" s="1949"/>
      <c r="J7" s="1949"/>
      <c r="K7" s="1949"/>
      <c r="L7" s="1949"/>
      <c r="M7" s="1949"/>
      <c r="N7" s="1949"/>
      <c r="O7" s="1949"/>
      <c r="P7" s="1949"/>
      <c r="Q7" s="1440"/>
      <c r="R7" s="1441"/>
      <c r="S7" s="1430"/>
      <c r="T7" s="1424"/>
      <c r="U7" s="1944"/>
      <c r="V7" s="1032"/>
      <c r="W7" s="1950"/>
      <c r="X7" s="1950"/>
      <c r="Y7" s="1950"/>
      <c r="Z7" s="1420"/>
    </row>
    <row r="8" spans="1:26" ht="14.1" customHeight="1">
      <c r="A8" s="1418"/>
      <c r="B8" s="1431"/>
      <c r="C8" s="1442"/>
      <c r="D8" s="2418" t="s">
        <v>1155</v>
      </c>
      <c r="E8" s="2419"/>
      <c r="F8" s="2419"/>
      <c r="G8" s="2419"/>
      <c r="H8" s="2420"/>
      <c r="I8" s="2420"/>
      <c r="J8" s="2420"/>
      <c r="K8" s="2420"/>
      <c r="L8" s="2419"/>
      <c r="M8" s="2419"/>
      <c r="N8" s="2419"/>
      <c r="O8" s="2419"/>
      <c r="P8" s="2396" t="s">
        <v>1154</v>
      </c>
      <c r="Q8" s="1440"/>
      <c r="R8" s="144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1440"/>
      <c r="R9" s="144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1440"/>
      <c r="R10" s="144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1440"/>
      <c r="R11" s="1441"/>
      <c r="S11" s="1430"/>
      <c r="T11" s="1424"/>
      <c r="U11" s="1944"/>
      <c r="V11" s="3100" t="s">
        <v>965</v>
      </c>
      <c r="W11" s="1966"/>
      <c r="X11" s="2036"/>
      <c r="Y11" s="2036"/>
      <c r="Z11" s="1420"/>
    </row>
    <row r="12" spans="1:26" ht="12" customHeight="1">
      <c r="A12" s="1418"/>
      <c r="B12" s="1431"/>
      <c r="C12" s="1442"/>
      <c r="D12" s="2430" t="s">
        <v>20</v>
      </c>
      <c r="E12" s="2265"/>
      <c r="F12" s="1462"/>
      <c r="G12" s="1462">
        <v>0</v>
      </c>
      <c r="H12" s="1462"/>
      <c r="I12" s="1462">
        <v>1</v>
      </c>
      <c r="J12" s="1462"/>
      <c r="K12" s="1462"/>
      <c r="L12" s="1462"/>
      <c r="M12" s="1462"/>
      <c r="N12" s="1462"/>
      <c r="O12" s="1462"/>
      <c r="P12" s="1998">
        <f>E12+F12+G12+H12+I12+J12+K12+L12+M12+N12+O12</f>
        <v>1</v>
      </c>
      <c r="Q12" s="1440"/>
      <c r="R12" s="1441"/>
      <c r="S12" s="1430"/>
      <c r="T12" s="1424"/>
      <c r="U12" s="1944"/>
      <c r="V12" s="4452" t="str">
        <f>IF(('الصفحة 1'!$Q$14&gt;0),((IF((P12&gt;'الصفحة 14'!$O$13),"العدد غيرمطابق",IF((P12&lt;='الصفحة 14'!$O$13)," ")))),"")</f>
        <v xml:space="preserve"> </v>
      </c>
      <c r="W12" s="4453"/>
      <c r="X12" s="3097"/>
      <c r="Y12" s="3096"/>
      <c r="Z12" s="1420"/>
    </row>
    <row r="13" spans="1:26" ht="12" customHeight="1">
      <c r="A13" s="1418"/>
      <c r="B13" s="1431"/>
      <c r="C13" s="1442"/>
      <c r="D13" s="2430" t="s">
        <v>672</v>
      </c>
      <c r="E13" s="2265"/>
      <c r="F13" s="2265"/>
      <c r="G13" s="2265"/>
      <c r="H13" s="2265"/>
      <c r="I13" s="2265"/>
      <c r="J13" s="2265"/>
      <c r="K13" s="2265"/>
      <c r="L13" s="2265"/>
      <c r="M13" s="2265"/>
      <c r="N13" s="2265"/>
      <c r="O13" s="2265"/>
      <c r="P13" s="1998">
        <f>E13+F13+G13+H13+I13+J13+K13+L13+M13+N13+O13</f>
        <v>0</v>
      </c>
      <c r="Q13" s="1440"/>
      <c r="R13" s="144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1440"/>
      <c r="R14" s="1441"/>
      <c r="S14" s="1430"/>
      <c r="T14" s="1424"/>
      <c r="U14" s="1944"/>
      <c r="V14" s="3100" t="s">
        <v>964</v>
      </c>
      <c r="W14" s="2036"/>
      <c r="X14" s="2036"/>
      <c r="Y14" s="2036"/>
      <c r="Z14" s="1420"/>
    </row>
    <row r="15" spans="1:26" ht="12" customHeight="1">
      <c r="A15" s="1418"/>
      <c r="B15" s="1431"/>
      <c r="C15" s="1442"/>
      <c r="D15" s="2430" t="s">
        <v>20</v>
      </c>
      <c r="E15" s="2265"/>
      <c r="F15" s="1462">
        <v>1</v>
      </c>
      <c r="G15" s="1462"/>
      <c r="H15" s="1462"/>
      <c r="I15" s="1462"/>
      <c r="J15" s="1462"/>
      <c r="K15" s="1462"/>
      <c r="L15" s="1462"/>
      <c r="M15" s="1462"/>
      <c r="N15" s="1462"/>
      <c r="O15" s="1462"/>
      <c r="P15" s="1998">
        <f>E15+F15+G15+H15+I15+J15+K15+L15+M15+N15+O15</f>
        <v>1</v>
      </c>
      <c r="Q15" s="1440"/>
      <c r="R15" s="1441"/>
      <c r="S15" s="1430"/>
      <c r="T15" s="1424"/>
      <c r="U15" s="1944"/>
      <c r="V15" s="4452" t="str">
        <f>IF(('الصفحة 1'!$Q$14&gt;0),((IF((P15&gt;'الصفحة 14'!$O$15),"العدد غيرمطابق",IF((P15&lt;='الصفحة 14'!$O$15)," ")))),"")</f>
        <v xml:space="preserve"> </v>
      </c>
      <c r="W15" s="4453"/>
      <c r="X15" s="3097"/>
      <c r="Y15" s="2036"/>
      <c r="Z15" s="1420"/>
    </row>
    <row r="16" spans="1:26" ht="12" customHeight="1">
      <c r="A16" s="1418"/>
      <c r="B16" s="1431"/>
      <c r="C16" s="1442"/>
      <c r="D16" s="2430" t="s">
        <v>672</v>
      </c>
      <c r="E16" s="2265"/>
      <c r="F16" s="2265"/>
      <c r="G16" s="2265"/>
      <c r="H16" s="2265"/>
      <c r="I16" s="2265"/>
      <c r="J16" s="2265"/>
      <c r="K16" s="2265"/>
      <c r="L16" s="2265"/>
      <c r="M16" s="2265"/>
      <c r="N16" s="2265"/>
      <c r="O16" s="2265"/>
      <c r="P16" s="1998">
        <f>E16+F16+G16+H16+I16+J16+K16+L16+M16+N16+O16</f>
        <v>0</v>
      </c>
      <c r="Q16" s="1440"/>
      <c r="R16" s="144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1440"/>
      <c r="R17" s="144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52" t="str">
        <f>IF(('الصفحة 1'!$Q$14&gt;0),((IF((P18&gt;'الصفحة 14'!$O$17),"العدد غيرمطابق",IF((P18&lt;='الصفحة 14'!$O$17),"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1440"/>
      <c r="R20" s="1441"/>
      <c r="S20" s="1430"/>
      <c r="T20" s="1424"/>
      <c r="U20" s="1944"/>
      <c r="V20" s="3100" t="s">
        <v>962</v>
      </c>
      <c r="W20" s="2039"/>
      <c r="X20" s="3052"/>
      <c r="Y20" s="3052"/>
      <c r="Z20" s="1420"/>
    </row>
    <row r="21" spans="1:26" ht="12" customHeight="1">
      <c r="A21" s="1418"/>
      <c r="B21" s="1431"/>
      <c r="C21" s="1442"/>
      <c r="D21" s="2430" t="s">
        <v>20</v>
      </c>
      <c r="E21" s="2265"/>
      <c r="F21" s="1462"/>
      <c r="G21" s="1462"/>
      <c r="H21" s="1462"/>
      <c r="I21" s="1462"/>
      <c r="J21" s="1462"/>
      <c r="K21" s="1462"/>
      <c r="L21" s="1462"/>
      <c r="M21" s="1462"/>
      <c r="N21" s="1462"/>
      <c r="O21" s="1462"/>
      <c r="P21" s="1998">
        <f>E21+F21+G21+H21+I21+J21+K21+L21+M21+N21+O21</f>
        <v>0</v>
      </c>
      <c r="Q21" s="1440"/>
      <c r="R21" s="1441"/>
      <c r="S21" s="1430"/>
      <c r="T21" s="1424"/>
      <c r="U21" s="1944"/>
      <c r="V21" s="4452" t="str">
        <f>IF(('الصفحة 1'!$Q$14&gt;0),((IF((P21&gt;'الصفحة 14'!$O$19),"العدد غيرمطابق",IF((P21&lt;='الصفحة 14'!$O$19)," ")))),"")</f>
        <v xml:space="preserve"> </v>
      </c>
      <c r="W21" s="4453"/>
      <c r="X21" s="3097"/>
      <c r="Y21" s="3052"/>
      <c r="Z21" s="1420"/>
    </row>
    <row r="22" spans="1:26" ht="12" customHeight="1">
      <c r="A22" s="1418"/>
      <c r="B22" s="1431"/>
      <c r="C22" s="1442"/>
      <c r="D22" s="2430" t="s">
        <v>672</v>
      </c>
      <c r="E22" s="2265"/>
      <c r="F22" s="2265"/>
      <c r="G22" s="2265"/>
      <c r="H22" s="2265"/>
      <c r="I22" s="2265"/>
      <c r="J22" s="2265"/>
      <c r="K22" s="2265"/>
      <c r="L22" s="2265"/>
      <c r="M22" s="2265"/>
      <c r="N22" s="2265"/>
      <c r="O22" s="2265"/>
      <c r="P22" s="1998">
        <f>E22+F22+G22+H22+I22+J22+K22+L22+M22+N22+O22</f>
        <v>0</v>
      </c>
      <c r="Q22" s="1440"/>
      <c r="R22" s="144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1440"/>
      <c r="R23" s="144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52" t="str">
        <f>IF(('الصفحة 1'!$Q$14&gt;0),((IF((P24&gt;'الصفحة 14'!$O$21),"العدد غيرمطابق",IF((P24&lt;='الصفحة 14'!$O$21),"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1440"/>
      <c r="R26" s="1441"/>
      <c r="S26" s="1430"/>
      <c r="T26" s="1424"/>
      <c r="U26" s="1944"/>
      <c r="V26" s="3109" t="s">
        <v>1083</v>
      </c>
      <c r="W26" s="1966"/>
      <c r="X26" s="3052"/>
      <c r="Y26" s="3052"/>
      <c r="Z26" s="1420"/>
    </row>
    <row r="27" spans="1:26" ht="12" customHeight="1">
      <c r="A27" s="1418"/>
      <c r="B27" s="1431"/>
      <c r="C27" s="1442"/>
      <c r="D27" s="2430" t="s">
        <v>20</v>
      </c>
      <c r="E27" s="1996">
        <f>(E12+E15+E18+E21+E24)</f>
        <v>0</v>
      </c>
      <c r="F27" s="1997">
        <f t="shared" ref="F27:O27" si="0">(F12+F15+F18+F21+F24)</f>
        <v>1</v>
      </c>
      <c r="G27" s="1997">
        <f t="shared" si="0"/>
        <v>0</v>
      </c>
      <c r="H27" s="1997">
        <f t="shared" si="0"/>
        <v>0</v>
      </c>
      <c r="I27" s="1997">
        <f t="shared" si="0"/>
        <v>1</v>
      </c>
      <c r="J27" s="1997">
        <f t="shared" si="0"/>
        <v>0</v>
      </c>
      <c r="K27" s="1997">
        <f t="shared" si="0"/>
        <v>0</v>
      </c>
      <c r="L27" s="1997">
        <f t="shared" si="0"/>
        <v>0</v>
      </c>
      <c r="M27" s="1997">
        <f t="shared" si="0"/>
        <v>0</v>
      </c>
      <c r="N27" s="1997">
        <f t="shared" si="0"/>
        <v>0</v>
      </c>
      <c r="O27" s="1997">
        <f t="shared" si="0"/>
        <v>0</v>
      </c>
      <c r="P27" s="1998">
        <f>E27+F27+G27+H27+I27+J27+K27+L27+M27+N27+O27</f>
        <v>2</v>
      </c>
      <c r="Q27" s="1440"/>
      <c r="R27" s="1441"/>
      <c r="S27" s="1430"/>
      <c r="T27" s="1424"/>
      <c r="U27" s="1944"/>
      <c r="V27" s="4452" t="str">
        <f>IF(('الصفحة 1'!$Q$14&gt;0),((IF((P27&gt;'الصفحة 14'!$O$23),"العدد غيرمطابق",IF((P27&lt;='الصفحة 14'!$O$23)," ")))),"")</f>
        <v xml:space="preserve"> </v>
      </c>
      <c r="W27" s="4453"/>
      <c r="X27" s="3097"/>
      <c r="Y27" s="3052"/>
      <c r="Z27" s="1420"/>
    </row>
    <row r="28" spans="1:26" ht="12" customHeight="1">
      <c r="A28" s="1418"/>
      <c r="B28" s="1431"/>
      <c r="C28" s="1442"/>
      <c r="D28" s="2430" t="s">
        <v>672</v>
      </c>
      <c r="E28" s="1996">
        <f t="shared" ref="E28:O28" si="1">(E13+E16+E19+E22+E25)</f>
        <v>0</v>
      </c>
      <c r="F28" s="1996">
        <f t="shared" si="1"/>
        <v>0</v>
      </c>
      <c r="G28" s="1996">
        <f t="shared" si="1"/>
        <v>0</v>
      </c>
      <c r="H28" s="1996">
        <f t="shared" si="1"/>
        <v>0</v>
      </c>
      <c r="I28" s="1996">
        <f t="shared" si="1"/>
        <v>0</v>
      </c>
      <c r="J28" s="1996">
        <f t="shared" si="1"/>
        <v>0</v>
      </c>
      <c r="K28" s="1996">
        <f t="shared" si="1"/>
        <v>0</v>
      </c>
      <c r="L28" s="1996">
        <f t="shared" si="1"/>
        <v>0</v>
      </c>
      <c r="M28" s="1996">
        <f t="shared" si="1"/>
        <v>0</v>
      </c>
      <c r="N28" s="1996">
        <f t="shared" si="1"/>
        <v>0</v>
      </c>
      <c r="O28" s="1996">
        <f t="shared" si="1"/>
        <v>0</v>
      </c>
      <c r="P28" s="1998">
        <f>E28+F28+G28+H28+I28+J28+K28+L28+M28+N28+O28</f>
        <v>0</v>
      </c>
      <c r="Q28" s="1440"/>
      <c r="R28" s="144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1440"/>
      <c r="R29" s="144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64"/>
      <c r="W31" s="4464"/>
      <c r="X31" s="3052"/>
      <c r="Y31" s="3052"/>
      <c r="Z31" s="1420"/>
    </row>
    <row r="32" spans="1:26" ht="11.1" customHeight="1">
      <c r="A32" s="1418"/>
      <c r="B32" s="1431"/>
      <c r="C32" s="1442"/>
      <c r="D32" s="2437" t="s">
        <v>1163</v>
      </c>
      <c r="E32" s="2000"/>
      <c r="F32" s="2000"/>
      <c r="G32" s="2000"/>
      <c r="H32" s="2000"/>
      <c r="I32" s="2000"/>
      <c r="J32" s="2000"/>
      <c r="K32" s="2000"/>
      <c r="L32" s="2000"/>
      <c r="M32" s="2000"/>
      <c r="N32" s="2000"/>
      <c r="O32" s="2000"/>
      <c r="P32" s="2403" t="s">
        <v>1162</v>
      </c>
      <c r="Q32" s="1440"/>
      <c r="R32" s="1441"/>
      <c r="S32" s="1430"/>
      <c r="T32" s="1424"/>
      <c r="U32" s="1944"/>
      <c r="V32" s="2177"/>
      <c r="W32" s="1966"/>
      <c r="X32" s="3052"/>
      <c r="Y32" s="3052"/>
      <c r="Z32" s="1420"/>
    </row>
    <row r="33" spans="1:26" ht="12.9" customHeight="1">
      <c r="A33" s="1418"/>
      <c r="B33" s="1431"/>
      <c r="C33" s="1442"/>
      <c r="D33" s="2430" t="s">
        <v>20</v>
      </c>
      <c r="E33" s="2265"/>
      <c r="F33" s="1462"/>
      <c r="G33" s="1462"/>
      <c r="H33" s="1462"/>
      <c r="I33" s="1462"/>
      <c r="J33" s="1462"/>
      <c r="K33" s="1462"/>
      <c r="L33" s="1462"/>
      <c r="M33" s="1462"/>
      <c r="N33" s="1462"/>
      <c r="O33" s="1462"/>
      <c r="P33" s="1998">
        <f>E33+F33+G33+H33+I33+J33+K33+L33+M33+N33+O33</f>
        <v>0</v>
      </c>
      <c r="Q33" s="1440"/>
      <c r="R33" s="1441"/>
      <c r="S33" s="1430"/>
      <c r="T33" s="1424"/>
      <c r="U33" s="1944"/>
      <c r="V33" s="4464"/>
      <c r="W33" s="4464"/>
      <c r="X33" s="3052"/>
      <c r="Y33" s="3052"/>
      <c r="Z33" s="1420"/>
    </row>
    <row r="34" spans="1:26" ht="12" customHeight="1">
      <c r="A34" s="1418"/>
      <c r="B34" s="1431"/>
      <c r="C34" s="1442"/>
      <c r="D34" s="2430" t="s">
        <v>672</v>
      </c>
      <c r="E34" s="2265"/>
      <c r="F34" s="2265"/>
      <c r="G34" s="2265"/>
      <c r="H34" s="2265"/>
      <c r="I34" s="2265"/>
      <c r="J34" s="2265"/>
      <c r="K34" s="2265"/>
      <c r="L34" s="2265"/>
      <c r="M34" s="2265"/>
      <c r="N34" s="2265"/>
      <c r="O34" s="2265"/>
      <c r="P34" s="1998">
        <f>E34+F34+G34+H34+I34+J34+K34+L34+M34+N34+O34</f>
        <v>0</v>
      </c>
      <c r="Q34" s="1440"/>
      <c r="R34" s="144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1440"/>
      <c r="R35" s="1441"/>
      <c r="S35" s="1430"/>
      <c r="T35" s="1424"/>
      <c r="U35" s="1944"/>
      <c r="V35" s="2176"/>
      <c r="W35" s="1966"/>
      <c r="X35" s="3052"/>
      <c r="Y35" s="3052"/>
      <c r="Z35" s="1420"/>
    </row>
    <row r="36" spans="1:26" ht="12.9" customHeight="1">
      <c r="A36" s="1418"/>
      <c r="B36" s="1431"/>
      <c r="C36" s="1442"/>
      <c r="D36" s="2430" t="s">
        <v>20</v>
      </c>
      <c r="E36" s="1996">
        <f>(E27+E33)</f>
        <v>0</v>
      </c>
      <c r="F36" s="1997">
        <f t="shared" ref="F36:O36" si="2">(F27+F33)</f>
        <v>1</v>
      </c>
      <c r="G36" s="1997">
        <f t="shared" si="2"/>
        <v>0</v>
      </c>
      <c r="H36" s="1997">
        <f t="shared" si="2"/>
        <v>0</v>
      </c>
      <c r="I36" s="1997">
        <f t="shared" si="2"/>
        <v>1</v>
      </c>
      <c r="J36" s="1997">
        <f t="shared" si="2"/>
        <v>0</v>
      </c>
      <c r="K36" s="1997">
        <f t="shared" si="2"/>
        <v>0</v>
      </c>
      <c r="L36" s="1997">
        <f t="shared" si="2"/>
        <v>0</v>
      </c>
      <c r="M36" s="1997">
        <f t="shared" si="2"/>
        <v>0</v>
      </c>
      <c r="N36" s="1997">
        <f t="shared" si="2"/>
        <v>0</v>
      </c>
      <c r="O36" s="1997">
        <f t="shared" si="2"/>
        <v>0</v>
      </c>
      <c r="P36" s="1998">
        <f>E36+F36+G36+H36+I36+J36+K36+L36+M36+N36+O36</f>
        <v>2</v>
      </c>
      <c r="Q36" s="1440"/>
      <c r="R36" s="1441"/>
      <c r="S36" s="1430"/>
      <c r="T36" s="1424"/>
      <c r="U36" s="1944"/>
      <c r="V36" s="4464"/>
      <c r="W36" s="4464"/>
      <c r="X36" s="3052"/>
      <c r="Y36" s="3052"/>
      <c r="Z36" s="1420"/>
    </row>
    <row r="37" spans="1:26" ht="12.9" customHeight="1">
      <c r="A37" s="1418"/>
      <c r="B37" s="1431"/>
      <c r="C37" s="1442"/>
      <c r="D37" s="2430" t="s">
        <v>672</v>
      </c>
      <c r="E37" s="1996">
        <f t="shared" ref="E37:O37" si="3">(E28+E34)</f>
        <v>0</v>
      </c>
      <c r="F37" s="1996">
        <f t="shared" si="3"/>
        <v>0</v>
      </c>
      <c r="G37" s="1996">
        <f t="shared" si="3"/>
        <v>0</v>
      </c>
      <c r="H37" s="1996">
        <f t="shared" si="3"/>
        <v>0</v>
      </c>
      <c r="I37" s="1996">
        <f t="shared" si="3"/>
        <v>0</v>
      </c>
      <c r="J37" s="1996">
        <f t="shared" si="3"/>
        <v>0</v>
      </c>
      <c r="K37" s="1996">
        <f t="shared" si="3"/>
        <v>0</v>
      </c>
      <c r="L37" s="1996">
        <f t="shared" si="3"/>
        <v>0</v>
      </c>
      <c r="M37" s="1996">
        <f t="shared" si="3"/>
        <v>0</v>
      </c>
      <c r="N37" s="1996">
        <f t="shared" si="3"/>
        <v>0</v>
      </c>
      <c r="O37" s="1996">
        <f t="shared" si="3"/>
        <v>0</v>
      </c>
      <c r="P37" s="1998">
        <f>E37+F37+G37+H37+I37+J37+K37+L37+M37+N37+O37</f>
        <v>0</v>
      </c>
      <c r="Q37" s="1440"/>
      <c r="R37" s="144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1440"/>
      <c r="R38" s="1441"/>
      <c r="S38" s="1430"/>
      <c r="T38" s="1424"/>
      <c r="U38" s="1944"/>
      <c r="V38" s="2038"/>
      <c r="W38" s="1966"/>
      <c r="X38" s="3052"/>
      <c r="Y38" s="3052"/>
      <c r="Z38" s="1420"/>
    </row>
    <row r="39" spans="1:26" ht="15" customHeight="1">
      <c r="A39" s="1418"/>
      <c r="B39" s="1431"/>
      <c r="C39" s="1442"/>
      <c r="D39" s="2441" t="s">
        <v>1151</v>
      </c>
      <c r="E39" s="2419"/>
      <c r="F39" s="2419"/>
      <c r="G39" s="2419"/>
      <c r="H39" s="2442" t="s">
        <v>1257</v>
      </c>
      <c r="I39" s="2420"/>
      <c r="J39" s="2420"/>
      <c r="K39" s="2420"/>
      <c r="L39" s="2419"/>
      <c r="M39" s="2419"/>
      <c r="N39" s="2419"/>
      <c r="O39" s="2419"/>
      <c r="P39" s="2443" t="s">
        <v>1206</v>
      </c>
      <c r="Q39" s="1440"/>
      <c r="R39" s="144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1440"/>
      <c r="R40" s="144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1440"/>
      <c r="R41" s="1441"/>
      <c r="S41" s="1430"/>
      <c r="T41" s="1424"/>
      <c r="U41" s="1944"/>
      <c r="V41" s="2179" t="s">
        <v>1085</v>
      </c>
      <c r="W41" s="1966"/>
      <c r="X41" s="2037"/>
      <c r="Y41" s="2037"/>
      <c r="Z41" s="1420"/>
    </row>
    <row r="42" spans="1:26" ht="14.1" customHeight="1">
      <c r="A42" s="1418"/>
      <c r="B42" s="1431"/>
      <c r="C42" s="1442"/>
      <c r="D42" s="2430" t="s">
        <v>20</v>
      </c>
      <c r="E42" s="2265"/>
      <c r="F42" s="1462">
        <v>2</v>
      </c>
      <c r="G42" s="1462"/>
      <c r="H42" s="1462"/>
      <c r="I42" s="1462"/>
      <c r="J42" s="1462"/>
      <c r="K42" s="1462"/>
      <c r="L42" s="1462"/>
      <c r="M42" s="2453">
        <f>E42+F42+G42+H42+I42+J42+K42+L42</f>
        <v>2</v>
      </c>
      <c r="N42" s="2452"/>
      <c r="O42" s="2452"/>
      <c r="P42" s="2452"/>
      <c r="Q42" s="1440"/>
      <c r="R42" s="1441"/>
      <c r="S42" s="1430"/>
      <c r="T42" s="1424"/>
      <c r="U42" s="1944"/>
      <c r="V42" s="4452" t="str">
        <f>IF(('الصفحة 1'!$Q$14&gt;0),((IF((M42&gt;'الصفحة 14'!$O$23),"العدد غيرمطابق",IF((M42&lt;='الصفحة 14'!$O$23)," ")))),"")</f>
        <v xml:space="preserve"> </v>
      </c>
      <c r="W42" s="4453"/>
      <c r="X42" s="1975" t="str">
        <f>IF(('الصفحة 1'!$Q$14&gt;0),((IF((M42&lt;&gt;P27),"العدد غيرمطابق",IF((M42=P27)," ")))),"")</f>
        <v xml:space="preserve"> </v>
      </c>
      <c r="Y42" s="2037"/>
      <c r="Z42" s="1420"/>
    </row>
    <row r="43" spans="1:26" ht="14.1" customHeight="1">
      <c r="A43" s="1418"/>
      <c r="B43" s="1431"/>
      <c r="C43" s="1442"/>
      <c r="D43" s="2430" t="s">
        <v>672</v>
      </c>
      <c r="E43" s="2265"/>
      <c r="F43" s="2265"/>
      <c r="G43" s="2265"/>
      <c r="H43" s="2265"/>
      <c r="I43" s="2265"/>
      <c r="J43" s="2265"/>
      <c r="K43" s="2265"/>
      <c r="L43" s="2265"/>
      <c r="M43" s="2453">
        <f>E43+F43+G43+H43+I43+J43+K43+L43</f>
        <v>0</v>
      </c>
      <c r="N43" s="2452"/>
      <c r="O43" s="2452"/>
      <c r="P43" s="2452"/>
      <c r="Q43" s="1440"/>
      <c r="R43" s="1441"/>
      <c r="S43" s="1430"/>
      <c r="T43" s="1424"/>
      <c r="U43" s="1944"/>
      <c r="V43" s="4452" t="str">
        <f>IF(('الصفحة 1'!$Q$14&gt;0),((IF((M43&gt;'الصفحة 14'!$O$23),"العدد غيرمطابق",IF((M43&lt;='الصفحة 14'!$O$23)," ")))),"")</f>
        <v xml:space="preserve"> </v>
      </c>
      <c r="W43" s="4453"/>
      <c r="X43" s="1975" t="str">
        <f>IF(('الصفحة 1'!$Q$14&gt;0),((IF((M43&lt;&gt;P28),"العدد غيرمطابق",IF((M43=P28)," ")))),"")</f>
        <v xml:space="preserve"> </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1440"/>
      <c r="R44" s="144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1440"/>
      <c r="R45" s="1441"/>
      <c r="S45" s="1430"/>
      <c r="T45" s="1424"/>
      <c r="U45" s="1944"/>
      <c r="V45" s="2038"/>
      <c r="W45" s="1966"/>
      <c r="X45" s="2037"/>
      <c r="Y45" s="2037"/>
      <c r="Z45" s="1420"/>
    </row>
    <row r="46" spans="1:26" ht="15" customHeight="1">
      <c r="A46" s="1418"/>
      <c r="B46" s="1431"/>
      <c r="C46" s="1442"/>
      <c r="D46" s="2441" t="s">
        <v>1152</v>
      </c>
      <c r="E46" s="2457"/>
      <c r="F46" s="2457"/>
      <c r="G46" s="2457"/>
      <c r="H46" s="2442" t="s">
        <v>1257</v>
      </c>
      <c r="I46" s="2458"/>
      <c r="J46" s="2458"/>
      <c r="K46" s="2458"/>
      <c r="L46" s="2457"/>
      <c r="M46" s="2457"/>
      <c r="N46" s="2457"/>
      <c r="O46" s="2457"/>
      <c r="P46" s="2459" t="s">
        <v>1153</v>
      </c>
      <c r="Q46" s="1440"/>
      <c r="R46" s="144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1440"/>
      <c r="R47" s="144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1440"/>
      <c r="R48" s="144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1440"/>
      <c r="R49" s="1441"/>
      <c r="S49" s="1430"/>
      <c r="T49" s="1424"/>
      <c r="U49" s="1944"/>
      <c r="V49" s="4452" t="str">
        <f>IF(('الصفحة 1'!$Q$14&gt;0),((IF((O49&gt;'الصفحة 14'!$O$23),"العدد غيرمطابق",IF((O49&lt;='الصفحة 14'!$O$23)," ")))),"")</f>
        <v xml:space="preserve"> </v>
      </c>
      <c r="W49" s="4453"/>
      <c r="X49" s="1975" t="str">
        <f>IF(('الصفحة 1'!$Q$14&gt;0),((IF((O49&lt;&gt;P27),"العدد غيرمطابق",IF((O49=P27)," ")))),"")</f>
        <v>العدد غيرمطابق</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1440"/>
      <c r="R50" s="1441"/>
      <c r="S50" s="1430"/>
      <c r="T50" s="1424"/>
      <c r="U50" s="1944"/>
      <c r="V50" s="4452" t="str">
        <f>IF(('الصفحة 1'!$Q$14&gt;0),((IF((O50&gt;'الصفحة 14'!$O$23),"العدد غيرمطابق",IF((O50&lt;='الصفحة 14'!$O$23)," ")))),"")</f>
        <v xml:space="preserve"> </v>
      </c>
      <c r="W50" s="4453"/>
      <c r="X50" s="1975" t="str">
        <f>IF(('الصفحة 1'!$Q$14&gt;0),((IF((O50&lt;&gt;P28),"العدد غيرمطابق",IF((O50=P28)," ")))),"")</f>
        <v xml:space="preserve"> </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25</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1504"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5:W15"/>
    <mergeCell ref="V2:X6"/>
    <mergeCell ref="V10:W10"/>
    <mergeCell ref="V12:W12"/>
    <mergeCell ref="V13:W13"/>
    <mergeCell ref="V8:W8"/>
    <mergeCell ref="V33:W33"/>
    <mergeCell ref="V16:W16"/>
    <mergeCell ref="V18:W18"/>
    <mergeCell ref="V19:W19"/>
    <mergeCell ref="V21:W21"/>
    <mergeCell ref="V22:W22"/>
    <mergeCell ref="V24:W24"/>
    <mergeCell ref="V25:W25"/>
    <mergeCell ref="V27:W27"/>
    <mergeCell ref="V28:W28"/>
    <mergeCell ref="V30:W30"/>
    <mergeCell ref="V31:W31"/>
    <mergeCell ref="V34:W34"/>
    <mergeCell ref="V36:W36"/>
    <mergeCell ref="V37:W37"/>
    <mergeCell ref="V42:W42"/>
    <mergeCell ref="V43:W43"/>
    <mergeCell ref="O48:P48"/>
    <mergeCell ref="E49:F49"/>
    <mergeCell ref="G49:H49"/>
    <mergeCell ref="I49:J49"/>
    <mergeCell ref="K49:L49"/>
    <mergeCell ref="M49:N49"/>
    <mergeCell ref="O49:P49"/>
    <mergeCell ref="E48:F48"/>
    <mergeCell ref="G48:H48"/>
    <mergeCell ref="I48:J48"/>
    <mergeCell ref="K48:L48"/>
    <mergeCell ref="M48:N48"/>
    <mergeCell ref="C53:R53"/>
    <mergeCell ref="V49:W49"/>
    <mergeCell ref="E50:F50"/>
    <mergeCell ref="G50:H50"/>
    <mergeCell ref="I50:J50"/>
    <mergeCell ref="K50:L50"/>
    <mergeCell ref="M50:N50"/>
    <mergeCell ref="O50:P50"/>
    <mergeCell ref="V50:W50"/>
  </mergeCells>
  <conditionalFormatting sqref="G49 I49:I50 K49:K50 M49:M50 O49:O50 V49:V50 X49:X50 E49 X42:X43 E42:P42 V42:V43 E27:P27 E12:P12 E15:P15 E18:P18 E21:P21 V12:V13 V15:V16 V18:V19 E30:P30 X12:X13 X15:X16 X18:X19 E24:P24 X21:X25 V21:V22 V24:V25 X27:X28 V27:V28 E33:P33 E36:P36">
    <cfRule type="cellIs" dxfId="5230" priority="1781" operator="equal">
      <formula>0</formula>
    </cfRule>
  </conditionalFormatting>
  <conditionalFormatting sqref="E13 E43:P44 V50 X50">
    <cfRule type="cellIs" dxfId="5229" priority="1779" operator="greaterThan">
      <formula>E12</formula>
    </cfRule>
    <cfRule type="cellIs" dxfId="5228" priority="1780" operator="equal">
      <formula>0</formula>
    </cfRule>
  </conditionalFormatting>
  <conditionalFormatting sqref="F13">
    <cfRule type="cellIs" dxfId="5227" priority="1777" operator="greaterThan">
      <formula>F12</formula>
    </cfRule>
    <cfRule type="cellIs" dxfId="5226" priority="1778" operator="equal">
      <formula>0</formula>
    </cfRule>
  </conditionalFormatting>
  <conditionalFormatting sqref="G13">
    <cfRule type="cellIs" dxfId="5225" priority="1775" operator="greaterThan">
      <formula>G12</formula>
    </cfRule>
    <cfRule type="cellIs" dxfId="5224" priority="1776" operator="equal">
      <formula>0</formula>
    </cfRule>
  </conditionalFormatting>
  <conditionalFormatting sqref="H13">
    <cfRule type="cellIs" dxfId="5223" priority="1773" operator="greaterThan">
      <formula>H12</formula>
    </cfRule>
    <cfRule type="cellIs" dxfId="5222" priority="1774" operator="equal">
      <formula>0</formula>
    </cfRule>
  </conditionalFormatting>
  <conditionalFormatting sqref="I13">
    <cfRule type="cellIs" dxfId="5221" priority="1771" operator="greaterThan">
      <formula>I12</formula>
    </cfRule>
    <cfRule type="cellIs" dxfId="5220" priority="1772" operator="equal">
      <formula>0</formula>
    </cfRule>
  </conditionalFormatting>
  <conditionalFormatting sqref="J13">
    <cfRule type="cellIs" dxfId="5219" priority="1769" operator="greaterThan">
      <formula>J12</formula>
    </cfRule>
    <cfRule type="cellIs" dxfId="5218" priority="1770" operator="equal">
      <formula>0</formula>
    </cfRule>
  </conditionalFormatting>
  <conditionalFormatting sqref="K13">
    <cfRule type="cellIs" dxfId="5217" priority="1767" operator="greaterThan">
      <formula>K12</formula>
    </cfRule>
    <cfRule type="cellIs" dxfId="5216" priority="1768" operator="equal">
      <formula>0</formula>
    </cfRule>
  </conditionalFormatting>
  <conditionalFormatting sqref="L13">
    <cfRule type="cellIs" dxfId="5215" priority="1765" operator="greaterThan">
      <formula>L12</formula>
    </cfRule>
    <cfRule type="cellIs" dxfId="5214" priority="1766" operator="equal">
      <formula>0</formula>
    </cfRule>
  </conditionalFormatting>
  <conditionalFormatting sqref="M13">
    <cfRule type="cellIs" dxfId="5213" priority="1763" operator="greaterThan">
      <formula>M12</formula>
    </cfRule>
    <cfRule type="cellIs" dxfId="5212" priority="1764" operator="equal">
      <formula>0</formula>
    </cfRule>
  </conditionalFormatting>
  <conditionalFormatting sqref="N13">
    <cfRule type="cellIs" dxfId="5211" priority="1761" operator="greaterThan">
      <formula>N12</formula>
    </cfRule>
    <cfRule type="cellIs" dxfId="5210" priority="1762" operator="equal">
      <formula>0</formula>
    </cfRule>
  </conditionalFormatting>
  <conditionalFormatting sqref="O13">
    <cfRule type="cellIs" dxfId="5209" priority="1759" operator="greaterThan">
      <formula>O12</formula>
    </cfRule>
    <cfRule type="cellIs" dxfId="5208" priority="1760" operator="equal">
      <formula>0</formula>
    </cfRule>
  </conditionalFormatting>
  <conditionalFormatting sqref="P13">
    <cfRule type="cellIs" dxfId="5207" priority="1757" operator="greaterThan">
      <formula>P12</formula>
    </cfRule>
    <cfRule type="cellIs" dxfId="5206" priority="1758" operator="equal">
      <formula>0</formula>
    </cfRule>
  </conditionalFormatting>
  <conditionalFormatting sqref="E16">
    <cfRule type="cellIs" dxfId="5205" priority="1755" operator="greaterThan">
      <formula>E15</formula>
    </cfRule>
    <cfRule type="cellIs" dxfId="5204" priority="1756" operator="equal">
      <formula>0</formula>
    </cfRule>
  </conditionalFormatting>
  <conditionalFormatting sqref="F16">
    <cfRule type="cellIs" dxfId="5203" priority="1753" operator="greaterThan">
      <formula>F15</formula>
    </cfRule>
    <cfRule type="cellIs" dxfId="5202" priority="1754" operator="equal">
      <formula>0</formula>
    </cfRule>
  </conditionalFormatting>
  <conditionalFormatting sqref="G16">
    <cfRule type="cellIs" dxfId="5201" priority="1751" operator="greaterThan">
      <formula>G15</formula>
    </cfRule>
    <cfRule type="cellIs" dxfId="5200" priority="1752" operator="equal">
      <formula>0</formula>
    </cfRule>
  </conditionalFormatting>
  <conditionalFormatting sqref="H16">
    <cfRule type="cellIs" dxfId="5199" priority="1749" operator="greaterThan">
      <formula>H15</formula>
    </cfRule>
    <cfRule type="cellIs" dxfId="5198" priority="1750" operator="equal">
      <formula>0</formula>
    </cfRule>
  </conditionalFormatting>
  <conditionalFormatting sqref="I16">
    <cfRule type="cellIs" dxfId="5197" priority="1747" operator="greaterThan">
      <formula>I15</formula>
    </cfRule>
    <cfRule type="cellIs" dxfId="5196" priority="1748" operator="equal">
      <formula>0</formula>
    </cfRule>
  </conditionalFormatting>
  <conditionalFormatting sqref="J16">
    <cfRule type="cellIs" dxfId="5195" priority="1745" operator="greaterThan">
      <formula>J15</formula>
    </cfRule>
    <cfRule type="cellIs" dxfId="5194" priority="1746" operator="equal">
      <formula>0</formula>
    </cfRule>
  </conditionalFormatting>
  <conditionalFormatting sqref="K16">
    <cfRule type="cellIs" dxfId="5193" priority="1743" operator="greaterThan">
      <formula>K15</formula>
    </cfRule>
    <cfRule type="cellIs" dxfId="5192" priority="1744" operator="equal">
      <formula>0</formula>
    </cfRule>
  </conditionalFormatting>
  <conditionalFormatting sqref="L16">
    <cfRule type="cellIs" dxfId="5191" priority="1741" operator="greaterThan">
      <formula>L15</formula>
    </cfRule>
    <cfRule type="cellIs" dxfId="5190" priority="1742" operator="equal">
      <formula>0</formula>
    </cfRule>
  </conditionalFormatting>
  <conditionalFormatting sqref="M16">
    <cfRule type="cellIs" dxfId="5189" priority="1739" operator="greaterThan">
      <formula>M15</formula>
    </cfRule>
    <cfRule type="cellIs" dxfId="5188" priority="1740" operator="equal">
      <formula>0</formula>
    </cfRule>
  </conditionalFormatting>
  <conditionalFormatting sqref="N16">
    <cfRule type="cellIs" dxfId="5187" priority="1737" operator="greaterThan">
      <formula>N15</formula>
    </cfRule>
    <cfRule type="cellIs" dxfId="5186" priority="1738" operator="equal">
      <formula>0</formula>
    </cfRule>
  </conditionalFormatting>
  <conditionalFormatting sqref="O16">
    <cfRule type="cellIs" dxfId="5185" priority="1735" operator="greaterThan">
      <formula>O15</formula>
    </cfRule>
    <cfRule type="cellIs" dxfId="5184" priority="1736" operator="equal">
      <formula>0</formula>
    </cfRule>
  </conditionalFormatting>
  <conditionalFormatting sqref="P16">
    <cfRule type="cellIs" dxfId="5183" priority="1733" operator="greaterThan">
      <formula>P15</formula>
    </cfRule>
    <cfRule type="cellIs" dxfId="5182" priority="1734" operator="equal">
      <formula>0</formula>
    </cfRule>
  </conditionalFormatting>
  <conditionalFormatting sqref="E19">
    <cfRule type="cellIs" dxfId="5181" priority="1731" operator="greaterThan">
      <formula>E18</formula>
    </cfRule>
    <cfRule type="cellIs" dxfId="5180" priority="1732" operator="equal">
      <formula>0</formula>
    </cfRule>
  </conditionalFormatting>
  <conditionalFormatting sqref="F19">
    <cfRule type="cellIs" dxfId="5179" priority="1729" operator="greaterThan">
      <formula>F18</formula>
    </cfRule>
    <cfRule type="cellIs" dxfId="5178" priority="1730" operator="equal">
      <formula>0</formula>
    </cfRule>
  </conditionalFormatting>
  <conditionalFormatting sqref="G19">
    <cfRule type="cellIs" dxfId="5177" priority="1727" operator="greaterThan">
      <formula>G18</formula>
    </cfRule>
    <cfRule type="cellIs" dxfId="5176" priority="1728" operator="equal">
      <formula>0</formula>
    </cfRule>
  </conditionalFormatting>
  <conditionalFormatting sqref="H19">
    <cfRule type="cellIs" dxfId="5175" priority="1725" operator="greaterThan">
      <formula>H18</formula>
    </cfRule>
    <cfRule type="cellIs" dxfId="5174" priority="1726" operator="equal">
      <formula>0</formula>
    </cfRule>
  </conditionalFormatting>
  <conditionalFormatting sqref="I19">
    <cfRule type="cellIs" dxfId="5173" priority="1723" operator="greaterThan">
      <formula>I18</formula>
    </cfRule>
    <cfRule type="cellIs" dxfId="5172" priority="1724" operator="equal">
      <formula>0</formula>
    </cfRule>
  </conditionalFormatting>
  <conditionalFormatting sqref="J19">
    <cfRule type="cellIs" dxfId="5171" priority="1721" operator="greaterThan">
      <formula>J18</formula>
    </cfRule>
    <cfRule type="cellIs" dxfId="5170" priority="1722" operator="equal">
      <formula>0</formula>
    </cfRule>
  </conditionalFormatting>
  <conditionalFormatting sqref="K19">
    <cfRule type="cellIs" dxfId="5169" priority="1719" operator="greaterThan">
      <formula>K18</formula>
    </cfRule>
    <cfRule type="cellIs" dxfId="5168" priority="1720" operator="equal">
      <formula>0</formula>
    </cfRule>
  </conditionalFormatting>
  <conditionalFormatting sqref="L19">
    <cfRule type="cellIs" dxfId="5167" priority="1717" operator="greaterThan">
      <formula>L18</formula>
    </cfRule>
    <cfRule type="cellIs" dxfId="5166" priority="1718" operator="equal">
      <formula>0</formula>
    </cfRule>
  </conditionalFormatting>
  <conditionalFormatting sqref="M19">
    <cfRule type="cellIs" dxfId="5165" priority="1715" operator="greaterThan">
      <formula>M18</formula>
    </cfRule>
    <cfRule type="cellIs" dxfId="5164" priority="1716" operator="equal">
      <formula>0</formula>
    </cfRule>
  </conditionalFormatting>
  <conditionalFormatting sqref="N19">
    <cfRule type="cellIs" dxfId="5163" priority="1713" operator="greaterThan">
      <formula>N18</formula>
    </cfRule>
    <cfRule type="cellIs" dxfId="5162" priority="1714" operator="equal">
      <formula>0</formula>
    </cfRule>
  </conditionalFormatting>
  <conditionalFormatting sqref="O19">
    <cfRule type="cellIs" dxfId="5161" priority="1711" operator="greaterThan">
      <formula>O18</formula>
    </cfRule>
    <cfRule type="cellIs" dxfId="5160" priority="1712" operator="equal">
      <formula>0</formula>
    </cfRule>
  </conditionalFormatting>
  <conditionalFormatting sqref="P19">
    <cfRule type="cellIs" dxfId="5159" priority="1709" operator="greaterThan">
      <formula>P18</formula>
    </cfRule>
    <cfRule type="cellIs" dxfId="5158" priority="1710" operator="equal">
      <formula>0</formula>
    </cfRule>
  </conditionalFormatting>
  <conditionalFormatting sqref="E22">
    <cfRule type="cellIs" dxfId="5157" priority="1707" operator="greaterThan">
      <formula>E21</formula>
    </cfRule>
    <cfRule type="cellIs" dxfId="5156" priority="1708" operator="equal">
      <formula>0</formula>
    </cfRule>
  </conditionalFormatting>
  <conditionalFormatting sqref="F22">
    <cfRule type="cellIs" dxfId="5155" priority="1705" operator="greaterThan">
      <formula>F21</formula>
    </cfRule>
    <cfRule type="cellIs" dxfId="5154" priority="1706" operator="equal">
      <formula>0</formula>
    </cfRule>
  </conditionalFormatting>
  <conditionalFormatting sqref="G22">
    <cfRule type="cellIs" dxfId="5153" priority="1703" operator="greaterThan">
      <formula>G21</formula>
    </cfRule>
    <cfRule type="cellIs" dxfId="5152" priority="1704" operator="equal">
      <formula>0</formula>
    </cfRule>
  </conditionalFormatting>
  <conditionalFormatting sqref="H22">
    <cfRule type="cellIs" dxfId="5151" priority="1701" operator="greaterThan">
      <formula>H21</formula>
    </cfRule>
    <cfRule type="cellIs" dxfId="5150" priority="1702" operator="equal">
      <formula>0</formula>
    </cfRule>
  </conditionalFormatting>
  <conditionalFormatting sqref="I22">
    <cfRule type="cellIs" dxfId="5149" priority="1699" operator="greaterThan">
      <formula>I21</formula>
    </cfRule>
    <cfRule type="cellIs" dxfId="5148" priority="1700" operator="equal">
      <formula>0</formula>
    </cfRule>
  </conditionalFormatting>
  <conditionalFormatting sqref="J22">
    <cfRule type="cellIs" dxfId="5147" priority="1697" operator="greaterThan">
      <formula>J21</formula>
    </cfRule>
    <cfRule type="cellIs" dxfId="5146" priority="1698" operator="equal">
      <formula>0</formula>
    </cfRule>
  </conditionalFormatting>
  <conditionalFormatting sqref="K22">
    <cfRule type="cellIs" dxfId="5145" priority="1695" operator="greaterThan">
      <formula>K21</formula>
    </cfRule>
    <cfRule type="cellIs" dxfId="5144" priority="1696" operator="equal">
      <formula>0</formula>
    </cfRule>
  </conditionalFormatting>
  <conditionalFormatting sqref="L22">
    <cfRule type="cellIs" dxfId="5143" priority="1693" operator="greaterThan">
      <formula>L21</formula>
    </cfRule>
    <cfRule type="cellIs" dxfId="5142" priority="1694" operator="equal">
      <formula>0</formula>
    </cfRule>
  </conditionalFormatting>
  <conditionalFormatting sqref="M22">
    <cfRule type="cellIs" dxfId="5141" priority="1691" operator="greaterThan">
      <formula>M21</formula>
    </cfRule>
    <cfRule type="cellIs" dxfId="5140" priority="1692" operator="equal">
      <formula>0</formula>
    </cfRule>
  </conditionalFormatting>
  <conditionalFormatting sqref="N22">
    <cfRule type="cellIs" dxfId="5139" priority="1689" operator="greaterThan">
      <formula>N21</formula>
    </cfRule>
    <cfRule type="cellIs" dxfId="5138" priority="1690" operator="equal">
      <formula>0</formula>
    </cfRule>
  </conditionalFormatting>
  <conditionalFormatting sqref="O22">
    <cfRule type="cellIs" dxfId="5137" priority="1687" operator="greaterThan">
      <formula>O21</formula>
    </cfRule>
    <cfRule type="cellIs" dxfId="5136" priority="1688" operator="equal">
      <formula>0</formula>
    </cfRule>
  </conditionalFormatting>
  <conditionalFormatting sqref="P22">
    <cfRule type="cellIs" dxfId="5135" priority="1685" operator="greaterThan">
      <formula>P21</formula>
    </cfRule>
    <cfRule type="cellIs" dxfId="5134" priority="1686" operator="equal">
      <formula>0</formula>
    </cfRule>
  </conditionalFormatting>
  <conditionalFormatting sqref="E28">
    <cfRule type="cellIs" dxfId="5133" priority="1683" operator="greaterThan">
      <formula>E27</formula>
    </cfRule>
    <cfRule type="cellIs" dxfId="5132" priority="1684" operator="equal">
      <formula>0</formula>
    </cfRule>
  </conditionalFormatting>
  <conditionalFormatting sqref="F28">
    <cfRule type="cellIs" dxfId="5131" priority="1681" operator="greaterThan">
      <formula>F27</formula>
    </cfRule>
    <cfRule type="cellIs" dxfId="5130" priority="1682" operator="equal">
      <formula>0</formula>
    </cfRule>
  </conditionalFormatting>
  <conditionalFormatting sqref="G28">
    <cfRule type="cellIs" dxfId="5129" priority="1679" operator="greaterThan">
      <formula>G27</formula>
    </cfRule>
    <cfRule type="cellIs" dxfId="5128" priority="1680" operator="equal">
      <formula>0</formula>
    </cfRule>
  </conditionalFormatting>
  <conditionalFormatting sqref="H28">
    <cfRule type="cellIs" dxfId="5127" priority="1677" operator="greaterThan">
      <formula>H27</formula>
    </cfRule>
    <cfRule type="cellIs" dxfId="5126" priority="1678" operator="equal">
      <formula>0</formula>
    </cfRule>
  </conditionalFormatting>
  <conditionalFormatting sqref="I28">
    <cfRule type="cellIs" dxfId="5125" priority="1675" operator="greaterThan">
      <formula>I27</formula>
    </cfRule>
    <cfRule type="cellIs" dxfId="5124" priority="1676" operator="equal">
      <formula>0</formula>
    </cfRule>
  </conditionalFormatting>
  <conditionalFormatting sqref="J28">
    <cfRule type="cellIs" dxfId="5123" priority="1673" operator="greaterThan">
      <formula>J27</formula>
    </cfRule>
    <cfRule type="cellIs" dxfId="5122" priority="1674" operator="equal">
      <formula>0</formula>
    </cfRule>
  </conditionalFormatting>
  <conditionalFormatting sqref="K28">
    <cfRule type="cellIs" dxfId="5121" priority="1671" operator="greaterThan">
      <formula>K27</formula>
    </cfRule>
    <cfRule type="cellIs" dxfId="5120" priority="1672" operator="equal">
      <formula>0</formula>
    </cfRule>
  </conditionalFormatting>
  <conditionalFormatting sqref="L28">
    <cfRule type="cellIs" dxfId="5119" priority="1669" operator="greaterThan">
      <formula>L27</formula>
    </cfRule>
    <cfRule type="cellIs" dxfId="5118" priority="1670" operator="equal">
      <formula>0</formula>
    </cfRule>
  </conditionalFormatting>
  <conditionalFormatting sqref="M28">
    <cfRule type="cellIs" dxfId="5117" priority="1667" operator="greaterThan">
      <formula>M27</formula>
    </cfRule>
    <cfRule type="cellIs" dxfId="5116" priority="1668" operator="equal">
      <formula>0</formula>
    </cfRule>
  </conditionalFormatting>
  <conditionalFormatting sqref="N28">
    <cfRule type="cellIs" dxfId="5115" priority="1665" operator="greaterThan">
      <formula>N27</formula>
    </cfRule>
    <cfRule type="cellIs" dxfId="5114" priority="1666" operator="equal">
      <formula>0</formula>
    </cfRule>
  </conditionalFormatting>
  <conditionalFormatting sqref="O28">
    <cfRule type="cellIs" dxfId="5113" priority="1663" operator="greaterThan">
      <formula>O27</formula>
    </cfRule>
    <cfRule type="cellIs" dxfId="5112" priority="1664" operator="equal">
      <formula>0</formula>
    </cfRule>
  </conditionalFormatting>
  <conditionalFormatting sqref="P28">
    <cfRule type="cellIs" dxfId="5111" priority="1661" operator="greaterThan">
      <formula>P27</formula>
    </cfRule>
    <cfRule type="cellIs" dxfId="5110" priority="1662" operator="equal">
      <formula>0</formula>
    </cfRule>
  </conditionalFormatting>
  <conditionalFormatting sqref="E47:P47">
    <cfRule type="cellIs" dxfId="5109" priority="1659" operator="greaterThan">
      <formula>E45</formula>
    </cfRule>
    <cfRule type="cellIs" dxfId="5108" priority="1660" operator="equal">
      <formula>0</formula>
    </cfRule>
  </conditionalFormatting>
  <conditionalFormatting sqref="G50 I50 K50 M50 O50 E50">
    <cfRule type="cellIs" dxfId="5107" priority="1657" operator="greaterThan">
      <formula>E49</formula>
    </cfRule>
    <cfRule type="cellIs" dxfId="5106" priority="1658" operator="equal">
      <formula>0</formula>
    </cfRule>
  </conditionalFormatting>
  <conditionalFormatting sqref="E51:P51">
    <cfRule type="cellIs" dxfId="5105" priority="1655" operator="greaterThan">
      <formula>E45</formula>
    </cfRule>
    <cfRule type="cellIs" dxfId="5104" priority="1656" operator="equal">
      <formula>0</formula>
    </cfRule>
  </conditionalFormatting>
  <conditionalFormatting sqref="V28">
    <cfRule type="cellIs" dxfId="5103" priority="1653" operator="greaterThan">
      <formula>V27</formula>
    </cfRule>
    <cfRule type="cellIs" dxfId="5102" priority="1654" operator="equal">
      <formula>0</formula>
    </cfRule>
  </conditionalFormatting>
  <conditionalFormatting sqref="V43">
    <cfRule type="cellIs" dxfId="5101" priority="1651" operator="greaterThan">
      <formula>V42</formula>
    </cfRule>
    <cfRule type="cellIs" dxfId="5100" priority="1652" operator="equal">
      <formula>0</formula>
    </cfRule>
  </conditionalFormatting>
  <conditionalFormatting sqref="X43">
    <cfRule type="cellIs" dxfId="5099" priority="1649" operator="greaterThan">
      <formula>X42</formula>
    </cfRule>
    <cfRule type="cellIs" dxfId="5098" priority="1650" operator="equal">
      <formula>0</formula>
    </cfRule>
  </conditionalFormatting>
  <conditionalFormatting sqref="V27">
    <cfRule type="cellIs" dxfId="5097" priority="1647" operator="greaterThan">
      <formula>V26</formula>
    </cfRule>
    <cfRule type="cellIs" dxfId="5096" priority="1648" operator="equal">
      <formula>0</formula>
    </cfRule>
  </conditionalFormatting>
  <conditionalFormatting sqref="E51:N51">
    <cfRule type="cellIs" dxfId="5095" priority="1645" operator="greaterThan">
      <formula>G50</formula>
    </cfRule>
    <cfRule type="cellIs" dxfId="5094" priority="1646" operator="equal">
      <formula>0</formula>
    </cfRule>
  </conditionalFormatting>
  <conditionalFormatting sqref="O51:P51">
    <cfRule type="cellIs" dxfId="5093" priority="1643" operator="greaterThan">
      <formula>#REF!</formula>
    </cfRule>
    <cfRule type="cellIs" dxfId="5092" priority="1644" operator="equal">
      <formula>0</formula>
    </cfRule>
  </conditionalFormatting>
  <conditionalFormatting sqref="V13">
    <cfRule type="cellIs" dxfId="5091" priority="1641" operator="greaterThan">
      <formula>V12</formula>
    </cfRule>
    <cfRule type="cellIs" dxfId="5090" priority="1642" operator="equal">
      <formula>0</formula>
    </cfRule>
  </conditionalFormatting>
  <conditionalFormatting sqref="V12">
    <cfRule type="cellIs" dxfId="5089" priority="1639" operator="greaterThan">
      <formula>V11</formula>
    </cfRule>
    <cfRule type="cellIs" dxfId="5088" priority="1640" operator="equal">
      <formula>0</formula>
    </cfRule>
  </conditionalFormatting>
  <conditionalFormatting sqref="V16">
    <cfRule type="cellIs" dxfId="5087" priority="1637" operator="greaterThan">
      <formula>V15</formula>
    </cfRule>
    <cfRule type="cellIs" dxfId="5086" priority="1638" operator="equal">
      <formula>0</formula>
    </cfRule>
  </conditionalFormatting>
  <conditionalFormatting sqref="V15">
    <cfRule type="cellIs" dxfId="5085" priority="1635" operator="greaterThan">
      <formula>V14</formula>
    </cfRule>
    <cfRule type="cellIs" dxfId="5084" priority="1636" operator="equal">
      <formula>0</formula>
    </cfRule>
  </conditionalFormatting>
  <conditionalFormatting sqref="V19">
    <cfRule type="cellIs" dxfId="5083" priority="1633" operator="greaterThan">
      <formula>V18</formula>
    </cfRule>
    <cfRule type="cellIs" dxfId="5082" priority="1634" operator="equal">
      <formula>0</formula>
    </cfRule>
  </conditionalFormatting>
  <conditionalFormatting sqref="V18">
    <cfRule type="cellIs" dxfId="5081" priority="1631" operator="greaterThan">
      <formula>V17</formula>
    </cfRule>
    <cfRule type="cellIs" dxfId="5080" priority="1632" operator="equal">
      <formula>0</formula>
    </cfRule>
  </conditionalFormatting>
  <conditionalFormatting sqref="V22 V24:V25">
    <cfRule type="cellIs" dxfId="5079" priority="1629" operator="greaterThan">
      <formula>V21</formula>
    </cfRule>
    <cfRule type="cellIs" dxfId="5078" priority="1630" operator="equal">
      <formula>0</formula>
    </cfRule>
  </conditionalFormatting>
  <conditionalFormatting sqref="V21">
    <cfRule type="cellIs" dxfId="5077" priority="1627" operator="greaterThan">
      <formula>V20</formula>
    </cfRule>
    <cfRule type="cellIs" dxfId="5076" priority="1628" operator="equal">
      <formula>0</formula>
    </cfRule>
  </conditionalFormatting>
  <conditionalFormatting sqref="E31">
    <cfRule type="cellIs" dxfId="5075" priority="1625" operator="greaterThan">
      <formula>E30</formula>
    </cfRule>
    <cfRule type="cellIs" dxfId="5074" priority="1626" operator="equal">
      <formula>0</formula>
    </cfRule>
  </conditionalFormatting>
  <conditionalFormatting sqref="F31">
    <cfRule type="cellIs" dxfId="5073" priority="1623" operator="greaterThan">
      <formula>F30</formula>
    </cfRule>
    <cfRule type="cellIs" dxfId="5072" priority="1624" operator="equal">
      <formula>0</formula>
    </cfRule>
  </conditionalFormatting>
  <conditionalFormatting sqref="G31">
    <cfRule type="cellIs" dxfId="5071" priority="1621" operator="greaterThan">
      <formula>G30</formula>
    </cfRule>
    <cfRule type="cellIs" dxfId="5070" priority="1622" operator="equal">
      <formula>0</formula>
    </cfRule>
  </conditionalFormatting>
  <conditionalFormatting sqref="H31">
    <cfRule type="cellIs" dxfId="5069" priority="1619" operator="greaterThan">
      <formula>H30</formula>
    </cfRule>
    <cfRule type="cellIs" dxfId="5068" priority="1620" operator="equal">
      <formula>0</formula>
    </cfRule>
  </conditionalFormatting>
  <conditionalFormatting sqref="I31">
    <cfRule type="cellIs" dxfId="5067" priority="1617" operator="greaterThan">
      <formula>I30</formula>
    </cfRule>
    <cfRule type="cellIs" dxfId="5066" priority="1618" operator="equal">
      <formula>0</formula>
    </cfRule>
  </conditionalFormatting>
  <conditionalFormatting sqref="J31">
    <cfRule type="cellIs" dxfId="5065" priority="1615" operator="greaterThan">
      <formula>J30</formula>
    </cfRule>
    <cfRule type="cellIs" dxfId="5064" priority="1616" operator="equal">
      <formula>0</formula>
    </cfRule>
  </conditionalFormatting>
  <conditionalFormatting sqref="K31">
    <cfRule type="cellIs" dxfId="5063" priority="1613" operator="greaterThan">
      <formula>K30</formula>
    </cfRule>
    <cfRule type="cellIs" dxfId="5062" priority="1614" operator="equal">
      <formula>0</formula>
    </cfRule>
  </conditionalFormatting>
  <conditionalFormatting sqref="L31">
    <cfRule type="cellIs" dxfId="5061" priority="1611" operator="greaterThan">
      <formula>L30</formula>
    </cfRule>
    <cfRule type="cellIs" dxfId="5060" priority="1612" operator="equal">
      <formula>0</formula>
    </cfRule>
  </conditionalFormatting>
  <conditionalFormatting sqref="M31">
    <cfRule type="cellIs" dxfId="5059" priority="1609" operator="greaterThan">
      <formula>M30</formula>
    </cfRule>
    <cfRule type="cellIs" dxfId="5058" priority="1610" operator="equal">
      <formula>0</formula>
    </cfRule>
  </conditionalFormatting>
  <conditionalFormatting sqref="N31">
    <cfRule type="cellIs" dxfId="5057" priority="1607" operator="greaterThan">
      <formula>N30</formula>
    </cfRule>
    <cfRule type="cellIs" dxfId="5056" priority="1608" operator="equal">
      <formula>0</formula>
    </cfRule>
  </conditionalFormatting>
  <conditionalFormatting sqref="O31">
    <cfRule type="cellIs" dxfId="5055" priority="1605" operator="greaterThan">
      <formula>O30</formula>
    </cfRule>
    <cfRule type="cellIs" dxfId="5054" priority="1606" operator="equal">
      <formula>0</formula>
    </cfRule>
  </conditionalFormatting>
  <conditionalFormatting sqref="P31">
    <cfRule type="cellIs" dxfId="5053" priority="1603" operator="greaterThan">
      <formula>P30</formula>
    </cfRule>
    <cfRule type="cellIs" dxfId="5052" priority="1604" operator="equal">
      <formula>0</formula>
    </cfRule>
  </conditionalFormatting>
  <conditionalFormatting sqref="E25">
    <cfRule type="cellIs" dxfId="5051" priority="1601" operator="greaterThan">
      <formula>E24</formula>
    </cfRule>
    <cfRule type="cellIs" dxfId="5050" priority="1602" operator="equal">
      <formula>0</formula>
    </cfRule>
  </conditionalFormatting>
  <conditionalFormatting sqref="F25">
    <cfRule type="cellIs" dxfId="5049" priority="1599" operator="greaterThan">
      <formula>F24</formula>
    </cfRule>
    <cfRule type="cellIs" dxfId="5048" priority="1600" operator="equal">
      <formula>0</formula>
    </cfRule>
  </conditionalFormatting>
  <conditionalFormatting sqref="G25">
    <cfRule type="cellIs" dxfId="5047" priority="1597" operator="greaterThan">
      <formula>G24</formula>
    </cfRule>
    <cfRule type="cellIs" dxfId="5046" priority="1598" operator="equal">
      <formula>0</formula>
    </cfRule>
  </conditionalFormatting>
  <conditionalFormatting sqref="H25">
    <cfRule type="cellIs" dxfId="5045" priority="1595" operator="greaterThan">
      <formula>H24</formula>
    </cfRule>
    <cfRule type="cellIs" dxfId="5044" priority="1596" operator="equal">
      <formula>0</formula>
    </cfRule>
  </conditionalFormatting>
  <conditionalFormatting sqref="I25">
    <cfRule type="cellIs" dxfId="5043" priority="1593" operator="greaterThan">
      <formula>I24</formula>
    </cfRule>
    <cfRule type="cellIs" dxfId="5042" priority="1594" operator="equal">
      <formula>0</formula>
    </cfRule>
  </conditionalFormatting>
  <conditionalFormatting sqref="J25">
    <cfRule type="cellIs" dxfId="5041" priority="1591" operator="greaterThan">
      <formula>J24</formula>
    </cfRule>
    <cfRule type="cellIs" dxfId="5040" priority="1592" operator="equal">
      <formula>0</formula>
    </cfRule>
  </conditionalFormatting>
  <conditionalFormatting sqref="K25">
    <cfRule type="cellIs" dxfId="5039" priority="1589" operator="greaterThan">
      <formula>K24</formula>
    </cfRule>
    <cfRule type="cellIs" dxfId="5038" priority="1590" operator="equal">
      <formula>0</formula>
    </cfRule>
  </conditionalFormatting>
  <conditionalFormatting sqref="L25">
    <cfRule type="cellIs" dxfId="5037" priority="1587" operator="greaterThan">
      <formula>L24</formula>
    </cfRule>
    <cfRule type="cellIs" dxfId="5036" priority="1588" operator="equal">
      <formula>0</formula>
    </cfRule>
  </conditionalFormatting>
  <conditionalFormatting sqref="M25">
    <cfRule type="cellIs" dxfId="5035" priority="1585" operator="greaterThan">
      <formula>M24</formula>
    </cfRule>
    <cfRule type="cellIs" dxfId="5034" priority="1586" operator="equal">
      <formula>0</formula>
    </cfRule>
  </conditionalFormatting>
  <conditionalFormatting sqref="N25">
    <cfRule type="cellIs" dxfId="5033" priority="1583" operator="greaterThan">
      <formula>N24</formula>
    </cfRule>
    <cfRule type="cellIs" dxfId="5032" priority="1584" operator="equal">
      <formula>0</formula>
    </cfRule>
  </conditionalFormatting>
  <conditionalFormatting sqref="O25">
    <cfRule type="cellIs" dxfId="5031" priority="1581" operator="greaterThan">
      <formula>O24</formula>
    </cfRule>
    <cfRule type="cellIs" dxfId="5030" priority="1582" operator="equal">
      <formula>0</formula>
    </cfRule>
  </conditionalFormatting>
  <conditionalFormatting sqref="P25">
    <cfRule type="cellIs" dxfId="5029" priority="1579" operator="greaterThan">
      <formula>P24</formula>
    </cfRule>
    <cfRule type="cellIs" dxfId="5028" priority="1580" operator="equal">
      <formula>0</formula>
    </cfRule>
  </conditionalFormatting>
  <conditionalFormatting sqref="E45:P45 E46:O46">
    <cfRule type="cellIs" dxfId="5027" priority="1577" operator="greaterThan">
      <formula>#REF!</formula>
    </cfRule>
    <cfRule type="cellIs" dxfId="5026" priority="1578" operator="equal">
      <formula>0</formula>
    </cfRule>
  </conditionalFormatting>
  <conditionalFormatting sqref="E34">
    <cfRule type="cellIs" dxfId="5025" priority="1574" operator="greaterThan">
      <formula>E33</formula>
    </cfRule>
    <cfRule type="cellIs" dxfId="5024" priority="1575" operator="equal">
      <formula>0</formula>
    </cfRule>
  </conditionalFormatting>
  <conditionalFormatting sqref="F34">
    <cfRule type="cellIs" dxfId="5023" priority="1572" operator="greaterThan">
      <formula>F33</formula>
    </cfRule>
    <cfRule type="cellIs" dxfId="5022" priority="1573" operator="equal">
      <formula>0</formula>
    </cfRule>
  </conditionalFormatting>
  <conditionalFormatting sqref="G34">
    <cfRule type="cellIs" dxfId="5021" priority="1570" operator="greaterThan">
      <formula>G33</formula>
    </cfRule>
    <cfRule type="cellIs" dxfId="5020" priority="1571" operator="equal">
      <formula>0</formula>
    </cfRule>
  </conditionalFormatting>
  <conditionalFormatting sqref="H34">
    <cfRule type="cellIs" dxfId="5019" priority="1568" operator="greaterThan">
      <formula>H33</formula>
    </cfRule>
    <cfRule type="cellIs" dxfId="5018" priority="1569" operator="equal">
      <formula>0</formula>
    </cfRule>
  </conditionalFormatting>
  <conditionalFormatting sqref="I34">
    <cfRule type="cellIs" dxfId="5017" priority="1566" operator="greaterThan">
      <formula>I33</formula>
    </cfRule>
    <cfRule type="cellIs" dxfId="5016" priority="1567" operator="equal">
      <formula>0</formula>
    </cfRule>
  </conditionalFormatting>
  <conditionalFormatting sqref="J34">
    <cfRule type="cellIs" dxfId="5015" priority="1564" operator="greaterThan">
      <formula>J33</formula>
    </cfRule>
    <cfRule type="cellIs" dxfId="5014" priority="1565" operator="equal">
      <formula>0</formula>
    </cfRule>
  </conditionalFormatting>
  <conditionalFormatting sqref="K34">
    <cfRule type="cellIs" dxfId="5013" priority="1562" operator="greaterThan">
      <formula>K33</formula>
    </cfRule>
    <cfRule type="cellIs" dxfId="5012" priority="1563" operator="equal">
      <formula>0</formula>
    </cfRule>
  </conditionalFormatting>
  <conditionalFormatting sqref="L34">
    <cfRule type="cellIs" dxfId="5011" priority="1560" operator="greaterThan">
      <formula>L33</formula>
    </cfRule>
    <cfRule type="cellIs" dxfId="5010" priority="1561" operator="equal">
      <formula>0</formula>
    </cfRule>
  </conditionalFormatting>
  <conditionalFormatting sqref="M34">
    <cfRule type="cellIs" dxfId="5009" priority="1558" operator="greaterThan">
      <formula>M33</formula>
    </cfRule>
    <cfRule type="cellIs" dxfId="5008" priority="1559" operator="equal">
      <formula>0</formula>
    </cfRule>
  </conditionalFormatting>
  <conditionalFormatting sqref="N34">
    <cfRule type="cellIs" dxfId="5007" priority="1556" operator="greaterThan">
      <formula>N33</formula>
    </cfRule>
    <cfRule type="cellIs" dxfId="5006" priority="1557" operator="equal">
      <formula>0</formula>
    </cfRule>
  </conditionalFormatting>
  <conditionalFormatting sqref="O34">
    <cfRule type="cellIs" dxfId="5005" priority="1554" operator="greaterThan">
      <formula>O33</formula>
    </cfRule>
    <cfRule type="cellIs" dxfId="5004" priority="1555" operator="equal">
      <formula>0</formula>
    </cfRule>
  </conditionalFormatting>
  <conditionalFormatting sqref="P34">
    <cfRule type="cellIs" dxfId="5003" priority="1552" operator="greaterThan">
      <formula>P33</formula>
    </cfRule>
    <cfRule type="cellIs" dxfId="5002" priority="1553" operator="equal">
      <formula>0</formula>
    </cfRule>
  </conditionalFormatting>
  <conditionalFormatting sqref="E37">
    <cfRule type="cellIs" dxfId="5001" priority="1549" operator="greaterThan">
      <formula>E36</formula>
    </cfRule>
    <cfRule type="cellIs" dxfId="5000" priority="1550" operator="equal">
      <formula>0</formula>
    </cfRule>
  </conditionalFormatting>
  <conditionalFormatting sqref="F37">
    <cfRule type="cellIs" dxfId="4999" priority="1547" operator="greaterThan">
      <formula>F36</formula>
    </cfRule>
    <cfRule type="cellIs" dxfId="4998" priority="1548" operator="equal">
      <formula>0</formula>
    </cfRule>
  </conditionalFormatting>
  <conditionalFormatting sqref="G37">
    <cfRule type="cellIs" dxfId="4997" priority="1545" operator="greaterThan">
      <formula>G36</formula>
    </cfRule>
    <cfRule type="cellIs" dxfId="4996" priority="1546" operator="equal">
      <formula>0</formula>
    </cfRule>
  </conditionalFormatting>
  <conditionalFormatting sqref="H37">
    <cfRule type="cellIs" dxfId="4995" priority="1543" operator="greaterThan">
      <formula>H36</formula>
    </cfRule>
    <cfRule type="cellIs" dxfId="4994" priority="1544" operator="equal">
      <formula>0</formula>
    </cfRule>
  </conditionalFormatting>
  <conditionalFormatting sqref="I37">
    <cfRule type="cellIs" dxfId="4993" priority="1541" operator="greaterThan">
      <formula>I36</formula>
    </cfRule>
    <cfRule type="cellIs" dxfId="4992" priority="1542" operator="equal">
      <formula>0</formula>
    </cfRule>
  </conditionalFormatting>
  <conditionalFormatting sqref="J37">
    <cfRule type="cellIs" dxfId="4991" priority="1539" operator="greaterThan">
      <formula>J36</formula>
    </cfRule>
    <cfRule type="cellIs" dxfId="4990" priority="1540" operator="equal">
      <formula>0</formula>
    </cfRule>
  </conditionalFormatting>
  <conditionalFormatting sqref="K37">
    <cfRule type="cellIs" dxfId="4989" priority="1537" operator="greaterThan">
      <formula>K36</formula>
    </cfRule>
    <cfRule type="cellIs" dxfId="4988" priority="1538" operator="equal">
      <formula>0</formula>
    </cfRule>
  </conditionalFormatting>
  <conditionalFormatting sqref="L37">
    <cfRule type="cellIs" dxfId="4987" priority="1535" operator="greaterThan">
      <formula>L36</formula>
    </cfRule>
    <cfRule type="cellIs" dxfId="4986" priority="1536" operator="equal">
      <formula>0</formula>
    </cfRule>
  </conditionalFormatting>
  <conditionalFormatting sqref="M37">
    <cfRule type="cellIs" dxfId="4985" priority="1533" operator="greaterThan">
      <formula>M36</formula>
    </cfRule>
    <cfRule type="cellIs" dxfId="4984" priority="1534" operator="equal">
      <formula>0</formula>
    </cfRule>
  </conditionalFormatting>
  <conditionalFormatting sqref="N37">
    <cfRule type="cellIs" dxfId="4983" priority="1531" operator="greaterThan">
      <formula>N36</formula>
    </cfRule>
    <cfRule type="cellIs" dxfId="4982" priority="1532" operator="equal">
      <formula>0</formula>
    </cfRule>
  </conditionalFormatting>
  <conditionalFormatting sqref="O37">
    <cfRule type="cellIs" dxfId="4981" priority="1529" operator="greaterThan">
      <formula>O36</formula>
    </cfRule>
    <cfRule type="cellIs" dxfId="4980" priority="1530" operator="equal">
      <formula>0</formula>
    </cfRule>
  </conditionalFormatting>
  <conditionalFormatting sqref="P37">
    <cfRule type="cellIs" dxfId="4979" priority="1527" operator="greaterThan">
      <formula>P36</formula>
    </cfRule>
    <cfRule type="cellIs" dxfId="4978" priority="1528" operator="equal">
      <formula>0</formula>
    </cfRule>
  </conditionalFormatting>
  <conditionalFormatting sqref="V24">
    <cfRule type="cellIs" dxfId="4977" priority="1525" operator="greaterThan">
      <formula>V23</formula>
    </cfRule>
    <cfRule type="cellIs" dxfId="4976" priority="1526" operator="equal">
      <formula>0</formula>
    </cfRule>
  </conditionalFormatting>
  <conditionalFormatting sqref="V27:V28">
    <cfRule type="cellIs" dxfId="4975" priority="1523" operator="greaterThan">
      <formula>V26</formula>
    </cfRule>
    <cfRule type="cellIs" dxfId="4974" priority="1524" operator="equal">
      <formula>0</formula>
    </cfRule>
  </conditionalFormatting>
  <conditionalFormatting sqref="V27">
    <cfRule type="cellIs" dxfId="4973" priority="1521" operator="greaterThan">
      <formula>V26</formula>
    </cfRule>
    <cfRule type="cellIs" dxfId="4972" priority="1522" operator="equal">
      <formula>0</formula>
    </cfRule>
  </conditionalFormatting>
  <conditionalFormatting sqref="P42 P27 P12 P15 P18 P21 P30 P24">
    <cfRule type="cellIs" dxfId="4971" priority="1520" operator="equal">
      <formula>0</formula>
    </cfRule>
  </conditionalFormatting>
  <conditionalFormatting sqref="P43:P44">
    <cfRule type="cellIs" dxfId="4970" priority="1518" operator="greaterThan">
      <formula>P42</formula>
    </cfRule>
    <cfRule type="cellIs" dxfId="4969" priority="1519" operator="equal">
      <formula>0</formula>
    </cfRule>
  </conditionalFormatting>
  <conditionalFormatting sqref="P13">
    <cfRule type="cellIs" dxfId="4968" priority="1516" operator="greaterThan">
      <formula>P12</formula>
    </cfRule>
    <cfRule type="cellIs" dxfId="4967" priority="1517" operator="equal">
      <formula>0</formula>
    </cfRule>
  </conditionalFormatting>
  <conditionalFormatting sqref="P16">
    <cfRule type="cellIs" dxfId="4966" priority="1514" operator="greaterThan">
      <formula>P15</formula>
    </cfRule>
    <cfRule type="cellIs" dxfId="4965" priority="1515" operator="equal">
      <formula>0</formula>
    </cfRule>
  </conditionalFormatting>
  <conditionalFormatting sqref="P19">
    <cfRule type="cellIs" dxfId="4964" priority="1512" operator="greaterThan">
      <formula>P18</formula>
    </cfRule>
    <cfRule type="cellIs" dxfId="4963" priority="1513" operator="equal">
      <formula>0</formula>
    </cfRule>
  </conditionalFormatting>
  <conditionalFormatting sqref="P22">
    <cfRule type="cellIs" dxfId="4962" priority="1510" operator="greaterThan">
      <formula>P21</formula>
    </cfRule>
    <cfRule type="cellIs" dxfId="4961" priority="1511" operator="equal">
      <formula>0</formula>
    </cfRule>
  </conditionalFormatting>
  <conditionalFormatting sqref="P28">
    <cfRule type="cellIs" dxfId="4960" priority="1508" operator="greaterThan">
      <formula>P27</formula>
    </cfRule>
    <cfRule type="cellIs" dxfId="4959" priority="1509" operator="equal">
      <formula>0</formula>
    </cfRule>
  </conditionalFormatting>
  <conditionalFormatting sqref="P31">
    <cfRule type="cellIs" dxfId="4958" priority="1506" operator="greaterThan">
      <formula>P30</formula>
    </cfRule>
    <cfRule type="cellIs" dxfId="4957" priority="1507" operator="equal">
      <formula>0</formula>
    </cfRule>
  </conditionalFormatting>
  <conditionalFormatting sqref="P25">
    <cfRule type="cellIs" dxfId="4956" priority="1504" operator="greaterThan">
      <formula>P24</formula>
    </cfRule>
    <cfRule type="cellIs" dxfId="4955" priority="1505" operator="equal">
      <formula>0</formula>
    </cfRule>
  </conditionalFormatting>
  <conditionalFormatting sqref="P45">
    <cfRule type="cellIs" dxfId="4954" priority="1502" operator="greaterThan">
      <formula>#REF!</formula>
    </cfRule>
    <cfRule type="cellIs" dxfId="4953" priority="1503" operator="equal">
      <formula>0</formula>
    </cfRule>
  </conditionalFormatting>
  <conditionalFormatting sqref="P33">
    <cfRule type="cellIs" dxfId="4952" priority="1501" operator="equal">
      <formula>0</formula>
    </cfRule>
  </conditionalFormatting>
  <conditionalFormatting sqref="P34">
    <cfRule type="cellIs" dxfId="4951" priority="1499" operator="greaterThan">
      <formula>P33</formula>
    </cfRule>
    <cfRule type="cellIs" dxfId="4950" priority="1500" operator="equal">
      <formula>0</formula>
    </cfRule>
  </conditionalFormatting>
  <conditionalFormatting sqref="P36">
    <cfRule type="cellIs" dxfId="4949" priority="1498" operator="equal">
      <formula>0</formula>
    </cfRule>
  </conditionalFormatting>
  <conditionalFormatting sqref="P37">
    <cfRule type="cellIs" dxfId="4948" priority="1496" operator="greaterThan">
      <formula>P36</formula>
    </cfRule>
    <cfRule type="cellIs" dxfId="4947" priority="1497" operator="equal">
      <formula>0</formula>
    </cfRule>
  </conditionalFormatting>
  <conditionalFormatting sqref="E46:O46">
    <cfRule type="cellIs" dxfId="4946" priority="1494" operator="greaterThan">
      <formula>#REF!</formula>
    </cfRule>
    <cfRule type="cellIs" dxfId="4945" priority="1495" operator="equal">
      <formula>0</formula>
    </cfRule>
  </conditionalFormatting>
  <conditionalFormatting sqref="H42">
    <cfRule type="cellIs" dxfId="4944" priority="1493" operator="equal">
      <formula>0</formula>
    </cfRule>
  </conditionalFormatting>
  <conditionalFormatting sqref="H43:H44">
    <cfRule type="cellIs" dxfId="4943" priority="1491" operator="greaterThan">
      <formula>H42</formula>
    </cfRule>
    <cfRule type="cellIs" dxfId="4942" priority="1492" operator="equal">
      <formula>0</formula>
    </cfRule>
  </conditionalFormatting>
  <conditionalFormatting sqref="H45">
    <cfRule type="cellIs" dxfId="4941" priority="1489" operator="greaterThan">
      <formula>#REF!</formula>
    </cfRule>
    <cfRule type="cellIs" dxfId="4940" priority="1490" operator="equal">
      <formula>0</formula>
    </cfRule>
  </conditionalFormatting>
  <conditionalFormatting sqref="X49:X50 X42:X43 V42:V43 V12:V13 X12:X13 V15:V16 X15:X16 V18:V19 X18:X19 V21:V22 V24:V25 X21:X25 V27:V28 X27:X28 V49:V50">
    <cfRule type="cellIs" dxfId="4939" priority="1488" operator="equal">
      <formula>0</formula>
    </cfRule>
  </conditionalFormatting>
  <conditionalFormatting sqref="V50 X50">
    <cfRule type="cellIs" dxfId="4938" priority="1486" operator="greaterThan">
      <formula>V49</formula>
    </cfRule>
    <cfRule type="cellIs" dxfId="4937" priority="1487" operator="equal">
      <formula>0</formula>
    </cfRule>
  </conditionalFormatting>
  <conditionalFormatting sqref="V28">
    <cfRule type="cellIs" dxfId="4936" priority="1484" operator="greaterThan">
      <formula>V27</formula>
    </cfRule>
    <cfRule type="cellIs" dxfId="4935" priority="1485" operator="equal">
      <formula>0</formula>
    </cfRule>
  </conditionalFormatting>
  <conditionalFormatting sqref="V43">
    <cfRule type="cellIs" dxfId="4934" priority="1482" operator="greaterThan">
      <formula>V42</formula>
    </cfRule>
    <cfRule type="cellIs" dxfId="4933" priority="1483" operator="equal">
      <formula>0</formula>
    </cfRule>
  </conditionalFormatting>
  <conditionalFormatting sqref="X43">
    <cfRule type="cellIs" dxfId="4932" priority="1480" operator="greaterThan">
      <formula>X42</formula>
    </cfRule>
    <cfRule type="cellIs" dxfId="4931" priority="1481" operator="equal">
      <formula>0</formula>
    </cfRule>
  </conditionalFormatting>
  <conditionalFormatting sqref="V27">
    <cfRule type="cellIs" dxfId="4930" priority="1478" operator="greaterThan">
      <formula>V26</formula>
    </cfRule>
    <cfRule type="cellIs" dxfId="4929" priority="1479" operator="equal">
      <formula>0</formula>
    </cfRule>
  </conditionalFormatting>
  <conditionalFormatting sqref="V13">
    <cfRule type="cellIs" dxfId="4928" priority="1476" operator="greaterThan">
      <formula>V12</formula>
    </cfRule>
    <cfRule type="cellIs" dxfId="4927" priority="1477" operator="equal">
      <formula>0</formula>
    </cfRule>
  </conditionalFormatting>
  <conditionalFormatting sqref="V12">
    <cfRule type="cellIs" dxfId="4926" priority="1474" operator="greaterThan">
      <formula>V11</formula>
    </cfRule>
    <cfRule type="cellIs" dxfId="4925" priority="1475" operator="equal">
      <formula>0</formula>
    </cfRule>
  </conditionalFormatting>
  <conditionalFormatting sqref="V16">
    <cfRule type="cellIs" dxfId="4924" priority="1472" operator="greaterThan">
      <formula>V15</formula>
    </cfRule>
    <cfRule type="cellIs" dxfId="4923" priority="1473" operator="equal">
      <formula>0</formula>
    </cfRule>
  </conditionalFormatting>
  <conditionalFormatting sqref="V15">
    <cfRule type="cellIs" dxfId="4922" priority="1470" operator="greaterThan">
      <formula>V14</formula>
    </cfRule>
    <cfRule type="cellIs" dxfId="4921" priority="1471" operator="equal">
      <formula>0</formula>
    </cfRule>
  </conditionalFormatting>
  <conditionalFormatting sqref="V19">
    <cfRule type="cellIs" dxfId="4920" priority="1468" operator="greaterThan">
      <formula>V18</formula>
    </cfRule>
    <cfRule type="cellIs" dxfId="4919" priority="1469" operator="equal">
      <formula>0</formula>
    </cfRule>
  </conditionalFormatting>
  <conditionalFormatting sqref="V18">
    <cfRule type="cellIs" dxfId="4918" priority="1466" operator="greaterThan">
      <formula>V17</formula>
    </cfRule>
    <cfRule type="cellIs" dxfId="4917" priority="1467" operator="equal">
      <formula>0</formula>
    </cfRule>
  </conditionalFormatting>
  <conditionalFormatting sqref="V22 V24:V25">
    <cfRule type="cellIs" dxfId="4916" priority="1464" operator="greaterThan">
      <formula>V21</formula>
    </cfRule>
    <cfRule type="cellIs" dxfId="4915" priority="1465" operator="equal">
      <formula>0</formula>
    </cfRule>
  </conditionalFormatting>
  <conditionalFormatting sqref="V21">
    <cfRule type="cellIs" dxfId="4914" priority="1462" operator="greaterThan">
      <formula>V20</formula>
    </cfRule>
    <cfRule type="cellIs" dxfId="4913" priority="1463" operator="equal">
      <formula>0</formula>
    </cfRule>
  </conditionalFormatting>
  <conditionalFormatting sqref="V24">
    <cfRule type="cellIs" dxfId="4912" priority="1460" operator="greaterThan">
      <formula>V23</formula>
    </cfRule>
    <cfRule type="cellIs" dxfId="4911" priority="1461" operator="equal">
      <formula>0</formula>
    </cfRule>
  </conditionalFormatting>
  <conditionalFormatting sqref="V27:V28">
    <cfRule type="cellIs" dxfId="4910" priority="1458" operator="greaterThan">
      <formula>V26</formula>
    </cfRule>
    <cfRule type="cellIs" dxfId="4909" priority="1459" operator="equal">
      <formula>0</formula>
    </cfRule>
  </conditionalFormatting>
  <conditionalFormatting sqref="V27">
    <cfRule type="cellIs" dxfId="4908" priority="1456" operator="greaterThan">
      <formula>V26</formula>
    </cfRule>
    <cfRule type="cellIs" dxfId="4907" priority="1457" operator="equal">
      <formula>0</formula>
    </cfRule>
  </conditionalFormatting>
  <conditionalFormatting sqref="V16">
    <cfRule type="cellIs" dxfId="4906" priority="1454" operator="greaterThan">
      <formula>V15</formula>
    </cfRule>
    <cfRule type="cellIs" dxfId="4905" priority="1455" operator="equal">
      <formula>0</formula>
    </cfRule>
  </conditionalFormatting>
  <conditionalFormatting sqref="V15">
    <cfRule type="cellIs" dxfId="4904" priority="1452" operator="greaterThan">
      <formula>V14</formula>
    </cfRule>
    <cfRule type="cellIs" dxfId="4903" priority="1453" operator="equal">
      <formula>0</formula>
    </cfRule>
  </conditionalFormatting>
  <conditionalFormatting sqref="V19">
    <cfRule type="cellIs" dxfId="4902" priority="1450" operator="greaterThan">
      <formula>V18</formula>
    </cfRule>
    <cfRule type="cellIs" dxfId="4901" priority="1451" operator="equal">
      <formula>0</formula>
    </cfRule>
  </conditionalFormatting>
  <conditionalFormatting sqref="V18">
    <cfRule type="cellIs" dxfId="4900" priority="1448" operator="greaterThan">
      <formula>V17</formula>
    </cfRule>
    <cfRule type="cellIs" dxfId="4899" priority="1449" operator="equal">
      <formula>0</formula>
    </cfRule>
  </conditionalFormatting>
  <conditionalFormatting sqref="V22">
    <cfRule type="cellIs" dxfId="4898" priority="1446" operator="greaterThan">
      <formula>V21</formula>
    </cfRule>
    <cfRule type="cellIs" dxfId="4897" priority="1447" operator="equal">
      <formula>0</formula>
    </cfRule>
  </conditionalFormatting>
  <conditionalFormatting sqref="V21">
    <cfRule type="cellIs" dxfId="4896" priority="1444" operator="greaterThan">
      <formula>V20</formula>
    </cfRule>
    <cfRule type="cellIs" dxfId="4895" priority="1445" operator="equal">
      <formula>0</formula>
    </cfRule>
  </conditionalFormatting>
  <conditionalFormatting sqref="V25">
    <cfRule type="cellIs" dxfId="4894" priority="1442" operator="greaterThan">
      <formula>V24</formula>
    </cfRule>
    <cfRule type="cellIs" dxfId="4893" priority="1443" operator="equal">
      <formula>0</formula>
    </cfRule>
  </conditionalFormatting>
  <conditionalFormatting sqref="V24">
    <cfRule type="cellIs" dxfId="4892" priority="1440" operator="greaterThan">
      <formula>V23</formula>
    </cfRule>
    <cfRule type="cellIs" dxfId="4891" priority="1441" operator="equal">
      <formula>0</formula>
    </cfRule>
  </conditionalFormatting>
  <conditionalFormatting sqref="V28">
    <cfRule type="cellIs" dxfId="4890" priority="1438" operator="greaterThan">
      <formula>V27</formula>
    </cfRule>
    <cfRule type="cellIs" dxfId="4889" priority="1439" operator="equal">
      <formula>0</formula>
    </cfRule>
  </conditionalFormatting>
  <conditionalFormatting sqref="V27">
    <cfRule type="cellIs" dxfId="4888" priority="1436" operator="greaterThan">
      <formula>V26</formula>
    </cfRule>
    <cfRule type="cellIs" dxfId="4887" priority="1437" operator="equal">
      <formula>0</formula>
    </cfRule>
  </conditionalFormatting>
  <conditionalFormatting sqref="V30:V31 X30:X31">
    <cfRule type="cellIs" dxfId="4886" priority="1435" operator="equal">
      <formula>0</formula>
    </cfRule>
  </conditionalFormatting>
  <conditionalFormatting sqref="V31">
    <cfRule type="cellIs" dxfId="4885" priority="1433" operator="greaterThan">
      <formula>V30</formula>
    </cfRule>
    <cfRule type="cellIs" dxfId="4884" priority="1434" operator="equal">
      <formula>0</formula>
    </cfRule>
  </conditionalFormatting>
  <conditionalFormatting sqref="V30">
    <cfRule type="cellIs" dxfId="4883" priority="1431" operator="greaterThan">
      <formula>V29</formula>
    </cfRule>
    <cfRule type="cellIs" dxfId="4882" priority="1432" operator="equal">
      <formula>0</formula>
    </cfRule>
  </conditionalFormatting>
  <conditionalFormatting sqref="V33:V34 X33:X34">
    <cfRule type="cellIs" dxfId="4881" priority="1430" operator="equal">
      <formula>0</formula>
    </cfRule>
  </conditionalFormatting>
  <conditionalFormatting sqref="V34">
    <cfRule type="cellIs" dxfId="4880" priority="1428" operator="greaterThan">
      <formula>V33</formula>
    </cfRule>
    <cfRule type="cellIs" dxfId="4879" priority="1429" operator="equal">
      <formula>0</formula>
    </cfRule>
  </conditionalFormatting>
  <conditionalFormatting sqref="V33">
    <cfRule type="cellIs" dxfId="4878" priority="1426" operator="greaterThan">
      <formula>V32</formula>
    </cfRule>
    <cfRule type="cellIs" dxfId="4877" priority="1427" operator="equal">
      <formula>0</formula>
    </cfRule>
  </conditionalFormatting>
  <conditionalFormatting sqref="V36:V37 X36:X37">
    <cfRule type="cellIs" dxfId="4876" priority="1425" operator="equal">
      <formula>0</formula>
    </cfRule>
  </conditionalFormatting>
  <conditionalFormatting sqref="V37">
    <cfRule type="cellIs" dxfId="4875" priority="1423" operator="greaterThan">
      <formula>V36</formula>
    </cfRule>
    <cfRule type="cellIs" dxfId="4874" priority="1424" operator="equal">
      <formula>0</formula>
    </cfRule>
  </conditionalFormatting>
  <conditionalFormatting sqref="V36">
    <cfRule type="cellIs" dxfId="4873" priority="1421" operator="greaterThan">
      <formula>V35</formula>
    </cfRule>
    <cfRule type="cellIs" dxfId="4872" priority="1422" operator="equal">
      <formula>0</formula>
    </cfRule>
  </conditionalFormatting>
  <conditionalFormatting sqref="V16">
    <cfRule type="cellIs" dxfId="4871" priority="1419" operator="greaterThan">
      <formula>V15</formula>
    </cfRule>
    <cfRule type="cellIs" dxfId="4870" priority="1420" operator="equal">
      <formula>0</formula>
    </cfRule>
  </conditionalFormatting>
  <conditionalFormatting sqref="V15">
    <cfRule type="cellIs" dxfId="4869" priority="1417" operator="greaterThan">
      <formula>V14</formula>
    </cfRule>
    <cfRule type="cellIs" dxfId="4868" priority="1418" operator="equal">
      <formula>0</formula>
    </cfRule>
  </conditionalFormatting>
  <conditionalFormatting sqref="V16">
    <cfRule type="cellIs" dxfId="4867" priority="1415" operator="greaterThan">
      <formula>V15</formula>
    </cfRule>
    <cfRule type="cellIs" dxfId="4866" priority="1416" operator="equal">
      <formula>0</formula>
    </cfRule>
  </conditionalFormatting>
  <conditionalFormatting sqref="V15">
    <cfRule type="cellIs" dxfId="4865" priority="1413" operator="greaterThan">
      <formula>V14</formula>
    </cfRule>
    <cfRule type="cellIs" dxfId="4864" priority="1414" operator="equal">
      <formula>0</formula>
    </cfRule>
  </conditionalFormatting>
  <conditionalFormatting sqref="V19">
    <cfRule type="cellIs" dxfId="4863" priority="1411" operator="greaterThan">
      <formula>V18</formula>
    </cfRule>
    <cfRule type="cellIs" dxfId="4862" priority="1412" operator="equal">
      <formula>0</formula>
    </cfRule>
  </conditionalFormatting>
  <conditionalFormatting sqref="V18">
    <cfRule type="cellIs" dxfId="4861" priority="1409" operator="greaterThan">
      <formula>V17</formula>
    </cfRule>
    <cfRule type="cellIs" dxfId="4860" priority="1410" operator="equal">
      <formula>0</formula>
    </cfRule>
  </conditionalFormatting>
  <conditionalFormatting sqref="V19">
    <cfRule type="cellIs" dxfId="4859" priority="1407" operator="greaterThan">
      <formula>V18</formula>
    </cfRule>
    <cfRule type="cellIs" dxfId="4858" priority="1408" operator="equal">
      <formula>0</formula>
    </cfRule>
  </conditionalFormatting>
  <conditionalFormatting sqref="V18">
    <cfRule type="cellIs" dxfId="4857" priority="1405" operator="greaterThan">
      <formula>V17</formula>
    </cfRule>
    <cfRule type="cellIs" dxfId="4856" priority="1406" operator="equal">
      <formula>0</formula>
    </cfRule>
  </conditionalFormatting>
  <conditionalFormatting sqref="V19">
    <cfRule type="cellIs" dxfId="4855" priority="1403" operator="greaterThan">
      <formula>V18</formula>
    </cfRule>
    <cfRule type="cellIs" dxfId="4854" priority="1404" operator="equal">
      <formula>0</formula>
    </cfRule>
  </conditionalFormatting>
  <conditionalFormatting sqref="V18">
    <cfRule type="cellIs" dxfId="4853" priority="1401" operator="greaterThan">
      <formula>V17</formula>
    </cfRule>
    <cfRule type="cellIs" dxfId="4852" priority="1402" operator="equal">
      <formula>0</formula>
    </cfRule>
  </conditionalFormatting>
  <conditionalFormatting sqref="V19">
    <cfRule type="cellIs" dxfId="4851" priority="1399" operator="greaterThan">
      <formula>V18</formula>
    </cfRule>
    <cfRule type="cellIs" dxfId="4850" priority="1400" operator="equal">
      <formula>0</formula>
    </cfRule>
  </conditionalFormatting>
  <conditionalFormatting sqref="V18">
    <cfRule type="cellIs" dxfId="4849" priority="1397" operator="greaterThan">
      <formula>V17</formula>
    </cfRule>
    <cfRule type="cellIs" dxfId="4848" priority="1398" operator="equal">
      <formula>0</formula>
    </cfRule>
  </conditionalFormatting>
  <conditionalFormatting sqref="V22">
    <cfRule type="cellIs" dxfId="4847" priority="1395" operator="greaterThan">
      <formula>V21</formula>
    </cfRule>
    <cfRule type="cellIs" dxfId="4846" priority="1396" operator="equal">
      <formula>0</formula>
    </cfRule>
  </conditionalFormatting>
  <conditionalFormatting sqref="V21">
    <cfRule type="cellIs" dxfId="4845" priority="1393" operator="greaterThan">
      <formula>V20</formula>
    </cfRule>
    <cfRule type="cellIs" dxfId="4844" priority="1394" operator="equal">
      <formula>0</formula>
    </cfRule>
  </conditionalFormatting>
  <conditionalFormatting sqref="V22">
    <cfRule type="cellIs" dxfId="4843" priority="1391" operator="greaterThan">
      <formula>V21</formula>
    </cfRule>
    <cfRule type="cellIs" dxfId="4842" priority="1392" operator="equal">
      <formula>0</formula>
    </cfRule>
  </conditionalFormatting>
  <conditionalFormatting sqref="V21">
    <cfRule type="cellIs" dxfId="4841" priority="1389" operator="greaterThan">
      <formula>V20</formula>
    </cfRule>
    <cfRule type="cellIs" dxfId="4840" priority="1390" operator="equal">
      <formula>0</formula>
    </cfRule>
  </conditionalFormatting>
  <conditionalFormatting sqref="V22">
    <cfRule type="cellIs" dxfId="4839" priority="1387" operator="greaterThan">
      <formula>V21</formula>
    </cfRule>
    <cfRule type="cellIs" dxfId="4838" priority="1388" operator="equal">
      <formula>0</formula>
    </cfRule>
  </conditionalFormatting>
  <conditionalFormatting sqref="V21">
    <cfRule type="cellIs" dxfId="4837" priority="1385" operator="greaterThan">
      <formula>V20</formula>
    </cfRule>
    <cfRule type="cellIs" dxfId="4836" priority="1386" operator="equal">
      <formula>0</formula>
    </cfRule>
  </conditionalFormatting>
  <conditionalFormatting sqref="V22">
    <cfRule type="cellIs" dxfId="4835" priority="1383" operator="greaterThan">
      <formula>V21</formula>
    </cfRule>
    <cfRule type="cellIs" dxfId="4834" priority="1384" operator="equal">
      <formula>0</formula>
    </cfRule>
  </conditionalFormatting>
  <conditionalFormatting sqref="V21">
    <cfRule type="cellIs" dxfId="4833" priority="1381" operator="greaterThan">
      <formula>V20</formula>
    </cfRule>
    <cfRule type="cellIs" dxfId="4832" priority="1382" operator="equal">
      <formula>0</formula>
    </cfRule>
  </conditionalFormatting>
  <conditionalFormatting sqref="V22">
    <cfRule type="cellIs" dxfId="4831" priority="1379" operator="greaterThan">
      <formula>V21</formula>
    </cfRule>
    <cfRule type="cellIs" dxfId="4830" priority="1380" operator="equal">
      <formula>0</formula>
    </cfRule>
  </conditionalFormatting>
  <conditionalFormatting sqref="V21">
    <cfRule type="cellIs" dxfId="4829" priority="1377" operator="greaterThan">
      <formula>V20</formula>
    </cfRule>
    <cfRule type="cellIs" dxfId="4828" priority="1378" operator="equal">
      <formula>0</formula>
    </cfRule>
  </conditionalFormatting>
  <conditionalFormatting sqref="V22">
    <cfRule type="cellIs" dxfId="4827" priority="1375" operator="greaterThan">
      <formula>V21</formula>
    </cfRule>
    <cfRule type="cellIs" dxfId="4826" priority="1376" operator="equal">
      <formula>0</formula>
    </cfRule>
  </conditionalFormatting>
  <conditionalFormatting sqref="V21">
    <cfRule type="cellIs" dxfId="4825" priority="1373" operator="greaterThan">
      <formula>V20</formula>
    </cfRule>
    <cfRule type="cellIs" dxfId="4824" priority="1374" operator="equal">
      <formula>0</formula>
    </cfRule>
  </conditionalFormatting>
  <conditionalFormatting sqref="V24">
    <cfRule type="cellIs" dxfId="4823" priority="1371" operator="greaterThan">
      <formula>V23</formula>
    </cfRule>
    <cfRule type="cellIs" dxfId="4822" priority="1372" operator="equal">
      <formula>0</formula>
    </cfRule>
  </conditionalFormatting>
  <conditionalFormatting sqref="V25">
    <cfRule type="cellIs" dxfId="4821" priority="1369" operator="greaterThan">
      <formula>V24</formula>
    </cfRule>
    <cfRule type="cellIs" dxfId="4820" priority="1370" operator="equal">
      <formula>0</formula>
    </cfRule>
  </conditionalFormatting>
  <conditionalFormatting sqref="V24">
    <cfRule type="cellIs" dxfId="4819" priority="1367" operator="greaterThan">
      <formula>V23</formula>
    </cfRule>
    <cfRule type="cellIs" dxfId="4818" priority="1368" operator="equal">
      <formula>0</formula>
    </cfRule>
  </conditionalFormatting>
  <conditionalFormatting sqref="V25">
    <cfRule type="cellIs" dxfId="4817" priority="1365" operator="greaterThan">
      <formula>V24</formula>
    </cfRule>
    <cfRule type="cellIs" dxfId="4816" priority="1366" operator="equal">
      <formula>0</formula>
    </cfRule>
  </conditionalFormatting>
  <conditionalFormatting sqref="V24">
    <cfRule type="cellIs" dxfId="4815" priority="1363" operator="greaterThan">
      <formula>V23</formula>
    </cfRule>
    <cfRule type="cellIs" dxfId="4814" priority="1364" operator="equal">
      <formula>0</formula>
    </cfRule>
  </conditionalFormatting>
  <conditionalFormatting sqref="V25">
    <cfRule type="cellIs" dxfId="4813" priority="1361" operator="greaterThan">
      <formula>V24</formula>
    </cfRule>
    <cfRule type="cellIs" dxfId="4812" priority="1362" operator="equal">
      <formula>0</formula>
    </cfRule>
  </conditionalFormatting>
  <conditionalFormatting sqref="V24">
    <cfRule type="cellIs" dxfId="4811" priority="1359" operator="greaterThan">
      <formula>V23</formula>
    </cfRule>
    <cfRule type="cellIs" dxfId="4810" priority="1360" operator="equal">
      <formula>0</formula>
    </cfRule>
  </conditionalFormatting>
  <conditionalFormatting sqref="V25">
    <cfRule type="cellIs" dxfId="4809" priority="1357" operator="greaterThan">
      <formula>V24</formula>
    </cfRule>
    <cfRule type="cellIs" dxfId="4808" priority="1358" operator="equal">
      <formula>0</formula>
    </cfRule>
  </conditionalFormatting>
  <conditionalFormatting sqref="V24">
    <cfRule type="cellIs" dxfId="4807" priority="1355" operator="greaterThan">
      <formula>V23</formula>
    </cfRule>
    <cfRule type="cellIs" dxfId="4806" priority="1356" operator="equal">
      <formula>0</formula>
    </cfRule>
  </conditionalFormatting>
  <conditionalFormatting sqref="V25">
    <cfRule type="cellIs" dxfId="4805" priority="1353" operator="greaterThan">
      <formula>V24</formula>
    </cfRule>
    <cfRule type="cellIs" dxfId="4804" priority="1354" operator="equal">
      <formula>0</formula>
    </cfRule>
  </conditionalFormatting>
  <conditionalFormatting sqref="V24">
    <cfRule type="cellIs" dxfId="4803" priority="1351" operator="greaterThan">
      <formula>V23</formula>
    </cfRule>
    <cfRule type="cellIs" dxfId="4802" priority="1352" operator="equal">
      <formula>0</formula>
    </cfRule>
  </conditionalFormatting>
  <conditionalFormatting sqref="V25">
    <cfRule type="cellIs" dxfId="4801" priority="1349" operator="greaterThan">
      <formula>V24</formula>
    </cfRule>
    <cfRule type="cellIs" dxfId="4800" priority="1350" operator="equal">
      <formula>0</formula>
    </cfRule>
  </conditionalFormatting>
  <conditionalFormatting sqref="V24">
    <cfRule type="cellIs" dxfId="4799" priority="1347" operator="greaterThan">
      <formula>V23</formula>
    </cfRule>
    <cfRule type="cellIs" dxfId="4798" priority="1348" operator="equal">
      <formula>0</formula>
    </cfRule>
  </conditionalFormatting>
  <conditionalFormatting sqref="V25">
    <cfRule type="cellIs" dxfId="4797" priority="1345" operator="greaterThan">
      <formula>V24</formula>
    </cfRule>
    <cfRule type="cellIs" dxfId="4796" priority="1346" operator="equal">
      <formula>0</formula>
    </cfRule>
  </conditionalFormatting>
  <conditionalFormatting sqref="V24">
    <cfRule type="cellIs" dxfId="4795" priority="1343" operator="greaterThan">
      <formula>V23</formula>
    </cfRule>
    <cfRule type="cellIs" dxfId="4794" priority="1344" operator="equal">
      <formula>0</formula>
    </cfRule>
  </conditionalFormatting>
  <conditionalFormatting sqref="V27:V28">
    <cfRule type="cellIs" dxfId="4793" priority="1341" operator="greaterThan">
      <formula>V26</formula>
    </cfRule>
    <cfRule type="cellIs" dxfId="4792" priority="1342" operator="equal">
      <formula>0</formula>
    </cfRule>
  </conditionalFormatting>
  <conditionalFormatting sqref="V27">
    <cfRule type="cellIs" dxfId="4791" priority="1339" operator="greaterThan">
      <formula>V26</formula>
    </cfRule>
    <cfRule type="cellIs" dxfId="4790" priority="1340" operator="equal">
      <formula>0</formula>
    </cfRule>
  </conditionalFormatting>
  <conditionalFormatting sqref="V28">
    <cfRule type="cellIs" dxfId="4789" priority="1337" operator="greaterThan">
      <formula>V27</formula>
    </cfRule>
    <cfRule type="cellIs" dxfId="4788" priority="1338" operator="equal">
      <formula>0</formula>
    </cfRule>
  </conditionalFormatting>
  <conditionalFormatting sqref="V27">
    <cfRule type="cellIs" dxfId="4787" priority="1335" operator="greaterThan">
      <formula>V26</formula>
    </cfRule>
    <cfRule type="cellIs" dxfId="4786" priority="1336" operator="equal">
      <formula>0</formula>
    </cfRule>
  </conditionalFormatting>
  <conditionalFormatting sqref="V27">
    <cfRule type="cellIs" dxfId="4785" priority="1333" operator="greaterThan">
      <formula>V26</formula>
    </cfRule>
    <cfRule type="cellIs" dxfId="4784" priority="1334" operator="equal">
      <formula>0</formula>
    </cfRule>
  </conditionalFormatting>
  <conditionalFormatting sqref="V28">
    <cfRule type="cellIs" dxfId="4783" priority="1331" operator="greaterThan">
      <formula>V27</formula>
    </cfRule>
    <cfRule type="cellIs" dxfId="4782" priority="1332" operator="equal">
      <formula>0</formula>
    </cfRule>
  </conditionalFormatting>
  <conditionalFormatting sqref="V27">
    <cfRule type="cellIs" dxfId="4781" priority="1329" operator="greaterThan">
      <formula>V26</formula>
    </cfRule>
    <cfRule type="cellIs" dxfId="4780" priority="1330" operator="equal">
      <formula>0</formula>
    </cfRule>
  </conditionalFormatting>
  <conditionalFormatting sqref="V28">
    <cfRule type="cellIs" dxfId="4779" priority="1327" operator="greaterThan">
      <formula>V27</formula>
    </cfRule>
    <cfRule type="cellIs" dxfId="4778" priority="1328" operator="equal">
      <formula>0</formula>
    </cfRule>
  </conditionalFormatting>
  <conditionalFormatting sqref="V27">
    <cfRule type="cellIs" dxfId="4777" priority="1325" operator="greaterThan">
      <formula>V26</formula>
    </cfRule>
    <cfRule type="cellIs" dxfId="4776" priority="1326" operator="equal">
      <formula>0</formula>
    </cfRule>
  </conditionalFormatting>
  <conditionalFormatting sqref="V28">
    <cfRule type="cellIs" dxfId="4775" priority="1323" operator="greaterThan">
      <formula>V27</formula>
    </cfRule>
    <cfRule type="cellIs" dxfId="4774" priority="1324" operator="equal">
      <formula>0</formula>
    </cfRule>
  </conditionalFormatting>
  <conditionalFormatting sqref="V27">
    <cfRule type="cellIs" dxfId="4773" priority="1321" operator="greaterThan">
      <formula>V26</formula>
    </cfRule>
    <cfRule type="cellIs" dxfId="4772" priority="1322" operator="equal">
      <formula>0</formula>
    </cfRule>
  </conditionalFormatting>
  <conditionalFormatting sqref="V28">
    <cfRule type="cellIs" dxfId="4771" priority="1319" operator="greaterThan">
      <formula>V27</formula>
    </cfRule>
    <cfRule type="cellIs" dxfId="4770" priority="1320" operator="equal">
      <formula>0</formula>
    </cfRule>
  </conditionalFormatting>
  <conditionalFormatting sqref="V27">
    <cfRule type="cellIs" dxfId="4769" priority="1317" operator="greaterThan">
      <formula>V26</formula>
    </cfRule>
    <cfRule type="cellIs" dxfId="4768" priority="1318" operator="equal">
      <formula>0</formula>
    </cfRule>
  </conditionalFormatting>
  <conditionalFormatting sqref="V28">
    <cfRule type="cellIs" dxfId="4767" priority="1315" operator="greaterThan">
      <formula>V27</formula>
    </cfRule>
    <cfRule type="cellIs" dxfId="4766" priority="1316" operator="equal">
      <formula>0</formula>
    </cfRule>
  </conditionalFormatting>
  <conditionalFormatting sqref="V27">
    <cfRule type="cellIs" dxfId="4765" priority="1313" operator="greaterThan">
      <formula>V26</formula>
    </cfRule>
    <cfRule type="cellIs" dxfId="4764" priority="1314" operator="equal">
      <formula>0</formula>
    </cfRule>
  </conditionalFormatting>
  <conditionalFormatting sqref="V28">
    <cfRule type="cellIs" dxfId="4763" priority="1311" operator="greaterThan">
      <formula>V27</formula>
    </cfRule>
    <cfRule type="cellIs" dxfId="4762" priority="1312" operator="equal">
      <formula>0</formula>
    </cfRule>
  </conditionalFormatting>
  <conditionalFormatting sqref="V27">
    <cfRule type="cellIs" dxfId="4761" priority="1309" operator="greaterThan">
      <formula>V26</formula>
    </cfRule>
    <cfRule type="cellIs" dxfId="4760" priority="1310" operator="equal">
      <formula>0</formula>
    </cfRule>
  </conditionalFormatting>
  <conditionalFormatting sqref="V28">
    <cfRule type="cellIs" dxfId="4759" priority="1307" operator="greaterThan">
      <formula>V27</formula>
    </cfRule>
    <cfRule type="cellIs" dxfId="4758" priority="1308" operator="equal">
      <formula>0</formula>
    </cfRule>
  </conditionalFormatting>
  <conditionalFormatting sqref="V27">
    <cfRule type="cellIs" dxfId="4757" priority="1305" operator="greaterThan">
      <formula>V26</formula>
    </cfRule>
    <cfRule type="cellIs" dxfId="4756" priority="1306" operator="equal">
      <formula>0</formula>
    </cfRule>
  </conditionalFormatting>
  <conditionalFormatting sqref="V50">
    <cfRule type="cellIs" dxfId="4755" priority="1303" operator="greaterThan">
      <formula>V49</formula>
    </cfRule>
    <cfRule type="cellIs" dxfId="4754" priority="1304" operator="equal">
      <formula>0</formula>
    </cfRule>
  </conditionalFormatting>
  <conditionalFormatting sqref="V12:V13 X12:X13 X15:X16 X18:X19 X21:X25 X27:X28 V15:V16 V18:V19 V21:V22 V24:V25 V27:V28">
    <cfRule type="cellIs" dxfId="4753" priority="1302" operator="equal">
      <formula>0</formula>
    </cfRule>
  </conditionalFormatting>
  <conditionalFormatting sqref="V28">
    <cfRule type="cellIs" dxfId="4752" priority="1300" operator="greaterThan">
      <formula>V27</formula>
    </cfRule>
    <cfRule type="cellIs" dxfId="4751" priority="1301" operator="equal">
      <formula>0</formula>
    </cfRule>
  </conditionalFormatting>
  <conditionalFormatting sqref="V27">
    <cfRule type="cellIs" dxfId="4750" priority="1298" operator="greaterThan">
      <formula>V26</formula>
    </cfRule>
    <cfRule type="cellIs" dxfId="4749" priority="1299" operator="equal">
      <formula>0</formula>
    </cfRule>
  </conditionalFormatting>
  <conditionalFormatting sqref="V13">
    <cfRule type="cellIs" dxfId="4748" priority="1296" operator="greaterThan">
      <formula>V12</formula>
    </cfRule>
    <cfRule type="cellIs" dxfId="4747" priority="1297" operator="equal">
      <formula>0</formula>
    </cfRule>
  </conditionalFormatting>
  <conditionalFormatting sqref="V12">
    <cfRule type="cellIs" dxfId="4746" priority="1294" operator="greaterThan">
      <formula>V11</formula>
    </cfRule>
    <cfRule type="cellIs" dxfId="4745" priority="1295" operator="equal">
      <formula>0</formula>
    </cfRule>
  </conditionalFormatting>
  <conditionalFormatting sqref="V16">
    <cfRule type="cellIs" dxfId="4744" priority="1292" operator="greaterThan">
      <formula>V15</formula>
    </cfRule>
    <cfRule type="cellIs" dxfId="4743" priority="1293" operator="equal">
      <formula>0</formula>
    </cfRule>
  </conditionalFormatting>
  <conditionalFormatting sqref="V15">
    <cfRule type="cellIs" dxfId="4742" priority="1290" operator="greaterThan">
      <formula>V14</formula>
    </cfRule>
    <cfRule type="cellIs" dxfId="4741" priority="1291" operator="equal">
      <formula>0</formula>
    </cfRule>
  </conditionalFormatting>
  <conditionalFormatting sqref="V19">
    <cfRule type="cellIs" dxfId="4740" priority="1288" operator="greaterThan">
      <formula>V18</formula>
    </cfRule>
    <cfRule type="cellIs" dxfId="4739" priority="1289" operator="equal">
      <formula>0</formula>
    </cfRule>
  </conditionalFormatting>
  <conditionalFormatting sqref="V18">
    <cfRule type="cellIs" dxfId="4738" priority="1286" operator="greaterThan">
      <formula>V17</formula>
    </cfRule>
    <cfRule type="cellIs" dxfId="4737" priority="1287" operator="equal">
      <formula>0</formula>
    </cfRule>
  </conditionalFormatting>
  <conditionalFormatting sqref="V22 V24:V25">
    <cfRule type="cellIs" dxfId="4736" priority="1284" operator="greaterThan">
      <formula>V21</formula>
    </cfRule>
    <cfRule type="cellIs" dxfId="4735" priority="1285" operator="equal">
      <formula>0</formula>
    </cfRule>
  </conditionalFormatting>
  <conditionalFormatting sqref="V21">
    <cfRule type="cellIs" dxfId="4734" priority="1282" operator="greaterThan">
      <formula>V20</formula>
    </cfRule>
    <cfRule type="cellIs" dxfId="4733" priority="1283" operator="equal">
      <formula>0</formula>
    </cfRule>
  </conditionalFormatting>
  <conditionalFormatting sqref="V24">
    <cfRule type="cellIs" dxfId="4732" priority="1280" operator="greaterThan">
      <formula>V23</formula>
    </cfRule>
    <cfRule type="cellIs" dxfId="4731" priority="1281" operator="equal">
      <formula>0</formula>
    </cfRule>
  </conditionalFormatting>
  <conditionalFormatting sqref="V27:V28">
    <cfRule type="cellIs" dxfId="4730" priority="1278" operator="greaterThan">
      <formula>V26</formula>
    </cfRule>
    <cfRule type="cellIs" dxfId="4729" priority="1279" operator="equal">
      <formula>0</formula>
    </cfRule>
  </conditionalFormatting>
  <conditionalFormatting sqref="V27">
    <cfRule type="cellIs" dxfId="4728" priority="1276" operator="greaterThan">
      <formula>V26</formula>
    </cfRule>
    <cfRule type="cellIs" dxfId="4727" priority="1277" operator="equal">
      <formula>0</formula>
    </cfRule>
  </conditionalFormatting>
  <conditionalFormatting sqref="V16">
    <cfRule type="cellIs" dxfId="4726" priority="1274" operator="greaterThan">
      <formula>V15</formula>
    </cfRule>
    <cfRule type="cellIs" dxfId="4725" priority="1275" operator="equal">
      <formula>0</formula>
    </cfRule>
  </conditionalFormatting>
  <conditionalFormatting sqref="V15">
    <cfRule type="cellIs" dxfId="4724" priority="1272" operator="greaterThan">
      <formula>V14</formula>
    </cfRule>
    <cfRule type="cellIs" dxfId="4723" priority="1273" operator="equal">
      <formula>0</formula>
    </cfRule>
  </conditionalFormatting>
  <conditionalFormatting sqref="V19">
    <cfRule type="cellIs" dxfId="4722" priority="1270" operator="greaterThan">
      <formula>V18</formula>
    </cfRule>
    <cfRule type="cellIs" dxfId="4721" priority="1271" operator="equal">
      <formula>0</formula>
    </cfRule>
  </conditionalFormatting>
  <conditionalFormatting sqref="V18">
    <cfRule type="cellIs" dxfId="4720" priority="1268" operator="greaterThan">
      <formula>V17</formula>
    </cfRule>
    <cfRule type="cellIs" dxfId="4719" priority="1269" operator="equal">
      <formula>0</formula>
    </cfRule>
  </conditionalFormatting>
  <conditionalFormatting sqref="V22">
    <cfRule type="cellIs" dxfId="4718" priority="1266" operator="greaterThan">
      <formula>V21</formula>
    </cfRule>
    <cfRule type="cellIs" dxfId="4717" priority="1267" operator="equal">
      <formula>0</formula>
    </cfRule>
  </conditionalFormatting>
  <conditionalFormatting sqref="V21">
    <cfRule type="cellIs" dxfId="4716" priority="1264" operator="greaterThan">
      <formula>V20</formula>
    </cfRule>
    <cfRule type="cellIs" dxfId="4715" priority="1265" operator="equal">
      <formula>0</formula>
    </cfRule>
  </conditionalFormatting>
  <conditionalFormatting sqref="V25">
    <cfRule type="cellIs" dxfId="4714" priority="1262" operator="greaterThan">
      <formula>V24</formula>
    </cfRule>
    <cfRule type="cellIs" dxfId="4713" priority="1263" operator="equal">
      <formula>0</formula>
    </cfRule>
  </conditionalFormatting>
  <conditionalFormatting sqref="V24">
    <cfRule type="cellIs" dxfId="4712" priority="1260" operator="greaterThan">
      <formula>V23</formula>
    </cfRule>
    <cfRule type="cellIs" dxfId="4711" priority="1261" operator="equal">
      <formula>0</formula>
    </cfRule>
  </conditionalFormatting>
  <conditionalFormatting sqref="V28">
    <cfRule type="cellIs" dxfId="4710" priority="1258" operator="greaterThan">
      <formula>V27</formula>
    </cfRule>
    <cfRule type="cellIs" dxfId="4709" priority="1259" operator="equal">
      <formula>0</formula>
    </cfRule>
  </conditionalFormatting>
  <conditionalFormatting sqref="V27">
    <cfRule type="cellIs" dxfId="4708" priority="1256" operator="greaterThan">
      <formula>V26</formula>
    </cfRule>
    <cfRule type="cellIs" dxfId="4707" priority="1257" operator="equal">
      <formula>0</formula>
    </cfRule>
  </conditionalFormatting>
  <conditionalFormatting sqref="V30:V31 X30:X31">
    <cfRule type="cellIs" dxfId="4706" priority="1255" operator="equal">
      <formula>0</formula>
    </cfRule>
  </conditionalFormatting>
  <conditionalFormatting sqref="V31">
    <cfRule type="cellIs" dxfId="4705" priority="1253" operator="greaterThan">
      <formula>V30</formula>
    </cfRule>
    <cfRule type="cellIs" dxfId="4704" priority="1254" operator="equal">
      <formula>0</formula>
    </cfRule>
  </conditionalFormatting>
  <conditionalFormatting sqref="V30">
    <cfRule type="cellIs" dxfId="4703" priority="1251" operator="greaterThan">
      <formula>V29</formula>
    </cfRule>
    <cfRule type="cellIs" dxfId="4702" priority="1252" operator="equal">
      <formula>0</formula>
    </cfRule>
  </conditionalFormatting>
  <conditionalFormatting sqref="V33:V34 X33:X34">
    <cfRule type="cellIs" dxfId="4701" priority="1250" operator="equal">
      <formula>0</formula>
    </cfRule>
  </conditionalFormatting>
  <conditionalFormatting sqref="V34">
    <cfRule type="cellIs" dxfId="4700" priority="1248" operator="greaterThan">
      <formula>V33</formula>
    </cfRule>
    <cfRule type="cellIs" dxfId="4699" priority="1249" operator="equal">
      <formula>0</formula>
    </cfRule>
  </conditionalFormatting>
  <conditionalFormatting sqref="V33">
    <cfRule type="cellIs" dxfId="4698" priority="1246" operator="greaterThan">
      <formula>V32</formula>
    </cfRule>
    <cfRule type="cellIs" dxfId="4697" priority="1247" operator="equal">
      <formula>0</formula>
    </cfRule>
  </conditionalFormatting>
  <conditionalFormatting sqref="V36:V37 X36:X37">
    <cfRule type="cellIs" dxfId="4696" priority="1245" operator="equal">
      <formula>0</formula>
    </cfRule>
  </conditionalFormatting>
  <conditionalFormatting sqref="V37">
    <cfRule type="cellIs" dxfId="4695" priority="1243" operator="greaterThan">
      <formula>V36</formula>
    </cfRule>
    <cfRule type="cellIs" dxfId="4694" priority="1244" operator="equal">
      <formula>0</formula>
    </cfRule>
  </conditionalFormatting>
  <conditionalFormatting sqref="V36">
    <cfRule type="cellIs" dxfId="4693" priority="1241" operator="greaterThan">
      <formula>V35</formula>
    </cfRule>
    <cfRule type="cellIs" dxfId="4692" priority="1242" operator="equal">
      <formula>0</formula>
    </cfRule>
  </conditionalFormatting>
  <conditionalFormatting sqref="V16">
    <cfRule type="cellIs" dxfId="4691" priority="1239" operator="greaterThan">
      <formula>V15</formula>
    </cfRule>
    <cfRule type="cellIs" dxfId="4690" priority="1240" operator="equal">
      <formula>0</formula>
    </cfRule>
  </conditionalFormatting>
  <conditionalFormatting sqref="V15">
    <cfRule type="cellIs" dxfId="4689" priority="1237" operator="greaterThan">
      <formula>V14</formula>
    </cfRule>
    <cfRule type="cellIs" dxfId="4688" priority="1238" operator="equal">
      <formula>0</formula>
    </cfRule>
  </conditionalFormatting>
  <conditionalFormatting sqref="V16">
    <cfRule type="cellIs" dxfId="4687" priority="1235" operator="greaterThan">
      <formula>V15</formula>
    </cfRule>
    <cfRule type="cellIs" dxfId="4686" priority="1236" operator="equal">
      <formula>0</formula>
    </cfRule>
  </conditionalFormatting>
  <conditionalFormatting sqref="V15">
    <cfRule type="cellIs" dxfId="4685" priority="1233" operator="greaterThan">
      <formula>V14</formula>
    </cfRule>
    <cfRule type="cellIs" dxfId="4684" priority="1234" operator="equal">
      <formula>0</formula>
    </cfRule>
  </conditionalFormatting>
  <conditionalFormatting sqref="V19">
    <cfRule type="cellIs" dxfId="4683" priority="1231" operator="greaterThan">
      <formula>V18</formula>
    </cfRule>
    <cfRule type="cellIs" dxfId="4682" priority="1232" operator="equal">
      <formula>0</formula>
    </cfRule>
  </conditionalFormatting>
  <conditionalFormatting sqref="V18">
    <cfRule type="cellIs" dxfId="4681" priority="1229" operator="greaterThan">
      <formula>V17</formula>
    </cfRule>
    <cfRule type="cellIs" dxfId="4680" priority="1230" operator="equal">
      <formula>0</formula>
    </cfRule>
  </conditionalFormatting>
  <conditionalFormatting sqref="V19">
    <cfRule type="cellIs" dxfId="4679" priority="1227" operator="greaterThan">
      <formula>V18</formula>
    </cfRule>
    <cfRule type="cellIs" dxfId="4678" priority="1228" operator="equal">
      <formula>0</formula>
    </cfRule>
  </conditionalFormatting>
  <conditionalFormatting sqref="V18">
    <cfRule type="cellIs" dxfId="4677" priority="1225" operator="greaterThan">
      <formula>V17</formula>
    </cfRule>
    <cfRule type="cellIs" dxfId="4676" priority="1226" operator="equal">
      <formula>0</formula>
    </cfRule>
  </conditionalFormatting>
  <conditionalFormatting sqref="V19">
    <cfRule type="cellIs" dxfId="4675" priority="1223" operator="greaterThan">
      <formula>V18</formula>
    </cfRule>
    <cfRule type="cellIs" dxfId="4674" priority="1224" operator="equal">
      <formula>0</formula>
    </cfRule>
  </conditionalFormatting>
  <conditionalFormatting sqref="V18">
    <cfRule type="cellIs" dxfId="4673" priority="1221" operator="greaterThan">
      <formula>V17</formula>
    </cfRule>
    <cfRule type="cellIs" dxfId="4672" priority="1222" operator="equal">
      <formula>0</formula>
    </cfRule>
  </conditionalFormatting>
  <conditionalFormatting sqref="V19">
    <cfRule type="cellIs" dxfId="4671" priority="1219" operator="greaterThan">
      <formula>V18</formula>
    </cfRule>
    <cfRule type="cellIs" dxfId="4670" priority="1220" operator="equal">
      <formula>0</formula>
    </cfRule>
  </conditionalFormatting>
  <conditionalFormatting sqref="V18">
    <cfRule type="cellIs" dxfId="4669" priority="1217" operator="greaterThan">
      <formula>V17</formula>
    </cfRule>
    <cfRule type="cellIs" dxfId="4668" priority="1218" operator="equal">
      <formula>0</formula>
    </cfRule>
  </conditionalFormatting>
  <conditionalFormatting sqref="V22">
    <cfRule type="cellIs" dxfId="4667" priority="1215" operator="greaterThan">
      <formula>V21</formula>
    </cfRule>
    <cfRule type="cellIs" dxfId="4666" priority="1216" operator="equal">
      <formula>0</formula>
    </cfRule>
  </conditionalFormatting>
  <conditionalFormatting sqref="V21">
    <cfRule type="cellIs" dxfId="4665" priority="1213" operator="greaterThan">
      <formula>V20</formula>
    </cfRule>
    <cfRule type="cellIs" dxfId="4664" priority="1214" operator="equal">
      <formula>0</formula>
    </cfRule>
  </conditionalFormatting>
  <conditionalFormatting sqref="V22">
    <cfRule type="cellIs" dxfId="4663" priority="1211" operator="greaterThan">
      <formula>V21</formula>
    </cfRule>
    <cfRule type="cellIs" dxfId="4662" priority="1212" operator="equal">
      <formula>0</formula>
    </cfRule>
  </conditionalFormatting>
  <conditionalFormatting sqref="V21">
    <cfRule type="cellIs" dxfId="4661" priority="1209" operator="greaterThan">
      <formula>V20</formula>
    </cfRule>
    <cfRule type="cellIs" dxfId="4660" priority="1210" operator="equal">
      <formula>0</formula>
    </cfRule>
  </conditionalFormatting>
  <conditionalFormatting sqref="V22">
    <cfRule type="cellIs" dxfId="4659" priority="1207" operator="greaterThan">
      <formula>V21</formula>
    </cfRule>
    <cfRule type="cellIs" dxfId="4658" priority="1208" operator="equal">
      <formula>0</formula>
    </cfRule>
  </conditionalFormatting>
  <conditionalFormatting sqref="V21">
    <cfRule type="cellIs" dxfId="4657" priority="1205" operator="greaterThan">
      <formula>V20</formula>
    </cfRule>
    <cfRule type="cellIs" dxfId="4656" priority="1206" operator="equal">
      <formula>0</formula>
    </cfRule>
  </conditionalFormatting>
  <conditionalFormatting sqref="V22">
    <cfRule type="cellIs" dxfId="4655" priority="1203" operator="greaterThan">
      <formula>V21</formula>
    </cfRule>
    <cfRule type="cellIs" dxfId="4654" priority="1204" operator="equal">
      <formula>0</formula>
    </cfRule>
  </conditionalFormatting>
  <conditionalFormatting sqref="V21">
    <cfRule type="cellIs" dxfId="4653" priority="1201" operator="greaterThan">
      <formula>V20</formula>
    </cfRule>
    <cfRule type="cellIs" dxfId="4652" priority="1202" operator="equal">
      <formula>0</formula>
    </cfRule>
  </conditionalFormatting>
  <conditionalFormatting sqref="V22">
    <cfRule type="cellIs" dxfId="4651" priority="1199" operator="greaterThan">
      <formula>V21</formula>
    </cfRule>
    <cfRule type="cellIs" dxfId="4650" priority="1200" operator="equal">
      <formula>0</formula>
    </cfRule>
  </conditionalFormatting>
  <conditionalFormatting sqref="V21">
    <cfRule type="cellIs" dxfId="4649" priority="1197" operator="greaterThan">
      <formula>V20</formula>
    </cfRule>
    <cfRule type="cellIs" dxfId="4648" priority="1198" operator="equal">
      <formula>0</formula>
    </cfRule>
  </conditionalFormatting>
  <conditionalFormatting sqref="V22">
    <cfRule type="cellIs" dxfId="4647" priority="1195" operator="greaterThan">
      <formula>V21</formula>
    </cfRule>
    <cfRule type="cellIs" dxfId="4646" priority="1196" operator="equal">
      <formula>0</formula>
    </cfRule>
  </conditionalFormatting>
  <conditionalFormatting sqref="V21">
    <cfRule type="cellIs" dxfId="4645" priority="1193" operator="greaterThan">
      <formula>V20</formula>
    </cfRule>
    <cfRule type="cellIs" dxfId="4644" priority="1194" operator="equal">
      <formula>0</formula>
    </cfRule>
  </conditionalFormatting>
  <conditionalFormatting sqref="V24">
    <cfRule type="cellIs" dxfId="4643" priority="1191" operator="greaterThan">
      <formula>V23</formula>
    </cfRule>
    <cfRule type="cellIs" dxfId="4642" priority="1192" operator="equal">
      <formula>0</formula>
    </cfRule>
  </conditionalFormatting>
  <conditionalFormatting sqref="V25">
    <cfRule type="cellIs" dxfId="4641" priority="1189" operator="greaterThan">
      <formula>V24</formula>
    </cfRule>
    <cfRule type="cellIs" dxfId="4640" priority="1190" operator="equal">
      <formula>0</formula>
    </cfRule>
  </conditionalFormatting>
  <conditionalFormatting sqref="V24">
    <cfRule type="cellIs" dxfId="4639" priority="1187" operator="greaterThan">
      <formula>V23</formula>
    </cfRule>
    <cfRule type="cellIs" dxfId="4638" priority="1188" operator="equal">
      <formula>0</formula>
    </cfRule>
  </conditionalFormatting>
  <conditionalFormatting sqref="V25">
    <cfRule type="cellIs" dxfId="4637" priority="1185" operator="greaterThan">
      <formula>V24</formula>
    </cfRule>
    <cfRule type="cellIs" dxfId="4636" priority="1186" operator="equal">
      <formula>0</formula>
    </cfRule>
  </conditionalFormatting>
  <conditionalFormatting sqref="V24">
    <cfRule type="cellIs" dxfId="4635" priority="1183" operator="greaterThan">
      <formula>V23</formula>
    </cfRule>
    <cfRule type="cellIs" dxfId="4634" priority="1184" operator="equal">
      <formula>0</formula>
    </cfRule>
  </conditionalFormatting>
  <conditionalFormatting sqref="V25">
    <cfRule type="cellIs" dxfId="4633" priority="1181" operator="greaterThan">
      <formula>V24</formula>
    </cfRule>
    <cfRule type="cellIs" dxfId="4632" priority="1182" operator="equal">
      <formula>0</formula>
    </cfRule>
  </conditionalFormatting>
  <conditionalFormatting sqref="V24">
    <cfRule type="cellIs" dxfId="4631" priority="1179" operator="greaterThan">
      <formula>V23</formula>
    </cfRule>
    <cfRule type="cellIs" dxfId="4630" priority="1180" operator="equal">
      <formula>0</formula>
    </cfRule>
  </conditionalFormatting>
  <conditionalFormatting sqref="V25">
    <cfRule type="cellIs" dxfId="4629" priority="1177" operator="greaterThan">
      <formula>V24</formula>
    </cfRule>
    <cfRule type="cellIs" dxfId="4628" priority="1178" operator="equal">
      <formula>0</formula>
    </cfRule>
  </conditionalFormatting>
  <conditionalFormatting sqref="V24">
    <cfRule type="cellIs" dxfId="4627" priority="1175" operator="greaterThan">
      <formula>V23</formula>
    </cfRule>
    <cfRule type="cellIs" dxfId="4626" priority="1176" operator="equal">
      <formula>0</formula>
    </cfRule>
  </conditionalFormatting>
  <conditionalFormatting sqref="V25">
    <cfRule type="cellIs" dxfId="4625" priority="1173" operator="greaterThan">
      <formula>V24</formula>
    </cfRule>
    <cfRule type="cellIs" dxfId="4624" priority="1174" operator="equal">
      <formula>0</formula>
    </cfRule>
  </conditionalFormatting>
  <conditionalFormatting sqref="V24">
    <cfRule type="cellIs" dxfId="4623" priority="1171" operator="greaterThan">
      <formula>V23</formula>
    </cfRule>
    <cfRule type="cellIs" dxfId="4622" priority="1172" operator="equal">
      <formula>0</formula>
    </cfRule>
  </conditionalFormatting>
  <conditionalFormatting sqref="V25">
    <cfRule type="cellIs" dxfId="4621" priority="1169" operator="greaterThan">
      <formula>V24</formula>
    </cfRule>
    <cfRule type="cellIs" dxfId="4620" priority="1170" operator="equal">
      <formula>0</formula>
    </cfRule>
  </conditionalFormatting>
  <conditionalFormatting sqref="V24">
    <cfRule type="cellIs" dxfId="4619" priority="1167" operator="greaterThan">
      <formula>V23</formula>
    </cfRule>
    <cfRule type="cellIs" dxfId="4618" priority="1168" operator="equal">
      <formula>0</formula>
    </cfRule>
  </conditionalFormatting>
  <conditionalFormatting sqref="V25">
    <cfRule type="cellIs" dxfId="4617" priority="1165" operator="greaterThan">
      <formula>V24</formula>
    </cfRule>
    <cfRule type="cellIs" dxfId="4616" priority="1166" operator="equal">
      <formula>0</formula>
    </cfRule>
  </conditionalFormatting>
  <conditionalFormatting sqref="V24">
    <cfRule type="cellIs" dxfId="4615" priority="1163" operator="greaterThan">
      <formula>V23</formula>
    </cfRule>
    <cfRule type="cellIs" dxfId="4614" priority="1164" operator="equal">
      <formula>0</formula>
    </cfRule>
  </conditionalFormatting>
  <conditionalFormatting sqref="V27:V28">
    <cfRule type="cellIs" dxfId="4613" priority="1161" operator="greaterThan">
      <formula>V26</formula>
    </cfRule>
    <cfRule type="cellIs" dxfId="4612" priority="1162" operator="equal">
      <formula>0</formula>
    </cfRule>
  </conditionalFormatting>
  <conditionalFormatting sqref="V27">
    <cfRule type="cellIs" dxfId="4611" priority="1159" operator="greaterThan">
      <formula>V26</formula>
    </cfRule>
    <cfRule type="cellIs" dxfId="4610" priority="1160" operator="equal">
      <formula>0</formula>
    </cfRule>
  </conditionalFormatting>
  <conditionalFormatting sqref="V28">
    <cfRule type="cellIs" dxfId="4609" priority="1157" operator="greaterThan">
      <formula>V27</formula>
    </cfRule>
    <cfRule type="cellIs" dxfId="4608" priority="1158" operator="equal">
      <formula>0</formula>
    </cfRule>
  </conditionalFormatting>
  <conditionalFormatting sqref="V27">
    <cfRule type="cellIs" dxfId="4607" priority="1155" operator="greaterThan">
      <formula>V26</formula>
    </cfRule>
    <cfRule type="cellIs" dxfId="4606" priority="1156" operator="equal">
      <formula>0</formula>
    </cfRule>
  </conditionalFormatting>
  <conditionalFormatting sqref="V27">
    <cfRule type="cellIs" dxfId="4605" priority="1153" operator="greaterThan">
      <formula>V26</formula>
    </cfRule>
    <cfRule type="cellIs" dxfId="4604" priority="1154" operator="equal">
      <formula>0</formula>
    </cfRule>
  </conditionalFormatting>
  <conditionalFormatting sqref="V28">
    <cfRule type="cellIs" dxfId="4603" priority="1151" operator="greaterThan">
      <formula>V27</formula>
    </cfRule>
    <cfRule type="cellIs" dxfId="4602" priority="1152" operator="equal">
      <formula>0</formula>
    </cfRule>
  </conditionalFormatting>
  <conditionalFormatting sqref="V27">
    <cfRule type="cellIs" dxfId="4601" priority="1149" operator="greaterThan">
      <formula>V26</formula>
    </cfRule>
    <cfRule type="cellIs" dxfId="4600" priority="1150" operator="equal">
      <formula>0</formula>
    </cfRule>
  </conditionalFormatting>
  <conditionalFormatting sqref="V28">
    <cfRule type="cellIs" dxfId="4599" priority="1147" operator="greaterThan">
      <formula>V27</formula>
    </cfRule>
    <cfRule type="cellIs" dxfId="4598" priority="1148" operator="equal">
      <formula>0</formula>
    </cfRule>
  </conditionalFormatting>
  <conditionalFormatting sqref="V27">
    <cfRule type="cellIs" dxfId="4597" priority="1145" operator="greaterThan">
      <formula>V26</formula>
    </cfRule>
    <cfRule type="cellIs" dxfId="4596" priority="1146" operator="equal">
      <formula>0</formula>
    </cfRule>
  </conditionalFormatting>
  <conditionalFormatting sqref="V28">
    <cfRule type="cellIs" dxfId="4595" priority="1143" operator="greaterThan">
      <formula>V27</formula>
    </cfRule>
    <cfRule type="cellIs" dxfId="4594" priority="1144" operator="equal">
      <formula>0</formula>
    </cfRule>
  </conditionalFormatting>
  <conditionalFormatting sqref="V27">
    <cfRule type="cellIs" dxfId="4593" priority="1141" operator="greaterThan">
      <formula>V26</formula>
    </cfRule>
    <cfRule type="cellIs" dxfId="4592" priority="1142" operator="equal">
      <formula>0</formula>
    </cfRule>
  </conditionalFormatting>
  <conditionalFormatting sqref="V28">
    <cfRule type="cellIs" dxfId="4591" priority="1139" operator="greaterThan">
      <formula>V27</formula>
    </cfRule>
    <cfRule type="cellIs" dxfId="4590" priority="1140" operator="equal">
      <formula>0</formula>
    </cfRule>
  </conditionalFormatting>
  <conditionalFormatting sqref="V27">
    <cfRule type="cellIs" dxfId="4589" priority="1137" operator="greaterThan">
      <formula>V26</formula>
    </cfRule>
    <cfRule type="cellIs" dxfId="4588" priority="1138" operator="equal">
      <formula>0</formula>
    </cfRule>
  </conditionalFormatting>
  <conditionalFormatting sqref="V28">
    <cfRule type="cellIs" dxfId="4587" priority="1135" operator="greaterThan">
      <formula>V27</formula>
    </cfRule>
    <cfRule type="cellIs" dxfId="4586" priority="1136" operator="equal">
      <formula>0</formula>
    </cfRule>
  </conditionalFormatting>
  <conditionalFormatting sqref="V27">
    <cfRule type="cellIs" dxfId="4585" priority="1133" operator="greaterThan">
      <formula>V26</formula>
    </cfRule>
    <cfRule type="cellIs" dxfId="4584" priority="1134" operator="equal">
      <formula>0</formula>
    </cfRule>
  </conditionalFormatting>
  <conditionalFormatting sqref="V28">
    <cfRule type="cellIs" dxfId="4583" priority="1131" operator="greaterThan">
      <formula>V27</formula>
    </cfRule>
    <cfRule type="cellIs" dxfId="4582" priority="1132" operator="equal">
      <formula>0</formula>
    </cfRule>
  </conditionalFormatting>
  <conditionalFormatting sqref="V27">
    <cfRule type="cellIs" dxfId="4581" priority="1129" operator="greaterThan">
      <formula>V26</formula>
    </cfRule>
    <cfRule type="cellIs" dxfId="4580" priority="1130" operator="equal">
      <formula>0</formula>
    </cfRule>
  </conditionalFormatting>
  <conditionalFormatting sqref="V28">
    <cfRule type="cellIs" dxfId="4579" priority="1127" operator="greaterThan">
      <formula>V27</formula>
    </cfRule>
    <cfRule type="cellIs" dxfId="4578" priority="1128" operator="equal">
      <formula>0</formula>
    </cfRule>
  </conditionalFormatting>
  <conditionalFormatting sqref="V27">
    <cfRule type="cellIs" dxfId="4577" priority="1125" operator="greaterThan">
      <formula>V26</formula>
    </cfRule>
    <cfRule type="cellIs" dxfId="4576" priority="1126" operator="equal">
      <formula>0</formula>
    </cfRule>
  </conditionalFormatting>
  <conditionalFormatting sqref="V19">
    <cfRule type="cellIs" dxfId="4575" priority="1123" operator="greaterThan">
      <formula>V18</formula>
    </cfRule>
    <cfRule type="cellIs" dxfId="4574" priority="1124" operator="equal">
      <formula>0</formula>
    </cfRule>
  </conditionalFormatting>
  <conditionalFormatting sqref="V18">
    <cfRule type="cellIs" dxfId="4573" priority="1121" operator="greaterThan">
      <formula>V17</formula>
    </cfRule>
    <cfRule type="cellIs" dxfId="4572" priority="1122" operator="equal">
      <formula>0</formula>
    </cfRule>
  </conditionalFormatting>
  <conditionalFormatting sqref="V19">
    <cfRule type="cellIs" dxfId="4571" priority="1119" operator="greaterThan">
      <formula>V18</formula>
    </cfRule>
    <cfRule type="cellIs" dxfId="4570" priority="1120" operator="equal">
      <formula>0</formula>
    </cfRule>
  </conditionalFormatting>
  <conditionalFormatting sqref="V18">
    <cfRule type="cellIs" dxfId="4569" priority="1117" operator="greaterThan">
      <formula>V17</formula>
    </cfRule>
    <cfRule type="cellIs" dxfId="4568" priority="1118" operator="equal">
      <formula>0</formula>
    </cfRule>
  </conditionalFormatting>
  <conditionalFormatting sqref="V19">
    <cfRule type="cellIs" dxfId="4567" priority="1115" operator="greaterThan">
      <formula>V18</formula>
    </cfRule>
    <cfRule type="cellIs" dxfId="4566" priority="1116" operator="equal">
      <formula>0</formula>
    </cfRule>
  </conditionalFormatting>
  <conditionalFormatting sqref="V18">
    <cfRule type="cellIs" dxfId="4565" priority="1113" operator="greaterThan">
      <formula>V17</formula>
    </cfRule>
    <cfRule type="cellIs" dxfId="4564" priority="1114" operator="equal">
      <formula>0</formula>
    </cfRule>
  </conditionalFormatting>
  <conditionalFormatting sqref="V19">
    <cfRule type="cellIs" dxfId="4563" priority="1111" operator="greaterThan">
      <formula>V18</formula>
    </cfRule>
    <cfRule type="cellIs" dxfId="4562" priority="1112" operator="equal">
      <formula>0</formula>
    </cfRule>
  </conditionalFormatting>
  <conditionalFormatting sqref="V18">
    <cfRule type="cellIs" dxfId="4561" priority="1109" operator="greaterThan">
      <formula>V17</formula>
    </cfRule>
    <cfRule type="cellIs" dxfId="4560" priority="1110" operator="equal">
      <formula>0</formula>
    </cfRule>
  </conditionalFormatting>
  <conditionalFormatting sqref="V16">
    <cfRule type="cellIs" dxfId="4559" priority="1107" operator="greaterThan">
      <formula>V15</formula>
    </cfRule>
    <cfRule type="cellIs" dxfId="4558" priority="1108" operator="equal">
      <formula>0</formula>
    </cfRule>
  </conditionalFormatting>
  <conditionalFormatting sqref="V16">
    <cfRule type="cellIs" dxfId="4557" priority="1105" operator="greaterThan">
      <formula>V15</formula>
    </cfRule>
    <cfRule type="cellIs" dxfId="4556" priority="1106" operator="equal">
      <formula>0</formula>
    </cfRule>
  </conditionalFormatting>
  <conditionalFormatting sqref="V16">
    <cfRule type="cellIs" dxfId="4555" priority="1103" operator="greaterThan">
      <formula>V15</formula>
    </cfRule>
    <cfRule type="cellIs" dxfId="4554" priority="1104" operator="equal">
      <formula>0</formula>
    </cfRule>
  </conditionalFormatting>
  <conditionalFormatting sqref="V16">
    <cfRule type="cellIs" dxfId="4553" priority="1101" operator="greaterThan">
      <formula>V15</formula>
    </cfRule>
    <cfRule type="cellIs" dxfId="4552" priority="1102" operator="equal">
      <formula>0</formula>
    </cfRule>
  </conditionalFormatting>
  <conditionalFormatting sqref="V19">
    <cfRule type="cellIs" dxfId="4551" priority="1099" operator="greaterThan">
      <formula>V18</formula>
    </cfRule>
    <cfRule type="cellIs" dxfId="4550" priority="1100" operator="equal">
      <formula>0</formula>
    </cfRule>
  </conditionalFormatting>
  <conditionalFormatting sqref="V19">
    <cfRule type="cellIs" dxfId="4549" priority="1097" operator="greaterThan">
      <formula>V18</formula>
    </cfRule>
    <cfRule type="cellIs" dxfId="4548" priority="1098" operator="equal">
      <formula>0</formula>
    </cfRule>
  </conditionalFormatting>
  <conditionalFormatting sqref="V19">
    <cfRule type="cellIs" dxfId="4547" priority="1095" operator="greaterThan">
      <formula>V18</formula>
    </cfRule>
    <cfRule type="cellIs" dxfId="4546" priority="1096" operator="equal">
      <formula>0</formula>
    </cfRule>
  </conditionalFormatting>
  <conditionalFormatting sqref="V19">
    <cfRule type="cellIs" dxfId="4545" priority="1093" operator="greaterThan">
      <formula>V18</formula>
    </cfRule>
    <cfRule type="cellIs" dxfId="4544" priority="1094" operator="equal">
      <formula>0</formula>
    </cfRule>
  </conditionalFormatting>
  <conditionalFormatting sqref="V19">
    <cfRule type="cellIs" dxfId="4543" priority="1091" operator="greaterThan">
      <formula>V18</formula>
    </cfRule>
    <cfRule type="cellIs" dxfId="4542" priority="1092" operator="equal">
      <formula>0</formula>
    </cfRule>
  </conditionalFormatting>
  <conditionalFormatting sqref="V19">
    <cfRule type="cellIs" dxfId="4541" priority="1089" operator="greaterThan">
      <formula>V18</formula>
    </cfRule>
    <cfRule type="cellIs" dxfId="4540" priority="1090" operator="equal">
      <formula>0</formula>
    </cfRule>
  </conditionalFormatting>
  <conditionalFormatting sqref="V19">
    <cfRule type="cellIs" dxfId="4539" priority="1087" operator="greaterThan">
      <formula>V18</formula>
    </cfRule>
    <cfRule type="cellIs" dxfId="4538" priority="1088" operator="equal">
      <formula>0</formula>
    </cfRule>
  </conditionalFormatting>
  <conditionalFormatting sqref="V19">
    <cfRule type="cellIs" dxfId="4537" priority="1085" operator="greaterThan">
      <formula>V18</formula>
    </cfRule>
    <cfRule type="cellIs" dxfId="4536" priority="1086" operator="equal">
      <formula>0</formula>
    </cfRule>
  </conditionalFormatting>
  <conditionalFormatting sqref="V19">
    <cfRule type="cellIs" dxfId="4535" priority="1083" operator="greaterThan">
      <formula>V18</formula>
    </cfRule>
    <cfRule type="cellIs" dxfId="4534" priority="1084" operator="equal">
      <formula>0</formula>
    </cfRule>
  </conditionalFormatting>
  <conditionalFormatting sqref="V19">
    <cfRule type="cellIs" dxfId="4533" priority="1081" operator="greaterThan">
      <formula>V18</formula>
    </cfRule>
    <cfRule type="cellIs" dxfId="4532" priority="1082" operator="equal">
      <formula>0</formula>
    </cfRule>
  </conditionalFormatting>
  <conditionalFormatting sqref="V22">
    <cfRule type="cellIs" dxfId="4531" priority="1079" operator="greaterThan">
      <formula>V21</formula>
    </cfRule>
    <cfRule type="cellIs" dxfId="4530" priority="1080" operator="equal">
      <formula>0</formula>
    </cfRule>
  </conditionalFormatting>
  <conditionalFormatting sqref="V21">
    <cfRule type="cellIs" dxfId="4529" priority="1077" operator="greaterThan">
      <formula>V20</formula>
    </cfRule>
    <cfRule type="cellIs" dxfId="4528" priority="1078" operator="equal">
      <formula>0</formula>
    </cfRule>
  </conditionalFormatting>
  <conditionalFormatting sqref="V22">
    <cfRule type="cellIs" dxfId="4527" priority="1075" operator="greaterThan">
      <formula>V21</formula>
    </cfRule>
    <cfRule type="cellIs" dxfId="4526" priority="1076" operator="equal">
      <formula>0</formula>
    </cfRule>
  </conditionalFormatting>
  <conditionalFormatting sqref="V21">
    <cfRule type="cellIs" dxfId="4525" priority="1073" operator="greaterThan">
      <formula>V20</formula>
    </cfRule>
    <cfRule type="cellIs" dxfId="4524" priority="1074" operator="equal">
      <formula>0</formula>
    </cfRule>
  </conditionalFormatting>
  <conditionalFormatting sqref="V22">
    <cfRule type="cellIs" dxfId="4523" priority="1071" operator="greaterThan">
      <formula>V21</formula>
    </cfRule>
    <cfRule type="cellIs" dxfId="4522" priority="1072" operator="equal">
      <formula>0</formula>
    </cfRule>
  </conditionalFormatting>
  <conditionalFormatting sqref="V21">
    <cfRule type="cellIs" dxfId="4521" priority="1069" operator="greaterThan">
      <formula>V20</formula>
    </cfRule>
    <cfRule type="cellIs" dxfId="4520" priority="1070" operator="equal">
      <formula>0</formula>
    </cfRule>
  </conditionalFormatting>
  <conditionalFormatting sqref="V22">
    <cfRule type="cellIs" dxfId="4519" priority="1067" operator="greaterThan">
      <formula>V21</formula>
    </cfRule>
    <cfRule type="cellIs" dxfId="4518" priority="1068" operator="equal">
      <formula>0</formula>
    </cfRule>
  </conditionalFormatting>
  <conditionalFormatting sqref="V21">
    <cfRule type="cellIs" dxfId="4517" priority="1065" operator="greaterThan">
      <formula>V20</formula>
    </cfRule>
    <cfRule type="cellIs" dxfId="4516" priority="1066" operator="equal">
      <formula>0</formula>
    </cfRule>
  </conditionalFormatting>
  <conditionalFormatting sqref="V22">
    <cfRule type="cellIs" dxfId="4515" priority="1063" operator="greaterThan">
      <formula>V21</formula>
    </cfRule>
    <cfRule type="cellIs" dxfId="4514" priority="1064" operator="equal">
      <formula>0</formula>
    </cfRule>
  </conditionalFormatting>
  <conditionalFormatting sqref="V21">
    <cfRule type="cellIs" dxfId="4513" priority="1061" operator="greaterThan">
      <formula>V20</formula>
    </cfRule>
    <cfRule type="cellIs" dxfId="4512" priority="1062" operator="equal">
      <formula>0</formula>
    </cfRule>
  </conditionalFormatting>
  <conditionalFormatting sqref="V22">
    <cfRule type="cellIs" dxfId="4511" priority="1059" operator="greaterThan">
      <formula>V21</formula>
    </cfRule>
    <cfRule type="cellIs" dxfId="4510" priority="1060" operator="equal">
      <formula>0</formula>
    </cfRule>
  </conditionalFormatting>
  <conditionalFormatting sqref="V21">
    <cfRule type="cellIs" dxfId="4509" priority="1057" operator="greaterThan">
      <formula>V20</formula>
    </cfRule>
    <cfRule type="cellIs" dxfId="4508" priority="1058" operator="equal">
      <formula>0</formula>
    </cfRule>
  </conditionalFormatting>
  <conditionalFormatting sqref="V22">
    <cfRule type="cellIs" dxfId="4507" priority="1055" operator="greaterThan">
      <formula>V21</formula>
    </cfRule>
    <cfRule type="cellIs" dxfId="4506" priority="1056" operator="equal">
      <formula>0</formula>
    </cfRule>
  </conditionalFormatting>
  <conditionalFormatting sqref="V21">
    <cfRule type="cellIs" dxfId="4505" priority="1053" operator="greaterThan">
      <formula>V20</formula>
    </cfRule>
    <cfRule type="cellIs" dxfId="4504" priority="1054" operator="equal">
      <formula>0</formula>
    </cfRule>
  </conditionalFormatting>
  <conditionalFormatting sqref="V22">
    <cfRule type="cellIs" dxfId="4503" priority="1051" operator="greaterThan">
      <formula>V21</formula>
    </cfRule>
    <cfRule type="cellIs" dxfId="4502" priority="1052" operator="equal">
      <formula>0</formula>
    </cfRule>
  </conditionalFormatting>
  <conditionalFormatting sqref="V21">
    <cfRule type="cellIs" dxfId="4501" priority="1049" operator="greaterThan">
      <formula>V20</formula>
    </cfRule>
    <cfRule type="cellIs" dxfId="4500" priority="1050" operator="equal">
      <formula>0</formula>
    </cfRule>
  </conditionalFormatting>
  <conditionalFormatting sqref="V22">
    <cfRule type="cellIs" dxfId="4499" priority="1047" operator="greaterThan">
      <formula>V21</formula>
    </cfRule>
    <cfRule type="cellIs" dxfId="4498" priority="1048" operator="equal">
      <formula>0</formula>
    </cfRule>
  </conditionalFormatting>
  <conditionalFormatting sqref="V21">
    <cfRule type="cellIs" dxfId="4497" priority="1045" operator="greaterThan">
      <formula>V20</formula>
    </cfRule>
    <cfRule type="cellIs" dxfId="4496" priority="1046" operator="equal">
      <formula>0</formula>
    </cfRule>
  </conditionalFormatting>
  <conditionalFormatting sqref="V22">
    <cfRule type="cellIs" dxfId="4495" priority="1043" operator="greaterThan">
      <formula>V21</formula>
    </cfRule>
    <cfRule type="cellIs" dxfId="4494" priority="1044" operator="equal">
      <formula>0</formula>
    </cfRule>
  </conditionalFormatting>
  <conditionalFormatting sqref="V21">
    <cfRule type="cellIs" dxfId="4493" priority="1041" operator="greaterThan">
      <formula>V20</formula>
    </cfRule>
    <cfRule type="cellIs" dxfId="4492" priority="1042" operator="equal">
      <formula>0</formula>
    </cfRule>
  </conditionalFormatting>
  <conditionalFormatting sqref="V22">
    <cfRule type="cellIs" dxfId="4491" priority="1039" operator="greaterThan">
      <formula>V21</formula>
    </cfRule>
    <cfRule type="cellIs" dxfId="4490" priority="1040" operator="equal">
      <formula>0</formula>
    </cfRule>
  </conditionalFormatting>
  <conditionalFormatting sqref="V22">
    <cfRule type="cellIs" dxfId="4489" priority="1037" operator="greaterThan">
      <formula>V21</formula>
    </cfRule>
    <cfRule type="cellIs" dxfId="4488" priority="1038" operator="equal">
      <formula>0</formula>
    </cfRule>
  </conditionalFormatting>
  <conditionalFormatting sqref="V22">
    <cfRule type="cellIs" dxfId="4487" priority="1035" operator="greaterThan">
      <formula>V21</formula>
    </cfRule>
    <cfRule type="cellIs" dxfId="4486" priority="1036" operator="equal">
      <formula>0</formula>
    </cfRule>
  </conditionalFormatting>
  <conditionalFormatting sqref="V22">
    <cfRule type="cellIs" dxfId="4485" priority="1033" operator="greaterThan">
      <formula>V21</formula>
    </cfRule>
    <cfRule type="cellIs" dxfId="4484" priority="1034" operator="equal">
      <formula>0</formula>
    </cfRule>
  </conditionalFormatting>
  <conditionalFormatting sqref="V22">
    <cfRule type="cellIs" dxfId="4483" priority="1031" operator="greaterThan">
      <formula>V21</formula>
    </cfRule>
    <cfRule type="cellIs" dxfId="4482" priority="1032" operator="equal">
      <formula>0</formula>
    </cfRule>
  </conditionalFormatting>
  <conditionalFormatting sqref="V22">
    <cfRule type="cellIs" dxfId="4481" priority="1029" operator="greaterThan">
      <formula>V21</formula>
    </cfRule>
    <cfRule type="cellIs" dxfId="4480" priority="1030" operator="equal">
      <formula>0</formula>
    </cfRule>
  </conditionalFormatting>
  <conditionalFormatting sqref="V22">
    <cfRule type="cellIs" dxfId="4479" priority="1027" operator="greaterThan">
      <formula>V21</formula>
    </cfRule>
    <cfRule type="cellIs" dxfId="4478" priority="1028" operator="equal">
      <formula>0</formula>
    </cfRule>
  </conditionalFormatting>
  <conditionalFormatting sqref="V22">
    <cfRule type="cellIs" dxfId="4477" priority="1025" operator="greaterThan">
      <formula>V21</formula>
    </cfRule>
    <cfRule type="cellIs" dxfId="4476" priority="1026" operator="equal">
      <formula>0</formula>
    </cfRule>
  </conditionalFormatting>
  <conditionalFormatting sqref="V22">
    <cfRule type="cellIs" dxfId="4475" priority="1023" operator="greaterThan">
      <formula>V21</formula>
    </cfRule>
    <cfRule type="cellIs" dxfId="4474" priority="1024" operator="equal">
      <formula>0</formula>
    </cfRule>
  </conditionalFormatting>
  <conditionalFormatting sqref="V22">
    <cfRule type="cellIs" dxfId="4473" priority="1021" operator="greaterThan">
      <formula>V21</formula>
    </cfRule>
    <cfRule type="cellIs" dxfId="4472" priority="1022" operator="equal">
      <formula>0</formula>
    </cfRule>
  </conditionalFormatting>
  <conditionalFormatting sqref="V22">
    <cfRule type="cellIs" dxfId="4471" priority="1019" operator="greaterThan">
      <formula>V21</formula>
    </cfRule>
    <cfRule type="cellIs" dxfId="4470" priority="1020" operator="equal">
      <formula>0</formula>
    </cfRule>
  </conditionalFormatting>
  <conditionalFormatting sqref="V22">
    <cfRule type="cellIs" dxfId="4469" priority="1017" operator="greaterThan">
      <formula>V21</formula>
    </cfRule>
    <cfRule type="cellIs" dxfId="4468" priority="1018" operator="equal">
      <formula>0</formula>
    </cfRule>
  </conditionalFormatting>
  <conditionalFormatting sqref="V22">
    <cfRule type="cellIs" dxfId="4467" priority="1015" operator="greaterThan">
      <formula>V21</formula>
    </cfRule>
    <cfRule type="cellIs" dxfId="4466" priority="1016" operator="equal">
      <formula>0</formula>
    </cfRule>
  </conditionalFormatting>
  <conditionalFormatting sqref="V22">
    <cfRule type="cellIs" dxfId="4465" priority="1013" operator="greaterThan">
      <formula>V21</formula>
    </cfRule>
    <cfRule type="cellIs" dxfId="4464" priority="1014" operator="equal">
      <formula>0</formula>
    </cfRule>
  </conditionalFormatting>
  <conditionalFormatting sqref="V22">
    <cfRule type="cellIs" dxfId="4463" priority="1011" operator="greaterThan">
      <formula>V21</formula>
    </cfRule>
    <cfRule type="cellIs" dxfId="4462" priority="1012" operator="equal">
      <formula>0</formula>
    </cfRule>
  </conditionalFormatting>
  <conditionalFormatting sqref="V22">
    <cfRule type="cellIs" dxfId="4461" priority="1009" operator="greaterThan">
      <formula>V21</formula>
    </cfRule>
    <cfRule type="cellIs" dxfId="4460" priority="1010" operator="equal">
      <formula>0</formula>
    </cfRule>
  </conditionalFormatting>
  <conditionalFormatting sqref="V22">
    <cfRule type="cellIs" dxfId="4459" priority="1007" operator="greaterThan">
      <formula>V21</formula>
    </cfRule>
    <cfRule type="cellIs" dxfId="4458" priority="1008" operator="equal">
      <formula>0</formula>
    </cfRule>
  </conditionalFormatting>
  <conditionalFormatting sqref="V22">
    <cfRule type="cellIs" dxfId="4457" priority="1005" operator="greaterThan">
      <formula>V21</formula>
    </cfRule>
    <cfRule type="cellIs" dxfId="4456" priority="1006" operator="equal">
      <formula>0</formula>
    </cfRule>
  </conditionalFormatting>
  <conditionalFormatting sqref="V22">
    <cfRule type="cellIs" dxfId="4455" priority="1003" operator="greaterThan">
      <formula>V21</formula>
    </cfRule>
    <cfRule type="cellIs" dxfId="4454" priority="1004" operator="equal">
      <formula>0</formula>
    </cfRule>
  </conditionalFormatting>
  <conditionalFormatting sqref="V22">
    <cfRule type="cellIs" dxfId="4453" priority="1001" operator="greaterThan">
      <formula>V21</formula>
    </cfRule>
    <cfRule type="cellIs" dxfId="4452" priority="1002" operator="equal">
      <formula>0</formula>
    </cfRule>
  </conditionalFormatting>
  <conditionalFormatting sqref="V22">
    <cfRule type="cellIs" dxfId="4451" priority="999" operator="greaterThan">
      <formula>V21</formula>
    </cfRule>
    <cfRule type="cellIs" dxfId="4450" priority="1000" operator="equal">
      <formula>0</formula>
    </cfRule>
  </conditionalFormatting>
  <conditionalFormatting sqref="V22">
    <cfRule type="cellIs" dxfId="4449" priority="997" operator="greaterThan">
      <formula>V21</formula>
    </cfRule>
    <cfRule type="cellIs" dxfId="4448" priority="998" operator="equal">
      <formula>0</formula>
    </cfRule>
  </conditionalFormatting>
  <conditionalFormatting sqref="V22">
    <cfRule type="cellIs" dxfId="4447" priority="995" operator="greaterThan">
      <formula>V21</formula>
    </cfRule>
    <cfRule type="cellIs" dxfId="4446" priority="996" operator="equal">
      <formula>0</formula>
    </cfRule>
  </conditionalFormatting>
  <conditionalFormatting sqref="V22">
    <cfRule type="cellIs" dxfId="4445" priority="993" operator="greaterThan">
      <formula>V21</formula>
    </cfRule>
    <cfRule type="cellIs" dxfId="4444" priority="994" operator="equal">
      <formula>0</formula>
    </cfRule>
  </conditionalFormatting>
  <conditionalFormatting sqref="V22">
    <cfRule type="cellIs" dxfId="4443" priority="991" operator="greaterThan">
      <formula>V21</formula>
    </cfRule>
    <cfRule type="cellIs" dxfId="4442" priority="992" operator="equal">
      <formula>0</formula>
    </cfRule>
  </conditionalFormatting>
  <conditionalFormatting sqref="V22">
    <cfRule type="cellIs" dxfId="4441" priority="989" operator="greaterThan">
      <formula>V21</formula>
    </cfRule>
    <cfRule type="cellIs" dxfId="4440" priority="990" operator="equal">
      <formula>0</formula>
    </cfRule>
  </conditionalFormatting>
  <conditionalFormatting sqref="V22">
    <cfRule type="cellIs" dxfId="4439" priority="987" operator="greaterThan">
      <formula>V21</formula>
    </cfRule>
    <cfRule type="cellIs" dxfId="4438" priority="988" operator="equal">
      <formula>0</formula>
    </cfRule>
  </conditionalFormatting>
  <conditionalFormatting sqref="V22">
    <cfRule type="cellIs" dxfId="4437" priority="985" operator="greaterThan">
      <formula>V21</formula>
    </cfRule>
    <cfRule type="cellIs" dxfId="4436" priority="986" operator="equal">
      <formula>0</formula>
    </cfRule>
  </conditionalFormatting>
  <conditionalFormatting sqref="V24">
    <cfRule type="cellIs" dxfId="4435" priority="983" operator="greaterThan">
      <formula>V23</formula>
    </cfRule>
    <cfRule type="cellIs" dxfId="4434" priority="984" operator="equal">
      <formula>0</formula>
    </cfRule>
  </conditionalFormatting>
  <conditionalFormatting sqref="V24">
    <cfRule type="cellIs" dxfId="4433" priority="981" operator="greaterThan">
      <formula>V23</formula>
    </cfRule>
    <cfRule type="cellIs" dxfId="4432" priority="982" operator="equal">
      <formula>0</formula>
    </cfRule>
  </conditionalFormatting>
  <conditionalFormatting sqref="V24">
    <cfRule type="cellIs" dxfId="4431" priority="979" operator="greaterThan">
      <formula>V23</formula>
    </cfRule>
    <cfRule type="cellIs" dxfId="4430" priority="980" operator="equal">
      <formula>0</formula>
    </cfRule>
  </conditionalFormatting>
  <conditionalFormatting sqref="V24">
    <cfRule type="cellIs" dxfId="4429" priority="977" operator="greaterThan">
      <formula>V23</formula>
    </cfRule>
    <cfRule type="cellIs" dxfId="4428" priority="978" operator="equal">
      <formula>0</formula>
    </cfRule>
  </conditionalFormatting>
  <conditionalFormatting sqref="V24">
    <cfRule type="cellIs" dxfId="4427" priority="975" operator="greaterThan">
      <formula>V23</formula>
    </cfRule>
    <cfRule type="cellIs" dxfId="4426" priority="976" operator="equal">
      <formula>0</formula>
    </cfRule>
  </conditionalFormatting>
  <conditionalFormatting sqref="V24">
    <cfRule type="cellIs" dxfId="4425" priority="973" operator="greaterThan">
      <formula>V23</formula>
    </cfRule>
    <cfRule type="cellIs" dxfId="4424" priority="974" operator="equal">
      <formula>0</formula>
    </cfRule>
  </conditionalFormatting>
  <conditionalFormatting sqref="V24">
    <cfRule type="cellIs" dxfId="4423" priority="971" operator="greaterThan">
      <formula>V23</formula>
    </cfRule>
    <cfRule type="cellIs" dxfId="4422" priority="972" operator="equal">
      <formula>0</formula>
    </cfRule>
  </conditionalFormatting>
  <conditionalFormatting sqref="V24">
    <cfRule type="cellIs" dxfId="4421" priority="969" operator="greaterThan">
      <formula>V23</formula>
    </cfRule>
    <cfRule type="cellIs" dxfId="4420" priority="970" operator="equal">
      <formula>0</formula>
    </cfRule>
  </conditionalFormatting>
  <conditionalFormatting sqref="V24">
    <cfRule type="cellIs" dxfId="4419" priority="967" operator="greaterThan">
      <formula>V23</formula>
    </cfRule>
    <cfRule type="cellIs" dxfId="4418" priority="968" operator="equal">
      <formula>0</formula>
    </cfRule>
  </conditionalFormatting>
  <conditionalFormatting sqref="V24">
    <cfRule type="cellIs" dxfId="4417" priority="965" operator="greaterThan">
      <formula>V23</formula>
    </cfRule>
    <cfRule type="cellIs" dxfId="4416" priority="966" operator="equal">
      <formula>0</formula>
    </cfRule>
  </conditionalFormatting>
  <conditionalFormatting sqref="V24">
    <cfRule type="cellIs" dxfId="4415" priority="963" operator="greaterThan">
      <formula>V23</formula>
    </cfRule>
    <cfRule type="cellIs" dxfId="4414" priority="964" operator="equal">
      <formula>0</formula>
    </cfRule>
  </conditionalFormatting>
  <conditionalFormatting sqref="V24">
    <cfRule type="cellIs" dxfId="4413" priority="961" operator="greaterThan">
      <formula>V23</formula>
    </cfRule>
    <cfRule type="cellIs" dxfId="4412" priority="962" operator="equal">
      <formula>0</formula>
    </cfRule>
  </conditionalFormatting>
  <conditionalFormatting sqref="V24">
    <cfRule type="cellIs" dxfId="4411" priority="959" operator="greaterThan">
      <formula>V23</formula>
    </cfRule>
    <cfRule type="cellIs" dxfId="4410" priority="960" operator="equal">
      <formula>0</formula>
    </cfRule>
  </conditionalFormatting>
  <conditionalFormatting sqref="V24">
    <cfRule type="cellIs" dxfId="4409" priority="957" operator="greaterThan">
      <formula>V23</formula>
    </cfRule>
    <cfRule type="cellIs" dxfId="4408" priority="958" operator="equal">
      <formula>0</formula>
    </cfRule>
  </conditionalFormatting>
  <conditionalFormatting sqref="V24">
    <cfRule type="cellIs" dxfId="4407" priority="955" operator="greaterThan">
      <formula>V23</formula>
    </cfRule>
    <cfRule type="cellIs" dxfId="4406" priority="956" operator="equal">
      <formula>0</formula>
    </cfRule>
  </conditionalFormatting>
  <conditionalFormatting sqref="V24">
    <cfRule type="cellIs" dxfId="4405" priority="953" operator="greaterThan">
      <formula>V23</formula>
    </cfRule>
    <cfRule type="cellIs" dxfId="4404" priority="954" operator="equal">
      <formula>0</formula>
    </cfRule>
  </conditionalFormatting>
  <conditionalFormatting sqref="V24">
    <cfRule type="cellIs" dxfId="4403" priority="951" operator="greaterThan">
      <formula>V23</formula>
    </cfRule>
    <cfRule type="cellIs" dxfId="4402" priority="952" operator="equal">
      <formula>0</formula>
    </cfRule>
  </conditionalFormatting>
  <conditionalFormatting sqref="V24">
    <cfRule type="cellIs" dxfId="4401" priority="949" operator="greaterThan">
      <formula>V23</formula>
    </cfRule>
    <cfRule type="cellIs" dxfId="4400" priority="950" operator="equal">
      <formula>0</formula>
    </cfRule>
  </conditionalFormatting>
  <conditionalFormatting sqref="V25">
    <cfRule type="cellIs" dxfId="4399" priority="947" operator="greaterThan">
      <formula>V24</formula>
    </cfRule>
    <cfRule type="cellIs" dxfId="4398" priority="948" operator="equal">
      <formula>0</formula>
    </cfRule>
  </conditionalFormatting>
  <conditionalFormatting sqref="V25">
    <cfRule type="cellIs" dxfId="4397" priority="945" operator="greaterThan">
      <formula>V24</formula>
    </cfRule>
    <cfRule type="cellIs" dxfId="4396" priority="946" operator="equal">
      <formula>0</formula>
    </cfRule>
  </conditionalFormatting>
  <conditionalFormatting sqref="V25">
    <cfRule type="cellIs" dxfId="4395" priority="943" operator="greaterThan">
      <formula>V24</formula>
    </cfRule>
    <cfRule type="cellIs" dxfId="4394" priority="944" operator="equal">
      <formula>0</formula>
    </cfRule>
  </conditionalFormatting>
  <conditionalFormatting sqref="V25">
    <cfRule type="cellIs" dxfId="4393" priority="941" operator="greaterThan">
      <formula>V24</formula>
    </cfRule>
    <cfRule type="cellIs" dxfId="4392" priority="942" operator="equal">
      <formula>0</formula>
    </cfRule>
  </conditionalFormatting>
  <conditionalFormatting sqref="V25">
    <cfRule type="cellIs" dxfId="4391" priority="939" operator="greaterThan">
      <formula>V24</formula>
    </cfRule>
    <cfRule type="cellIs" dxfId="4390" priority="940" operator="equal">
      <formula>0</formula>
    </cfRule>
  </conditionalFormatting>
  <conditionalFormatting sqref="V25">
    <cfRule type="cellIs" dxfId="4389" priority="937" operator="greaterThan">
      <formula>V24</formula>
    </cfRule>
    <cfRule type="cellIs" dxfId="4388" priority="938" operator="equal">
      <formula>0</formula>
    </cfRule>
  </conditionalFormatting>
  <conditionalFormatting sqref="V25">
    <cfRule type="cellIs" dxfId="4387" priority="935" operator="greaterThan">
      <formula>V24</formula>
    </cfRule>
    <cfRule type="cellIs" dxfId="4386" priority="936" operator="equal">
      <formula>0</formula>
    </cfRule>
  </conditionalFormatting>
  <conditionalFormatting sqref="V25">
    <cfRule type="cellIs" dxfId="4385" priority="933" operator="greaterThan">
      <formula>V24</formula>
    </cfRule>
    <cfRule type="cellIs" dxfId="4384" priority="934" operator="equal">
      <formula>0</formula>
    </cfRule>
  </conditionalFormatting>
  <conditionalFormatting sqref="V25">
    <cfRule type="cellIs" dxfId="4383" priority="931" operator="greaterThan">
      <formula>V24</formula>
    </cfRule>
    <cfRule type="cellIs" dxfId="4382" priority="932" operator="equal">
      <formula>0</formula>
    </cfRule>
  </conditionalFormatting>
  <conditionalFormatting sqref="V25">
    <cfRule type="cellIs" dxfId="4381" priority="929" operator="greaterThan">
      <formula>V24</formula>
    </cfRule>
    <cfRule type="cellIs" dxfId="4380" priority="930" operator="equal">
      <formula>0</formula>
    </cfRule>
  </conditionalFormatting>
  <conditionalFormatting sqref="V25">
    <cfRule type="cellIs" dxfId="4379" priority="927" operator="greaterThan">
      <formula>V24</formula>
    </cfRule>
    <cfRule type="cellIs" dxfId="4378" priority="928" operator="equal">
      <formula>0</formula>
    </cfRule>
  </conditionalFormatting>
  <conditionalFormatting sqref="V25">
    <cfRule type="cellIs" dxfId="4377" priority="925" operator="greaterThan">
      <formula>V24</formula>
    </cfRule>
    <cfRule type="cellIs" dxfId="4376" priority="926" operator="equal">
      <formula>0</formula>
    </cfRule>
  </conditionalFormatting>
  <conditionalFormatting sqref="V25">
    <cfRule type="cellIs" dxfId="4375" priority="923" operator="greaterThan">
      <formula>V24</formula>
    </cfRule>
    <cfRule type="cellIs" dxfId="4374" priority="924" operator="equal">
      <formula>0</formula>
    </cfRule>
  </conditionalFormatting>
  <conditionalFormatting sqref="V25">
    <cfRule type="cellIs" dxfId="4373" priority="921" operator="greaterThan">
      <formula>V24</formula>
    </cfRule>
    <cfRule type="cellIs" dxfId="4372" priority="922" operator="equal">
      <formula>0</formula>
    </cfRule>
  </conditionalFormatting>
  <conditionalFormatting sqref="V25">
    <cfRule type="cellIs" dxfId="4371" priority="919" operator="greaterThan">
      <formula>V24</formula>
    </cfRule>
    <cfRule type="cellIs" dxfId="4370" priority="920" operator="equal">
      <formula>0</formula>
    </cfRule>
  </conditionalFormatting>
  <conditionalFormatting sqref="V25">
    <cfRule type="cellIs" dxfId="4369" priority="917" operator="greaterThan">
      <formula>V24</formula>
    </cfRule>
    <cfRule type="cellIs" dxfId="4368" priority="918" operator="equal">
      <formula>0</formula>
    </cfRule>
  </conditionalFormatting>
  <conditionalFormatting sqref="V25">
    <cfRule type="cellIs" dxfId="4367" priority="915" operator="greaterThan">
      <formula>V24</formula>
    </cfRule>
    <cfRule type="cellIs" dxfId="4366" priority="916" operator="equal">
      <formula>0</formula>
    </cfRule>
  </conditionalFormatting>
  <conditionalFormatting sqref="V25">
    <cfRule type="cellIs" dxfId="4365" priority="913" operator="greaterThan">
      <formula>V24</formula>
    </cfRule>
    <cfRule type="cellIs" dxfId="4364" priority="914" operator="equal">
      <formula>0</formula>
    </cfRule>
  </conditionalFormatting>
  <conditionalFormatting sqref="V25">
    <cfRule type="cellIs" dxfId="4363" priority="911" operator="greaterThan">
      <formula>V24</formula>
    </cfRule>
    <cfRule type="cellIs" dxfId="4362" priority="912" operator="equal">
      <formula>0</formula>
    </cfRule>
  </conditionalFormatting>
  <conditionalFormatting sqref="V25">
    <cfRule type="cellIs" dxfId="4361" priority="909" operator="greaterThan">
      <formula>V24</formula>
    </cfRule>
    <cfRule type="cellIs" dxfId="4360" priority="910" operator="equal">
      <formula>0</formula>
    </cfRule>
  </conditionalFormatting>
  <conditionalFormatting sqref="V25">
    <cfRule type="cellIs" dxfId="4359" priority="907" operator="greaterThan">
      <formula>V24</formula>
    </cfRule>
    <cfRule type="cellIs" dxfId="4358" priority="908" operator="equal">
      <formula>0</formula>
    </cfRule>
  </conditionalFormatting>
  <conditionalFormatting sqref="V25">
    <cfRule type="cellIs" dxfId="4357" priority="905" operator="greaterThan">
      <formula>V24</formula>
    </cfRule>
    <cfRule type="cellIs" dxfId="4356" priority="906" operator="equal">
      <formula>0</formula>
    </cfRule>
  </conditionalFormatting>
  <conditionalFormatting sqref="V25">
    <cfRule type="cellIs" dxfId="4355" priority="903" operator="greaterThan">
      <formula>V24</formula>
    </cfRule>
    <cfRule type="cellIs" dxfId="4354" priority="904" operator="equal">
      <formula>0</formula>
    </cfRule>
  </conditionalFormatting>
  <conditionalFormatting sqref="V25">
    <cfRule type="cellIs" dxfId="4353" priority="901" operator="greaterThan">
      <formula>V24</formula>
    </cfRule>
    <cfRule type="cellIs" dxfId="4352" priority="902" operator="equal">
      <formula>0</formula>
    </cfRule>
  </conditionalFormatting>
  <conditionalFormatting sqref="V25">
    <cfRule type="cellIs" dxfId="4351" priority="899" operator="greaterThan">
      <formula>V24</formula>
    </cfRule>
    <cfRule type="cellIs" dxfId="4350" priority="900" operator="equal">
      <formula>0</formula>
    </cfRule>
  </conditionalFormatting>
  <conditionalFormatting sqref="V25">
    <cfRule type="cellIs" dxfId="4349" priority="897" operator="greaterThan">
      <formula>V24</formula>
    </cfRule>
    <cfRule type="cellIs" dxfId="4348" priority="898" operator="equal">
      <formula>0</formula>
    </cfRule>
  </conditionalFormatting>
  <conditionalFormatting sqref="V25">
    <cfRule type="cellIs" dxfId="4347" priority="895" operator="greaterThan">
      <formula>V24</formula>
    </cfRule>
    <cfRule type="cellIs" dxfId="4346" priority="896" operator="equal">
      <formula>0</formula>
    </cfRule>
  </conditionalFormatting>
  <conditionalFormatting sqref="V25">
    <cfRule type="cellIs" dxfId="4345" priority="893" operator="greaterThan">
      <formula>V24</formula>
    </cfRule>
    <cfRule type="cellIs" dxfId="4344" priority="894" operator="equal">
      <formula>0</formula>
    </cfRule>
  </conditionalFormatting>
  <conditionalFormatting sqref="V27">
    <cfRule type="cellIs" dxfId="4343" priority="891" operator="greaterThan">
      <formula>V26</formula>
    </cfRule>
    <cfRule type="cellIs" dxfId="4342" priority="892" operator="equal">
      <formula>0</formula>
    </cfRule>
  </conditionalFormatting>
  <conditionalFormatting sqref="V27">
    <cfRule type="cellIs" dxfId="4341" priority="889" operator="greaterThan">
      <formula>V26</formula>
    </cfRule>
    <cfRule type="cellIs" dxfId="4340" priority="890" operator="equal">
      <formula>0</formula>
    </cfRule>
  </conditionalFormatting>
  <conditionalFormatting sqref="V27">
    <cfRule type="cellIs" dxfId="4339" priority="887" operator="greaterThan">
      <formula>V26</formula>
    </cfRule>
    <cfRule type="cellIs" dxfId="4338" priority="888" operator="equal">
      <formula>0</formula>
    </cfRule>
  </conditionalFormatting>
  <conditionalFormatting sqref="V27">
    <cfRule type="cellIs" dxfId="4337" priority="885" operator="greaterThan">
      <formula>V26</formula>
    </cfRule>
    <cfRule type="cellIs" dxfId="4336" priority="886" operator="equal">
      <formula>0</formula>
    </cfRule>
  </conditionalFormatting>
  <conditionalFormatting sqref="V27">
    <cfRule type="cellIs" dxfId="4335" priority="883" operator="greaterThan">
      <formula>V26</formula>
    </cfRule>
    <cfRule type="cellIs" dxfId="4334" priority="884" operator="equal">
      <formula>0</formula>
    </cfRule>
  </conditionalFormatting>
  <conditionalFormatting sqref="V27">
    <cfRule type="cellIs" dxfId="4333" priority="881" operator="greaterThan">
      <formula>V26</formula>
    </cfRule>
    <cfRule type="cellIs" dxfId="4332" priority="882" operator="equal">
      <formula>0</formula>
    </cfRule>
  </conditionalFormatting>
  <conditionalFormatting sqref="V27">
    <cfRule type="cellIs" dxfId="4331" priority="879" operator="greaterThan">
      <formula>V26</formula>
    </cfRule>
    <cfRule type="cellIs" dxfId="4330" priority="880" operator="equal">
      <formula>0</formula>
    </cfRule>
  </conditionalFormatting>
  <conditionalFormatting sqref="V27">
    <cfRule type="cellIs" dxfId="4329" priority="877" operator="greaterThan">
      <formula>V26</formula>
    </cfRule>
    <cfRule type="cellIs" dxfId="4328" priority="878" operator="equal">
      <formula>0</formula>
    </cfRule>
  </conditionalFormatting>
  <conditionalFormatting sqref="V27">
    <cfRule type="cellIs" dxfId="4327" priority="875" operator="greaterThan">
      <formula>V26</formula>
    </cfRule>
    <cfRule type="cellIs" dxfId="4326" priority="876" operator="equal">
      <formula>0</formula>
    </cfRule>
  </conditionalFormatting>
  <conditionalFormatting sqref="V27">
    <cfRule type="cellIs" dxfId="4325" priority="873" operator="greaterThan">
      <formula>V26</formula>
    </cfRule>
    <cfRule type="cellIs" dxfId="4324" priority="874" operator="equal">
      <formula>0</formula>
    </cfRule>
  </conditionalFormatting>
  <conditionalFormatting sqref="V27">
    <cfRule type="cellIs" dxfId="4323" priority="871" operator="greaterThan">
      <formula>V26</formula>
    </cfRule>
    <cfRule type="cellIs" dxfId="4322" priority="872" operator="equal">
      <formula>0</formula>
    </cfRule>
  </conditionalFormatting>
  <conditionalFormatting sqref="V27">
    <cfRule type="cellIs" dxfId="4321" priority="869" operator="greaterThan">
      <formula>V26</formula>
    </cfRule>
    <cfRule type="cellIs" dxfId="4320" priority="870" operator="equal">
      <formula>0</formula>
    </cfRule>
  </conditionalFormatting>
  <conditionalFormatting sqref="V27">
    <cfRule type="cellIs" dxfId="4319" priority="867" operator="greaterThan">
      <formula>V26</formula>
    </cfRule>
    <cfRule type="cellIs" dxfId="4318" priority="868" operator="equal">
      <formula>0</formula>
    </cfRule>
  </conditionalFormatting>
  <conditionalFormatting sqref="V27">
    <cfRule type="cellIs" dxfId="4317" priority="865" operator="greaterThan">
      <formula>V26</formula>
    </cfRule>
    <cfRule type="cellIs" dxfId="4316" priority="866" operator="equal">
      <formula>0</formula>
    </cfRule>
  </conditionalFormatting>
  <conditionalFormatting sqref="V27">
    <cfRule type="cellIs" dxfId="4315" priority="863" operator="greaterThan">
      <formula>V26</formula>
    </cfRule>
    <cfRule type="cellIs" dxfId="4314" priority="864" operator="equal">
      <formula>0</formula>
    </cfRule>
  </conditionalFormatting>
  <conditionalFormatting sqref="V27">
    <cfRule type="cellIs" dxfId="4313" priority="861" operator="greaterThan">
      <formula>V26</formula>
    </cfRule>
    <cfRule type="cellIs" dxfId="4312" priority="862" operator="equal">
      <formula>0</formula>
    </cfRule>
  </conditionalFormatting>
  <conditionalFormatting sqref="V27">
    <cfRule type="cellIs" dxfId="4311" priority="859" operator="greaterThan">
      <formula>V26</formula>
    </cfRule>
    <cfRule type="cellIs" dxfId="4310" priority="860" operator="equal">
      <formula>0</formula>
    </cfRule>
  </conditionalFormatting>
  <conditionalFormatting sqref="V27">
    <cfRule type="cellIs" dxfId="4309" priority="857" operator="greaterThan">
      <formula>V26</formula>
    </cfRule>
    <cfRule type="cellIs" dxfId="4308" priority="858" operator="equal">
      <formula>0</formula>
    </cfRule>
  </conditionalFormatting>
  <conditionalFormatting sqref="V27">
    <cfRule type="cellIs" dxfId="4307" priority="855" operator="greaterThan">
      <formula>V26</formula>
    </cfRule>
    <cfRule type="cellIs" dxfId="4306" priority="856" operator="equal">
      <formula>0</formula>
    </cfRule>
  </conditionalFormatting>
  <conditionalFormatting sqref="V27">
    <cfRule type="cellIs" dxfId="4305" priority="853" operator="greaterThan">
      <formula>V26</formula>
    </cfRule>
    <cfRule type="cellIs" dxfId="4304" priority="854" operator="equal">
      <formula>0</formula>
    </cfRule>
  </conditionalFormatting>
  <conditionalFormatting sqref="V27">
    <cfRule type="cellIs" dxfId="4303" priority="851" operator="greaterThan">
      <formula>V26</formula>
    </cfRule>
    <cfRule type="cellIs" dxfId="4302" priority="852" operator="equal">
      <formula>0</formula>
    </cfRule>
  </conditionalFormatting>
  <conditionalFormatting sqref="V27">
    <cfRule type="cellIs" dxfId="4301" priority="849" operator="greaterThan">
      <formula>V26</formula>
    </cfRule>
    <cfRule type="cellIs" dxfId="4300" priority="850" operator="equal">
      <formula>0</formula>
    </cfRule>
  </conditionalFormatting>
  <conditionalFormatting sqref="V27">
    <cfRule type="cellIs" dxfId="4299" priority="847" operator="greaterThan">
      <formula>V26</formula>
    </cfRule>
    <cfRule type="cellIs" dxfId="4298" priority="848" operator="equal">
      <formula>0</formula>
    </cfRule>
  </conditionalFormatting>
  <conditionalFormatting sqref="V27">
    <cfRule type="cellIs" dxfId="4297" priority="845" operator="greaterThan">
      <formula>V26</formula>
    </cfRule>
    <cfRule type="cellIs" dxfId="4296" priority="846" operator="equal">
      <formula>0</formula>
    </cfRule>
  </conditionalFormatting>
  <conditionalFormatting sqref="V27">
    <cfRule type="cellIs" dxfId="4295" priority="843" operator="greaterThan">
      <formula>V26</formula>
    </cfRule>
    <cfRule type="cellIs" dxfId="4294" priority="844" operator="equal">
      <formula>0</formula>
    </cfRule>
  </conditionalFormatting>
  <conditionalFormatting sqref="V27">
    <cfRule type="cellIs" dxfId="4293" priority="841" operator="greaterThan">
      <formula>V26</formula>
    </cfRule>
    <cfRule type="cellIs" dxfId="4292" priority="842" operator="equal">
      <formula>0</formula>
    </cfRule>
  </conditionalFormatting>
  <conditionalFormatting sqref="V27">
    <cfRule type="cellIs" dxfId="4291" priority="839" operator="greaterThan">
      <formula>V26</formula>
    </cfRule>
    <cfRule type="cellIs" dxfId="4290" priority="840" operator="equal">
      <formula>0</formula>
    </cfRule>
  </conditionalFormatting>
  <conditionalFormatting sqref="V27">
    <cfRule type="cellIs" dxfId="4289" priority="837" operator="greaterThan">
      <formula>V26</formula>
    </cfRule>
    <cfRule type="cellIs" dxfId="4288" priority="838" operator="equal">
      <formula>0</formula>
    </cfRule>
  </conditionalFormatting>
  <conditionalFormatting sqref="V27">
    <cfRule type="cellIs" dxfId="4287" priority="835" operator="greaterThan">
      <formula>V26</formula>
    </cfRule>
    <cfRule type="cellIs" dxfId="4286" priority="836" operator="equal">
      <formula>0</formula>
    </cfRule>
  </conditionalFormatting>
  <conditionalFormatting sqref="V28">
    <cfRule type="cellIs" dxfId="4285" priority="833" operator="greaterThan">
      <formula>V27</formula>
    </cfRule>
    <cfRule type="cellIs" dxfId="4284" priority="834" operator="equal">
      <formula>0</formula>
    </cfRule>
  </conditionalFormatting>
  <conditionalFormatting sqref="V28">
    <cfRule type="cellIs" dxfId="4283" priority="831" operator="greaterThan">
      <formula>V27</formula>
    </cfRule>
    <cfRule type="cellIs" dxfId="4282" priority="832" operator="equal">
      <formula>0</formula>
    </cfRule>
  </conditionalFormatting>
  <conditionalFormatting sqref="V28">
    <cfRule type="cellIs" dxfId="4281" priority="829" operator="greaterThan">
      <formula>V27</formula>
    </cfRule>
    <cfRule type="cellIs" dxfId="4280" priority="830" operator="equal">
      <formula>0</formula>
    </cfRule>
  </conditionalFormatting>
  <conditionalFormatting sqref="V28">
    <cfRule type="cellIs" dxfId="4279" priority="827" operator="greaterThan">
      <formula>V27</formula>
    </cfRule>
    <cfRule type="cellIs" dxfId="4278" priority="828" operator="equal">
      <formula>0</formula>
    </cfRule>
  </conditionalFormatting>
  <conditionalFormatting sqref="V28">
    <cfRule type="cellIs" dxfId="4277" priority="825" operator="greaterThan">
      <formula>V27</formula>
    </cfRule>
    <cfRule type="cellIs" dxfId="4276" priority="826" operator="equal">
      <formula>0</formula>
    </cfRule>
  </conditionalFormatting>
  <conditionalFormatting sqref="V28">
    <cfRule type="cellIs" dxfId="4275" priority="823" operator="greaterThan">
      <formula>V27</formula>
    </cfRule>
    <cfRule type="cellIs" dxfId="4274" priority="824" operator="equal">
      <formula>0</formula>
    </cfRule>
  </conditionalFormatting>
  <conditionalFormatting sqref="V28">
    <cfRule type="cellIs" dxfId="4273" priority="821" operator="greaterThan">
      <formula>V27</formula>
    </cfRule>
    <cfRule type="cellIs" dxfId="4272" priority="822" operator="equal">
      <formula>0</formula>
    </cfRule>
  </conditionalFormatting>
  <conditionalFormatting sqref="V28">
    <cfRule type="cellIs" dxfId="4271" priority="819" operator="greaterThan">
      <formula>V27</formula>
    </cfRule>
    <cfRule type="cellIs" dxfId="4270" priority="820" operator="equal">
      <formula>0</formula>
    </cfRule>
  </conditionalFormatting>
  <conditionalFormatting sqref="V28">
    <cfRule type="cellIs" dxfId="4269" priority="817" operator="greaterThan">
      <formula>V27</formula>
    </cfRule>
    <cfRule type="cellIs" dxfId="4268" priority="818" operator="equal">
      <formula>0</formula>
    </cfRule>
  </conditionalFormatting>
  <conditionalFormatting sqref="V28">
    <cfRule type="cellIs" dxfId="4267" priority="815" operator="greaterThan">
      <formula>V27</formula>
    </cfRule>
    <cfRule type="cellIs" dxfId="4266" priority="816" operator="equal">
      <formula>0</formula>
    </cfRule>
  </conditionalFormatting>
  <conditionalFormatting sqref="V28">
    <cfRule type="cellIs" dxfId="4265" priority="813" operator="greaterThan">
      <formula>V27</formula>
    </cfRule>
    <cfRule type="cellIs" dxfId="4264" priority="814" operator="equal">
      <formula>0</formula>
    </cfRule>
  </conditionalFormatting>
  <conditionalFormatting sqref="V28">
    <cfRule type="cellIs" dxfId="4263" priority="811" operator="greaterThan">
      <formula>V27</formula>
    </cfRule>
    <cfRule type="cellIs" dxfId="4262" priority="812" operator="equal">
      <formula>0</formula>
    </cfRule>
  </conditionalFormatting>
  <conditionalFormatting sqref="V28">
    <cfRule type="cellIs" dxfId="4261" priority="809" operator="greaterThan">
      <formula>V27</formula>
    </cfRule>
    <cfRule type="cellIs" dxfId="4260" priority="810" operator="equal">
      <formula>0</formula>
    </cfRule>
  </conditionalFormatting>
  <conditionalFormatting sqref="V28">
    <cfRule type="cellIs" dxfId="4259" priority="807" operator="greaterThan">
      <formula>V27</formula>
    </cfRule>
    <cfRule type="cellIs" dxfId="4258" priority="808" operator="equal">
      <formula>0</formula>
    </cfRule>
  </conditionalFormatting>
  <conditionalFormatting sqref="V28">
    <cfRule type="cellIs" dxfId="4257" priority="805" operator="greaterThan">
      <formula>V27</formula>
    </cfRule>
    <cfRule type="cellIs" dxfId="4256" priority="806" operator="equal">
      <formula>0</formula>
    </cfRule>
  </conditionalFormatting>
  <conditionalFormatting sqref="V28">
    <cfRule type="cellIs" dxfId="4255" priority="803" operator="greaterThan">
      <formula>V27</formula>
    </cfRule>
    <cfRule type="cellIs" dxfId="4254" priority="804" operator="equal">
      <formula>0</formula>
    </cfRule>
  </conditionalFormatting>
  <conditionalFormatting sqref="V28">
    <cfRule type="cellIs" dxfId="4253" priority="801" operator="greaterThan">
      <formula>V27</formula>
    </cfRule>
    <cfRule type="cellIs" dxfId="4252" priority="802" operator="equal">
      <formula>0</formula>
    </cfRule>
  </conditionalFormatting>
  <conditionalFormatting sqref="V28">
    <cfRule type="cellIs" dxfId="4251" priority="799" operator="greaterThan">
      <formula>V27</formula>
    </cfRule>
    <cfRule type="cellIs" dxfId="4250" priority="800" operator="equal">
      <formula>0</formula>
    </cfRule>
  </conditionalFormatting>
  <conditionalFormatting sqref="V28">
    <cfRule type="cellIs" dxfId="4249" priority="797" operator="greaterThan">
      <formula>V27</formula>
    </cfRule>
    <cfRule type="cellIs" dxfId="4248" priority="798" operator="equal">
      <formula>0</formula>
    </cfRule>
  </conditionalFormatting>
  <conditionalFormatting sqref="V28">
    <cfRule type="cellIs" dxfId="4247" priority="795" operator="greaterThan">
      <formula>V27</formula>
    </cfRule>
    <cfRule type="cellIs" dxfId="4246" priority="796" operator="equal">
      <formula>0</formula>
    </cfRule>
  </conditionalFormatting>
  <conditionalFormatting sqref="V28">
    <cfRule type="cellIs" dxfId="4245" priority="793" operator="greaterThan">
      <formula>V27</formula>
    </cfRule>
    <cfRule type="cellIs" dxfId="4244" priority="794" operator="equal">
      <formula>0</formula>
    </cfRule>
  </conditionalFormatting>
  <conditionalFormatting sqref="V28">
    <cfRule type="cellIs" dxfId="4243" priority="791" operator="greaterThan">
      <formula>V27</formula>
    </cfRule>
    <cfRule type="cellIs" dxfId="4242" priority="792" operator="equal">
      <formula>0</formula>
    </cfRule>
  </conditionalFormatting>
  <conditionalFormatting sqref="V28">
    <cfRule type="cellIs" dxfId="4241" priority="789" operator="greaterThan">
      <formula>V27</formula>
    </cfRule>
    <cfRule type="cellIs" dxfId="4240" priority="790" operator="equal">
      <formula>0</formula>
    </cfRule>
  </conditionalFormatting>
  <conditionalFormatting sqref="V28">
    <cfRule type="cellIs" dxfId="4239" priority="787" operator="greaterThan">
      <formula>V27</formula>
    </cfRule>
    <cfRule type="cellIs" dxfId="4238" priority="788" operator="equal">
      <formula>0</formula>
    </cfRule>
  </conditionalFormatting>
  <conditionalFormatting sqref="V28">
    <cfRule type="cellIs" dxfId="4237" priority="785" operator="greaterThan">
      <formula>V27</formula>
    </cfRule>
    <cfRule type="cellIs" dxfId="4236" priority="786" operator="equal">
      <formula>0</formula>
    </cfRule>
  </conditionalFormatting>
  <conditionalFormatting sqref="V28">
    <cfRule type="cellIs" dxfId="4235" priority="783" operator="greaterThan">
      <formula>V27</formula>
    </cfRule>
    <cfRule type="cellIs" dxfId="4234" priority="784" operator="equal">
      <formula>0</formula>
    </cfRule>
  </conditionalFormatting>
  <conditionalFormatting sqref="V28">
    <cfRule type="cellIs" dxfId="4233" priority="781" operator="greaterThan">
      <formula>V27</formula>
    </cfRule>
    <cfRule type="cellIs" dxfId="4232" priority="782" operator="equal">
      <formula>0</formula>
    </cfRule>
  </conditionalFormatting>
  <conditionalFormatting sqref="V28">
    <cfRule type="cellIs" dxfId="4231" priority="779" operator="greaterThan">
      <formula>V27</formula>
    </cfRule>
    <cfRule type="cellIs" dxfId="4230" priority="780" operator="equal">
      <formula>0</formula>
    </cfRule>
  </conditionalFormatting>
  <conditionalFormatting sqref="V28">
    <cfRule type="cellIs" dxfId="4229" priority="777" operator="greaterThan">
      <formula>V27</formula>
    </cfRule>
    <cfRule type="cellIs" dxfId="4228" priority="778" operator="equal">
      <formula>0</formula>
    </cfRule>
  </conditionalFormatting>
  <conditionalFormatting sqref="V28">
    <cfRule type="cellIs" dxfId="4227" priority="775" operator="greaterThan">
      <formula>V27</formula>
    </cfRule>
    <cfRule type="cellIs" dxfId="4226" priority="776" operator="equal">
      <formula>0</formula>
    </cfRule>
  </conditionalFormatting>
  <conditionalFormatting sqref="V28">
    <cfRule type="cellIs" dxfId="4225" priority="773" operator="greaterThan">
      <formula>V27</formula>
    </cfRule>
    <cfRule type="cellIs" dxfId="4224" priority="774" operator="equal">
      <formula>0</formula>
    </cfRule>
  </conditionalFormatting>
  <conditionalFormatting sqref="V28">
    <cfRule type="cellIs" dxfId="4223" priority="771" operator="greaterThan">
      <formula>V27</formula>
    </cfRule>
    <cfRule type="cellIs" dxfId="4222" priority="772" operator="equal">
      <formula>0</formula>
    </cfRule>
  </conditionalFormatting>
  <conditionalFormatting sqref="V28">
    <cfRule type="cellIs" dxfId="4221" priority="769" operator="greaterThan">
      <formula>V27</formula>
    </cfRule>
    <cfRule type="cellIs" dxfId="4220" priority="770" operator="equal">
      <formula>0</formula>
    </cfRule>
  </conditionalFormatting>
  <conditionalFormatting sqref="V28">
    <cfRule type="cellIs" dxfId="4219" priority="767" operator="greaterThan">
      <formula>V27</formula>
    </cfRule>
    <cfRule type="cellIs" dxfId="4218" priority="768" operator="equal">
      <formula>0</formula>
    </cfRule>
  </conditionalFormatting>
  <conditionalFormatting sqref="V28">
    <cfRule type="cellIs" dxfId="4217" priority="765" operator="greaterThan">
      <formula>V27</formula>
    </cfRule>
    <cfRule type="cellIs" dxfId="4216" priority="766" operator="equal">
      <formula>0</formula>
    </cfRule>
  </conditionalFormatting>
  <conditionalFormatting sqref="V28">
    <cfRule type="cellIs" dxfId="4215" priority="763" operator="greaterThan">
      <formula>V27</formula>
    </cfRule>
    <cfRule type="cellIs" dxfId="4214" priority="764" operator="equal">
      <formula>0</formula>
    </cfRule>
  </conditionalFormatting>
  <conditionalFormatting sqref="V28">
    <cfRule type="cellIs" dxfId="4213" priority="761" operator="greaterThan">
      <formula>V27</formula>
    </cfRule>
    <cfRule type="cellIs" dxfId="4212" priority="762" operator="equal">
      <formula>0</formula>
    </cfRule>
  </conditionalFormatting>
  <conditionalFormatting sqref="V28">
    <cfRule type="cellIs" dxfId="4211" priority="759" operator="greaterThan">
      <formula>V27</formula>
    </cfRule>
    <cfRule type="cellIs" dxfId="4210" priority="760" operator="equal">
      <formula>0</formula>
    </cfRule>
  </conditionalFormatting>
  <conditionalFormatting sqref="V28">
    <cfRule type="cellIs" dxfId="4209" priority="757" operator="greaterThan">
      <formula>V27</formula>
    </cfRule>
    <cfRule type="cellIs" dxfId="4208" priority="758" operator="equal">
      <formula>0</formula>
    </cfRule>
  </conditionalFormatting>
  <conditionalFormatting sqref="V28">
    <cfRule type="cellIs" dxfId="4207" priority="755" operator="greaterThan">
      <formula>V27</formula>
    </cfRule>
    <cfRule type="cellIs" dxfId="4206" priority="756" operator="equal">
      <formula>0</formula>
    </cfRule>
  </conditionalFormatting>
  <conditionalFormatting sqref="V28">
    <cfRule type="cellIs" dxfId="4205" priority="753" operator="greaterThan">
      <formula>V27</formula>
    </cfRule>
    <cfRule type="cellIs" dxfId="4204" priority="754" operator="equal">
      <formula>0</formula>
    </cfRule>
  </conditionalFormatting>
  <conditionalFormatting sqref="V28">
    <cfRule type="cellIs" dxfId="4203" priority="751" operator="greaterThan">
      <formula>V27</formula>
    </cfRule>
    <cfRule type="cellIs" dxfId="4202" priority="752" operator="equal">
      <formula>0</formula>
    </cfRule>
  </conditionalFormatting>
  <conditionalFormatting sqref="V28">
    <cfRule type="cellIs" dxfId="4201" priority="749" operator="greaterThan">
      <formula>V27</formula>
    </cfRule>
    <cfRule type="cellIs" dxfId="4200" priority="750" operator="equal">
      <formula>0</formula>
    </cfRule>
  </conditionalFormatting>
  <conditionalFormatting sqref="V28">
    <cfRule type="cellIs" dxfId="4199" priority="747" operator="greaterThan">
      <formula>V27</formula>
    </cfRule>
    <cfRule type="cellIs" dxfId="4198" priority="748" operator="equal">
      <formula>0</formula>
    </cfRule>
  </conditionalFormatting>
  <conditionalFormatting sqref="V28">
    <cfRule type="cellIs" dxfId="4197" priority="745" operator="greaterThan">
      <formula>V27</formula>
    </cfRule>
    <cfRule type="cellIs" dxfId="4196" priority="746" operator="equal">
      <formula>0</formula>
    </cfRule>
  </conditionalFormatting>
  <conditionalFormatting sqref="V28">
    <cfRule type="cellIs" dxfId="4195" priority="743" operator="greaterThan">
      <formula>V27</formula>
    </cfRule>
    <cfRule type="cellIs" dxfId="4194" priority="744" operator="equal">
      <formula>0</formula>
    </cfRule>
  </conditionalFormatting>
  <conditionalFormatting sqref="V28">
    <cfRule type="cellIs" dxfId="4193" priority="741" operator="greaterThan">
      <formula>V27</formula>
    </cfRule>
    <cfRule type="cellIs" dxfId="4192" priority="742" operator="equal">
      <formula>0</formula>
    </cfRule>
  </conditionalFormatting>
  <conditionalFormatting sqref="V28">
    <cfRule type="cellIs" dxfId="4191" priority="739" operator="greaterThan">
      <formula>V27</formula>
    </cfRule>
    <cfRule type="cellIs" dxfId="4190" priority="740" operator="equal">
      <formula>0</formula>
    </cfRule>
  </conditionalFormatting>
  <conditionalFormatting sqref="V28">
    <cfRule type="cellIs" dxfId="4189" priority="737" operator="greaterThan">
      <formula>V27</formula>
    </cfRule>
    <cfRule type="cellIs" dxfId="4188" priority="738" operator="equal">
      <formula>0</formula>
    </cfRule>
  </conditionalFormatting>
  <conditionalFormatting sqref="V28">
    <cfRule type="cellIs" dxfId="4187" priority="735" operator="greaterThan">
      <formula>V27</formula>
    </cfRule>
    <cfRule type="cellIs" dxfId="4186" priority="736" operator="equal">
      <formula>0</formula>
    </cfRule>
  </conditionalFormatting>
  <conditionalFormatting sqref="V28">
    <cfRule type="cellIs" dxfId="4185" priority="733" operator="greaterThan">
      <formula>V27</formula>
    </cfRule>
    <cfRule type="cellIs" dxfId="4184" priority="734" operator="equal">
      <formula>0</formula>
    </cfRule>
  </conditionalFormatting>
  <conditionalFormatting sqref="V28">
    <cfRule type="cellIs" dxfId="4183" priority="731" operator="greaterThan">
      <formula>V27</formula>
    </cfRule>
    <cfRule type="cellIs" dxfId="4182" priority="732" operator="equal">
      <formula>0</formula>
    </cfRule>
  </conditionalFormatting>
  <conditionalFormatting sqref="V28">
    <cfRule type="cellIs" dxfId="4181" priority="729" operator="greaterThan">
      <formula>V27</formula>
    </cfRule>
    <cfRule type="cellIs" dxfId="4180" priority="730" operator="equal">
      <formula>0</formula>
    </cfRule>
  </conditionalFormatting>
  <conditionalFormatting sqref="V28">
    <cfRule type="cellIs" dxfId="4179" priority="727" operator="greaterThan">
      <formula>V27</formula>
    </cfRule>
    <cfRule type="cellIs" dxfId="4178" priority="728" operator="equal">
      <formula>0</formula>
    </cfRule>
  </conditionalFormatting>
  <conditionalFormatting sqref="V28">
    <cfRule type="cellIs" dxfId="4177" priority="725" operator="greaterThan">
      <formula>V27</formula>
    </cfRule>
    <cfRule type="cellIs" dxfId="4176" priority="726" operator="equal">
      <formula>0</formula>
    </cfRule>
  </conditionalFormatting>
  <conditionalFormatting sqref="V28">
    <cfRule type="cellIs" dxfId="4175" priority="723" operator="greaterThan">
      <formula>V27</formula>
    </cfRule>
    <cfRule type="cellIs" dxfId="4174" priority="724" operator="equal">
      <formula>0</formula>
    </cfRule>
  </conditionalFormatting>
  <conditionalFormatting sqref="V28">
    <cfRule type="cellIs" dxfId="4173" priority="721" operator="greaterThan">
      <formula>V27</formula>
    </cfRule>
    <cfRule type="cellIs" dxfId="4172" priority="722" operator="equal">
      <formula>0</formula>
    </cfRule>
  </conditionalFormatting>
  <conditionalFormatting sqref="V28">
    <cfRule type="cellIs" dxfId="4171" priority="719" operator="greaterThan">
      <formula>V27</formula>
    </cfRule>
    <cfRule type="cellIs" dxfId="4170" priority="720" operator="equal">
      <formula>0</formula>
    </cfRule>
  </conditionalFormatting>
  <conditionalFormatting sqref="V28">
    <cfRule type="cellIs" dxfId="4169" priority="717" operator="greaterThan">
      <formula>V27</formula>
    </cfRule>
    <cfRule type="cellIs" dxfId="4168" priority="718" operator="equal">
      <formula>0</formula>
    </cfRule>
  </conditionalFormatting>
  <conditionalFormatting sqref="V28">
    <cfRule type="cellIs" dxfId="4167" priority="715" operator="greaterThan">
      <formula>V27</formula>
    </cfRule>
    <cfRule type="cellIs" dxfId="4166" priority="716" operator="equal">
      <formula>0</formula>
    </cfRule>
  </conditionalFormatting>
  <conditionalFormatting sqref="V28">
    <cfRule type="cellIs" dxfId="4165" priority="713" operator="greaterThan">
      <formula>V27</formula>
    </cfRule>
    <cfRule type="cellIs" dxfId="4164" priority="714" operator="equal">
      <formula>0</formula>
    </cfRule>
  </conditionalFormatting>
  <conditionalFormatting sqref="V28">
    <cfRule type="cellIs" dxfId="4163" priority="711" operator="greaterThan">
      <formula>V27</formula>
    </cfRule>
    <cfRule type="cellIs" dxfId="4162" priority="712" operator="equal">
      <formula>0</formula>
    </cfRule>
  </conditionalFormatting>
  <conditionalFormatting sqref="V28">
    <cfRule type="cellIs" dxfId="4161" priority="709" operator="greaterThan">
      <formula>V27</formula>
    </cfRule>
    <cfRule type="cellIs" dxfId="4160" priority="710" operator="equal">
      <formula>0</formula>
    </cfRule>
  </conditionalFormatting>
  <conditionalFormatting sqref="V28">
    <cfRule type="cellIs" dxfId="4159" priority="707" operator="greaterThan">
      <formula>V27</formula>
    </cfRule>
    <cfRule type="cellIs" dxfId="4158" priority="708" operator="equal">
      <formula>0</formula>
    </cfRule>
  </conditionalFormatting>
  <conditionalFormatting sqref="V28">
    <cfRule type="cellIs" dxfId="4157" priority="705" operator="greaterThan">
      <formula>V27</formula>
    </cfRule>
    <cfRule type="cellIs" dxfId="4156" priority="706" operator="equal">
      <formula>0</formula>
    </cfRule>
  </conditionalFormatting>
  <conditionalFormatting sqref="V28">
    <cfRule type="cellIs" dxfId="4155" priority="703" operator="greaterThan">
      <formula>V27</formula>
    </cfRule>
    <cfRule type="cellIs" dxfId="4154" priority="704" operator="equal">
      <formula>0</formula>
    </cfRule>
  </conditionalFormatting>
  <conditionalFormatting sqref="V28">
    <cfRule type="cellIs" dxfId="4153" priority="701" operator="greaterThan">
      <formula>V27</formula>
    </cfRule>
    <cfRule type="cellIs" dxfId="4152" priority="702" operator="equal">
      <formula>0</formula>
    </cfRule>
  </conditionalFormatting>
  <conditionalFormatting sqref="V28">
    <cfRule type="cellIs" dxfId="4151" priority="699" operator="greaterThan">
      <formula>V27</formula>
    </cfRule>
    <cfRule type="cellIs" dxfId="4150" priority="700" operator="equal">
      <formula>0</formula>
    </cfRule>
  </conditionalFormatting>
  <conditionalFormatting sqref="V28">
    <cfRule type="cellIs" dxfId="4149" priority="697" operator="greaterThan">
      <formula>V27</formula>
    </cfRule>
    <cfRule type="cellIs" dxfId="4148" priority="698" operator="equal">
      <formula>0</formula>
    </cfRule>
  </conditionalFormatting>
  <conditionalFormatting sqref="V28">
    <cfRule type="cellIs" dxfId="4147" priority="695" operator="greaterThan">
      <formula>V27</formula>
    </cfRule>
    <cfRule type="cellIs" dxfId="4146" priority="696" operator="equal">
      <formula>0</formula>
    </cfRule>
  </conditionalFormatting>
  <conditionalFormatting sqref="V28">
    <cfRule type="cellIs" dxfId="4145" priority="693" operator="greaterThan">
      <formula>V27</formula>
    </cfRule>
    <cfRule type="cellIs" dxfId="4144" priority="694" operator="equal">
      <formula>0</formula>
    </cfRule>
  </conditionalFormatting>
  <conditionalFormatting sqref="V28">
    <cfRule type="cellIs" dxfId="4143" priority="691" operator="greaterThan">
      <formula>V27</formula>
    </cfRule>
    <cfRule type="cellIs" dxfId="4142" priority="692" operator="equal">
      <formula>0</formula>
    </cfRule>
  </conditionalFormatting>
  <conditionalFormatting sqref="V28">
    <cfRule type="cellIs" dxfId="4141" priority="689" operator="greaterThan">
      <formula>V27</formula>
    </cfRule>
    <cfRule type="cellIs" dxfId="4140" priority="690" operator="equal">
      <formula>0</formula>
    </cfRule>
  </conditionalFormatting>
  <conditionalFormatting sqref="V28">
    <cfRule type="cellIs" dxfId="4139" priority="687" operator="greaterThan">
      <formula>V27</formula>
    </cfRule>
    <cfRule type="cellIs" dxfId="4138" priority="688" operator="equal">
      <formula>0</formula>
    </cfRule>
  </conditionalFormatting>
  <conditionalFormatting sqref="V28">
    <cfRule type="cellIs" dxfId="4137" priority="685" operator="greaterThan">
      <formula>V27</formula>
    </cfRule>
    <cfRule type="cellIs" dxfId="4136" priority="686" operator="equal">
      <formula>0</formula>
    </cfRule>
  </conditionalFormatting>
  <conditionalFormatting sqref="V28">
    <cfRule type="cellIs" dxfId="4135" priority="683" operator="greaterThan">
      <formula>V27</formula>
    </cfRule>
    <cfRule type="cellIs" dxfId="4134" priority="684" operator="equal">
      <formula>0</formula>
    </cfRule>
  </conditionalFormatting>
  <conditionalFormatting sqref="V28">
    <cfRule type="cellIs" dxfId="4133" priority="681" operator="greaterThan">
      <formula>V27</formula>
    </cfRule>
    <cfRule type="cellIs" dxfId="4132" priority="682" operator="equal">
      <formula>0</formula>
    </cfRule>
  </conditionalFormatting>
  <conditionalFormatting sqref="V28">
    <cfRule type="cellIs" dxfId="4131" priority="679" operator="greaterThan">
      <formula>V27</formula>
    </cfRule>
    <cfRule type="cellIs" dxfId="4130" priority="680" operator="equal">
      <formula>0</formula>
    </cfRule>
  </conditionalFormatting>
  <conditionalFormatting sqref="V28">
    <cfRule type="cellIs" dxfId="4129" priority="677" operator="greaterThan">
      <formula>V27</formula>
    </cfRule>
    <cfRule type="cellIs" dxfId="4128" priority="678" operator="equal">
      <formula>0</formula>
    </cfRule>
  </conditionalFormatting>
  <conditionalFormatting sqref="V28">
    <cfRule type="cellIs" dxfId="4127" priority="675" operator="greaterThan">
      <formula>V27</formula>
    </cfRule>
    <cfRule type="cellIs" dxfId="4126" priority="676" operator="equal">
      <formula>0</formula>
    </cfRule>
  </conditionalFormatting>
  <conditionalFormatting sqref="V28">
    <cfRule type="cellIs" dxfId="4125" priority="673" operator="greaterThan">
      <formula>V27</formula>
    </cfRule>
    <cfRule type="cellIs" dxfId="4124" priority="674" operator="equal">
      <formula>0</formula>
    </cfRule>
  </conditionalFormatting>
  <conditionalFormatting sqref="V28">
    <cfRule type="cellIs" dxfId="4123" priority="671" operator="greaterThan">
      <formula>V27</formula>
    </cfRule>
    <cfRule type="cellIs" dxfId="4122" priority="672" operator="equal">
      <formula>0</formula>
    </cfRule>
  </conditionalFormatting>
  <conditionalFormatting sqref="V28">
    <cfRule type="cellIs" dxfId="4121" priority="669" operator="greaterThan">
      <formula>V27</formula>
    </cfRule>
    <cfRule type="cellIs" dxfId="4120" priority="670" operator="equal">
      <formula>0</formula>
    </cfRule>
  </conditionalFormatting>
  <conditionalFormatting sqref="V28">
    <cfRule type="cellIs" dxfId="4119" priority="667" operator="greaterThan">
      <formula>V27</formula>
    </cfRule>
    <cfRule type="cellIs" dxfId="4118" priority="668" operator="equal">
      <formula>0</formula>
    </cfRule>
  </conditionalFormatting>
  <conditionalFormatting sqref="V12:V13 X12:X13 X15:X16 X18:X19 X21:X25 X27:X28 V15:V16 V18:V19 V21:V22 V24:V25 V27:V28">
    <cfRule type="cellIs" dxfId="4117" priority="666" operator="equal">
      <formula>0</formula>
    </cfRule>
  </conditionalFormatting>
  <conditionalFormatting sqref="V28">
    <cfRule type="cellIs" dxfId="4116" priority="664" operator="greaterThan">
      <formula>V27</formula>
    </cfRule>
    <cfRule type="cellIs" dxfId="4115" priority="665" operator="equal">
      <formula>0</formula>
    </cfRule>
  </conditionalFormatting>
  <conditionalFormatting sqref="V27">
    <cfRule type="cellIs" dxfId="4114" priority="662" operator="greaterThan">
      <formula>V26</formula>
    </cfRule>
    <cfRule type="cellIs" dxfId="4113" priority="663" operator="equal">
      <formula>0</formula>
    </cfRule>
  </conditionalFormatting>
  <conditionalFormatting sqref="V13">
    <cfRule type="cellIs" dxfId="4112" priority="660" operator="greaterThan">
      <formula>V12</formula>
    </cfRule>
    <cfRule type="cellIs" dxfId="4111" priority="661" operator="equal">
      <formula>0</formula>
    </cfRule>
  </conditionalFormatting>
  <conditionalFormatting sqref="V12">
    <cfRule type="cellIs" dxfId="4110" priority="658" operator="greaterThan">
      <formula>V11</formula>
    </cfRule>
    <cfRule type="cellIs" dxfId="4109" priority="659" operator="equal">
      <formula>0</formula>
    </cfRule>
  </conditionalFormatting>
  <conditionalFormatting sqref="V16">
    <cfRule type="cellIs" dxfId="4108" priority="656" operator="greaterThan">
      <formula>V15</formula>
    </cfRule>
    <cfRule type="cellIs" dxfId="4107" priority="657" operator="equal">
      <formula>0</formula>
    </cfRule>
  </conditionalFormatting>
  <conditionalFormatting sqref="V15">
    <cfRule type="cellIs" dxfId="4106" priority="654" operator="greaterThan">
      <formula>V14</formula>
    </cfRule>
    <cfRule type="cellIs" dxfId="4105" priority="655" operator="equal">
      <formula>0</formula>
    </cfRule>
  </conditionalFormatting>
  <conditionalFormatting sqref="V19">
    <cfRule type="cellIs" dxfId="4104" priority="652" operator="greaterThan">
      <formula>V18</formula>
    </cfRule>
    <cfRule type="cellIs" dxfId="4103" priority="653" operator="equal">
      <formula>0</formula>
    </cfRule>
  </conditionalFormatting>
  <conditionalFormatting sqref="V18">
    <cfRule type="cellIs" dxfId="4102" priority="650" operator="greaterThan">
      <formula>V17</formula>
    </cfRule>
    <cfRule type="cellIs" dxfId="4101" priority="651" operator="equal">
      <formula>0</formula>
    </cfRule>
  </conditionalFormatting>
  <conditionalFormatting sqref="V22 V24:V25">
    <cfRule type="cellIs" dxfId="4100" priority="648" operator="greaterThan">
      <formula>V21</formula>
    </cfRule>
    <cfRule type="cellIs" dxfId="4099" priority="649" operator="equal">
      <formula>0</formula>
    </cfRule>
  </conditionalFormatting>
  <conditionalFormatting sqref="V21">
    <cfRule type="cellIs" dxfId="4098" priority="646" operator="greaterThan">
      <formula>V20</formula>
    </cfRule>
    <cfRule type="cellIs" dxfId="4097" priority="647" operator="equal">
      <formula>0</formula>
    </cfRule>
  </conditionalFormatting>
  <conditionalFormatting sqref="V24">
    <cfRule type="cellIs" dxfId="4096" priority="644" operator="greaterThan">
      <formula>V23</formula>
    </cfRule>
    <cfRule type="cellIs" dxfId="4095" priority="645" operator="equal">
      <formula>0</formula>
    </cfRule>
  </conditionalFormatting>
  <conditionalFormatting sqref="V27:V28">
    <cfRule type="cellIs" dxfId="4094" priority="642" operator="greaterThan">
      <formula>V26</formula>
    </cfRule>
    <cfRule type="cellIs" dxfId="4093" priority="643" operator="equal">
      <formula>0</formula>
    </cfRule>
  </conditionalFormatting>
  <conditionalFormatting sqref="V27">
    <cfRule type="cellIs" dxfId="4092" priority="640" operator="greaterThan">
      <formula>V26</formula>
    </cfRule>
    <cfRule type="cellIs" dxfId="4091" priority="641" operator="equal">
      <formula>0</formula>
    </cfRule>
  </conditionalFormatting>
  <conditionalFormatting sqref="V16">
    <cfRule type="cellIs" dxfId="4090" priority="638" operator="greaterThan">
      <formula>V15</formula>
    </cfRule>
    <cfRule type="cellIs" dxfId="4089" priority="639" operator="equal">
      <formula>0</formula>
    </cfRule>
  </conditionalFormatting>
  <conditionalFormatting sqref="V15">
    <cfRule type="cellIs" dxfId="4088" priority="636" operator="greaterThan">
      <formula>V14</formula>
    </cfRule>
    <cfRule type="cellIs" dxfId="4087" priority="637" operator="equal">
      <formula>0</formula>
    </cfRule>
  </conditionalFormatting>
  <conditionalFormatting sqref="V19">
    <cfRule type="cellIs" dxfId="4086" priority="634" operator="greaterThan">
      <formula>V18</formula>
    </cfRule>
    <cfRule type="cellIs" dxfId="4085" priority="635" operator="equal">
      <formula>0</formula>
    </cfRule>
  </conditionalFormatting>
  <conditionalFormatting sqref="V18">
    <cfRule type="cellIs" dxfId="4084" priority="632" operator="greaterThan">
      <formula>V17</formula>
    </cfRule>
    <cfRule type="cellIs" dxfId="4083" priority="633" operator="equal">
      <formula>0</formula>
    </cfRule>
  </conditionalFormatting>
  <conditionalFormatting sqref="V22">
    <cfRule type="cellIs" dxfId="4082" priority="630" operator="greaterThan">
      <formula>V21</formula>
    </cfRule>
    <cfRule type="cellIs" dxfId="4081" priority="631" operator="equal">
      <formula>0</formula>
    </cfRule>
  </conditionalFormatting>
  <conditionalFormatting sqref="V21">
    <cfRule type="cellIs" dxfId="4080" priority="628" operator="greaterThan">
      <formula>V20</formula>
    </cfRule>
    <cfRule type="cellIs" dxfId="4079" priority="629" operator="equal">
      <formula>0</formula>
    </cfRule>
  </conditionalFormatting>
  <conditionalFormatting sqref="V25">
    <cfRule type="cellIs" dxfId="4078" priority="626" operator="greaterThan">
      <formula>V24</formula>
    </cfRule>
    <cfRule type="cellIs" dxfId="4077" priority="627" operator="equal">
      <formula>0</formula>
    </cfRule>
  </conditionalFormatting>
  <conditionalFormatting sqref="V24">
    <cfRule type="cellIs" dxfId="4076" priority="624" operator="greaterThan">
      <formula>V23</formula>
    </cfRule>
    <cfRule type="cellIs" dxfId="4075" priority="625" operator="equal">
      <formula>0</formula>
    </cfRule>
  </conditionalFormatting>
  <conditionalFormatting sqref="V28">
    <cfRule type="cellIs" dxfId="4074" priority="622" operator="greaterThan">
      <formula>V27</formula>
    </cfRule>
    <cfRule type="cellIs" dxfId="4073" priority="623" operator="equal">
      <formula>0</formula>
    </cfRule>
  </conditionalFormatting>
  <conditionalFormatting sqref="V27">
    <cfRule type="cellIs" dxfId="4072" priority="620" operator="greaterThan">
      <formula>V26</formula>
    </cfRule>
    <cfRule type="cellIs" dxfId="4071" priority="621" operator="equal">
      <formula>0</formula>
    </cfRule>
  </conditionalFormatting>
  <conditionalFormatting sqref="V30:V31 X30:X31">
    <cfRule type="cellIs" dxfId="4070" priority="619" operator="equal">
      <formula>0</formula>
    </cfRule>
  </conditionalFormatting>
  <conditionalFormatting sqref="V31">
    <cfRule type="cellIs" dxfId="4069" priority="617" operator="greaterThan">
      <formula>V30</formula>
    </cfRule>
    <cfRule type="cellIs" dxfId="4068" priority="618" operator="equal">
      <formula>0</formula>
    </cfRule>
  </conditionalFormatting>
  <conditionalFormatting sqref="V30">
    <cfRule type="cellIs" dxfId="4067" priority="615" operator="greaterThan">
      <formula>V29</formula>
    </cfRule>
    <cfRule type="cellIs" dxfId="4066" priority="616" operator="equal">
      <formula>0</formula>
    </cfRule>
  </conditionalFormatting>
  <conditionalFormatting sqref="V33:V34 X33:X34">
    <cfRule type="cellIs" dxfId="4065" priority="614" operator="equal">
      <formula>0</formula>
    </cfRule>
  </conditionalFormatting>
  <conditionalFormatting sqref="V34">
    <cfRule type="cellIs" dxfId="4064" priority="612" operator="greaterThan">
      <formula>V33</formula>
    </cfRule>
    <cfRule type="cellIs" dxfId="4063" priority="613" operator="equal">
      <formula>0</formula>
    </cfRule>
  </conditionalFormatting>
  <conditionalFormatting sqref="V33">
    <cfRule type="cellIs" dxfId="4062" priority="610" operator="greaterThan">
      <formula>V32</formula>
    </cfRule>
    <cfRule type="cellIs" dxfId="4061" priority="611" operator="equal">
      <formula>0</formula>
    </cfRule>
  </conditionalFormatting>
  <conditionalFormatting sqref="V36:V37 X36:X37">
    <cfRule type="cellIs" dxfId="4060" priority="609" operator="equal">
      <formula>0</formula>
    </cfRule>
  </conditionalFormatting>
  <conditionalFormatting sqref="V37">
    <cfRule type="cellIs" dxfId="4059" priority="607" operator="greaterThan">
      <formula>V36</formula>
    </cfRule>
    <cfRule type="cellIs" dxfId="4058" priority="608" operator="equal">
      <formula>0</formula>
    </cfRule>
  </conditionalFormatting>
  <conditionalFormatting sqref="V36">
    <cfRule type="cellIs" dxfId="4057" priority="605" operator="greaterThan">
      <formula>V35</formula>
    </cfRule>
    <cfRule type="cellIs" dxfId="4056" priority="606" operator="equal">
      <formula>0</formula>
    </cfRule>
  </conditionalFormatting>
  <conditionalFormatting sqref="V16">
    <cfRule type="cellIs" dxfId="4055" priority="603" operator="greaterThan">
      <formula>V15</formula>
    </cfRule>
    <cfRule type="cellIs" dxfId="4054" priority="604" operator="equal">
      <formula>0</formula>
    </cfRule>
  </conditionalFormatting>
  <conditionalFormatting sqref="V15">
    <cfRule type="cellIs" dxfId="4053" priority="601" operator="greaterThan">
      <formula>V14</formula>
    </cfRule>
    <cfRule type="cellIs" dxfId="4052" priority="602" operator="equal">
      <formula>0</formula>
    </cfRule>
  </conditionalFormatting>
  <conditionalFormatting sqref="V16">
    <cfRule type="cellIs" dxfId="4051" priority="599" operator="greaterThan">
      <formula>V15</formula>
    </cfRule>
    <cfRule type="cellIs" dxfId="4050" priority="600" operator="equal">
      <formula>0</formula>
    </cfRule>
  </conditionalFormatting>
  <conditionalFormatting sqref="V15">
    <cfRule type="cellIs" dxfId="4049" priority="597" operator="greaterThan">
      <formula>V14</formula>
    </cfRule>
    <cfRule type="cellIs" dxfId="4048" priority="598" operator="equal">
      <formula>0</formula>
    </cfRule>
  </conditionalFormatting>
  <conditionalFormatting sqref="V19">
    <cfRule type="cellIs" dxfId="4047" priority="595" operator="greaterThan">
      <formula>V18</formula>
    </cfRule>
    <cfRule type="cellIs" dxfId="4046" priority="596" operator="equal">
      <formula>0</formula>
    </cfRule>
  </conditionalFormatting>
  <conditionalFormatting sqref="V18">
    <cfRule type="cellIs" dxfId="4045" priority="593" operator="greaterThan">
      <formula>V17</formula>
    </cfRule>
    <cfRule type="cellIs" dxfId="4044" priority="594" operator="equal">
      <formula>0</formula>
    </cfRule>
  </conditionalFormatting>
  <conditionalFormatting sqref="V19">
    <cfRule type="cellIs" dxfId="4043" priority="591" operator="greaterThan">
      <formula>V18</formula>
    </cfRule>
    <cfRule type="cellIs" dxfId="4042" priority="592" operator="equal">
      <formula>0</formula>
    </cfRule>
  </conditionalFormatting>
  <conditionalFormatting sqref="V18">
    <cfRule type="cellIs" dxfId="4041" priority="589" operator="greaterThan">
      <formula>V17</formula>
    </cfRule>
    <cfRule type="cellIs" dxfId="4040" priority="590" operator="equal">
      <formula>0</formula>
    </cfRule>
  </conditionalFormatting>
  <conditionalFormatting sqref="V19">
    <cfRule type="cellIs" dxfId="4039" priority="587" operator="greaterThan">
      <formula>V18</formula>
    </cfRule>
    <cfRule type="cellIs" dxfId="4038" priority="588" operator="equal">
      <formula>0</formula>
    </cfRule>
  </conditionalFormatting>
  <conditionalFormatting sqref="V18">
    <cfRule type="cellIs" dxfId="4037" priority="585" operator="greaterThan">
      <formula>V17</formula>
    </cfRule>
    <cfRule type="cellIs" dxfId="4036" priority="586" operator="equal">
      <formula>0</formula>
    </cfRule>
  </conditionalFormatting>
  <conditionalFormatting sqref="V19">
    <cfRule type="cellIs" dxfId="4035" priority="583" operator="greaterThan">
      <formula>V18</formula>
    </cfRule>
    <cfRule type="cellIs" dxfId="4034" priority="584" operator="equal">
      <formula>0</formula>
    </cfRule>
  </conditionalFormatting>
  <conditionalFormatting sqref="V18">
    <cfRule type="cellIs" dxfId="4033" priority="581" operator="greaterThan">
      <formula>V17</formula>
    </cfRule>
    <cfRule type="cellIs" dxfId="4032" priority="582" operator="equal">
      <formula>0</formula>
    </cfRule>
  </conditionalFormatting>
  <conditionalFormatting sqref="V22">
    <cfRule type="cellIs" dxfId="4031" priority="579" operator="greaterThan">
      <formula>V21</formula>
    </cfRule>
    <cfRule type="cellIs" dxfId="4030" priority="580" operator="equal">
      <formula>0</formula>
    </cfRule>
  </conditionalFormatting>
  <conditionalFormatting sqref="V21">
    <cfRule type="cellIs" dxfId="4029" priority="577" operator="greaterThan">
      <formula>V20</formula>
    </cfRule>
    <cfRule type="cellIs" dxfId="4028" priority="578" operator="equal">
      <formula>0</formula>
    </cfRule>
  </conditionalFormatting>
  <conditionalFormatting sqref="V22">
    <cfRule type="cellIs" dxfId="4027" priority="575" operator="greaterThan">
      <formula>V21</formula>
    </cfRule>
    <cfRule type="cellIs" dxfId="4026" priority="576" operator="equal">
      <formula>0</formula>
    </cfRule>
  </conditionalFormatting>
  <conditionalFormatting sqref="V21">
    <cfRule type="cellIs" dxfId="4025" priority="573" operator="greaterThan">
      <formula>V20</formula>
    </cfRule>
    <cfRule type="cellIs" dxfId="4024" priority="574" operator="equal">
      <formula>0</formula>
    </cfRule>
  </conditionalFormatting>
  <conditionalFormatting sqref="V22">
    <cfRule type="cellIs" dxfId="4023" priority="571" operator="greaterThan">
      <formula>V21</formula>
    </cfRule>
    <cfRule type="cellIs" dxfId="4022" priority="572" operator="equal">
      <formula>0</formula>
    </cfRule>
  </conditionalFormatting>
  <conditionalFormatting sqref="V21">
    <cfRule type="cellIs" dxfId="4021" priority="569" operator="greaterThan">
      <formula>V20</formula>
    </cfRule>
    <cfRule type="cellIs" dxfId="4020" priority="570" operator="equal">
      <formula>0</formula>
    </cfRule>
  </conditionalFormatting>
  <conditionalFormatting sqref="V22">
    <cfRule type="cellIs" dxfId="4019" priority="567" operator="greaterThan">
      <formula>V21</formula>
    </cfRule>
    <cfRule type="cellIs" dxfId="4018" priority="568" operator="equal">
      <formula>0</formula>
    </cfRule>
  </conditionalFormatting>
  <conditionalFormatting sqref="V21">
    <cfRule type="cellIs" dxfId="4017" priority="565" operator="greaterThan">
      <formula>V20</formula>
    </cfRule>
    <cfRule type="cellIs" dxfId="4016" priority="566" operator="equal">
      <formula>0</formula>
    </cfRule>
  </conditionalFormatting>
  <conditionalFormatting sqref="V22">
    <cfRule type="cellIs" dxfId="4015" priority="563" operator="greaterThan">
      <formula>V21</formula>
    </cfRule>
    <cfRule type="cellIs" dxfId="4014" priority="564" operator="equal">
      <formula>0</formula>
    </cfRule>
  </conditionalFormatting>
  <conditionalFormatting sqref="V21">
    <cfRule type="cellIs" dxfId="4013" priority="561" operator="greaterThan">
      <formula>V20</formula>
    </cfRule>
    <cfRule type="cellIs" dxfId="4012" priority="562" operator="equal">
      <formula>0</formula>
    </cfRule>
  </conditionalFormatting>
  <conditionalFormatting sqref="V22">
    <cfRule type="cellIs" dxfId="4011" priority="559" operator="greaterThan">
      <formula>V21</formula>
    </cfRule>
    <cfRule type="cellIs" dxfId="4010" priority="560" operator="equal">
      <formula>0</formula>
    </cfRule>
  </conditionalFormatting>
  <conditionalFormatting sqref="V21">
    <cfRule type="cellIs" dxfId="4009" priority="557" operator="greaterThan">
      <formula>V20</formula>
    </cfRule>
    <cfRule type="cellIs" dxfId="4008" priority="558" operator="equal">
      <formula>0</formula>
    </cfRule>
  </conditionalFormatting>
  <conditionalFormatting sqref="V24">
    <cfRule type="cellIs" dxfId="4007" priority="555" operator="greaterThan">
      <formula>V23</formula>
    </cfRule>
    <cfRule type="cellIs" dxfId="4006" priority="556" operator="equal">
      <formula>0</formula>
    </cfRule>
  </conditionalFormatting>
  <conditionalFormatting sqref="V25">
    <cfRule type="cellIs" dxfId="4005" priority="553" operator="greaterThan">
      <formula>V24</formula>
    </cfRule>
    <cfRule type="cellIs" dxfId="4004" priority="554" operator="equal">
      <formula>0</formula>
    </cfRule>
  </conditionalFormatting>
  <conditionalFormatting sqref="V24">
    <cfRule type="cellIs" dxfId="4003" priority="551" operator="greaterThan">
      <formula>V23</formula>
    </cfRule>
    <cfRule type="cellIs" dxfId="4002" priority="552" operator="equal">
      <formula>0</formula>
    </cfRule>
  </conditionalFormatting>
  <conditionalFormatting sqref="V25">
    <cfRule type="cellIs" dxfId="4001" priority="549" operator="greaterThan">
      <formula>V24</formula>
    </cfRule>
    <cfRule type="cellIs" dxfId="4000" priority="550" operator="equal">
      <formula>0</formula>
    </cfRule>
  </conditionalFormatting>
  <conditionalFormatting sqref="V24">
    <cfRule type="cellIs" dxfId="3999" priority="547" operator="greaterThan">
      <formula>V23</formula>
    </cfRule>
    <cfRule type="cellIs" dxfId="3998" priority="548" operator="equal">
      <formula>0</formula>
    </cfRule>
  </conditionalFormatting>
  <conditionalFormatting sqref="V25">
    <cfRule type="cellIs" dxfId="3997" priority="545" operator="greaterThan">
      <formula>V24</formula>
    </cfRule>
    <cfRule type="cellIs" dxfId="3996" priority="546" operator="equal">
      <formula>0</formula>
    </cfRule>
  </conditionalFormatting>
  <conditionalFormatting sqref="V24">
    <cfRule type="cellIs" dxfId="3995" priority="543" operator="greaterThan">
      <formula>V23</formula>
    </cfRule>
    <cfRule type="cellIs" dxfId="3994" priority="544" operator="equal">
      <formula>0</formula>
    </cfRule>
  </conditionalFormatting>
  <conditionalFormatting sqref="V25">
    <cfRule type="cellIs" dxfId="3993" priority="541" operator="greaterThan">
      <formula>V24</formula>
    </cfRule>
    <cfRule type="cellIs" dxfId="3992" priority="542" operator="equal">
      <formula>0</formula>
    </cfRule>
  </conditionalFormatting>
  <conditionalFormatting sqref="V24">
    <cfRule type="cellIs" dxfId="3991" priority="539" operator="greaterThan">
      <formula>V23</formula>
    </cfRule>
    <cfRule type="cellIs" dxfId="3990" priority="540" operator="equal">
      <formula>0</formula>
    </cfRule>
  </conditionalFormatting>
  <conditionalFormatting sqref="V25">
    <cfRule type="cellIs" dxfId="3989" priority="537" operator="greaterThan">
      <formula>V24</formula>
    </cfRule>
    <cfRule type="cellIs" dxfId="3988" priority="538" operator="equal">
      <formula>0</formula>
    </cfRule>
  </conditionalFormatting>
  <conditionalFormatting sqref="V24">
    <cfRule type="cellIs" dxfId="3987" priority="535" operator="greaterThan">
      <formula>V23</formula>
    </cfRule>
    <cfRule type="cellIs" dxfId="3986" priority="536" operator="equal">
      <formula>0</formula>
    </cfRule>
  </conditionalFormatting>
  <conditionalFormatting sqref="V25">
    <cfRule type="cellIs" dxfId="3985" priority="533" operator="greaterThan">
      <formula>V24</formula>
    </cfRule>
    <cfRule type="cellIs" dxfId="3984" priority="534" operator="equal">
      <formula>0</formula>
    </cfRule>
  </conditionalFormatting>
  <conditionalFormatting sqref="V24">
    <cfRule type="cellIs" dxfId="3983" priority="531" operator="greaterThan">
      <formula>V23</formula>
    </cfRule>
    <cfRule type="cellIs" dxfId="3982" priority="532" operator="equal">
      <formula>0</formula>
    </cfRule>
  </conditionalFormatting>
  <conditionalFormatting sqref="V25">
    <cfRule type="cellIs" dxfId="3981" priority="529" operator="greaterThan">
      <formula>V24</formula>
    </cfRule>
    <cfRule type="cellIs" dxfId="3980" priority="530" operator="equal">
      <formula>0</formula>
    </cfRule>
  </conditionalFormatting>
  <conditionalFormatting sqref="V24">
    <cfRule type="cellIs" dxfId="3979" priority="527" operator="greaterThan">
      <formula>V23</formula>
    </cfRule>
    <cfRule type="cellIs" dxfId="3978" priority="528" operator="equal">
      <formula>0</formula>
    </cfRule>
  </conditionalFormatting>
  <conditionalFormatting sqref="V27:V28">
    <cfRule type="cellIs" dxfId="3977" priority="525" operator="greaterThan">
      <formula>V26</formula>
    </cfRule>
    <cfRule type="cellIs" dxfId="3976" priority="526" operator="equal">
      <formula>0</formula>
    </cfRule>
  </conditionalFormatting>
  <conditionalFormatting sqref="V27">
    <cfRule type="cellIs" dxfId="3975" priority="523" operator="greaterThan">
      <formula>V26</formula>
    </cfRule>
    <cfRule type="cellIs" dxfId="3974" priority="524" operator="equal">
      <formula>0</formula>
    </cfRule>
  </conditionalFormatting>
  <conditionalFormatting sqref="V28">
    <cfRule type="cellIs" dxfId="3973" priority="521" operator="greaterThan">
      <formula>V27</formula>
    </cfRule>
    <cfRule type="cellIs" dxfId="3972" priority="522" operator="equal">
      <formula>0</formula>
    </cfRule>
  </conditionalFormatting>
  <conditionalFormatting sqref="V27">
    <cfRule type="cellIs" dxfId="3971" priority="519" operator="greaterThan">
      <formula>V26</formula>
    </cfRule>
    <cfRule type="cellIs" dxfId="3970" priority="520" operator="equal">
      <formula>0</formula>
    </cfRule>
  </conditionalFormatting>
  <conditionalFormatting sqref="V27">
    <cfRule type="cellIs" dxfId="3969" priority="517" operator="greaterThan">
      <formula>V26</formula>
    </cfRule>
    <cfRule type="cellIs" dxfId="3968" priority="518" operator="equal">
      <formula>0</formula>
    </cfRule>
  </conditionalFormatting>
  <conditionalFormatting sqref="V28">
    <cfRule type="cellIs" dxfId="3967" priority="515" operator="greaterThan">
      <formula>V27</formula>
    </cfRule>
    <cfRule type="cellIs" dxfId="3966" priority="516" operator="equal">
      <formula>0</formula>
    </cfRule>
  </conditionalFormatting>
  <conditionalFormatting sqref="V27">
    <cfRule type="cellIs" dxfId="3965" priority="513" operator="greaterThan">
      <formula>V26</formula>
    </cfRule>
    <cfRule type="cellIs" dxfId="3964" priority="514" operator="equal">
      <formula>0</formula>
    </cfRule>
  </conditionalFormatting>
  <conditionalFormatting sqref="V28">
    <cfRule type="cellIs" dxfId="3963" priority="511" operator="greaterThan">
      <formula>V27</formula>
    </cfRule>
    <cfRule type="cellIs" dxfId="3962" priority="512" operator="equal">
      <formula>0</formula>
    </cfRule>
  </conditionalFormatting>
  <conditionalFormatting sqref="V27">
    <cfRule type="cellIs" dxfId="3961" priority="509" operator="greaterThan">
      <formula>V26</formula>
    </cfRule>
    <cfRule type="cellIs" dxfId="3960" priority="510" operator="equal">
      <formula>0</formula>
    </cfRule>
  </conditionalFormatting>
  <conditionalFormatting sqref="V28">
    <cfRule type="cellIs" dxfId="3959" priority="507" operator="greaterThan">
      <formula>V27</formula>
    </cfRule>
    <cfRule type="cellIs" dxfId="3958" priority="508" operator="equal">
      <formula>0</formula>
    </cfRule>
  </conditionalFormatting>
  <conditionalFormatting sqref="V27">
    <cfRule type="cellIs" dxfId="3957" priority="505" operator="greaterThan">
      <formula>V26</formula>
    </cfRule>
    <cfRule type="cellIs" dxfId="3956" priority="506" operator="equal">
      <formula>0</formula>
    </cfRule>
  </conditionalFormatting>
  <conditionalFormatting sqref="V28">
    <cfRule type="cellIs" dxfId="3955" priority="503" operator="greaterThan">
      <formula>V27</formula>
    </cfRule>
    <cfRule type="cellIs" dxfId="3954" priority="504" operator="equal">
      <formula>0</formula>
    </cfRule>
  </conditionalFormatting>
  <conditionalFormatting sqref="V27">
    <cfRule type="cellIs" dxfId="3953" priority="501" operator="greaterThan">
      <formula>V26</formula>
    </cfRule>
    <cfRule type="cellIs" dxfId="3952" priority="502" operator="equal">
      <formula>0</formula>
    </cfRule>
  </conditionalFormatting>
  <conditionalFormatting sqref="V28">
    <cfRule type="cellIs" dxfId="3951" priority="499" operator="greaterThan">
      <formula>V27</formula>
    </cfRule>
    <cfRule type="cellIs" dxfId="3950" priority="500" operator="equal">
      <formula>0</formula>
    </cfRule>
  </conditionalFormatting>
  <conditionalFormatting sqref="V27">
    <cfRule type="cellIs" dxfId="3949" priority="497" operator="greaterThan">
      <formula>V26</formula>
    </cfRule>
    <cfRule type="cellIs" dxfId="3948" priority="498" operator="equal">
      <formula>0</formula>
    </cfRule>
  </conditionalFormatting>
  <conditionalFormatting sqref="V28">
    <cfRule type="cellIs" dxfId="3947" priority="495" operator="greaterThan">
      <formula>V27</formula>
    </cfRule>
    <cfRule type="cellIs" dxfId="3946" priority="496" operator="equal">
      <formula>0</formula>
    </cfRule>
  </conditionalFormatting>
  <conditionalFormatting sqref="V27">
    <cfRule type="cellIs" dxfId="3945" priority="493" operator="greaterThan">
      <formula>V26</formula>
    </cfRule>
    <cfRule type="cellIs" dxfId="3944" priority="494" operator="equal">
      <formula>0</formula>
    </cfRule>
  </conditionalFormatting>
  <conditionalFormatting sqref="V28">
    <cfRule type="cellIs" dxfId="3943" priority="491" operator="greaterThan">
      <formula>V27</formula>
    </cfRule>
    <cfRule type="cellIs" dxfId="3942" priority="492" operator="equal">
      <formula>0</formula>
    </cfRule>
  </conditionalFormatting>
  <conditionalFormatting sqref="V27">
    <cfRule type="cellIs" dxfId="3941" priority="489" operator="greaterThan">
      <formula>V26</formula>
    </cfRule>
    <cfRule type="cellIs" dxfId="3940" priority="490" operator="equal">
      <formula>0</formula>
    </cfRule>
  </conditionalFormatting>
  <conditionalFormatting sqref="V19">
    <cfRule type="cellIs" dxfId="3939" priority="487" operator="greaterThan">
      <formula>V18</formula>
    </cfRule>
    <cfRule type="cellIs" dxfId="3938" priority="488" operator="equal">
      <formula>0</formula>
    </cfRule>
  </conditionalFormatting>
  <conditionalFormatting sqref="V18">
    <cfRule type="cellIs" dxfId="3937" priority="485" operator="greaterThan">
      <formula>V17</formula>
    </cfRule>
    <cfRule type="cellIs" dxfId="3936" priority="486" operator="equal">
      <formula>0</formula>
    </cfRule>
  </conditionalFormatting>
  <conditionalFormatting sqref="V19">
    <cfRule type="cellIs" dxfId="3935" priority="483" operator="greaterThan">
      <formula>V18</formula>
    </cfRule>
    <cfRule type="cellIs" dxfId="3934" priority="484" operator="equal">
      <formula>0</formula>
    </cfRule>
  </conditionalFormatting>
  <conditionalFormatting sqref="V18">
    <cfRule type="cellIs" dxfId="3933" priority="481" operator="greaterThan">
      <formula>V17</formula>
    </cfRule>
    <cfRule type="cellIs" dxfId="3932" priority="482" operator="equal">
      <formula>0</formula>
    </cfRule>
  </conditionalFormatting>
  <conditionalFormatting sqref="V19">
    <cfRule type="cellIs" dxfId="3931" priority="479" operator="greaterThan">
      <formula>V18</formula>
    </cfRule>
    <cfRule type="cellIs" dxfId="3930" priority="480" operator="equal">
      <formula>0</formula>
    </cfRule>
  </conditionalFormatting>
  <conditionalFormatting sqref="V18">
    <cfRule type="cellIs" dxfId="3929" priority="477" operator="greaterThan">
      <formula>V17</formula>
    </cfRule>
    <cfRule type="cellIs" dxfId="3928" priority="478" operator="equal">
      <formula>0</formula>
    </cfRule>
  </conditionalFormatting>
  <conditionalFormatting sqref="V19">
    <cfRule type="cellIs" dxfId="3927" priority="475" operator="greaterThan">
      <formula>V18</formula>
    </cfRule>
    <cfRule type="cellIs" dxfId="3926" priority="476" operator="equal">
      <formula>0</formula>
    </cfRule>
  </conditionalFormatting>
  <conditionalFormatting sqref="V18">
    <cfRule type="cellIs" dxfId="3925" priority="473" operator="greaterThan">
      <formula>V17</formula>
    </cfRule>
    <cfRule type="cellIs" dxfId="3924" priority="474" operator="equal">
      <formula>0</formula>
    </cfRule>
  </conditionalFormatting>
  <conditionalFormatting sqref="V16">
    <cfRule type="cellIs" dxfId="3923" priority="471" operator="greaterThan">
      <formula>V15</formula>
    </cfRule>
    <cfRule type="cellIs" dxfId="3922" priority="472" operator="equal">
      <formula>0</formula>
    </cfRule>
  </conditionalFormatting>
  <conditionalFormatting sqref="V16">
    <cfRule type="cellIs" dxfId="3921" priority="469" operator="greaterThan">
      <formula>V15</formula>
    </cfRule>
    <cfRule type="cellIs" dxfId="3920" priority="470" operator="equal">
      <formula>0</formula>
    </cfRule>
  </conditionalFormatting>
  <conditionalFormatting sqref="V16">
    <cfRule type="cellIs" dxfId="3919" priority="467" operator="greaterThan">
      <formula>V15</formula>
    </cfRule>
    <cfRule type="cellIs" dxfId="3918" priority="468" operator="equal">
      <formula>0</formula>
    </cfRule>
  </conditionalFormatting>
  <conditionalFormatting sqref="V16">
    <cfRule type="cellIs" dxfId="3917" priority="465" operator="greaterThan">
      <formula>V15</formula>
    </cfRule>
    <cfRule type="cellIs" dxfId="3916" priority="466" operator="equal">
      <formula>0</formula>
    </cfRule>
  </conditionalFormatting>
  <conditionalFormatting sqref="V19">
    <cfRule type="cellIs" dxfId="3915" priority="463" operator="greaterThan">
      <formula>V18</formula>
    </cfRule>
    <cfRule type="cellIs" dxfId="3914" priority="464" operator="equal">
      <formula>0</formula>
    </cfRule>
  </conditionalFormatting>
  <conditionalFormatting sqref="V19">
    <cfRule type="cellIs" dxfId="3913" priority="461" operator="greaterThan">
      <formula>V18</formula>
    </cfRule>
    <cfRule type="cellIs" dxfId="3912" priority="462" operator="equal">
      <formula>0</formula>
    </cfRule>
  </conditionalFormatting>
  <conditionalFormatting sqref="V19">
    <cfRule type="cellIs" dxfId="3911" priority="459" operator="greaterThan">
      <formula>V18</formula>
    </cfRule>
    <cfRule type="cellIs" dxfId="3910" priority="460" operator="equal">
      <formula>0</formula>
    </cfRule>
  </conditionalFormatting>
  <conditionalFormatting sqref="V19">
    <cfRule type="cellIs" dxfId="3909" priority="457" operator="greaterThan">
      <formula>V18</formula>
    </cfRule>
    <cfRule type="cellIs" dxfId="3908" priority="458" operator="equal">
      <formula>0</formula>
    </cfRule>
  </conditionalFormatting>
  <conditionalFormatting sqref="V19">
    <cfRule type="cellIs" dxfId="3907" priority="455" operator="greaterThan">
      <formula>V18</formula>
    </cfRule>
    <cfRule type="cellIs" dxfId="3906" priority="456" operator="equal">
      <formula>0</formula>
    </cfRule>
  </conditionalFormatting>
  <conditionalFormatting sqref="V19">
    <cfRule type="cellIs" dxfId="3905" priority="453" operator="greaterThan">
      <formula>V18</formula>
    </cfRule>
    <cfRule type="cellIs" dxfId="3904" priority="454" operator="equal">
      <formula>0</formula>
    </cfRule>
  </conditionalFormatting>
  <conditionalFormatting sqref="V19">
    <cfRule type="cellIs" dxfId="3903" priority="451" operator="greaterThan">
      <formula>V18</formula>
    </cfRule>
    <cfRule type="cellIs" dxfId="3902" priority="452" operator="equal">
      <formula>0</formula>
    </cfRule>
  </conditionalFormatting>
  <conditionalFormatting sqref="V19">
    <cfRule type="cellIs" dxfId="3901" priority="449" operator="greaterThan">
      <formula>V18</formula>
    </cfRule>
    <cfRule type="cellIs" dxfId="3900" priority="450" operator="equal">
      <formula>0</formula>
    </cfRule>
  </conditionalFormatting>
  <conditionalFormatting sqref="V19">
    <cfRule type="cellIs" dxfId="3899" priority="447" operator="greaterThan">
      <formula>V18</formula>
    </cfRule>
    <cfRule type="cellIs" dxfId="3898" priority="448" operator="equal">
      <formula>0</formula>
    </cfRule>
  </conditionalFormatting>
  <conditionalFormatting sqref="V19">
    <cfRule type="cellIs" dxfId="3897" priority="445" operator="greaterThan">
      <formula>V18</formula>
    </cfRule>
    <cfRule type="cellIs" dxfId="3896" priority="446" operator="equal">
      <formula>0</formula>
    </cfRule>
  </conditionalFormatting>
  <conditionalFormatting sqref="V22">
    <cfRule type="cellIs" dxfId="3895" priority="443" operator="greaterThan">
      <formula>V21</formula>
    </cfRule>
    <cfRule type="cellIs" dxfId="3894" priority="444" operator="equal">
      <formula>0</formula>
    </cfRule>
  </conditionalFormatting>
  <conditionalFormatting sqref="V21">
    <cfRule type="cellIs" dxfId="3893" priority="441" operator="greaterThan">
      <formula>V20</formula>
    </cfRule>
    <cfRule type="cellIs" dxfId="3892" priority="442" operator="equal">
      <formula>0</formula>
    </cfRule>
  </conditionalFormatting>
  <conditionalFormatting sqref="V22">
    <cfRule type="cellIs" dxfId="3891" priority="439" operator="greaterThan">
      <formula>V21</formula>
    </cfRule>
    <cfRule type="cellIs" dxfId="3890" priority="440" operator="equal">
      <formula>0</formula>
    </cfRule>
  </conditionalFormatting>
  <conditionalFormatting sqref="V21">
    <cfRule type="cellIs" dxfId="3889" priority="437" operator="greaterThan">
      <formula>V20</formula>
    </cfRule>
    <cfRule type="cellIs" dxfId="3888" priority="438" operator="equal">
      <formula>0</formula>
    </cfRule>
  </conditionalFormatting>
  <conditionalFormatting sqref="V22">
    <cfRule type="cellIs" dxfId="3887" priority="435" operator="greaterThan">
      <formula>V21</formula>
    </cfRule>
    <cfRule type="cellIs" dxfId="3886" priority="436" operator="equal">
      <formula>0</formula>
    </cfRule>
  </conditionalFormatting>
  <conditionalFormatting sqref="V21">
    <cfRule type="cellIs" dxfId="3885" priority="433" operator="greaterThan">
      <formula>V20</formula>
    </cfRule>
    <cfRule type="cellIs" dxfId="3884" priority="434" operator="equal">
      <formula>0</formula>
    </cfRule>
  </conditionalFormatting>
  <conditionalFormatting sqref="V22">
    <cfRule type="cellIs" dxfId="3883" priority="431" operator="greaterThan">
      <formula>V21</formula>
    </cfRule>
    <cfRule type="cellIs" dxfId="3882" priority="432" operator="equal">
      <formula>0</formula>
    </cfRule>
  </conditionalFormatting>
  <conditionalFormatting sqref="V21">
    <cfRule type="cellIs" dxfId="3881" priority="429" operator="greaterThan">
      <formula>V20</formula>
    </cfRule>
    <cfRule type="cellIs" dxfId="3880" priority="430" operator="equal">
      <formula>0</formula>
    </cfRule>
  </conditionalFormatting>
  <conditionalFormatting sqref="V22">
    <cfRule type="cellIs" dxfId="3879" priority="427" operator="greaterThan">
      <formula>V21</formula>
    </cfRule>
    <cfRule type="cellIs" dxfId="3878" priority="428" operator="equal">
      <formula>0</formula>
    </cfRule>
  </conditionalFormatting>
  <conditionalFormatting sqref="V21">
    <cfRule type="cellIs" dxfId="3877" priority="425" operator="greaterThan">
      <formula>V20</formula>
    </cfRule>
    <cfRule type="cellIs" dxfId="3876" priority="426" operator="equal">
      <formula>0</formula>
    </cfRule>
  </conditionalFormatting>
  <conditionalFormatting sqref="V22">
    <cfRule type="cellIs" dxfId="3875" priority="423" operator="greaterThan">
      <formula>V21</formula>
    </cfRule>
    <cfRule type="cellIs" dxfId="3874" priority="424" operator="equal">
      <formula>0</formula>
    </cfRule>
  </conditionalFormatting>
  <conditionalFormatting sqref="V21">
    <cfRule type="cellIs" dxfId="3873" priority="421" operator="greaterThan">
      <formula>V20</formula>
    </cfRule>
    <cfRule type="cellIs" dxfId="3872" priority="422" operator="equal">
      <formula>0</formula>
    </cfRule>
  </conditionalFormatting>
  <conditionalFormatting sqref="V22">
    <cfRule type="cellIs" dxfId="3871" priority="419" operator="greaterThan">
      <formula>V21</formula>
    </cfRule>
    <cfRule type="cellIs" dxfId="3870" priority="420" operator="equal">
      <formula>0</formula>
    </cfRule>
  </conditionalFormatting>
  <conditionalFormatting sqref="V21">
    <cfRule type="cellIs" dxfId="3869" priority="417" operator="greaterThan">
      <formula>V20</formula>
    </cfRule>
    <cfRule type="cellIs" dxfId="3868" priority="418" operator="equal">
      <formula>0</formula>
    </cfRule>
  </conditionalFormatting>
  <conditionalFormatting sqref="V22">
    <cfRule type="cellIs" dxfId="3867" priority="415" operator="greaterThan">
      <formula>V21</formula>
    </cfRule>
    <cfRule type="cellIs" dxfId="3866" priority="416" operator="equal">
      <formula>0</formula>
    </cfRule>
  </conditionalFormatting>
  <conditionalFormatting sqref="V21">
    <cfRule type="cellIs" dxfId="3865" priority="413" operator="greaterThan">
      <formula>V20</formula>
    </cfRule>
    <cfRule type="cellIs" dxfId="3864" priority="414" operator="equal">
      <formula>0</formula>
    </cfRule>
  </conditionalFormatting>
  <conditionalFormatting sqref="V22">
    <cfRule type="cellIs" dxfId="3863" priority="411" operator="greaterThan">
      <formula>V21</formula>
    </cfRule>
    <cfRule type="cellIs" dxfId="3862" priority="412" operator="equal">
      <formula>0</formula>
    </cfRule>
  </conditionalFormatting>
  <conditionalFormatting sqref="V21">
    <cfRule type="cellIs" dxfId="3861" priority="409" operator="greaterThan">
      <formula>V20</formula>
    </cfRule>
    <cfRule type="cellIs" dxfId="3860" priority="410" operator="equal">
      <formula>0</formula>
    </cfRule>
  </conditionalFormatting>
  <conditionalFormatting sqref="V22">
    <cfRule type="cellIs" dxfId="3859" priority="407" operator="greaterThan">
      <formula>V21</formula>
    </cfRule>
    <cfRule type="cellIs" dxfId="3858" priority="408" operator="equal">
      <formula>0</formula>
    </cfRule>
  </conditionalFormatting>
  <conditionalFormatting sqref="V21">
    <cfRule type="cellIs" dxfId="3857" priority="405" operator="greaterThan">
      <formula>V20</formula>
    </cfRule>
    <cfRule type="cellIs" dxfId="3856" priority="406" operator="equal">
      <formula>0</formula>
    </cfRule>
  </conditionalFormatting>
  <conditionalFormatting sqref="V22">
    <cfRule type="cellIs" dxfId="3855" priority="403" operator="greaterThan">
      <formula>V21</formula>
    </cfRule>
    <cfRule type="cellIs" dxfId="3854" priority="404" operator="equal">
      <formula>0</formula>
    </cfRule>
  </conditionalFormatting>
  <conditionalFormatting sqref="V22">
    <cfRule type="cellIs" dxfId="3853" priority="401" operator="greaterThan">
      <formula>V21</formula>
    </cfRule>
    <cfRule type="cellIs" dxfId="3852" priority="402" operator="equal">
      <formula>0</formula>
    </cfRule>
  </conditionalFormatting>
  <conditionalFormatting sqref="V22">
    <cfRule type="cellIs" dxfId="3851" priority="399" operator="greaterThan">
      <formula>V21</formula>
    </cfRule>
    <cfRule type="cellIs" dxfId="3850" priority="400" operator="equal">
      <formula>0</formula>
    </cfRule>
  </conditionalFormatting>
  <conditionalFormatting sqref="V22">
    <cfRule type="cellIs" dxfId="3849" priority="397" operator="greaterThan">
      <formula>V21</formula>
    </cfRule>
    <cfRule type="cellIs" dxfId="3848" priority="398" operator="equal">
      <formula>0</formula>
    </cfRule>
  </conditionalFormatting>
  <conditionalFormatting sqref="V22">
    <cfRule type="cellIs" dxfId="3847" priority="395" operator="greaterThan">
      <formula>V21</formula>
    </cfRule>
    <cfRule type="cellIs" dxfId="3846" priority="396" operator="equal">
      <formula>0</formula>
    </cfRule>
  </conditionalFormatting>
  <conditionalFormatting sqref="V22">
    <cfRule type="cellIs" dxfId="3845" priority="393" operator="greaterThan">
      <formula>V21</formula>
    </cfRule>
    <cfRule type="cellIs" dxfId="3844" priority="394" operator="equal">
      <formula>0</formula>
    </cfRule>
  </conditionalFormatting>
  <conditionalFormatting sqref="V22">
    <cfRule type="cellIs" dxfId="3843" priority="391" operator="greaterThan">
      <formula>V21</formula>
    </cfRule>
    <cfRule type="cellIs" dxfId="3842" priority="392" operator="equal">
      <formula>0</formula>
    </cfRule>
  </conditionalFormatting>
  <conditionalFormatting sqref="V22">
    <cfRule type="cellIs" dxfId="3841" priority="389" operator="greaterThan">
      <formula>V21</formula>
    </cfRule>
    <cfRule type="cellIs" dxfId="3840" priority="390" operator="equal">
      <formula>0</formula>
    </cfRule>
  </conditionalFormatting>
  <conditionalFormatting sqref="V22">
    <cfRule type="cellIs" dxfId="3839" priority="387" operator="greaterThan">
      <formula>V21</formula>
    </cfRule>
    <cfRule type="cellIs" dxfId="3838" priority="388" operator="equal">
      <formula>0</formula>
    </cfRule>
  </conditionalFormatting>
  <conditionalFormatting sqref="V22">
    <cfRule type="cellIs" dxfId="3837" priority="385" operator="greaterThan">
      <formula>V21</formula>
    </cfRule>
    <cfRule type="cellIs" dxfId="3836" priority="386" operator="equal">
      <formula>0</formula>
    </cfRule>
  </conditionalFormatting>
  <conditionalFormatting sqref="V22">
    <cfRule type="cellIs" dxfId="3835" priority="383" operator="greaterThan">
      <formula>V21</formula>
    </cfRule>
    <cfRule type="cellIs" dxfId="3834" priority="384" operator="equal">
      <formula>0</formula>
    </cfRule>
  </conditionalFormatting>
  <conditionalFormatting sqref="V22">
    <cfRule type="cellIs" dxfId="3833" priority="381" operator="greaterThan">
      <formula>V21</formula>
    </cfRule>
    <cfRule type="cellIs" dxfId="3832" priority="382" operator="equal">
      <formula>0</formula>
    </cfRule>
  </conditionalFormatting>
  <conditionalFormatting sqref="V22">
    <cfRule type="cellIs" dxfId="3831" priority="379" operator="greaterThan">
      <formula>V21</formula>
    </cfRule>
    <cfRule type="cellIs" dxfId="3830" priority="380" operator="equal">
      <formula>0</formula>
    </cfRule>
  </conditionalFormatting>
  <conditionalFormatting sqref="V22">
    <cfRule type="cellIs" dxfId="3829" priority="377" operator="greaterThan">
      <formula>V21</formula>
    </cfRule>
    <cfRule type="cellIs" dxfId="3828" priority="378" operator="equal">
      <formula>0</formula>
    </cfRule>
  </conditionalFormatting>
  <conditionalFormatting sqref="V22">
    <cfRule type="cellIs" dxfId="3827" priority="375" operator="greaterThan">
      <formula>V21</formula>
    </cfRule>
    <cfRule type="cellIs" dxfId="3826" priority="376" operator="equal">
      <formula>0</formula>
    </cfRule>
  </conditionalFormatting>
  <conditionalFormatting sqref="V22">
    <cfRule type="cellIs" dxfId="3825" priority="373" operator="greaterThan">
      <formula>V21</formula>
    </cfRule>
    <cfRule type="cellIs" dxfId="3824" priority="374" operator="equal">
      <formula>0</formula>
    </cfRule>
  </conditionalFormatting>
  <conditionalFormatting sqref="V22">
    <cfRule type="cellIs" dxfId="3823" priority="371" operator="greaterThan">
      <formula>V21</formula>
    </cfRule>
    <cfRule type="cellIs" dxfId="3822" priority="372" operator="equal">
      <formula>0</formula>
    </cfRule>
  </conditionalFormatting>
  <conditionalFormatting sqref="V22">
    <cfRule type="cellIs" dxfId="3821" priority="369" operator="greaterThan">
      <formula>V21</formula>
    </cfRule>
    <cfRule type="cellIs" dxfId="3820" priority="370" operator="equal">
      <formula>0</formula>
    </cfRule>
  </conditionalFormatting>
  <conditionalFormatting sqref="V22">
    <cfRule type="cellIs" dxfId="3819" priority="367" operator="greaterThan">
      <formula>V21</formula>
    </cfRule>
    <cfRule type="cellIs" dxfId="3818" priority="368" operator="equal">
      <formula>0</formula>
    </cfRule>
  </conditionalFormatting>
  <conditionalFormatting sqref="V22">
    <cfRule type="cellIs" dxfId="3817" priority="365" operator="greaterThan">
      <formula>V21</formula>
    </cfRule>
    <cfRule type="cellIs" dxfId="3816" priority="366" operator="equal">
      <formula>0</formula>
    </cfRule>
  </conditionalFormatting>
  <conditionalFormatting sqref="V22">
    <cfRule type="cellIs" dxfId="3815" priority="363" operator="greaterThan">
      <formula>V21</formula>
    </cfRule>
    <cfRule type="cellIs" dxfId="3814" priority="364" operator="equal">
      <formula>0</formula>
    </cfRule>
  </conditionalFormatting>
  <conditionalFormatting sqref="V22">
    <cfRule type="cellIs" dxfId="3813" priority="361" operator="greaterThan">
      <formula>V21</formula>
    </cfRule>
    <cfRule type="cellIs" dxfId="3812" priority="362" operator="equal">
      <formula>0</formula>
    </cfRule>
  </conditionalFormatting>
  <conditionalFormatting sqref="V22">
    <cfRule type="cellIs" dxfId="3811" priority="359" operator="greaterThan">
      <formula>V21</formula>
    </cfRule>
    <cfRule type="cellIs" dxfId="3810" priority="360" operator="equal">
      <formula>0</formula>
    </cfRule>
  </conditionalFormatting>
  <conditionalFormatting sqref="V22">
    <cfRule type="cellIs" dxfId="3809" priority="357" operator="greaterThan">
      <formula>V21</formula>
    </cfRule>
    <cfRule type="cellIs" dxfId="3808" priority="358" operator="equal">
      <formula>0</formula>
    </cfRule>
  </conditionalFormatting>
  <conditionalFormatting sqref="V22">
    <cfRule type="cellIs" dxfId="3807" priority="355" operator="greaterThan">
      <formula>V21</formula>
    </cfRule>
    <cfRule type="cellIs" dxfId="3806" priority="356" operator="equal">
      <formula>0</formula>
    </cfRule>
  </conditionalFormatting>
  <conditionalFormatting sqref="V22">
    <cfRule type="cellIs" dxfId="3805" priority="353" operator="greaterThan">
      <formula>V21</formula>
    </cfRule>
    <cfRule type="cellIs" dxfId="3804" priority="354" operator="equal">
      <formula>0</formula>
    </cfRule>
  </conditionalFormatting>
  <conditionalFormatting sqref="V22">
    <cfRule type="cellIs" dxfId="3803" priority="351" operator="greaterThan">
      <formula>V21</formula>
    </cfRule>
    <cfRule type="cellIs" dxfId="3802" priority="352" operator="equal">
      <formula>0</formula>
    </cfRule>
  </conditionalFormatting>
  <conditionalFormatting sqref="V22">
    <cfRule type="cellIs" dxfId="3801" priority="349" operator="greaterThan">
      <formula>V21</formula>
    </cfRule>
    <cfRule type="cellIs" dxfId="3800" priority="350" operator="equal">
      <formula>0</formula>
    </cfRule>
  </conditionalFormatting>
  <conditionalFormatting sqref="V24">
    <cfRule type="cellIs" dxfId="3799" priority="347" operator="greaterThan">
      <formula>V23</formula>
    </cfRule>
    <cfRule type="cellIs" dxfId="3798" priority="348" operator="equal">
      <formula>0</formula>
    </cfRule>
  </conditionalFormatting>
  <conditionalFormatting sqref="V24">
    <cfRule type="cellIs" dxfId="3797" priority="345" operator="greaterThan">
      <formula>V23</formula>
    </cfRule>
    <cfRule type="cellIs" dxfId="3796" priority="346" operator="equal">
      <formula>0</formula>
    </cfRule>
  </conditionalFormatting>
  <conditionalFormatting sqref="V24">
    <cfRule type="cellIs" dxfId="3795" priority="343" operator="greaterThan">
      <formula>V23</formula>
    </cfRule>
    <cfRule type="cellIs" dxfId="3794" priority="344" operator="equal">
      <formula>0</formula>
    </cfRule>
  </conditionalFormatting>
  <conditionalFormatting sqref="V24">
    <cfRule type="cellIs" dxfId="3793" priority="341" operator="greaterThan">
      <formula>V23</formula>
    </cfRule>
    <cfRule type="cellIs" dxfId="3792" priority="342" operator="equal">
      <formula>0</formula>
    </cfRule>
  </conditionalFormatting>
  <conditionalFormatting sqref="V24">
    <cfRule type="cellIs" dxfId="3791" priority="339" operator="greaterThan">
      <formula>V23</formula>
    </cfRule>
    <cfRule type="cellIs" dxfId="3790" priority="340" operator="equal">
      <formula>0</formula>
    </cfRule>
  </conditionalFormatting>
  <conditionalFormatting sqref="V24">
    <cfRule type="cellIs" dxfId="3789" priority="337" operator="greaterThan">
      <formula>V23</formula>
    </cfRule>
    <cfRule type="cellIs" dxfId="3788" priority="338" operator="equal">
      <formula>0</formula>
    </cfRule>
  </conditionalFormatting>
  <conditionalFormatting sqref="V24">
    <cfRule type="cellIs" dxfId="3787" priority="335" operator="greaterThan">
      <formula>V23</formula>
    </cfRule>
    <cfRule type="cellIs" dxfId="3786" priority="336" operator="equal">
      <formula>0</formula>
    </cfRule>
  </conditionalFormatting>
  <conditionalFormatting sqref="V24">
    <cfRule type="cellIs" dxfId="3785" priority="333" operator="greaterThan">
      <formula>V23</formula>
    </cfRule>
    <cfRule type="cellIs" dxfId="3784" priority="334" operator="equal">
      <formula>0</formula>
    </cfRule>
  </conditionalFormatting>
  <conditionalFormatting sqref="V24">
    <cfRule type="cellIs" dxfId="3783" priority="331" operator="greaterThan">
      <formula>V23</formula>
    </cfRule>
    <cfRule type="cellIs" dxfId="3782" priority="332" operator="equal">
      <formula>0</formula>
    </cfRule>
  </conditionalFormatting>
  <conditionalFormatting sqref="V24">
    <cfRule type="cellIs" dxfId="3781" priority="329" operator="greaterThan">
      <formula>V23</formula>
    </cfRule>
    <cfRule type="cellIs" dxfId="3780" priority="330" operator="equal">
      <formula>0</formula>
    </cfRule>
  </conditionalFormatting>
  <conditionalFormatting sqref="V24">
    <cfRule type="cellIs" dxfId="3779" priority="327" operator="greaterThan">
      <formula>V23</formula>
    </cfRule>
    <cfRule type="cellIs" dxfId="3778" priority="328" operator="equal">
      <formula>0</formula>
    </cfRule>
  </conditionalFormatting>
  <conditionalFormatting sqref="V24">
    <cfRule type="cellIs" dxfId="3777" priority="325" operator="greaterThan">
      <formula>V23</formula>
    </cfRule>
    <cfRule type="cellIs" dxfId="3776" priority="326" operator="equal">
      <formula>0</formula>
    </cfRule>
  </conditionalFormatting>
  <conditionalFormatting sqref="V24">
    <cfRule type="cellIs" dxfId="3775" priority="323" operator="greaterThan">
      <formula>V23</formula>
    </cfRule>
    <cfRule type="cellIs" dxfId="3774" priority="324" operator="equal">
      <formula>0</formula>
    </cfRule>
  </conditionalFormatting>
  <conditionalFormatting sqref="V24">
    <cfRule type="cellIs" dxfId="3773" priority="321" operator="greaterThan">
      <formula>V23</formula>
    </cfRule>
    <cfRule type="cellIs" dxfId="3772" priority="322" operator="equal">
      <formula>0</formula>
    </cfRule>
  </conditionalFormatting>
  <conditionalFormatting sqref="V24">
    <cfRule type="cellIs" dxfId="3771" priority="319" operator="greaterThan">
      <formula>V23</formula>
    </cfRule>
    <cfRule type="cellIs" dxfId="3770" priority="320" operator="equal">
      <formula>0</formula>
    </cfRule>
  </conditionalFormatting>
  <conditionalFormatting sqref="V24">
    <cfRule type="cellIs" dxfId="3769" priority="317" operator="greaterThan">
      <formula>V23</formula>
    </cfRule>
    <cfRule type="cellIs" dxfId="3768" priority="318" operator="equal">
      <formula>0</formula>
    </cfRule>
  </conditionalFormatting>
  <conditionalFormatting sqref="V24">
    <cfRule type="cellIs" dxfId="3767" priority="315" operator="greaterThan">
      <formula>V23</formula>
    </cfRule>
    <cfRule type="cellIs" dxfId="3766" priority="316" operator="equal">
      <formula>0</formula>
    </cfRule>
  </conditionalFormatting>
  <conditionalFormatting sqref="V24">
    <cfRule type="cellIs" dxfId="3765" priority="313" operator="greaterThan">
      <formula>V23</formula>
    </cfRule>
    <cfRule type="cellIs" dxfId="3764" priority="314" operator="equal">
      <formula>0</formula>
    </cfRule>
  </conditionalFormatting>
  <conditionalFormatting sqref="V25">
    <cfRule type="cellIs" dxfId="3763" priority="311" operator="greaterThan">
      <formula>V24</formula>
    </cfRule>
    <cfRule type="cellIs" dxfId="3762" priority="312" operator="equal">
      <formula>0</formula>
    </cfRule>
  </conditionalFormatting>
  <conditionalFormatting sqref="V25">
    <cfRule type="cellIs" dxfId="3761" priority="309" operator="greaterThan">
      <formula>V24</formula>
    </cfRule>
    <cfRule type="cellIs" dxfId="3760" priority="310" operator="equal">
      <formula>0</formula>
    </cfRule>
  </conditionalFormatting>
  <conditionalFormatting sqref="V25">
    <cfRule type="cellIs" dxfId="3759" priority="307" operator="greaterThan">
      <formula>V24</formula>
    </cfRule>
    <cfRule type="cellIs" dxfId="3758" priority="308" operator="equal">
      <formula>0</formula>
    </cfRule>
  </conditionalFormatting>
  <conditionalFormatting sqref="V25">
    <cfRule type="cellIs" dxfId="3757" priority="305" operator="greaterThan">
      <formula>V24</formula>
    </cfRule>
    <cfRule type="cellIs" dxfId="3756" priority="306" operator="equal">
      <formula>0</formula>
    </cfRule>
  </conditionalFormatting>
  <conditionalFormatting sqref="V25">
    <cfRule type="cellIs" dxfId="3755" priority="303" operator="greaterThan">
      <formula>V24</formula>
    </cfRule>
    <cfRule type="cellIs" dxfId="3754" priority="304" operator="equal">
      <formula>0</formula>
    </cfRule>
  </conditionalFormatting>
  <conditionalFormatting sqref="V25">
    <cfRule type="cellIs" dxfId="3753" priority="301" operator="greaterThan">
      <formula>V24</formula>
    </cfRule>
    <cfRule type="cellIs" dxfId="3752" priority="302" operator="equal">
      <formula>0</formula>
    </cfRule>
  </conditionalFormatting>
  <conditionalFormatting sqref="V25">
    <cfRule type="cellIs" dxfId="3751" priority="299" operator="greaterThan">
      <formula>V24</formula>
    </cfRule>
    <cfRule type="cellIs" dxfId="3750" priority="300" operator="equal">
      <formula>0</formula>
    </cfRule>
  </conditionalFormatting>
  <conditionalFormatting sqref="V25">
    <cfRule type="cellIs" dxfId="3749" priority="297" operator="greaterThan">
      <formula>V24</formula>
    </cfRule>
    <cfRule type="cellIs" dxfId="3748" priority="298" operator="equal">
      <formula>0</formula>
    </cfRule>
  </conditionalFormatting>
  <conditionalFormatting sqref="V25">
    <cfRule type="cellIs" dxfId="3747" priority="295" operator="greaterThan">
      <formula>V24</formula>
    </cfRule>
    <cfRule type="cellIs" dxfId="3746" priority="296" operator="equal">
      <formula>0</formula>
    </cfRule>
  </conditionalFormatting>
  <conditionalFormatting sqref="V25">
    <cfRule type="cellIs" dxfId="3745" priority="293" operator="greaterThan">
      <formula>V24</formula>
    </cfRule>
    <cfRule type="cellIs" dxfId="3744" priority="294" operator="equal">
      <formula>0</formula>
    </cfRule>
  </conditionalFormatting>
  <conditionalFormatting sqref="V25">
    <cfRule type="cellIs" dxfId="3743" priority="291" operator="greaterThan">
      <formula>V24</formula>
    </cfRule>
    <cfRule type="cellIs" dxfId="3742" priority="292" operator="equal">
      <formula>0</formula>
    </cfRule>
  </conditionalFormatting>
  <conditionalFormatting sqref="V25">
    <cfRule type="cellIs" dxfId="3741" priority="289" operator="greaterThan">
      <formula>V24</formula>
    </cfRule>
    <cfRule type="cellIs" dxfId="3740" priority="290" operator="equal">
      <formula>0</formula>
    </cfRule>
  </conditionalFormatting>
  <conditionalFormatting sqref="V25">
    <cfRule type="cellIs" dxfId="3739" priority="287" operator="greaterThan">
      <formula>V24</formula>
    </cfRule>
    <cfRule type="cellIs" dxfId="3738" priority="288" operator="equal">
      <formula>0</formula>
    </cfRule>
  </conditionalFormatting>
  <conditionalFormatting sqref="V25">
    <cfRule type="cellIs" dxfId="3737" priority="285" operator="greaterThan">
      <formula>V24</formula>
    </cfRule>
    <cfRule type="cellIs" dxfId="3736" priority="286" operator="equal">
      <formula>0</formula>
    </cfRule>
  </conditionalFormatting>
  <conditionalFormatting sqref="V25">
    <cfRule type="cellIs" dxfId="3735" priority="283" operator="greaterThan">
      <formula>V24</formula>
    </cfRule>
    <cfRule type="cellIs" dxfId="3734" priority="284" operator="equal">
      <formula>0</formula>
    </cfRule>
  </conditionalFormatting>
  <conditionalFormatting sqref="V25">
    <cfRule type="cellIs" dxfId="3733" priority="281" operator="greaterThan">
      <formula>V24</formula>
    </cfRule>
    <cfRule type="cellIs" dxfId="3732" priority="282" operator="equal">
      <formula>0</formula>
    </cfRule>
  </conditionalFormatting>
  <conditionalFormatting sqref="V25">
    <cfRule type="cellIs" dxfId="3731" priority="279" operator="greaterThan">
      <formula>V24</formula>
    </cfRule>
    <cfRule type="cellIs" dxfId="3730" priority="280" operator="equal">
      <formula>0</formula>
    </cfRule>
  </conditionalFormatting>
  <conditionalFormatting sqref="V25">
    <cfRule type="cellIs" dxfId="3729" priority="277" operator="greaterThan">
      <formula>V24</formula>
    </cfRule>
    <cfRule type="cellIs" dxfId="3728" priority="278" operator="equal">
      <formula>0</formula>
    </cfRule>
  </conditionalFormatting>
  <conditionalFormatting sqref="V25">
    <cfRule type="cellIs" dxfId="3727" priority="275" operator="greaterThan">
      <formula>V24</formula>
    </cfRule>
    <cfRule type="cellIs" dxfId="3726" priority="276" operator="equal">
      <formula>0</formula>
    </cfRule>
  </conditionalFormatting>
  <conditionalFormatting sqref="V25">
    <cfRule type="cellIs" dxfId="3725" priority="273" operator="greaterThan">
      <formula>V24</formula>
    </cfRule>
    <cfRule type="cellIs" dxfId="3724" priority="274" operator="equal">
      <formula>0</formula>
    </cfRule>
  </conditionalFormatting>
  <conditionalFormatting sqref="V25">
    <cfRule type="cellIs" dxfId="3723" priority="271" operator="greaterThan">
      <formula>V24</formula>
    </cfRule>
    <cfRule type="cellIs" dxfId="3722" priority="272" operator="equal">
      <formula>0</formula>
    </cfRule>
  </conditionalFormatting>
  <conditionalFormatting sqref="V25">
    <cfRule type="cellIs" dxfId="3721" priority="269" operator="greaterThan">
      <formula>V24</formula>
    </cfRule>
    <cfRule type="cellIs" dxfId="3720" priority="270" operator="equal">
      <formula>0</formula>
    </cfRule>
  </conditionalFormatting>
  <conditionalFormatting sqref="V25">
    <cfRule type="cellIs" dxfId="3719" priority="267" operator="greaterThan">
      <formula>V24</formula>
    </cfRule>
    <cfRule type="cellIs" dxfId="3718" priority="268" operator="equal">
      <formula>0</formula>
    </cfRule>
  </conditionalFormatting>
  <conditionalFormatting sqref="V25">
    <cfRule type="cellIs" dxfId="3717" priority="265" operator="greaterThan">
      <formula>V24</formula>
    </cfRule>
    <cfRule type="cellIs" dxfId="3716" priority="266" operator="equal">
      <formula>0</formula>
    </cfRule>
  </conditionalFormatting>
  <conditionalFormatting sqref="V25">
    <cfRule type="cellIs" dxfId="3715" priority="263" operator="greaterThan">
      <formula>V24</formula>
    </cfRule>
    <cfRule type="cellIs" dxfId="3714" priority="264" operator="equal">
      <formula>0</formula>
    </cfRule>
  </conditionalFormatting>
  <conditionalFormatting sqref="V25">
    <cfRule type="cellIs" dxfId="3713" priority="261" operator="greaterThan">
      <formula>V24</formula>
    </cfRule>
    <cfRule type="cellIs" dxfId="3712" priority="262" operator="equal">
      <formula>0</formula>
    </cfRule>
  </conditionalFormatting>
  <conditionalFormatting sqref="V25">
    <cfRule type="cellIs" dxfId="3711" priority="259" operator="greaterThan">
      <formula>V24</formula>
    </cfRule>
    <cfRule type="cellIs" dxfId="3710" priority="260" operator="equal">
      <formula>0</formula>
    </cfRule>
  </conditionalFormatting>
  <conditionalFormatting sqref="V25">
    <cfRule type="cellIs" dxfId="3709" priority="257" operator="greaterThan">
      <formula>V24</formula>
    </cfRule>
    <cfRule type="cellIs" dxfId="3708" priority="258" operator="equal">
      <formula>0</formula>
    </cfRule>
  </conditionalFormatting>
  <conditionalFormatting sqref="V27">
    <cfRule type="cellIs" dxfId="3707" priority="255" operator="greaterThan">
      <formula>V26</formula>
    </cfRule>
    <cfRule type="cellIs" dxfId="3706" priority="256" operator="equal">
      <formula>0</formula>
    </cfRule>
  </conditionalFormatting>
  <conditionalFormatting sqref="V27">
    <cfRule type="cellIs" dxfId="3705" priority="253" operator="greaterThan">
      <formula>V26</formula>
    </cfRule>
    <cfRule type="cellIs" dxfId="3704" priority="254" operator="equal">
      <formula>0</formula>
    </cfRule>
  </conditionalFormatting>
  <conditionalFormatting sqref="V27">
    <cfRule type="cellIs" dxfId="3703" priority="251" operator="greaterThan">
      <formula>V26</formula>
    </cfRule>
    <cfRule type="cellIs" dxfId="3702" priority="252" operator="equal">
      <formula>0</formula>
    </cfRule>
  </conditionalFormatting>
  <conditionalFormatting sqref="V27">
    <cfRule type="cellIs" dxfId="3701" priority="249" operator="greaterThan">
      <formula>V26</formula>
    </cfRule>
    <cfRule type="cellIs" dxfId="3700" priority="250" operator="equal">
      <formula>0</formula>
    </cfRule>
  </conditionalFormatting>
  <conditionalFormatting sqref="V27">
    <cfRule type="cellIs" dxfId="3699" priority="247" operator="greaterThan">
      <formula>V26</formula>
    </cfRule>
    <cfRule type="cellIs" dxfId="3698" priority="248" operator="equal">
      <formula>0</formula>
    </cfRule>
  </conditionalFormatting>
  <conditionalFormatting sqref="V27">
    <cfRule type="cellIs" dxfId="3697" priority="245" operator="greaterThan">
      <formula>V26</formula>
    </cfRule>
    <cfRule type="cellIs" dxfId="3696" priority="246" operator="equal">
      <formula>0</formula>
    </cfRule>
  </conditionalFormatting>
  <conditionalFormatting sqref="V27">
    <cfRule type="cellIs" dxfId="3695" priority="243" operator="greaterThan">
      <formula>V26</formula>
    </cfRule>
    <cfRule type="cellIs" dxfId="3694" priority="244" operator="equal">
      <formula>0</formula>
    </cfRule>
  </conditionalFormatting>
  <conditionalFormatting sqref="V27">
    <cfRule type="cellIs" dxfId="3693" priority="241" operator="greaterThan">
      <formula>V26</formula>
    </cfRule>
    <cfRule type="cellIs" dxfId="3692" priority="242" operator="equal">
      <formula>0</formula>
    </cfRule>
  </conditionalFormatting>
  <conditionalFormatting sqref="V27">
    <cfRule type="cellIs" dxfId="3691" priority="239" operator="greaterThan">
      <formula>V26</formula>
    </cfRule>
    <cfRule type="cellIs" dxfId="3690" priority="240" operator="equal">
      <formula>0</formula>
    </cfRule>
  </conditionalFormatting>
  <conditionalFormatting sqref="V27">
    <cfRule type="cellIs" dxfId="3689" priority="237" operator="greaterThan">
      <formula>V26</formula>
    </cfRule>
    <cfRule type="cellIs" dxfId="3688" priority="238" operator="equal">
      <formula>0</formula>
    </cfRule>
  </conditionalFormatting>
  <conditionalFormatting sqref="V27">
    <cfRule type="cellIs" dxfId="3687" priority="235" operator="greaterThan">
      <formula>V26</formula>
    </cfRule>
    <cfRule type="cellIs" dxfId="3686" priority="236" operator="equal">
      <formula>0</formula>
    </cfRule>
  </conditionalFormatting>
  <conditionalFormatting sqref="V27">
    <cfRule type="cellIs" dxfId="3685" priority="233" operator="greaterThan">
      <formula>V26</formula>
    </cfRule>
    <cfRule type="cellIs" dxfId="3684" priority="234" operator="equal">
      <formula>0</formula>
    </cfRule>
  </conditionalFormatting>
  <conditionalFormatting sqref="V27">
    <cfRule type="cellIs" dxfId="3683" priority="231" operator="greaterThan">
      <formula>V26</formula>
    </cfRule>
    <cfRule type="cellIs" dxfId="3682" priority="232" operator="equal">
      <formula>0</formula>
    </cfRule>
  </conditionalFormatting>
  <conditionalFormatting sqref="V27">
    <cfRule type="cellIs" dxfId="3681" priority="229" operator="greaterThan">
      <formula>V26</formula>
    </cfRule>
    <cfRule type="cellIs" dxfId="3680" priority="230" operator="equal">
      <formula>0</formula>
    </cfRule>
  </conditionalFormatting>
  <conditionalFormatting sqref="V27">
    <cfRule type="cellIs" dxfId="3679" priority="227" operator="greaterThan">
      <formula>V26</formula>
    </cfRule>
    <cfRule type="cellIs" dxfId="3678" priority="228" operator="equal">
      <formula>0</formula>
    </cfRule>
  </conditionalFormatting>
  <conditionalFormatting sqref="V27">
    <cfRule type="cellIs" dxfId="3677" priority="225" operator="greaterThan">
      <formula>V26</formula>
    </cfRule>
    <cfRule type="cellIs" dxfId="3676" priority="226" operator="equal">
      <formula>0</formula>
    </cfRule>
  </conditionalFormatting>
  <conditionalFormatting sqref="V27">
    <cfRule type="cellIs" dxfId="3675" priority="223" operator="greaterThan">
      <formula>V26</formula>
    </cfRule>
    <cfRule type="cellIs" dxfId="3674" priority="224" operator="equal">
      <formula>0</formula>
    </cfRule>
  </conditionalFormatting>
  <conditionalFormatting sqref="V27">
    <cfRule type="cellIs" dxfId="3673" priority="221" operator="greaterThan">
      <formula>V26</formula>
    </cfRule>
    <cfRule type="cellIs" dxfId="3672" priority="222" operator="equal">
      <formula>0</formula>
    </cfRule>
  </conditionalFormatting>
  <conditionalFormatting sqref="V27">
    <cfRule type="cellIs" dxfId="3671" priority="219" operator="greaterThan">
      <formula>V26</formula>
    </cfRule>
    <cfRule type="cellIs" dxfId="3670" priority="220" operator="equal">
      <formula>0</formula>
    </cfRule>
  </conditionalFormatting>
  <conditionalFormatting sqref="V27">
    <cfRule type="cellIs" dxfId="3669" priority="217" operator="greaterThan">
      <formula>V26</formula>
    </cfRule>
    <cfRule type="cellIs" dxfId="3668" priority="218" operator="equal">
      <formula>0</formula>
    </cfRule>
  </conditionalFormatting>
  <conditionalFormatting sqref="V27">
    <cfRule type="cellIs" dxfId="3667" priority="215" operator="greaterThan">
      <formula>V26</formula>
    </cfRule>
    <cfRule type="cellIs" dxfId="3666" priority="216" operator="equal">
      <formula>0</formula>
    </cfRule>
  </conditionalFormatting>
  <conditionalFormatting sqref="V27">
    <cfRule type="cellIs" dxfId="3665" priority="213" operator="greaterThan">
      <formula>V26</formula>
    </cfRule>
    <cfRule type="cellIs" dxfId="3664" priority="214" operator="equal">
      <formula>0</formula>
    </cfRule>
  </conditionalFormatting>
  <conditionalFormatting sqref="V27">
    <cfRule type="cellIs" dxfId="3663" priority="211" operator="greaterThan">
      <formula>V26</formula>
    </cfRule>
    <cfRule type="cellIs" dxfId="3662" priority="212" operator="equal">
      <formula>0</formula>
    </cfRule>
  </conditionalFormatting>
  <conditionalFormatting sqref="V27">
    <cfRule type="cellIs" dxfId="3661" priority="209" operator="greaterThan">
      <formula>V26</formula>
    </cfRule>
    <cfRule type="cellIs" dxfId="3660" priority="210" operator="equal">
      <formula>0</formula>
    </cfRule>
  </conditionalFormatting>
  <conditionalFormatting sqref="V27">
    <cfRule type="cellIs" dxfId="3659" priority="207" operator="greaterThan">
      <formula>V26</formula>
    </cfRule>
    <cfRule type="cellIs" dxfId="3658" priority="208" operator="equal">
      <formula>0</formula>
    </cfRule>
  </conditionalFormatting>
  <conditionalFormatting sqref="V27">
    <cfRule type="cellIs" dxfId="3657" priority="205" operator="greaterThan">
      <formula>V26</formula>
    </cfRule>
    <cfRule type="cellIs" dxfId="3656" priority="206" operator="equal">
      <formula>0</formula>
    </cfRule>
  </conditionalFormatting>
  <conditionalFormatting sqref="V27">
    <cfRule type="cellIs" dxfId="3655" priority="203" operator="greaterThan">
      <formula>V26</formula>
    </cfRule>
    <cfRule type="cellIs" dxfId="3654" priority="204" operator="equal">
      <formula>0</formula>
    </cfRule>
  </conditionalFormatting>
  <conditionalFormatting sqref="V27">
    <cfRule type="cellIs" dxfId="3653" priority="201" operator="greaterThan">
      <formula>V26</formula>
    </cfRule>
    <cfRule type="cellIs" dxfId="3652" priority="202" operator="equal">
      <formula>0</formula>
    </cfRule>
  </conditionalFormatting>
  <conditionalFormatting sqref="V27">
    <cfRule type="cellIs" dxfId="3651" priority="199" operator="greaterThan">
      <formula>V26</formula>
    </cfRule>
    <cfRule type="cellIs" dxfId="3650" priority="200" operator="equal">
      <formula>0</formula>
    </cfRule>
  </conditionalFormatting>
  <conditionalFormatting sqref="V28">
    <cfRule type="cellIs" dxfId="3649" priority="197" operator="greaterThan">
      <formula>V27</formula>
    </cfRule>
    <cfRule type="cellIs" dxfId="3648" priority="198" operator="equal">
      <formula>0</formula>
    </cfRule>
  </conditionalFormatting>
  <conditionalFormatting sqref="V28">
    <cfRule type="cellIs" dxfId="3647" priority="195" operator="greaterThan">
      <formula>V27</formula>
    </cfRule>
    <cfRule type="cellIs" dxfId="3646" priority="196" operator="equal">
      <formula>0</formula>
    </cfRule>
  </conditionalFormatting>
  <conditionalFormatting sqref="V28">
    <cfRule type="cellIs" dxfId="3645" priority="193" operator="greaterThan">
      <formula>V27</formula>
    </cfRule>
    <cfRule type="cellIs" dxfId="3644" priority="194" operator="equal">
      <formula>0</formula>
    </cfRule>
  </conditionalFormatting>
  <conditionalFormatting sqref="V28">
    <cfRule type="cellIs" dxfId="3643" priority="191" operator="greaterThan">
      <formula>V27</formula>
    </cfRule>
    <cfRule type="cellIs" dxfId="3642" priority="192" operator="equal">
      <formula>0</formula>
    </cfRule>
  </conditionalFormatting>
  <conditionalFormatting sqref="V28">
    <cfRule type="cellIs" dxfId="3641" priority="189" operator="greaterThan">
      <formula>V27</formula>
    </cfRule>
    <cfRule type="cellIs" dxfId="3640" priority="190" operator="equal">
      <formula>0</formula>
    </cfRule>
  </conditionalFormatting>
  <conditionalFormatting sqref="V28">
    <cfRule type="cellIs" dxfId="3639" priority="187" operator="greaterThan">
      <formula>V27</formula>
    </cfRule>
    <cfRule type="cellIs" dxfId="3638" priority="188" operator="equal">
      <formula>0</formula>
    </cfRule>
  </conditionalFormatting>
  <conditionalFormatting sqref="V28">
    <cfRule type="cellIs" dxfId="3637" priority="185" operator="greaterThan">
      <formula>V27</formula>
    </cfRule>
    <cfRule type="cellIs" dxfId="3636" priority="186" operator="equal">
      <formula>0</formula>
    </cfRule>
  </conditionalFormatting>
  <conditionalFormatting sqref="V28">
    <cfRule type="cellIs" dxfId="3635" priority="183" operator="greaterThan">
      <formula>V27</formula>
    </cfRule>
    <cfRule type="cellIs" dxfId="3634" priority="184" operator="equal">
      <formula>0</formula>
    </cfRule>
  </conditionalFormatting>
  <conditionalFormatting sqref="V28">
    <cfRule type="cellIs" dxfId="3633" priority="181" operator="greaterThan">
      <formula>V27</formula>
    </cfRule>
    <cfRule type="cellIs" dxfId="3632" priority="182" operator="equal">
      <formula>0</formula>
    </cfRule>
  </conditionalFormatting>
  <conditionalFormatting sqref="V28">
    <cfRule type="cellIs" dxfId="3631" priority="179" operator="greaterThan">
      <formula>V27</formula>
    </cfRule>
    <cfRule type="cellIs" dxfId="3630" priority="180" operator="equal">
      <formula>0</formula>
    </cfRule>
  </conditionalFormatting>
  <conditionalFormatting sqref="V28">
    <cfRule type="cellIs" dxfId="3629" priority="177" operator="greaterThan">
      <formula>V27</formula>
    </cfRule>
    <cfRule type="cellIs" dxfId="3628" priority="178" operator="equal">
      <formula>0</formula>
    </cfRule>
  </conditionalFormatting>
  <conditionalFormatting sqref="V28">
    <cfRule type="cellIs" dxfId="3627" priority="175" operator="greaterThan">
      <formula>V27</formula>
    </cfRule>
    <cfRule type="cellIs" dxfId="3626" priority="176" operator="equal">
      <formula>0</formula>
    </cfRule>
  </conditionalFormatting>
  <conditionalFormatting sqref="V28">
    <cfRule type="cellIs" dxfId="3625" priority="173" operator="greaterThan">
      <formula>V27</formula>
    </cfRule>
    <cfRule type="cellIs" dxfId="3624" priority="174" operator="equal">
      <formula>0</formula>
    </cfRule>
  </conditionalFormatting>
  <conditionalFormatting sqref="V28">
    <cfRule type="cellIs" dxfId="3623" priority="171" operator="greaterThan">
      <formula>V27</formula>
    </cfRule>
    <cfRule type="cellIs" dxfId="3622" priority="172" operator="equal">
      <formula>0</formula>
    </cfRule>
  </conditionalFormatting>
  <conditionalFormatting sqref="V28">
    <cfRule type="cellIs" dxfId="3621" priority="169" operator="greaterThan">
      <formula>V27</formula>
    </cfRule>
    <cfRule type="cellIs" dxfId="3620" priority="170" operator="equal">
      <formula>0</formula>
    </cfRule>
  </conditionalFormatting>
  <conditionalFormatting sqref="V28">
    <cfRule type="cellIs" dxfId="3619" priority="167" operator="greaterThan">
      <formula>V27</formula>
    </cfRule>
    <cfRule type="cellIs" dxfId="3618" priority="168" operator="equal">
      <formula>0</formula>
    </cfRule>
  </conditionalFormatting>
  <conditionalFormatting sqref="V28">
    <cfRule type="cellIs" dxfId="3617" priority="165" operator="greaterThan">
      <formula>V27</formula>
    </cfRule>
    <cfRule type="cellIs" dxfId="3616" priority="166" operator="equal">
      <formula>0</formula>
    </cfRule>
  </conditionalFormatting>
  <conditionalFormatting sqref="V28">
    <cfRule type="cellIs" dxfId="3615" priority="163" operator="greaterThan">
      <formula>V27</formula>
    </cfRule>
    <cfRule type="cellIs" dxfId="3614" priority="164" operator="equal">
      <formula>0</formula>
    </cfRule>
  </conditionalFormatting>
  <conditionalFormatting sqref="V28">
    <cfRule type="cellIs" dxfId="3613" priority="161" operator="greaterThan">
      <formula>V27</formula>
    </cfRule>
    <cfRule type="cellIs" dxfId="3612" priority="162" operator="equal">
      <formula>0</formula>
    </cfRule>
  </conditionalFormatting>
  <conditionalFormatting sqref="V28">
    <cfRule type="cellIs" dxfId="3611" priority="159" operator="greaterThan">
      <formula>V27</formula>
    </cfRule>
    <cfRule type="cellIs" dxfId="3610" priority="160" operator="equal">
      <formula>0</formula>
    </cfRule>
  </conditionalFormatting>
  <conditionalFormatting sqref="V28">
    <cfRule type="cellIs" dxfId="3609" priority="157" operator="greaterThan">
      <formula>V27</formula>
    </cfRule>
    <cfRule type="cellIs" dxfId="3608" priority="158" operator="equal">
      <formula>0</formula>
    </cfRule>
  </conditionalFormatting>
  <conditionalFormatting sqref="V28">
    <cfRule type="cellIs" dxfId="3607" priority="155" operator="greaterThan">
      <formula>V27</formula>
    </cfRule>
    <cfRule type="cellIs" dxfId="3606" priority="156" operator="equal">
      <formula>0</formula>
    </cfRule>
  </conditionalFormatting>
  <conditionalFormatting sqref="V28">
    <cfRule type="cellIs" dxfId="3605" priority="153" operator="greaterThan">
      <formula>V27</formula>
    </cfRule>
    <cfRule type="cellIs" dxfId="3604" priority="154" operator="equal">
      <formula>0</formula>
    </cfRule>
  </conditionalFormatting>
  <conditionalFormatting sqref="V28">
    <cfRule type="cellIs" dxfId="3603" priority="151" operator="greaterThan">
      <formula>V27</formula>
    </cfRule>
    <cfRule type="cellIs" dxfId="3602" priority="152" operator="equal">
      <formula>0</formula>
    </cfRule>
  </conditionalFormatting>
  <conditionalFormatting sqref="V28">
    <cfRule type="cellIs" dxfId="3601" priority="149" operator="greaterThan">
      <formula>V27</formula>
    </cfRule>
    <cfRule type="cellIs" dxfId="3600" priority="150" operator="equal">
      <formula>0</formula>
    </cfRule>
  </conditionalFormatting>
  <conditionalFormatting sqref="V28">
    <cfRule type="cellIs" dxfId="3599" priority="147" operator="greaterThan">
      <formula>V27</formula>
    </cfRule>
    <cfRule type="cellIs" dxfId="3598" priority="148" operator="equal">
      <formula>0</formula>
    </cfRule>
  </conditionalFormatting>
  <conditionalFormatting sqref="V28">
    <cfRule type="cellIs" dxfId="3597" priority="145" operator="greaterThan">
      <formula>V27</formula>
    </cfRule>
    <cfRule type="cellIs" dxfId="3596" priority="146" operator="equal">
      <formula>0</formula>
    </cfRule>
  </conditionalFormatting>
  <conditionalFormatting sqref="V28">
    <cfRule type="cellIs" dxfId="3595" priority="143" operator="greaterThan">
      <formula>V27</formula>
    </cfRule>
    <cfRule type="cellIs" dxfId="3594" priority="144" operator="equal">
      <formula>0</formula>
    </cfRule>
  </conditionalFormatting>
  <conditionalFormatting sqref="V28">
    <cfRule type="cellIs" dxfId="3593" priority="141" operator="greaterThan">
      <formula>V27</formula>
    </cfRule>
    <cfRule type="cellIs" dxfId="3592" priority="142" operator="equal">
      <formula>0</formula>
    </cfRule>
  </conditionalFormatting>
  <conditionalFormatting sqref="V28">
    <cfRule type="cellIs" dxfId="3591" priority="139" operator="greaterThan">
      <formula>V27</formula>
    </cfRule>
    <cfRule type="cellIs" dxfId="3590" priority="140" operator="equal">
      <formula>0</formula>
    </cfRule>
  </conditionalFormatting>
  <conditionalFormatting sqref="V28">
    <cfRule type="cellIs" dxfId="3589" priority="137" operator="greaterThan">
      <formula>V27</formula>
    </cfRule>
    <cfRule type="cellIs" dxfId="3588" priority="138" operator="equal">
      <formula>0</formula>
    </cfRule>
  </conditionalFormatting>
  <conditionalFormatting sqref="V28">
    <cfRule type="cellIs" dxfId="3587" priority="135" operator="greaterThan">
      <formula>V27</formula>
    </cfRule>
    <cfRule type="cellIs" dxfId="3586" priority="136" operator="equal">
      <formula>0</formula>
    </cfRule>
  </conditionalFormatting>
  <conditionalFormatting sqref="V28">
    <cfRule type="cellIs" dxfId="3585" priority="133" operator="greaterThan">
      <formula>V27</formula>
    </cfRule>
    <cfRule type="cellIs" dxfId="3584" priority="134" operator="equal">
      <formula>0</formula>
    </cfRule>
  </conditionalFormatting>
  <conditionalFormatting sqref="V28">
    <cfRule type="cellIs" dxfId="3583" priority="131" operator="greaterThan">
      <formula>V27</formula>
    </cfRule>
    <cfRule type="cellIs" dxfId="3582" priority="132" operator="equal">
      <formula>0</formula>
    </cfRule>
  </conditionalFormatting>
  <conditionalFormatting sqref="V28">
    <cfRule type="cellIs" dxfId="3581" priority="129" operator="greaterThan">
      <formula>V27</formula>
    </cfRule>
    <cfRule type="cellIs" dxfId="3580" priority="130" operator="equal">
      <formula>0</formula>
    </cfRule>
  </conditionalFormatting>
  <conditionalFormatting sqref="V28">
    <cfRule type="cellIs" dxfId="3579" priority="127" operator="greaterThan">
      <formula>V27</formula>
    </cfRule>
    <cfRule type="cellIs" dxfId="3578" priority="128" operator="equal">
      <formula>0</formula>
    </cfRule>
  </conditionalFormatting>
  <conditionalFormatting sqref="V28">
    <cfRule type="cellIs" dxfId="3577" priority="125" operator="greaterThan">
      <formula>V27</formula>
    </cfRule>
    <cfRule type="cellIs" dxfId="3576" priority="126" operator="equal">
      <formula>0</formula>
    </cfRule>
  </conditionalFormatting>
  <conditionalFormatting sqref="V28">
    <cfRule type="cellIs" dxfId="3575" priority="123" operator="greaterThan">
      <formula>V27</formula>
    </cfRule>
    <cfRule type="cellIs" dxfId="3574" priority="124" operator="equal">
      <formula>0</formula>
    </cfRule>
  </conditionalFormatting>
  <conditionalFormatting sqref="V28">
    <cfRule type="cellIs" dxfId="3573" priority="121" operator="greaterThan">
      <formula>V27</formula>
    </cfRule>
    <cfRule type="cellIs" dxfId="3572" priority="122" operator="equal">
      <formula>0</formula>
    </cfRule>
  </conditionalFormatting>
  <conditionalFormatting sqref="V28">
    <cfRule type="cellIs" dxfId="3571" priority="119" operator="greaterThan">
      <formula>V27</formula>
    </cfRule>
    <cfRule type="cellIs" dxfId="3570" priority="120" operator="equal">
      <formula>0</formula>
    </cfRule>
  </conditionalFormatting>
  <conditionalFormatting sqref="V28">
    <cfRule type="cellIs" dxfId="3569" priority="117" operator="greaterThan">
      <formula>V27</formula>
    </cfRule>
    <cfRule type="cellIs" dxfId="3568" priority="118" operator="equal">
      <formula>0</formula>
    </cfRule>
  </conditionalFormatting>
  <conditionalFormatting sqref="V28">
    <cfRule type="cellIs" dxfId="3567" priority="115" operator="greaterThan">
      <formula>V27</formula>
    </cfRule>
    <cfRule type="cellIs" dxfId="3566" priority="116" operator="equal">
      <formula>0</formula>
    </cfRule>
  </conditionalFormatting>
  <conditionalFormatting sqref="V28">
    <cfRule type="cellIs" dxfId="3565" priority="113" operator="greaterThan">
      <formula>V27</formula>
    </cfRule>
    <cfRule type="cellIs" dxfId="3564" priority="114" operator="equal">
      <formula>0</formula>
    </cfRule>
  </conditionalFormatting>
  <conditionalFormatting sqref="V28">
    <cfRule type="cellIs" dxfId="3563" priority="111" operator="greaterThan">
      <formula>V27</formula>
    </cfRule>
    <cfRule type="cellIs" dxfId="3562" priority="112" operator="equal">
      <formula>0</formula>
    </cfRule>
  </conditionalFormatting>
  <conditionalFormatting sqref="V28">
    <cfRule type="cellIs" dxfId="3561" priority="109" operator="greaterThan">
      <formula>V27</formula>
    </cfRule>
    <cfRule type="cellIs" dxfId="3560" priority="110" operator="equal">
      <formula>0</formula>
    </cfRule>
  </conditionalFormatting>
  <conditionalFormatting sqref="V28">
    <cfRule type="cellIs" dxfId="3559" priority="107" operator="greaterThan">
      <formula>V27</formula>
    </cfRule>
    <cfRule type="cellIs" dxfId="3558" priority="108" operator="equal">
      <formula>0</formula>
    </cfRule>
  </conditionalFormatting>
  <conditionalFormatting sqref="V28">
    <cfRule type="cellIs" dxfId="3557" priority="105" operator="greaterThan">
      <formula>V27</formula>
    </cfRule>
    <cfRule type="cellIs" dxfId="3556" priority="106" operator="equal">
      <formula>0</formula>
    </cfRule>
  </conditionalFormatting>
  <conditionalFormatting sqref="V28">
    <cfRule type="cellIs" dxfId="3555" priority="103" operator="greaterThan">
      <formula>V27</formula>
    </cfRule>
    <cfRule type="cellIs" dxfId="3554" priority="104" operator="equal">
      <formula>0</formula>
    </cfRule>
  </conditionalFormatting>
  <conditionalFormatting sqref="V28">
    <cfRule type="cellIs" dxfId="3553" priority="101" operator="greaterThan">
      <formula>V27</formula>
    </cfRule>
    <cfRule type="cellIs" dxfId="3552" priority="102" operator="equal">
      <formula>0</formula>
    </cfRule>
  </conditionalFormatting>
  <conditionalFormatting sqref="V28">
    <cfRule type="cellIs" dxfId="3551" priority="99" operator="greaterThan">
      <formula>V27</formula>
    </cfRule>
    <cfRule type="cellIs" dxfId="3550" priority="100" operator="equal">
      <formula>0</formula>
    </cfRule>
  </conditionalFormatting>
  <conditionalFormatting sqref="V28">
    <cfRule type="cellIs" dxfId="3549" priority="97" operator="greaterThan">
      <formula>V27</formula>
    </cfRule>
    <cfRule type="cellIs" dxfId="3548" priority="98" operator="equal">
      <formula>0</formula>
    </cfRule>
  </conditionalFormatting>
  <conditionalFormatting sqref="V28">
    <cfRule type="cellIs" dxfId="3547" priority="95" operator="greaterThan">
      <formula>V27</formula>
    </cfRule>
    <cfRule type="cellIs" dxfId="3546" priority="96" operator="equal">
      <formula>0</formula>
    </cfRule>
  </conditionalFormatting>
  <conditionalFormatting sqref="V28">
    <cfRule type="cellIs" dxfId="3545" priority="93" operator="greaterThan">
      <formula>V27</formula>
    </cfRule>
    <cfRule type="cellIs" dxfId="3544" priority="94" operator="equal">
      <formula>0</formula>
    </cfRule>
  </conditionalFormatting>
  <conditionalFormatting sqref="V28">
    <cfRule type="cellIs" dxfId="3543" priority="91" operator="greaterThan">
      <formula>V27</formula>
    </cfRule>
    <cfRule type="cellIs" dxfId="3542" priority="92" operator="equal">
      <formula>0</formula>
    </cfRule>
  </conditionalFormatting>
  <conditionalFormatting sqref="V28">
    <cfRule type="cellIs" dxfId="3541" priority="89" operator="greaterThan">
      <formula>V27</formula>
    </cfRule>
    <cfRule type="cellIs" dxfId="3540" priority="90" operator="equal">
      <formula>0</formula>
    </cfRule>
  </conditionalFormatting>
  <conditionalFormatting sqref="V28">
    <cfRule type="cellIs" dxfId="3539" priority="87" operator="greaterThan">
      <formula>V27</formula>
    </cfRule>
    <cfRule type="cellIs" dxfId="3538" priority="88" operator="equal">
      <formula>0</formula>
    </cfRule>
  </conditionalFormatting>
  <conditionalFormatting sqref="V28">
    <cfRule type="cellIs" dxfId="3537" priority="85" operator="greaterThan">
      <formula>V27</formula>
    </cfRule>
    <cfRule type="cellIs" dxfId="3536" priority="86" operator="equal">
      <formula>0</formula>
    </cfRule>
  </conditionalFormatting>
  <conditionalFormatting sqref="V28">
    <cfRule type="cellIs" dxfId="3535" priority="83" operator="greaterThan">
      <formula>V27</formula>
    </cfRule>
    <cfRule type="cellIs" dxfId="3534" priority="84" operator="equal">
      <formula>0</formula>
    </cfRule>
  </conditionalFormatting>
  <conditionalFormatting sqref="V28">
    <cfRule type="cellIs" dxfId="3533" priority="81" operator="greaterThan">
      <formula>V27</formula>
    </cfRule>
    <cfRule type="cellIs" dxfId="3532" priority="82" operator="equal">
      <formula>0</formula>
    </cfRule>
  </conditionalFormatting>
  <conditionalFormatting sqref="V28">
    <cfRule type="cellIs" dxfId="3531" priority="79" operator="greaterThan">
      <formula>V27</formula>
    </cfRule>
    <cfRule type="cellIs" dxfId="3530" priority="80" operator="equal">
      <formula>0</formula>
    </cfRule>
  </conditionalFormatting>
  <conditionalFormatting sqref="V28">
    <cfRule type="cellIs" dxfId="3529" priority="77" operator="greaterThan">
      <formula>V27</formula>
    </cfRule>
    <cfRule type="cellIs" dxfId="3528" priority="78" operator="equal">
      <formula>0</formula>
    </cfRule>
  </conditionalFormatting>
  <conditionalFormatting sqref="V28">
    <cfRule type="cellIs" dxfId="3527" priority="75" operator="greaterThan">
      <formula>V27</formula>
    </cfRule>
    <cfRule type="cellIs" dxfId="3526" priority="76" operator="equal">
      <formula>0</formula>
    </cfRule>
  </conditionalFormatting>
  <conditionalFormatting sqref="V28">
    <cfRule type="cellIs" dxfId="3525" priority="73" operator="greaterThan">
      <formula>V27</formula>
    </cfRule>
    <cfRule type="cellIs" dxfId="3524" priority="74" operator="equal">
      <formula>0</formula>
    </cfRule>
  </conditionalFormatting>
  <conditionalFormatting sqref="V28">
    <cfRule type="cellIs" dxfId="3523" priority="71" operator="greaterThan">
      <formula>V27</formula>
    </cfRule>
    <cfRule type="cellIs" dxfId="3522" priority="72" operator="equal">
      <formula>0</formula>
    </cfRule>
  </conditionalFormatting>
  <conditionalFormatting sqref="V28">
    <cfRule type="cellIs" dxfId="3521" priority="69" operator="greaterThan">
      <formula>V27</formula>
    </cfRule>
    <cfRule type="cellIs" dxfId="3520" priority="70" operator="equal">
      <formula>0</formula>
    </cfRule>
  </conditionalFormatting>
  <conditionalFormatting sqref="V28">
    <cfRule type="cellIs" dxfId="3519" priority="67" operator="greaterThan">
      <formula>V27</formula>
    </cfRule>
    <cfRule type="cellIs" dxfId="3518" priority="68" operator="equal">
      <formula>0</formula>
    </cfRule>
  </conditionalFormatting>
  <conditionalFormatting sqref="V28">
    <cfRule type="cellIs" dxfId="3517" priority="65" operator="greaterThan">
      <formula>V27</formula>
    </cfRule>
    <cfRule type="cellIs" dxfId="3516" priority="66" operator="equal">
      <formula>0</formula>
    </cfRule>
  </conditionalFormatting>
  <conditionalFormatting sqref="V28">
    <cfRule type="cellIs" dxfId="3515" priority="63" operator="greaterThan">
      <formula>V27</formula>
    </cfRule>
    <cfRule type="cellIs" dxfId="3514" priority="64" operator="equal">
      <formula>0</formula>
    </cfRule>
  </conditionalFormatting>
  <conditionalFormatting sqref="V28">
    <cfRule type="cellIs" dxfId="3513" priority="61" operator="greaterThan">
      <formula>V27</formula>
    </cfRule>
    <cfRule type="cellIs" dxfId="3512" priority="62" operator="equal">
      <formula>0</formula>
    </cfRule>
  </conditionalFormatting>
  <conditionalFormatting sqref="V28">
    <cfRule type="cellIs" dxfId="3511" priority="59" operator="greaterThan">
      <formula>V27</formula>
    </cfRule>
    <cfRule type="cellIs" dxfId="3510" priority="60" operator="equal">
      <formula>0</formula>
    </cfRule>
  </conditionalFormatting>
  <conditionalFormatting sqref="V28">
    <cfRule type="cellIs" dxfId="3509" priority="57" operator="greaterThan">
      <formula>V27</formula>
    </cfRule>
    <cfRule type="cellIs" dxfId="3508" priority="58" operator="equal">
      <formula>0</formula>
    </cfRule>
  </conditionalFormatting>
  <conditionalFormatting sqref="V28">
    <cfRule type="cellIs" dxfId="3507" priority="55" operator="greaterThan">
      <formula>V27</formula>
    </cfRule>
    <cfRule type="cellIs" dxfId="3506" priority="56" operator="equal">
      <formula>0</formula>
    </cfRule>
  </conditionalFormatting>
  <conditionalFormatting sqref="V28">
    <cfRule type="cellIs" dxfId="3505" priority="53" operator="greaterThan">
      <formula>V27</formula>
    </cfRule>
    <cfRule type="cellIs" dxfId="3504" priority="54" operator="equal">
      <formula>0</formula>
    </cfRule>
  </conditionalFormatting>
  <conditionalFormatting sqref="V28">
    <cfRule type="cellIs" dxfId="3503" priority="51" operator="greaterThan">
      <formula>V27</formula>
    </cfRule>
    <cfRule type="cellIs" dxfId="3502" priority="52" operator="equal">
      <formula>0</formula>
    </cfRule>
  </conditionalFormatting>
  <conditionalFormatting sqref="V28">
    <cfRule type="cellIs" dxfId="3501" priority="49" operator="greaterThan">
      <formula>V27</formula>
    </cfRule>
    <cfRule type="cellIs" dxfId="3500" priority="50" operator="equal">
      <formula>0</formula>
    </cfRule>
  </conditionalFormatting>
  <conditionalFormatting sqref="V28">
    <cfRule type="cellIs" dxfId="3499" priority="47" operator="greaterThan">
      <formula>V27</formula>
    </cfRule>
    <cfRule type="cellIs" dxfId="3498" priority="48" operator="equal">
      <formula>0</formula>
    </cfRule>
  </conditionalFormatting>
  <conditionalFormatting sqref="V28">
    <cfRule type="cellIs" dxfId="3497" priority="45" operator="greaterThan">
      <formula>V27</formula>
    </cfRule>
    <cfRule type="cellIs" dxfId="3496" priority="46" operator="equal">
      <formula>0</formula>
    </cfRule>
  </conditionalFormatting>
  <conditionalFormatting sqref="V28">
    <cfRule type="cellIs" dxfId="3495" priority="43" operator="greaterThan">
      <formula>V27</formula>
    </cfRule>
    <cfRule type="cellIs" dxfId="3494" priority="44" operator="equal">
      <formula>0</formula>
    </cfRule>
  </conditionalFormatting>
  <conditionalFormatting sqref="V28">
    <cfRule type="cellIs" dxfId="3493" priority="41" operator="greaterThan">
      <formula>V27</formula>
    </cfRule>
    <cfRule type="cellIs" dxfId="3492" priority="42" operator="equal">
      <formula>0</formula>
    </cfRule>
  </conditionalFormatting>
  <conditionalFormatting sqref="V28">
    <cfRule type="cellIs" dxfId="3491" priority="39" operator="greaterThan">
      <formula>V27</formula>
    </cfRule>
    <cfRule type="cellIs" dxfId="3490" priority="40" operator="equal">
      <formula>0</formula>
    </cfRule>
  </conditionalFormatting>
  <conditionalFormatting sqref="V28">
    <cfRule type="cellIs" dxfId="3489" priority="37" operator="greaterThan">
      <formula>V27</formula>
    </cfRule>
    <cfRule type="cellIs" dxfId="3488" priority="38" operator="equal">
      <formula>0</formula>
    </cfRule>
  </conditionalFormatting>
  <conditionalFormatting sqref="V28">
    <cfRule type="cellIs" dxfId="3487" priority="35" operator="greaterThan">
      <formula>V27</formula>
    </cfRule>
    <cfRule type="cellIs" dxfId="3486" priority="36" operator="equal">
      <formula>0</formula>
    </cfRule>
  </conditionalFormatting>
  <conditionalFormatting sqref="V28">
    <cfRule type="cellIs" dxfId="3485" priority="33" operator="greaterThan">
      <formula>V27</formula>
    </cfRule>
    <cfRule type="cellIs" dxfId="3484" priority="34" operator="equal">
      <formula>0</formula>
    </cfRule>
  </conditionalFormatting>
  <conditionalFormatting sqref="V28">
    <cfRule type="cellIs" dxfId="3483" priority="31" operator="greaterThan">
      <formula>V27</formula>
    </cfRule>
    <cfRule type="cellIs" dxfId="3482" priority="32" operator="equal">
      <formula>0</formula>
    </cfRule>
  </conditionalFormatting>
  <conditionalFormatting sqref="V13">
    <cfRule type="cellIs" dxfId="3481" priority="30" operator="equal">
      <formula>0</formula>
    </cfRule>
  </conditionalFormatting>
  <conditionalFormatting sqref="V13">
    <cfRule type="cellIs" dxfId="3480" priority="28" operator="greaterThan">
      <formula>V12</formula>
    </cfRule>
    <cfRule type="cellIs" dxfId="3479" priority="29" operator="equal">
      <formula>0</formula>
    </cfRule>
  </conditionalFormatting>
  <conditionalFormatting sqref="V13">
    <cfRule type="cellIs" dxfId="3478" priority="26" operator="greaterThan">
      <formula>V12</formula>
    </cfRule>
    <cfRule type="cellIs" dxfId="3477" priority="27" operator="equal">
      <formula>0</formula>
    </cfRule>
  </conditionalFormatting>
  <conditionalFormatting sqref="V16">
    <cfRule type="cellIs" dxfId="3476" priority="25" operator="equal">
      <formula>0</formula>
    </cfRule>
  </conditionalFormatting>
  <conditionalFormatting sqref="V16">
    <cfRule type="cellIs" dxfId="3475" priority="23" operator="greaterThan">
      <formula>V15</formula>
    </cfRule>
    <cfRule type="cellIs" dxfId="3474" priority="24" operator="equal">
      <formula>0</formula>
    </cfRule>
  </conditionalFormatting>
  <conditionalFormatting sqref="V16">
    <cfRule type="cellIs" dxfId="3473" priority="21" operator="greaterThan">
      <formula>V15</formula>
    </cfRule>
    <cfRule type="cellIs" dxfId="3472" priority="22" operator="equal">
      <formula>0</formula>
    </cfRule>
  </conditionalFormatting>
  <conditionalFormatting sqref="V19">
    <cfRule type="cellIs" dxfId="3471" priority="20" operator="equal">
      <formula>0</formula>
    </cfRule>
  </conditionalFormatting>
  <conditionalFormatting sqref="V19">
    <cfRule type="cellIs" dxfId="3470" priority="18" operator="greaterThan">
      <formula>V18</formula>
    </cfRule>
    <cfRule type="cellIs" dxfId="3469" priority="19" operator="equal">
      <formula>0</formula>
    </cfRule>
  </conditionalFormatting>
  <conditionalFormatting sqref="V19">
    <cfRule type="cellIs" dxfId="3468" priority="16" operator="greaterThan">
      <formula>V18</formula>
    </cfRule>
    <cfRule type="cellIs" dxfId="3467" priority="17" operator="equal">
      <formula>0</formula>
    </cfRule>
  </conditionalFormatting>
  <conditionalFormatting sqref="V22">
    <cfRule type="cellIs" dxfId="3466" priority="15" operator="equal">
      <formula>0</formula>
    </cfRule>
  </conditionalFormatting>
  <conditionalFormatting sqref="V22">
    <cfRule type="cellIs" dxfId="3465" priority="13" operator="greaterThan">
      <formula>V21</formula>
    </cfRule>
    <cfRule type="cellIs" dxfId="3464" priority="14" operator="equal">
      <formula>0</formula>
    </cfRule>
  </conditionalFormatting>
  <conditionalFormatting sqref="V22">
    <cfRule type="cellIs" dxfId="3463" priority="11" operator="greaterThan">
      <formula>V21</formula>
    </cfRule>
    <cfRule type="cellIs" dxfId="3462" priority="12" operator="equal">
      <formula>0</formula>
    </cfRule>
  </conditionalFormatting>
  <conditionalFormatting sqref="V25">
    <cfRule type="cellIs" dxfId="3461" priority="10" operator="equal">
      <formula>0</formula>
    </cfRule>
  </conditionalFormatting>
  <conditionalFormatting sqref="V25">
    <cfRule type="cellIs" dxfId="3460" priority="8" operator="greaterThan">
      <formula>V24</formula>
    </cfRule>
    <cfRule type="cellIs" dxfId="3459" priority="9" operator="equal">
      <formula>0</formula>
    </cfRule>
  </conditionalFormatting>
  <conditionalFormatting sqref="V25">
    <cfRule type="cellIs" dxfId="3458" priority="6" operator="greaterThan">
      <formula>V24</formula>
    </cfRule>
    <cfRule type="cellIs" dxfId="3457" priority="7" operator="equal">
      <formula>0</formula>
    </cfRule>
  </conditionalFormatting>
  <conditionalFormatting sqref="V28">
    <cfRule type="cellIs" dxfId="3456" priority="5" operator="equal">
      <formula>0</formula>
    </cfRule>
  </conditionalFormatting>
  <conditionalFormatting sqref="V28">
    <cfRule type="cellIs" dxfId="3455" priority="3" operator="greaterThan">
      <formula>V27</formula>
    </cfRule>
    <cfRule type="cellIs" dxfId="3454" priority="4" operator="equal">
      <formula>0</formula>
    </cfRule>
  </conditionalFormatting>
  <conditionalFormatting sqref="V28">
    <cfRule type="cellIs" dxfId="3453" priority="1" operator="greaterThan">
      <formula>V27</formula>
    </cfRule>
    <cfRule type="cellIs" dxfId="3452" priority="2" operator="equal">
      <formula>0</formula>
    </cfRule>
  </conditionalFormatting>
  <dataValidations count="25">
    <dataValidation type="whole" allowBlank="1" showInputMessage="1" showErrorMessage="1" sqref="X51 X44:X48 Y16:Y51 X38:X41 X17 X20 X23 X26 X29 X32 X35">
      <formula1>0</formula1>
      <formula2>5000</formula2>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operator="greaterThanOrEqual" allowBlank="1" showInputMessage="1" showErrorMessage="1" errorTitle="المجموع" error="العدد المناسب" sqref="O49 M42 P33 P30 P12 P15 P18 P21 P27 P24 P36">
      <formula1>0</formula1>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&amp;R&amp;"-,Gras"&amp;8&amp;K00-019Echamil V.08      &amp;F                           &amp;K00-016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FF0000"/>
  </sheetPr>
  <dimension ref="A1:Q73"/>
  <sheetViews>
    <sheetView showGridLines="0" rightToLeft="1" workbookViewId="0">
      <selection activeCell="H66" sqref="H66"/>
    </sheetView>
  </sheetViews>
  <sheetFormatPr baseColWidth="10" defaultColWidth="0" defaultRowHeight="15" customHeight="1" zeroHeight="1"/>
  <cols>
    <col min="1" max="1" width="2.33203125" customWidth="1"/>
    <col min="2" max="3" width="1.6640625" customWidth="1"/>
    <col min="4" max="4" width="9.6640625" customWidth="1"/>
    <col min="5" max="6" width="10.33203125" customWidth="1"/>
    <col min="7" max="7" width="7.6640625" customWidth="1"/>
    <col min="8" max="10" width="5.6640625" customWidth="1"/>
    <col min="11" max="11" width="9.6640625" customWidth="1"/>
    <col min="12" max="13" width="10.33203125" customWidth="1"/>
    <col min="14" max="14" width="9.6640625" customWidth="1"/>
    <col min="15" max="16" width="1.6640625" customWidth="1"/>
    <col min="17" max="17" width="2.33203125" customWidth="1"/>
  </cols>
  <sheetData>
    <row r="1" spans="1:17" ht="12.9" customHeight="1" thickBot="1">
      <c r="A1" s="703"/>
      <c r="B1" s="1019"/>
      <c r="C1" s="1019"/>
      <c r="D1" s="1019"/>
      <c r="E1" s="1019"/>
      <c r="F1" s="1019"/>
      <c r="G1" s="1019"/>
      <c r="H1" s="1019"/>
      <c r="I1" s="1019"/>
      <c r="J1" s="1019"/>
      <c r="K1" s="1019"/>
      <c r="L1" s="1019"/>
      <c r="M1" s="1019"/>
      <c r="N1" s="1019"/>
      <c r="O1" s="1019"/>
      <c r="P1" s="1019"/>
      <c r="Q1" s="703"/>
    </row>
    <row r="2" spans="1:17" ht="9.9" customHeight="1" thickBot="1">
      <c r="A2" s="703"/>
      <c r="B2" s="727"/>
      <c r="C2" s="728"/>
      <c r="D2" s="728"/>
      <c r="E2" s="728"/>
      <c r="F2" s="728"/>
      <c r="G2" s="728"/>
      <c r="H2" s="728"/>
      <c r="I2" s="728"/>
      <c r="J2" s="728"/>
      <c r="K2" s="728"/>
      <c r="L2" s="728"/>
      <c r="M2" s="728"/>
      <c r="N2" s="728"/>
      <c r="O2" s="728"/>
      <c r="P2" s="729"/>
      <c r="Q2" s="705"/>
    </row>
    <row r="3" spans="1:17" ht="12" customHeight="1" thickBot="1">
      <c r="A3" s="703"/>
      <c r="B3" s="719"/>
      <c r="C3" s="711"/>
      <c r="D3" s="712"/>
      <c r="E3" s="712"/>
      <c r="F3" s="712"/>
      <c r="G3" s="712"/>
      <c r="H3" s="712"/>
      <c r="I3" s="712"/>
      <c r="J3" s="712"/>
      <c r="K3" s="713"/>
      <c r="L3" s="712"/>
      <c r="M3" s="712"/>
      <c r="N3" s="712"/>
      <c r="O3" s="714"/>
      <c r="P3" s="730"/>
      <c r="Q3" s="705"/>
    </row>
    <row r="4" spans="1:17" ht="15" customHeight="1">
      <c r="A4" s="703"/>
      <c r="B4" s="731"/>
      <c r="C4" s="715"/>
      <c r="D4" s="3849" t="s">
        <v>7</v>
      </c>
      <c r="E4" s="3850"/>
      <c r="F4" s="3850"/>
      <c r="G4" s="3851"/>
      <c r="H4" s="1"/>
      <c r="I4" s="1"/>
      <c r="J4" s="1"/>
      <c r="K4" s="3828" t="s">
        <v>1341</v>
      </c>
      <c r="L4" s="3829"/>
      <c r="M4" s="3829"/>
      <c r="N4" s="3830"/>
      <c r="O4" s="716"/>
      <c r="P4" s="730"/>
      <c r="Q4" s="705"/>
    </row>
    <row r="5" spans="1:17" ht="15" customHeight="1">
      <c r="A5" s="703"/>
      <c r="B5" s="732"/>
      <c r="C5" s="715"/>
      <c r="D5" s="3852"/>
      <c r="E5" s="3853"/>
      <c r="F5" s="3853"/>
      <c r="G5" s="3854"/>
      <c r="H5" s="1"/>
      <c r="I5" s="1"/>
      <c r="J5" s="1"/>
      <c r="K5" s="3831"/>
      <c r="L5" s="3832"/>
      <c r="M5" s="3832"/>
      <c r="N5" s="3833"/>
      <c r="O5" s="716"/>
      <c r="P5" s="730"/>
      <c r="Q5" s="706"/>
    </row>
    <row r="6" spans="1:17" ht="15" customHeight="1">
      <c r="A6" s="703"/>
      <c r="B6" s="732"/>
      <c r="C6" s="715"/>
      <c r="D6" s="3843" t="s">
        <v>5</v>
      </c>
      <c r="E6" s="3844"/>
      <c r="F6" s="3844"/>
      <c r="G6" s="3845"/>
      <c r="H6" s="1"/>
      <c r="I6" s="1"/>
      <c r="J6" s="1"/>
      <c r="K6" s="3831"/>
      <c r="L6" s="3832"/>
      <c r="M6" s="3832"/>
      <c r="N6" s="3833"/>
      <c r="O6" s="716"/>
      <c r="P6" s="730"/>
      <c r="Q6" s="706"/>
    </row>
    <row r="7" spans="1:17" ht="15" customHeight="1">
      <c r="A7" s="703"/>
      <c r="B7" s="732"/>
      <c r="C7" s="715"/>
      <c r="D7" s="3843" t="s">
        <v>1468</v>
      </c>
      <c r="E7" s="3844"/>
      <c r="F7" s="3844"/>
      <c r="G7" s="3845"/>
      <c r="H7" s="1"/>
      <c r="I7" s="1"/>
      <c r="J7" s="1"/>
      <c r="K7" s="3831"/>
      <c r="L7" s="3832"/>
      <c r="M7" s="3832"/>
      <c r="N7" s="3833"/>
      <c r="O7" s="717"/>
      <c r="P7" s="717"/>
      <c r="Q7" s="703"/>
    </row>
    <row r="8" spans="1:17" ht="15" customHeight="1" thickBot="1">
      <c r="A8" s="703"/>
      <c r="B8" s="732"/>
      <c r="C8" s="718"/>
      <c r="D8" s="3846"/>
      <c r="E8" s="3847"/>
      <c r="F8" s="3847"/>
      <c r="G8" s="3848"/>
      <c r="H8" s="9"/>
      <c r="I8" s="9"/>
      <c r="J8" s="9"/>
      <c r="K8" s="3834"/>
      <c r="L8" s="3835"/>
      <c r="M8" s="3835"/>
      <c r="N8" s="3836"/>
      <c r="O8" s="717"/>
      <c r="P8" s="717"/>
      <c r="Q8" s="703"/>
    </row>
    <row r="9" spans="1:17" ht="12.9" customHeight="1">
      <c r="A9" s="703"/>
      <c r="B9" s="732"/>
      <c r="C9" s="719"/>
      <c r="D9" s="7"/>
      <c r="E9" s="7"/>
      <c r="F9" s="7"/>
      <c r="G9" s="7"/>
      <c r="H9" s="7"/>
      <c r="I9" s="7"/>
      <c r="J9" s="7"/>
      <c r="K9" s="8"/>
      <c r="L9" s="8"/>
      <c r="M9" s="8"/>
      <c r="N9" s="8"/>
      <c r="O9" s="717"/>
      <c r="P9" s="717"/>
      <c r="Q9" s="703"/>
    </row>
    <row r="10" spans="1:17" ht="12.9" customHeight="1">
      <c r="A10" s="703"/>
      <c r="B10" s="732"/>
      <c r="C10" s="719"/>
      <c r="D10" s="7"/>
      <c r="E10" s="7"/>
      <c r="F10" s="7"/>
      <c r="G10" s="7"/>
      <c r="H10" s="7"/>
      <c r="I10" s="7"/>
      <c r="J10" s="7"/>
      <c r="K10" s="8"/>
      <c r="L10" s="8"/>
      <c r="M10" s="8"/>
      <c r="N10" s="8"/>
      <c r="O10" s="717"/>
      <c r="P10" s="717"/>
      <c r="Q10" s="703"/>
    </row>
    <row r="11" spans="1:17" ht="12.9" customHeight="1">
      <c r="A11" s="703"/>
      <c r="B11" s="732"/>
      <c r="C11" s="719"/>
      <c r="D11" s="7"/>
      <c r="E11" s="7"/>
      <c r="F11" s="7"/>
      <c r="G11" s="7"/>
      <c r="H11" s="7"/>
      <c r="I11" s="7"/>
      <c r="J11" s="7"/>
      <c r="K11" s="8"/>
      <c r="L11" s="8"/>
      <c r="M11" s="8"/>
      <c r="N11" s="8"/>
      <c r="O11" s="717"/>
      <c r="P11" s="717"/>
      <c r="Q11" s="703"/>
    </row>
    <row r="12" spans="1:17" ht="12.9" customHeight="1" thickBot="1">
      <c r="A12" s="703"/>
      <c r="B12" s="732"/>
      <c r="C12" s="719"/>
      <c r="D12" s="7"/>
      <c r="E12" s="7"/>
      <c r="F12" s="7"/>
      <c r="G12" s="7"/>
      <c r="H12" s="7"/>
      <c r="I12" s="7"/>
      <c r="J12" s="7"/>
      <c r="K12" s="8"/>
      <c r="L12" s="8"/>
      <c r="M12" s="8"/>
      <c r="N12" s="8"/>
      <c r="O12" s="717"/>
      <c r="P12" s="717"/>
      <c r="Q12" s="703"/>
    </row>
    <row r="13" spans="1:17" ht="15" customHeight="1">
      <c r="A13" s="703"/>
      <c r="B13" s="732"/>
      <c r="C13" s="720"/>
      <c r="D13" s="7"/>
      <c r="E13" s="7"/>
      <c r="F13" s="7"/>
      <c r="G13" s="3837" t="s">
        <v>654</v>
      </c>
      <c r="H13" s="3838"/>
      <c r="I13" s="3838"/>
      <c r="J13" s="3838"/>
      <c r="K13" s="3839"/>
      <c r="L13" s="8"/>
      <c r="M13" s="8"/>
      <c r="N13" s="8"/>
      <c r="O13" s="717"/>
      <c r="P13" s="717"/>
      <c r="Q13" s="703"/>
    </row>
    <row r="14" spans="1:17" ht="15" customHeight="1" thickBot="1">
      <c r="A14" s="703"/>
      <c r="B14" s="732"/>
      <c r="C14" s="719"/>
      <c r="D14" s="7"/>
      <c r="E14" s="7"/>
      <c r="F14" s="7"/>
      <c r="G14" s="3840"/>
      <c r="H14" s="3841"/>
      <c r="I14" s="3841"/>
      <c r="J14" s="3841"/>
      <c r="K14" s="3842"/>
      <c r="L14" s="8"/>
      <c r="M14" s="8"/>
      <c r="N14" s="8"/>
      <c r="O14" s="717"/>
      <c r="P14" s="717"/>
      <c r="Q14" s="706"/>
    </row>
    <row r="15" spans="1:17" ht="15" customHeight="1">
      <c r="A15" s="703"/>
      <c r="B15" s="732"/>
      <c r="C15" s="719"/>
      <c r="D15" s="7"/>
      <c r="E15" s="7"/>
      <c r="F15" s="7"/>
      <c r="G15" s="3820" t="s">
        <v>655</v>
      </c>
      <c r="H15" s="3820"/>
      <c r="I15" s="3820"/>
      <c r="J15" s="3820"/>
      <c r="K15" s="3820"/>
      <c r="L15" s="8"/>
      <c r="M15" s="8"/>
      <c r="N15" s="8"/>
      <c r="O15" s="717"/>
      <c r="P15" s="717"/>
      <c r="Q15" s="703"/>
    </row>
    <row r="16" spans="1:17" ht="12.9" customHeight="1" thickBot="1">
      <c r="A16" s="703"/>
      <c r="B16" s="732"/>
      <c r="C16" s="719"/>
      <c r="D16" s="8"/>
      <c r="E16" s="8"/>
      <c r="F16" s="8"/>
      <c r="G16" s="8"/>
      <c r="H16" s="8"/>
      <c r="I16" s="8"/>
      <c r="J16" s="8"/>
      <c r="K16" s="8"/>
      <c r="L16" s="8"/>
      <c r="M16" s="8"/>
      <c r="N16" s="8"/>
      <c r="O16" s="717"/>
      <c r="P16" s="717"/>
      <c r="Q16" s="703"/>
    </row>
    <row r="17" spans="1:17" ht="15" customHeight="1" thickBot="1">
      <c r="A17" s="703"/>
      <c r="B17" s="732"/>
      <c r="C17" s="719"/>
      <c r="D17" s="8"/>
      <c r="E17" s="8"/>
      <c r="F17" s="8"/>
      <c r="G17" s="8"/>
      <c r="H17" s="737"/>
      <c r="I17" s="738" t="s">
        <v>692</v>
      </c>
      <c r="J17" s="739"/>
      <c r="K17" s="8"/>
      <c r="L17" s="8"/>
      <c r="M17" s="8"/>
      <c r="N17" s="8"/>
      <c r="O17" s="717"/>
      <c r="P17" s="717"/>
      <c r="Q17" s="703"/>
    </row>
    <row r="18" spans="1:17" ht="15" customHeight="1">
      <c r="A18" s="703"/>
      <c r="B18" s="732"/>
      <c r="C18" s="719"/>
      <c r="D18" s="8"/>
      <c r="O18" s="717"/>
      <c r="P18" s="717"/>
      <c r="Q18" s="703"/>
    </row>
    <row r="19" spans="1:17" ht="12.9" customHeight="1">
      <c r="A19" s="703"/>
      <c r="B19" s="732"/>
      <c r="C19" s="719"/>
      <c r="D19" s="8"/>
      <c r="E19" s="3861" t="s">
        <v>1437</v>
      </c>
      <c r="F19" s="3861"/>
      <c r="G19" s="3861"/>
      <c r="H19" s="3861"/>
      <c r="I19" s="3861"/>
      <c r="J19" s="3861"/>
      <c r="K19" s="3861"/>
      <c r="L19" s="3861"/>
      <c r="M19" s="3861"/>
      <c r="N19" s="3861"/>
      <c r="O19" s="717"/>
      <c r="P19" s="717"/>
      <c r="Q19" s="703"/>
    </row>
    <row r="20" spans="1:17" ht="12.9" customHeight="1">
      <c r="A20" s="703"/>
      <c r="B20" s="732"/>
      <c r="C20" s="719"/>
      <c r="D20" s="8"/>
      <c r="E20" s="3861"/>
      <c r="F20" s="3861"/>
      <c r="G20" s="3861"/>
      <c r="H20" s="3861"/>
      <c r="I20" s="3861"/>
      <c r="J20" s="3861"/>
      <c r="K20" s="3861"/>
      <c r="L20" s="3861"/>
      <c r="M20" s="3861"/>
      <c r="N20" s="3861"/>
      <c r="O20" s="717"/>
      <c r="P20" s="717"/>
      <c r="Q20" s="703"/>
    </row>
    <row r="21" spans="1:17" ht="12.9" customHeight="1">
      <c r="A21" s="703"/>
      <c r="B21" s="732"/>
      <c r="C21" s="719"/>
      <c r="D21" s="8"/>
      <c r="E21" s="3861"/>
      <c r="F21" s="3861"/>
      <c r="G21" s="3861"/>
      <c r="H21" s="3861"/>
      <c r="I21" s="3861"/>
      <c r="J21" s="3861"/>
      <c r="K21" s="3861"/>
      <c r="L21" s="3861"/>
      <c r="M21" s="3861"/>
      <c r="N21" s="3861"/>
      <c r="O21" s="717"/>
      <c r="P21" s="717"/>
      <c r="Q21" s="703"/>
    </row>
    <row r="22" spans="1:17" ht="12.9" customHeight="1">
      <c r="A22" s="703"/>
      <c r="B22" s="732"/>
      <c r="C22" s="719"/>
      <c r="D22" s="8"/>
      <c r="E22" s="3861"/>
      <c r="F22" s="3861"/>
      <c r="G22" s="3861"/>
      <c r="H22" s="3861"/>
      <c r="I22" s="3861"/>
      <c r="J22" s="3861"/>
      <c r="K22" s="3861"/>
      <c r="L22" s="3861"/>
      <c r="M22" s="3861"/>
      <c r="N22" s="3861"/>
      <c r="O22" s="717"/>
      <c r="P22" s="717"/>
      <c r="Q22" s="703"/>
    </row>
    <row r="23" spans="1:17" ht="12.9" customHeight="1">
      <c r="A23" s="703"/>
      <c r="B23" s="732"/>
      <c r="C23" s="719"/>
      <c r="D23" s="8"/>
      <c r="E23" s="8"/>
      <c r="F23" s="8"/>
      <c r="G23" s="8"/>
      <c r="H23" s="7"/>
      <c r="I23" s="7"/>
      <c r="J23" s="13"/>
      <c r="K23" s="8"/>
      <c r="L23" s="8"/>
      <c r="M23" s="8"/>
      <c r="N23" s="8"/>
      <c r="O23" s="717"/>
      <c r="P23" s="717"/>
      <c r="Q23" s="703"/>
    </row>
    <row r="24" spans="1:17" ht="12.9" customHeight="1">
      <c r="A24" s="703"/>
      <c r="B24" s="732"/>
      <c r="C24" s="719"/>
      <c r="D24" s="8"/>
      <c r="E24" s="8"/>
      <c r="F24" s="8"/>
      <c r="G24" s="8"/>
      <c r="H24" s="7"/>
      <c r="I24" s="7"/>
      <c r="J24" s="13"/>
      <c r="K24" s="8"/>
      <c r="L24" s="8"/>
      <c r="M24" s="8"/>
      <c r="N24" s="8"/>
      <c r="O24" s="717"/>
      <c r="P24" s="733"/>
      <c r="Q24" s="707"/>
    </row>
    <row r="25" spans="1:17" ht="12.9" customHeight="1">
      <c r="A25" s="703"/>
      <c r="B25" s="732"/>
      <c r="C25" s="719"/>
      <c r="D25" s="8"/>
      <c r="E25" s="8"/>
      <c r="F25" s="8"/>
      <c r="G25" s="8"/>
      <c r="H25" s="7"/>
      <c r="I25" s="7"/>
      <c r="J25" s="13"/>
      <c r="K25" s="8"/>
      <c r="L25" s="8"/>
      <c r="M25" s="8"/>
      <c r="N25" s="8"/>
      <c r="O25" s="717"/>
      <c r="P25" s="733"/>
      <c r="Q25" s="708"/>
    </row>
    <row r="26" spans="1:17" ht="12.9" customHeight="1">
      <c r="A26" s="703"/>
      <c r="B26" s="732"/>
      <c r="C26" s="719"/>
      <c r="D26" s="8"/>
      <c r="E26" s="8"/>
      <c r="F26" s="8"/>
      <c r="G26" s="8"/>
      <c r="H26" s="7"/>
      <c r="I26" s="7"/>
      <c r="J26" s="13"/>
      <c r="K26" s="8"/>
      <c r="L26" s="8"/>
      <c r="M26" s="8"/>
      <c r="N26" s="8"/>
      <c r="O26" s="717"/>
      <c r="P26" s="733"/>
      <c r="Q26" s="707"/>
    </row>
    <row r="27" spans="1:17" ht="12.9" customHeight="1">
      <c r="A27" s="703"/>
      <c r="B27" s="732"/>
      <c r="C27" s="719"/>
      <c r="D27" s="8"/>
      <c r="E27" s="8"/>
      <c r="F27" s="8"/>
      <c r="G27" s="8"/>
      <c r="H27" s="7"/>
      <c r="I27" s="7"/>
      <c r="J27" s="13"/>
      <c r="K27" s="8"/>
      <c r="L27" s="8"/>
      <c r="M27" s="8"/>
      <c r="N27" s="8"/>
      <c r="O27" s="717"/>
      <c r="P27" s="733"/>
      <c r="Q27" s="707"/>
    </row>
    <row r="28" spans="1:17" ht="12.9" customHeight="1">
      <c r="A28" s="703"/>
      <c r="B28" s="732"/>
      <c r="C28" s="719"/>
      <c r="D28" s="8"/>
      <c r="E28" s="8"/>
      <c r="F28" s="8"/>
      <c r="G28" s="8"/>
      <c r="H28" s="7"/>
      <c r="I28" s="7"/>
      <c r="J28" s="13"/>
      <c r="K28" s="8"/>
      <c r="L28" s="8"/>
      <c r="M28" s="8"/>
      <c r="N28" s="8"/>
      <c r="O28" s="717"/>
      <c r="P28" s="733"/>
      <c r="Q28" s="707"/>
    </row>
    <row r="29" spans="1:17" ht="12.9" customHeight="1">
      <c r="A29" s="703"/>
      <c r="B29" s="732"/>
      <c r="C29" s="719"/>
      <c r="D29" s="8"/>
      <c r="E29" s="8"/>
      <c r="F29" s="8"/>
      <c r="G29" s="8"/>
      <c r="H29" s="7"/>
      <c r="I29" s="7"/>
      <c r="J29" s="13"/>
      <c r="K29" s="8"/>
      <c r="L29" s="8"/>
      <c r="M29" s="8"/>
      <c r="N29" s="8"/>
      <c r="O29" s="717"/>
      <c r="P29" s="733"/>
      <c r="Q29" s="708"/>
    </row>
    <row r="30" spans="1:17" ht="12.9" customHeight="1">
      <c r="A30" s="703"/>
      <c r="B30" s="732"/>
      <c r="C30" s="719"/>
      <c r="D30" s="8"/>
      <c r="E30" s="8"/>
      <c r="F30" s="8"/>
      <c r="G30" s="8"/>
      <c r="H30" s="7"/>
      <c r="I30" s="7"/>
      <c r="J30" s="13"/>
      <c r="K30" s="8"/>
      <c r="L30" s="8"/>
      <c r="M30" s="8"/>
      <c r="N30" s="8"/>
      <c r="O30" s="717"/>
      <c r="P30" s="733"/>
      <c r="Q30" s="708"/>
    </row>
    <row r="31" spans="1:17" ht="12.9" customHeight="1">
      <c r="A31" s="703"/>
      <c r="B31" s="732"/>
      <c r="C31" s="719"/>
      <c r="D31" s="8"/>
      <c r="E31" s="8"/>
      <c r="F31" s="8"/>
      <c r="G31" s="8"/>
      <c r="H31" s="7"/>
      <c r="I31" s="7"/>
      <c r="J31" s="13"/>
      <c r="K31" s="8"/>
      <c r="L31" s="8"/>
      <c r="M31" s="8"/>
      <c r="N31" s="8"/>
      <c r="O31" s="717"/>
      <c r="P31" s="733"/>
      <c r="Q31" s="708"/>
    </row>
    <row r="32" spans="1:17" ht="12.9" customHeight="1">
      <c r="A32" s="703"/>
      <c r="B32" s="732"/>
      <c r="C32" s="719"/>
      <c r="D32" s="8"/>
      <c r="E32" s="8"/>
      <c r="F32" s="8"/>
      <c r="G32" s="8"/>
      <c r="H32" s="7"/>
      <c r="I32" s="7"/>
      <c r="J32" s="13"/>
      <c r="K32" s="8"/>
      <c r="L32" s="8"/>
      <c r="M32" s="8"/>
      <c r="N32" s="8"/>
      <c r="O32" s="717"/>
      <c r="P32" s="733"/>
      <c r="Q32" s="708"/>
    </row>
    <row r="33" spans="1:17" ht="12.9" customHeight="1">
      <c r="A33" s="703"/>
      <c r="B33" s="732"/>
      <c r="C33" s="719"/>
      <c r="D33" s="8"/>
      <c r="E33" s="8"/>
      <c r="F33" s="8"/>
      <c r="G33" s="8"/>
      <c r="H33" s="7"/>
      <c r="I33" s="7"/>
      <c r="J33" s="13"/>
      <c r="K33" s="8"/>
      <c r="L33" s="8"/>
      <c r="M33" s="8"/>
      <c r="N33" s="8"/>
      <c r="O33" s="717"/>
      <c r="P33" s="733"/>
      <c r="Q33" s="708"/>
    </row>
    <row r="34" spans="1:17" ht="12.9" customHeight="1">
      <c r="A34" s="703"/>
      <c r="B34" s="732"/>
      <c r="C34" s="719"/>
      <c r="D34" s="8"/>
      <c r="E34" s="8"/>
      <c r="F34" s="8"/>
      <c r="G34" s="8"/>
      <c r="H34" s="7"/>
      <c r="I34" s="7"/>
      <c r="J34" s="13"/>
      <c r="K34" s="8"/>
      <c r="L34" s="8"/>
      <c r="M34" s="8"/>
      <c r="N34" s="8"/>
      <c r="O34" s="717"/>
      <c r="P34" s="733"/>
      <c r="Q34" s="708"/>
    </row>
    <row r="35" spans="1:17" ht="12.9" customHeight="1">
      <c r="A35" s="703"/>
      <c r="B35" s="732"/>
      <c r="C35" s="719"/>
      <c r="D35" s="8"/>
      <c r="E35" s="8"/>
      <c r="F35" s="8"/>
      <c r="G35" s="8"/>
      <c r="H35" s="7"/>
      <c r="I35" s="7"/>
      <c r="J35" s="13"/>
      <c r="K35" s="8"/>
      <c r="L35" s="8"/>
      <c r="M35" s="8"/>
      <c r="N35" s="8"/>
      <c r="O35" s="717"/>
      <c r="P35" s="733"/>
      <c r="Q35" s="708"/>
    </row>
    <row r="36" spans="1:17" ht="12.9" customHeight="1">
      <c r="A36" s="703"/>
      <c r="B36" s="732"/>
      <c r="C36" s="719"/>
      <c r="D36" s="8"/>
      <c r="E36" s="8"/>
      <c r="F36" s="8"/>
      <c r="G36" s="8"/>
      <c r="H36" s="7"/>
      <c r="I36" s="7"/>
      <c r="J36" s="13"/>
      <c r="K36" s="8"/>
      <c r="L36" s="8"/>
      <c r="M36" s="8"/>
      <c r="N36" s="8"/>
      <c r="O36" s="717"/>
      <c r="P36" s="733"/>
      <c r="Q36" s="708"/>
    </row>
    <row r="37" spans="1:17" ht="12.9" customHeight="1">
      <c r="A37" s="703"/>
      <c r="B37" s="732"/>
      <c r="C37" s="719"/>
      <c r="D37" s="8"/>
      <c r="E37" s="8"/>
      <c r="F37" s="8"/>
      <c r="G37" s="8"/>
      <c r="H37" s="7"/>
      <c r="I37" s="7"/>
      <c r="J37" s="13"/>
      <c r="K37" s="8"/>
      <c r="L37" s="8"/>
      <c r="M37" s="8"/>
      <c r="N37" s="8"/>
      <c r="O37" s="717"/>
      <c r="P37" s="733"/>
      <c r="Q37" s="708"/>
    </row>
    <row r="38" spans="1:17" ht="12.9" customHeight="1">
      <c r="A38" s="703"/>
      <c r="B38" s="732"/>
      <c r="C38" s="719"/>
      <c r="D38" s="8"/>
      <c r="E38" s="8"/>
      <c r="F38" s="8"/>
      <c r="G38" s="8"/>
      <c r="H38" s="7"/>
      <c r="I38" s="7"/>
      <c r="J38" s="13"/>
      <c r="K38" s="8"/>
      <c r="L38" s="8"/>
      <c r="M38" s="8"/>
      <c r="N38" s="8"/>
      <c r="O38" s="717"/>
      <c r="P38" s="734"/>
      <c r="Q38" s="708"/>
    </row>
    <row r="39" spans="1:17" ht="12.9" customHeight="1">
      <c r="A39" s="703"/>
      <c r="B39" s="732"/>
      <c r="C39" s="719"/>
      <c r="D39" s="8"/>
      <c r="E39" s="8"/>
      <c r="F39" s="8"/>
      <c r="G39" s="8"/>
      <c r="H39" s="7"/>
      <c r="I39" s="7"/>
      <c r="J39" s="13"/>
      <c r="K39" s="8"/>
      <c r="L39" s="8"/>
      <c r="M39" s="8"/>
      <c r="N39" s="8"/>
      <c r="O39" s="717"/>
      <c r="P39" s="733"/>
      <c r="Q39" s="708"/>
    </row>
    <row r="40" spans="1:17" ht="12.9" customHeight="1">
      <c r="A40" s="703"/>
      <c r="B40" s="732"/>
      <c r="C40" s="719"/>
      <c r="D40" s="8"/>
      <c r="E40" s="8"/>
      <c r="F40" s="8"/>
      <c r="G40" s="8"/>
      <c r="H40" s="7"/>
      <c r="I40" s="7"/>
      <c r="J40" s="13"/>
      <c r="K40" s="8"/>
      <c r="L40" s="8"/>
      <c r="M40" s="8"/>
      <c r="N40" s="8"/>
      <c r="O40" s="717"/>
      <c r="P40" s="734"/>
      <c r="Q40" s="708"/>
    </row>
    <row r="41" spans="1:17" ht="12.9" customHeight="1">
      <c r="A41" s="703"/>
      <c r="B41" s="732"/>
      <c r="C41" s="719"/>
      <c r="D41" s="8"/>
      <c r="E41" s="8"/>
      <c r="F41" s="8"/>
      <c r="G41" s="8"/>
      <c r="H41" s="7"/>
      <c r="I41" s="7"/>
      <c r="J41" s="13"/>
      <c r="K41" s="8"/>
      <c r="L41" s="8"/>
      <c r="M41" s="8"/>
      <c r="N41" s="8"/>
      <c r="O41" s="717"/>
      <c r="P41" s="733"/>
      <c r="Q41" s="708"/>
    </row>
    <row r="42" spans="1:17" ht="12.9" customHeight="1">
      <c r="A42" s="703"/>
      <c r="B42" s="732"/>
      <c r="C42" s="719"/>
      <c r="D42" s="8"/>
      <c r="E42" s="8"/>
      <c r="F42" s="8"/>
      <c r="G42" s="8"/>
      <c r="H42" s="7"/>
      <c r="I42" s="7"/>
      <c r="J42" s="13"/>
      <c r="K42" s="8"/>
      <c r="L42" s="8"/>
      <c r="M42" s="8"/>
      <c r="N42" s="8"/>
      <c r="O42" s="717"/>
      <c r="P42" s="723"/>
      <c r="Q42" s="708"/>
    </row>
    <row r="43" spans="1:17" ht="12.9" customHeight="1">
      <c r="A43" s="703"/>
      <c r="B43" s="732"/>
      <c r="C43" s="719"/>
      <c r="D43" s="8"/>
      <c r="E43" s="8"/>
      <c r="F43" s="8"/>
      <c r="G43" s="8"/>
      <c r="H43" s="7"/>
      <c r="I43" s="7"/>
      <c r="J43" s="13"/>
      <c r="K43" s="8"/>
      <c r="L43" s="8"/>
      <c r="M43" s="8"/>
      <c r="N43" s="8"/>
      <c r="O43" s="717"/>
      <c r="P43" s="723"/>
      <c r="Q43" s="708"/>
    </row>
    <row r="44" spans="1:17" ht="12.9" customHeight="1">
      <c r="A44" s="703"/>
      <c r="B44" s="732"/>
      <c r="C44" s="719"/>
      <c r="D44" s="8"/>
      <c r="E44" s="8"/>
      <c r="F44" s="8"/>
      <c r="G44" s="8"/>
      <c r="H44" s="7"/>
      <c r="I44" s="7"/>
      <c r="J44" s="13"/>
      <c r="K44" s="8"/>
      <c r="L44" s="8"/>
      <c r="M44" s="8"/>
      <c r="N44" s="8"/>
      <c r="O44" s="717"/>
      <c r="P44" s="723"/>
      <c r="Q44" s="708"/>
    </row>
    <row r="45" spans="1:17" ht="12.9" customHeight="1">
      <c r="A45" s="703"/>
      <c r="B45" s="732"/>
      <c r="C45" s="719"/>
      <c r="D45" s="8"/>
      <c r="E45" s="8"/>
      <c r="F45" s="8"/>
      <c r="G45" s="8"/>
      <c r="H45" s="7"/>
      <c r="I45" s="7"/>
      <c r="J45" s="13"/>
      <c r="K45" s="8"/>
      <c r="L45" s="8"/>
      <c r="M45" s="8"/>
      <c r="N45" s="8"/>
      <c r="O45" s="717"/>
      <c r="P45" s="723"/>
      <c r="Q45" s="708"/>
    </row>
    <row r="46" spans="1:17" ht="12.9" customHeight="1">
      <c r="A46" s="703"/>
      <c r="B46" s="732"/>
      <c r="C46" s="719"/>
      <c r="D46" s="8"/>
      <c r="E46" s="8"/>
      <c r="F46" s="8"/>
      <c r="G46" s="8"/>
      <c r="H46" s="7"/>
      <c r="I46" s="7"/>
      <c r="J46" s="13"/>
      <c r="K46" s="8"/>
      <c r="L46" s="8"/>
      <c r="M46" s="8"/>
      <c r="N46" s="8"/>
      <c r="O46" s="717"/>
      <c r="P46" s="723"/>
      <c r="Q46" s="708"/>
    </row>
    <row r="47" spans="1:17" ht="12.9" customHeight="1">
      <c r="A47" s="703"/>
      <c r="B47" s="732"/>
      <c r="C47" s="719"/>
      <c r="D47" s="8"/>
      <c r="E47" s="8"/>
      <c r="F47" s="8"/>
      <c r="G47" s="8"/>
      <c r="H47" s="7"/>
      <c r="I47" s="7"/>
      <c r="J47" s="13"/>
      <c r="K47" s="8"/>
      <c r="L47" s="8"/>
      <c r="M47" s="8"/>
      <c r="N47" s="8"/>
      <c r="O47" s="717"/>
      <c r="P47" s="723"/>
      <c r="Q47" s="708"/>
    </row>
    <row r="48" spans="1:17" ht="12.9" customHeight="1">
      <c r="A48" s="703"/>
      <c r="B48" s="732"/>
      <c r="C48" s="719"/>
      <c r="D48" s="8"/>
      <c r="E48" s="8"/>
      <c r="F48" s="8"/>
      <c r="G48" s="8"/>
      <c r="H48" s="7"/>
      <c r="I48" s="7"/>
      <c r="J48" s="13"/>
      <c r="K48" s="8"/>
      <c r="L48" s="8"/>
      <c r="M48" s="8"/>
      <c r="N48" s="8"/>
      <c r="O48" s="717"/>
      <c r="P48" s="723"/>
      <c r="Q48" s="708"/>
    </row>
    <row r="49" spans="1:17" ht="12.9" customHeight="1">
      <c r="A49" s="703"/>
      <c r="B49" s="732"/>
      <c r="C49" s="719"/>
      <c r="D49" s="8"/>
      <c r="E49" s="8"/>
      <c r="F49" s="8"/>
      <c r="G49" s="8"/>
      <c r="H49" s="7"/>
      <c r="I49" s="7"/>
      <c r="J49" s="13"/>
      <c r="K49" s="8"/>
      <c r="L49" s="8"/>
      <c r="M49" s="8"/>
      <c r="N49" s="8"/>
      <c r="O49" s="717"/>
      <c r="P49" s="723"/>
      <c r="Q49" s="708"/>
    </row>
    <row r="50" spans="1:17" ht="12.9" customHeight="1">
      <c r="A50" s="703"/>
      <c r="B50" s="732"/>
      <c r="C50" s="719"/>
      <c r="D50" s="8"/>
      <c r="E50" s="8"/>
      <c r="F50" s="8"/>
      <c r="G50" s="8"/>
      <c r="H50" s="7"/>
      <c r="I50" s="7"/>
      <c r="J50" s="13"/>
      <c r="K50" s="8"/>
      <c r="L50" s="8"/>
      <c r="M50" s="8"/>
      <c r="N50" s="8"/>
      <c r="O50" s="717"/>
      <c r="P50" s="723"/>
      <c r="Q50" s="708"/>
    </row>
    <row r="51" spans="1:17" ht="12.9" customHeight="1">
      <c r="A51" s="703"/>
      <c r="B51" s="732"/>
      <c r="C51" s="719"/>
      <c r="D51" s="8"/>
      <c r="E51" s="8"/>
      <c r="F51" s="8"/>
      <c r="G51" s="8"/>
      <c r="H51" s="7"/>
      <c r="I51" s="7"/>
      <c r="J51" s="13"/>
      <c r="K51" s="8"/>
      <c r="L51" s="8"/>
      <c r="M51" s="8"/>
      <c r="N51" s="8"/>
      <c r="O51" s="717"/>
      <c r="P51" s="723"/>
      <c r="Q51" s="708"/>
    </row>
    <row r="52" spans="1:17" ht="12.9" customHeight="1">
      <c r="A52" s="703"/>
      <c r="B52" s="732"/>
      <c r="C52" s="719"/>
      <c r="D52" s="8"/>
      <c r="E52" s="8"/>
      <c r="F52" s="8"/>
      <c r="G52" s="8"/>
      <c r="H52" s="7"/>
      <c r="I52" s="7"/>
      <c r="J52" s="13"/>
      <c r="K52" s="8"/>
      <c r="L52" s="8"/>
      <c r="M52" s="8"/>
      <c r="N52" s="8"/>
      <c r="O52" s="717"/>
      <c r="P52" s="723"/>
      <c r="Q52" s="708"/>
    </row>
    <row r="53" spans="1:17" ht="12.9" customHeight="1">
      <c r="A53" s="703"/>
      <c r="B53" s="732"/>
      <c r="C53" s="719"/>
      <c r="D53" s="8"/>
      <c r="E53" s="8"/>
      <c r="F53" s="8"/>
      <c r="G53" s="8"/>
      <c r="H53" s="7"/>
      <c r="I53" s="7"/>
      <c r="J53" s="13"/>
      <c r="K53" s="8"/>
      <c r="L53" s="8"/>
      <c r="M53" s="8"/>
      <c r="N53" s="8"/>
      <c r="O53" s="717"/>
      <c r="P53" s="723"/>
      <c r="Q53" s="708"/>
    </row>
    <row r="54" spans="1:17" ht="12.9" customHeight="1">
      <c r="A54" s="703"/>
      <c r="B54" s="732"/>
      <c r="C54" s="719"/>
      <c r="D54" s="8"/>
      <c r="E54" s="8"/>
      <c r="F54" s="8"/>
      <c r="G54" s="8"/>
      <c r="H54" s="7"/>
      <c r="I54" s="7"/>
      <c r="J54" s="13"/>
      <c r="K54" s="8"/>
      <c r="L54" s="8"/>
      <c r="M54" s="8"/>
      <c r="N54" s="8"/>
      <c r="O54" s="717"/>
      <c r="P54" s="723"/>
      <c r="Q54" s="708"/>
    </row>
    <row r="55" spans="1:17" ht="21.9" customHeight="1">
      <c r="A55" s="703"/>
      <c r="B55" s="732"/>
      <c r="C55" s="719"/>
      <c r="D55" s="8"/>
      <c r="E55" s="8"/>
      <c r="F55" s="8"/>
      <c r="G55" s="8"/>
      <c r="H55" s="7"/>
      <c r="I55" s="7"/>
      <c r="J55" s="13"/>
      <c r="K55" s="8"/>
      <c r="L55" s="8"/>
      <c r="M55" s="8"/>
      <c r="N55" s="8"/>
      <c r="O55" s="717"/>
      <c r="P55" s="723"/>
      <c r="Q55" s="708"/>
    </row>
    <row r="56" spans="1:17" ht="3.9" customHeight="1">
      <c r="A56" s="703"/>
      <c r="B56" s="732"/>
      <c r="C56" s="719"/>
      <c r="D56" s="8"/>
      <c r="E56" s="8"/>
      <c r="F56" s="8"/>
      <c r="G56" s="8"/>
      <c r="H56" s="7"/>
      <c r="I56" s="7"/>
      <c r="J56" s="13"/>
      <c r="K56" s="8"/>
      <c r="L56" s="8"/>
      <c r="M56" s="8"/>
      <c r="N56" s="8"/>
      <c r="O56" s="717"/>
      <c r="P56" s="723"/>
      <c r="Q56" s="708"/>
    </row>
    <row r="57" spans="1:17" ht="12.9" customHeight="1">
      <c r="A57" s="703"/>
      <c r="B57" s="732"/>
      <c r="C57" s="719"/>
      <c r="D57" s="8"/>
      <c r="E57" s="8"/>
      <c r="F57" s="8"/>
      <c r="G57" s="8"/>
      <c r="H57" s="7"/>
      <c r="I57" s="7"/>
      <c r="J57" s="13"/>
      <c r="K57" s="8"/>
      <c r="L57" s="8"/>
      <c r="M57" s="8"/>
      <c r="N57" s="8"/>
      <c r="O57" s="717"/>
      <c r="P57" s="723"/>
      <c r="Q57" s="708"/>
    </row>
    <row r="58" spans="1:17" ht="12.9" customHeight="1">
      <c r="A58" s="703"/>
      <c r="B58" s="732"/>
      <c r="C58" s="719"/>
      <c r="D58" s="8"/>
      <c r="E58" s="8"/>
      <c r="F58" s="8"/>
      <c r="G58" s="8"/>
      <c r="H58" s="7"/>
      <c r="I58" s="7"/>
      <c r="J58" s="13"/>
      <c r="K58" s="8"/>
      <c r="L58" s="8"/>
      <c r="M58" s="8"/>
      <c r="N58" s="8"/>
      <c r="O58" s="717"/>
      <c r="P58" s="723"/>
      <c r="Q58" s="708"/>
    </row>
    <row r="59" spans="1:17" ht="12.9" customHeight="1">
      <c r="A59" s="703"/>
      <c r="B59" s="732"/>
      <c r="C59" s="722"/>
      <c r="D59" s="4"/>
      <c r="E59" s="3"/>
      <c r="F59" s="3"/>
      <c r="G59" s="2"/>
      <c r="H59" s="2"/>
      <c r="I59" s="2"/>
      <c r="J59" s="2"/>
      <c r="K59" s="2"/>
      <c r="L59" s="2"/>
      <c r="M59" s="2"/>
      <c r="N59" s="2"/>
      <c r="O59" s="723"/>
      <c r="P59" s="723"/>
      <c r="Q59" s="708"/>
    </row>
    <row r="60" spans="1:17" ht="12.9" customHeight="1">
      <c r="A60" s="703"/>
      <c r="B60" s="732"/>
      <c r="C60" s="715"/>
      <c r="D60" s="1"/>
      <c r="E60" s="1"/>
      <c r="F60" s="1"/>
      <c r="G60" s="1"/>
      <c r="H60" s="1"/>
      <c r="I60" s="1"/>
      <c r="J60" s="1"/>
      <c r="K60" s="1"/>
      <c r="L60" s="1"/>
      <c r="M60" s="1"/>
      <c r="N60" s="1"/>
      <c r="O60" s="716"/>
      <c r="P60" s="723"/>
      <c r="Q60" s="708"/>
    </row>
    <row r="61" spans="1:17" ht="12.9" customHeight="1">
      <c r="A61" s="703"/>
      <c r="B61" s="732"/>
      <c r="C61" s="715"/>
      <c r="D61" s="3862" t="str">
        <f>'الصفحة 1'!$AB$1</f>
        <v xml:space="preserve"> تم مراجعة نسخة هذا الدفتر في30 ماي 2022 </v>
      </c>
      <c r="E61" s="3862"/>
      <c r="F61" s="3862"/>
      <c r="G61" s="3862"/>
      <c r="H61" s="3862"/>
      <c r="I61" s="3862"/>
      <c r="J61" s="3862"/>
      <c r="K61" s="3862"/>
      <c r="L61" s="3862"/>
      <c r="M61" s="3862"/>
      <c r="N61" s="3862"/>
      <c r="O61" s="716"/>
      <c r="P61" s="723"/>
      <c r="Q61" s="708"/>
    </row>
    <row r="62" spans="1:17" ht="12.9" customHeight="1">
      <c r="A62" s="703"/>
      <c r="B62" s="735"/>
      <c r="C62" s="715"/>
      <c r="D62" s="3862"/>
      <c r="E62" s="3862"/>
      <c r="F62" s="3862"/>
      <c r="G62" s="3862"/>
      <c r="H62" s="3862"/>
      <c r="I62" s="3862"/>
      <c r="J62" s="3862"/>
      <c r="K62" s="3862"/>
      <c r="L62" s="3862"/>
      <c r="M62" s="3862"/>
      <c r="N62" s="3862"/>
      <c r="O62" s="716"/>
      <c r="P62" s="736"/>
      <c r="Q62" s="709"/>
    </row>
    <row r="63" spans="1:17" ht="12.9" customHeight="1">
      <c r="A63" s="703"/>
      <c r="B63" s="735"/>
      <c r="C63" s="715"/>
      <c r="D63" s="1"/>
      <c r="O63" s="716"/>
      <c r="P63" s="736"/>
      <c r="Q63" s="709"/>
    </row>
    <row r="64" spans="1:17" ht="12.9" customHeight="1">
      <c r="A64" s="703"/>
      <c r="B64" s="735"/>
      <c r="C64" s="715"/>
      <c r="O64" s="716"/>
      <c r="P64" s="736"/>
      <c r="Q64" s="709"/>
    </row>
    <row r="65" spans="1:17" ht="12.9" customHeight="1">
      <c r="A65" s="703"/>
      <c r="B65" s="735"/>
      <c r="C65" s="715"/>
      <c r="O65" s="716"/>
      <c r="P65" s="736"/>
      <c r="Q65" s="709"/>
    </row>
    <row r="66" spans="1:17" ht="12.9" customHeight="1" thickBot="1">
      <c r="A66" s="703"/>
      <c r="B66" s="735"/>
      <c r="C66" s="724"/>
      <c r="D66" s="725"/>
      <c r="E66" s="725"/>
      <c r="F66" s="725"/>
      <c r="G66" s="725"/>
      <c r="H66" s="725"/>
      <c r="I66" s="725"/>
      <c r="J66" s="725"/>
      <c r="K66" s="725"/>
      <c r="L66" s="725"/>
      <c r="M66" s="725"/>
      <c r="N66" s="725"/>
      <c r="O66" s="726"/>
      <c r="P66" s="736"/>
      <c r="Q66" s="709"/>
    </row>
    <row r="67" spans="1:17" ht="12.9" customHeight="1" thickBot="1">
      <c r="A67" s="703"/>
      <c r="B67" s="724"/>
      <c r="C67" s="725"/>
      <c r="D67" s="725"/>
      <c r="E67" s="725"/>
      <c r="F67" s="725"/>
      <c r="G67" s="725"/>
      <c r="H67" s="725"/>
      <c r="I67" s="725"/>
      <c r="J67" s="725"/>
      <c r="K67" s="725"/>
      <c r="L67" s="725"/>
      <c r="M67" s="725"/>
      <c r="N67" s="725"/>
      <c r="O67" s="725"/>
      <c r="P67" s="726"/>
      <c r="Q67" s="709"/>
    </row>
    <row r="68" spans="1:17" ht="12.9" customHeight="1">
      <c r="A68" s="1020"/>
      <c r="B68" s="3163" t="str">
        <f>'الصفحة 1'!$B$101</f>
        <v>السنة الدراسية  2022 - 2023</v>
      </c>
      <c r="C68" s="1020"/>
      <c r="D68" s="1020"/>
      <c r="E68" s="1020"/>
      <c r="F68" s="1020"/>
      <c r="G68" s="1020"/>
      <c r="H68" s="1020"/>
      <c r="I68" s="1020"/>
      <c r="J68" s="1020"/>
      <c r="K68" s="1020"/>
      <c r="L68" s="1020"/>
      <c r="M68" s="1020"/>
      <c r="N68" s="1020"/>
      <c r="O68" s="1020"/>
      <c r="P68" s="1020"/>
      <c r="Q68" s="1020"/>
    </row>
    <row r="69" spans="1:17" ht="14.4" hidden="1"/>
    <row r="70" spans="1:17" ht="14.4" hidden="1"/>
    <row r="71" spans="1:17" ht="14.4" hidden="1"/>
    <row r="72" spans="1:17" ht="14.4" hidden="1"/>
    <row r="73" spans="1:17" ht="14.4" hidden="1"/>
  </sheetData>
  <sheetProtection algorithmName="SHA-512" hashValue="BaB+AGjlkr5pu2EOGawO4JkOJYaFc0T6xay7N/T6mHKjOG4kLAooWU3TQNgXe1QkhiKTscgpfwB2DUXxVDoSxg==" saltValue="LJtHVAiHXwwIzVaVKUvbSQ==" spinCount="100000" sheet="1" objects="1" scenarios="1"/>
  <mergeCells count="8">
    <mergeCell ref="E19:N22"/>
    <mergeCell ref="D61:N62"/>
    <mergeCell ref="D4:G5"/>
    <mergeCell ref="K4:N8"/>
    <mergeCell ref="D6:G6"/>
    <mergeCell ref="D7:G8"/>
    <mergeCell ref="G13:K14"/>
    <mergeCell ref="G15:K15"/>
  </mergeCells>
  <conditionalFormatting sqref="J55">
    <cfRule type="cellIs" dxfId="22108" priority="1" operator="lessThanOrEqual">
      <formula>1</formula>
    </cfRule>
  </conditionalFormatting>
  <printOptions horizontalCentered="1" verticalCentered="1"/>
  <pageMargins left="0.19685039370078741" right="0.19685039370078741" top="0.19685039370078741" bottom="0.19685039370078741" header="0" footer="0.23622047244094491"/>
  <pageSetup paperSize="9" scale="95" orientation="portrait" r:id="rId1"/>
  <headerFooter>
    <oddFooter xml:space="preserve">&amp;R&amp;"-,Gras"&amp;8&amp;K00-024Echamil  V.08    &amp;F     &amp;A                 </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9">
    <tabColor rgb="FF00B050"/>
  </sheetPr>
  <dimension ref="A1:Z54"/>
  <sheetViews>
    <sheetView showGridLines="0" rightToLeft="1" zoomScale="115" zoomScaleNormal="115" workbookViewId="0">
      <selection activeCell="B2" sqref="B2"/>
    </sheetView>
  </sheetViews>
  <sheetFormatPr baseColWidth="10" defaultColWidth="0" defaultRowHeight="14.4" zeroHeight="1"/>
  <cols>
    <col min="1" max="1" width="1" customWidth="1"/>
    <col min="2" max="3" width="1.109375" customWidth="1"/>
    <col min="4" max="4" width="14.6640625" customWidth="1"/>
    <col min="5" max="5" width="8.88671875" customWidth="1"/>
    <col min="6" max="14" width="7.6640625" customWidth="1"/>
    <col min="15" max="15" width="8.44140625" customWidth="1"/>
    <col min="16" max="16" width="16.6640625" customWidth="1"/>
    <col min="17" max="18" width="1.44140625" customWidth="1"/>
    <col min="19" max="19" width="1.109375" customWidth="1"/>
    <col min="20" max="20" width="1.88671875" customWidth="1"/>
    <col min="21" max="21" width="0.6640625" customWidth="1"/>
    <col min="22" max="22" width="5.33203125" customWidth="1"/>
    <col min="23" max="23" width="9" customWidth="1"/>
    <col min="24" max="24" width="11.6640625" customWidth="1"/>
    <col min="25" max="26" width="2.109375" customWidth="1"/>
    <col min="27" max="16384" width="11.44140625" hidden="1"/>
  </cols>
  <sheetData>
    <row r="1" spans="1:26" s="1041" customFormat="1" ht="15.75" customHeight="1" thickBot="1">
      <c r="A1" s="1415"/>
      <c r="B1" s="1416"/>
      <c r="C1" s="1417"/>
      <c r="D1" s="1417"/>
      <c r="E1" s="1417"/>
      <c r="F1" s="1417"/>
      <c r="G1" s="1417"/>
      <c r="H1" s="1417"/>
      <c r="I1" s="1417"/>
      <c r="J1" s="1417"/>
      <c r="K1" s="1417"/>
      <c r="L1" s="1417"/>
      <c r="M1" s="1417"/>
      <c r="N1" s="1417"/>
      <c r="O1" s="1417"/>
      <c r="P1" s="1417"/>
      <c r="Q1" s="1417"/>
      <c r="R1" s="1417"/>
      <c r="S1" s="1416"/>
      <c r="T1" s="1418"/>
      <c r="U1" s="1942"/>
      <c r="V1" s="1943"/>
      <c r="W1" s="1943"/>
      <c r="X1" s="1943"/>
      <c r="Y1" s="1943"/>
      <c r="Z1" s="1420"/>
    </row>
    <row r="2" spans="1:26" s="1041" customFormat="1" ht="6" customHeight="1" thickBot="1">
      <c r="A2" s="1418"/>
      <c r="B2" s="1421"/>
      <c r="C2" s="1422"/>
      <c r="D2" s="1422"/>
      <c r="E2" s="1422"/>
      <c r="F2" s="1422"/>
      <c r="G2" s="1422"/>
      <c r="H2" s="1422"/>
      <c r="I2" s="1422"/>
      <c r="J2" s="1422"/>
      <c r="K2" s="1422"/>
      <c r="L2" s="1422"/>
      <c r="M2" s="1422"/>
      <c r="N2" s="1422"/>
      <c r="O2" s="1422"/>
      <c r="P2" s="1422"/>
      <c r="Q2" s="1422"/>
      <c r="R2" s="1422"/>
      <c r="S2" s="1423"/>
      <c r="T2" s="1424"/>
      <c r="U2" s="1944"/>
      <c r="V2" s="4471" t="s">
        <v>603</v>
      </c>
      <c r="W2" s="4471"/>
      <c r="X2" s="4471"/>
      <c r="Y2" s="1945"/>
      <c r="Z2" s="1420"/>
    </row>
    <row r="3" spans="1:26" s="1041" customFormat="1" ht="2.1" customHeight="1">
      <c r="A3" s="1418"/>
      <c r="B3" s="1425"/>
      <c r="C3" s="1426"/>
      <c r="D3" s="1427"/>
      <c r="E3" s="1427"/>
      <c r="F3" s="1427"/>
      <c r="G3" s="1427"/>
      <c r="H3" s="1428"/>
      <c r="I3" s="1427"/>
      <c r="J3" s="1427"/>
      <c r="K3" s="1427"/>
      <c r="L3" s="1427"/>
      <c r="M3" s="1427"/>
      <c r="N3" s="1427"/>
      <c r="O3" s="1427"/>
      <c r="P3" s="1427"/>
      <c r="Q3" s="1427"/>
      <c r="R3" s="1429"/>
      <c r="S3" s="1430"/>
      <c r="T3" s="1424"/>
      <c r="U3" s="1944"/>
      <c r="V3" s="4471"/>
      <c r="W3" s="4471"/>
      <c r="X3" s="4471"/>
      <c r="Y3" s="1945"/>
      <c r="Z3" s="1420"/>
    </row>
    <row r="4" spans="1:26" ht="20.100000000000001" customHeight="1">
      <c r="A4" s="1418"/>
      <c r="B4" s="1431"/>
      <c r="C4" s="1432"/>
      <c r="D4" s="1946" t="s">
        <v>1463</v>
      </c>
      <c r="E4" s="1434"/>
      <c r="F4" s="1434"/>
      <c r="M4" s="1947"/>
      <c r="N4" s="1438"/>
      <c r="O4" s="1438"/>
      <c r="P4" s="1948" t="s">
        <v>1464</v>
      </c>
      <c r="Q4" s="1948"/>
      <c r="R4" s="1441"/>
      <c r="S4" s="1430"/>
      <c r="T4" s="1424"/>
      <c r="U4" s="1944"/>
      <c r="V4" s="4471"/>
      <c r="W4" s="4471"/>
      <c r="X4" s="4471"/>
      <c r="Y4" s="1945"/>
      <c r="Z4" s="1420"/>
    </row>
    <row r="5" spans="1:26" ht="2.1" customHeight="1">
      <c r="A5" s="1418"/>
      <c r="B5" s="1431"/>
      <c r="C5" s="1442"/>
      <c r="D5" s="1434"/>
      <c r="E5" s="1434"/>
      <c r="F5" s="1434"/>
      <c r="G5" s="1434"/>
      <c r="H5" s="1444"/>
      <c r="I5" s="1445"/>
      <c r="J5" s="1445"/>
      <c r="K5" s="1445"/>
      <c r="L5" s="1446"/>
      <c r="M5" s="1438"/>
      <c r="N5" s="1438"/>
      <c r="O5" s="1438"/>
      <c r="P5" s="1443"/>
      <c r="Q5" s="1440"/>
      <c r="R5" s="1441"/>
      <c r="S5" s="1430"/>
      <c r="T5" s="1424"/>
      <c r="U5" s="1944"/>
      <c r="V5" s="4471"/>
      <c r="W5" s="4471"/>
      <c r="X5" s="4471"/>
      <c r="Y5" s="1945"/>
      <c r="Z5" s="1420"/>
    </row>
    <row r="6" spans="1:26" ht="15.9" customHeight="1">
      <c r="A6" s="1418"/>
      <c r="B6" s="1431"/>
      <c r="C6" s="1442"/>
      <c r="F6" s="1951"/>
      <c r="G6" s="1952" t="s">
        <v>936</v>
      </c>
      <c r="H6" s="1953" t="s">
        <v>1098</v>
      </c>
      <c r="I6" s="1954"/>
      <c r="K6" s="1955"/>
      <c r="L6" s="1956" t="s">
        <v>1099</v>
      </c>
      <c r="M6" s="1955"/>
      <c r="N6" s="1957"/>
      <c r="O6" s="1957" t="s">
        <v>937</v>
      </c>
      <c r="Q6" s="1440"/>
      <c r="R6" s="1441"/>
      <c r="S6" s="1430"/>
      <c r="T6" s="1424"/>
      <c r="U6" s="1944"/>
      <c r="V6" s="4471"/>
      <c r="W6" s="4471"/>
      <c r="X6" s="4471"/>
      <c r="Y6" s="1950"/>
      <c r="Z6" s="1420"/>
    </row>
    <row r="7" spans="1:26" ht="2.1" customHeight="1">
      <c r="A7" s="1418"/>
      <c r="B7" s="1431"/>
      <c r="C7" s="1442"/>
      <c r="D7" s="1493"/>
      <c r="E7" s="1949"/>
      <c r="F7" s="1949"/>
      <c r="G7" s="1949"/>
      <c r="H7" s="1949"/>
      <c r="I7" s="1949"/>
      <c r="J7" s="1949"/>
      <c r="K7" s="1949"/>
      <c r="L7" s="1949"/>
      <c r="M7" s="1949"/>
      <c r="N7" s="1949"/>
      <c r="O7" s="1949"/>
      <c r="P7" s="1949"/>
      <c r="Q7" s="1440"/>
      <c r="R7" s="1441"/>
      <c r="S7" s="1430"/>
      <c r="T7" s="1424"/>
      <c r="U7" s="1944"/>
      <c r="V7" s="1032"/>
      <c r="W7" s="1950"/>
      <c r="X7" s="1950"/>
      <c r="Y7" s="1950"/>
      <c r="Z7" s="1420"/>
    </row>
    <row r="8" spans="1:26" ht="14.1" customHeight="1">
      <c r="A8" s="1418"/>
      <c r="B8" s="1431"/>
      <c r="C8" s="1442"/>
      <c r="D8" s="2418" t="s">
        <v>1239</v>
      </c>
      <c r="E8" s="2419"/>
      <c r="F8" s="2419"/>
      <c r="G8" s="2419"/>
      <c r="H8" s="2420"/>
      <c r="I8" s="2420"/>
      <c r="J8" s="2420"/>
      <c r="K8" s="2420"/>
      <c r="L8" s="2419"/>
      <c r="M8" s="2419"/>
      <c r="N8" s="2419"/>
      <c r="O8" s="2419"/>
      <c r="P8" s="2396" t="s">
        <v>1240</v>
      </c>
      <c r="Q8" s="1440"/>
      <c r="R8" s="1441"/>
      <c r="S8" s="1430"/>
      <c r="T8" s="1424"/>
      <c r="U8" s="1944"/>
      <c r="V8" s="4462" t="s">
        <v>1402</v>
      </c>
      <c r="W8" s="4463"/>
      <c r="X8" s="3093"/>
      <c r="Y8" s="1950"/>
      <c r="Z8" s="1420"/>
    </row>
    <row r="9" spans="1:26" ht="3" customHeight="1">
      <c r="A9" s="1418"/>
      <c r="B9" s="1431"/>
      <c r="C9" s="1442"/>
      <c r="D9" s="2179"/>
      <c r="E9" s="2421"/>
      <c r="F9" s="2421"/>
      <c r="G9" s="2421"/>
      <c r="H9" s="2422"/>
      <c r="I9" s="2422"/>
      <c r="J9" s="2422"/>
      <c r="K9" s="2422"/>
      <c r="L9" s="2421"/>
      <c r="M9" s="2421"/>
      <c r="N9" s="2421"/>
      <c r="O9" s="2423"/>
      <c r="P9" s="2397"/>
      <c r="Q9" s="1440"/>
      <c r="R9" s="1441"/>
      <c r="S9" s="1430"/>
      <c r="T9" s="1424"/>
      <c r="U9" s="1944"/>
      <c r="V9" s="3098"/>
      <c r="W9" s="3099"/>
      <c r="X9" s="3094"/>
      <c r="Y9" s="1950"/>
      <c r="Z9" s="1420"/>
    </row>
    <row r="10" spans="1:26" ht="15" customHeight="1">
      <c r="A10" s="1418"/>
      <c r="B10" s="1431"/>
      <c r="C10" s="1442"/>
      <c r="D10" s="2424" t="s">
        <v>790</v>
      </c>
      <c r="E10" s="2425" t="s">
        <v>163</v>
      </c>
      <c r="F10" s="2425" t="s">
        <v>162</v>
      </c>
      <c r="G10" s="2425" t="s">
        <v>161</v>
      </c>
      <c r="H10" s="2425" t="s">
        <v>160</v>
      </c>
      <c r="I10" s="2425" t="s">
        <v>159</v>
      </c>
      <c r="J10" s="2426" t="s">
        <v>158</v>
      </c>
      <c r="K10" s="2426" t="s">
        <v>157</v>
      </c>
      <c r="L10" s="2426" t="s">
        <v>156</v>
      </c>
      <c r="M10" s="2426" t="s">
        <v>155</v>
      </c>
      <c r="N10" s="2426" t="s">
        <v>154</v>
      </c>
      <c r="O10" s="2426" t="s">
        <v>938</v>
      </c>
      <c r="P10" s="2398" t="s">
        <v>28</v>
      </c>
      <c r="Q10" s="1440"/>
      <c r="R10" s="1441"/>
      <c r="S10" s="1430"/>
      <c r="T10" s="1424"/>
      <c r="U10" s="1944"/>
      <c r="V10" s="4460" t="s">
        <v>939</v>
      </c>
      <c r="W10" s="4461"/>
      <c r="X10" s="3095"/>
      <c r="Y10" s="1950"/>
      <c r="Z10" s="1420"/>
    </row>
    <row r="11" spans="1:26" ht="12" customHeight="1">
      <c r="A11" s="1418"/>
      <c r="B11" s="1431"/>
      <c r="C11" s="1442"/>
      <c r="D11" s="2427" t="s">
        <v>965</v>
      </c>
      <c r="E11" s="2428"/>
      <c r="F11" s="2428"/>
      <c r="G11" s="2428"/>
      <c r="H11" s="2428"/>
      <c r="I11" s="2428"/>
      <c r="J11" s="2428"/>
      <c r="K11" s="2428"/>
      <c r="L11" s="2428"/>
      <c r="M11" s="2428"/>
      <c r="N11" s="2428"/>
      <c r="O11" s="2429"/>
      <c r="P11" s="2399" t="s">
        <v>956</v>
      </c>
      <c r="Q11" s="1440"/>
      <c r="R11" s="1441"/>
      <c r="S11" s="1430"/>
      <c r="T11" s="1424"/>
      <c r="U11" s="1944"/>
      <c r="V11" s="3100" t="s">
        <v>965</v>
      </c>
      <c r="W11" s="1966"/>
      <c r="X11" s="2036"/>
      <c r="Y11" s="2036"/>
      <c r="Z11" s="1420"/>
    </row>
    <row r="12" spans="1:26" ht="12" customHeight="1">
      <c r="A12" s="1418"/>
      <c r="B12" s="1431"/>
      <c r="C12" s="1442"/>
      <c r="D12" s="2430" t="s">
        <v>20</v>
      </c>
      <c r="E12" s="2265"/>
      <c r="F12" s="1462"/>
      <c r="G12" s="1462">
        <v>0</v>
      </c>
      <c r="H12" s="1462"/>
      <c r="I12" s="1462"/>
      <c r="J12" s="1462"/>
      <c r="K12" s="1462"/>
      <c r="L12" s="1462"/>
      <c r="M12" s="1462"/>
      <c r="N12" s="1462"/>
      <c r="O12" s="1462"/>
      <c r="P12" s="1998">
        <f>E12+F12+G12+H12+I12+J12+K12+L12+M12+N12+O12</f>
        <v>0</v>
      </c>
      <c r="Q12" s="1440"/>
      <c r="R12" s="1441"/>
      <c r="S12" s="1430"/>
      <c r="T12" s="1424"/>
      <c r="U12" s="1944"/>
      <c r="V12" s="4452" t="str">
        <f>IF(('الصفحة 1'!$Q$14&gt;0),((IF((P12&gt;'الصفحة 14'!$P$13),"العدد غيرمطابق",IF((P12&lt;='الصفحة 14'!$P$13)," ")))),"")</f>
        <v xml:space="preserve"> </v>
      </c>
      <c r="W12" s="4453"/>
      <c r="X12" s="3097"/>
      <c r="Y12" s="3096"/>
      <c r="Z12" s="1420"/>
    </row>
    <row r="13" spans="1:26" ht="12" customHeight="1">
      <c r="A13" s="1418"/>
      <c r="B13" s="1431"/>
      <c r="C13" s="1442"/>
      <c r="D13" s="2430" t="s">
        <v>672</v>
      </c>
      <c r="E13" s="2265"/>
      <c r="F13" s="2265"/>
      <c r="G13" s="2265"/>
      <c r="H13" s="2265"/>
      <c r="I13" s="2265"/>
      <c r="J13" s="2265"/>
      <c r="K13" s="2265"/>
      <c r="L13" s="2265"/>
      <c r="M13" s="2265"/>
      <c r="N13" s="2265"/>
      <c r="O13" s="2265"/>
      <c r="P13" s="1998">
        <f>E13+F13+G13+H13+I13+J13+K13+L13+M13+N13+O13</f>
        <v>0</v>
      </c>
      <c r="Q13" s="1440"/>
      <c r="R13" s="1441"/>
      <c r="S13" s="1430"/>
      <c r="T13" s="1424"/>
      <c r="U13" s="1944"/>
      <c r="V13" s="4452" t="str">
        <f>IF(('الصفحة 1'!$Q$14&gt;0),((IF((P13&gt;P12),"العدد غيرمطابق",IF((P13&lt;=P12)," ")))),"")</f>
        <v xml:space="preserve"> </v>
      </c>
      <c r="W13" s="4453"/>
      <c r="X13" s="3097"/>
      <c r="Y13" s="2036"/>
      <c r="Z13" s="1420"/>
    </row>
    <row r="14" spans="1:26" ht="12" customHeight="1">
      <c r="A14" s="1418"/>
      <c r="B14" s="1431"/>
      <c r="C14" s="1442"/>
      <c r="D14" s="2427" t="s">
        <v>964</v>
      </c>
      <c r="E14" s="1967"/>
      <c r="F14" s="1967"/>
      <c r="G14" s="1967"/>
      <c r="H14" s="1967"/>
      <c r="I14" s="1967"/>
      <c r="J14" s="1967"/>
      <c r="K14" s="1967"/>
      <c r="L14" s="1967"/>
      <c r="M14" s="1967"/>
      <c r="N14" s="1967"/>
      <c r="O14" s="1968"/>
      <c r="P14" s="2400" t="s">
        <v>957</v>
      </c>
      <c r="Q14" s="1440"/>
      <c r="R14" s="1441"/>
      <c r="S14" s="1430"/>
      <c r="T14" s="1424"/>
      <c r="U14" s="1944"/>
      <c r="V14" s="3100" t="s">
        <v>964</v>
      </c>
      <c r="W14" s="2036"/>
      <c r="X14" s="2036"/>
      <c r="Y14" s="2036"/>
      <c r="Z14" s="1420"/>
    </row>
    <row r="15" spans="1:26" ht="12" customHeight="1">
      <c r="A15" s="1418"/>
      <c r="B15" s="1431"/>
      <c r="C15" s="1442"/>
      <c r="D15" s="2430" t="s">
        <v>20</v>
      </c>
      <c r="E15" s="2265"/>
      <c r="F15" s="1462"/>
      <c r="G15" s="1462"/>
      <c r="H15" s="1462"/>
      <c r="I15" s="1462"/>
      <c r="J15" s="1462"/>
      <c r="K15" s="1462"/>
      <c r="L15" s="1462"/>
      <c r="M15" s="1462"/>
      <c r="N15" s="1462"/>
      <c r="O15" s="1462"/>
      <c r="P15" s="1998">
        <f>E15+F15+G15+H15+I15+J15+K15+L15+M15+N15+O15</f>
        <v>0</v>
      </c>
      <c r="Q15" s="1440"/>
      <c r="R15" s="1441"/>
      <c r="S15" s="1430"/>
      <c r="T15" s="1424"/>
      <c r="U15" s="1944"/>
      <c r="V15" s="4452" t="str">
        <f>IF(('الصفحة 1'!$Q$14&gt;0),((IF((P15&gt;'الصفحة 14'!$P$15),"العدد غيرمطابق",IF((P15&lt;='الصفحة 14'!$P$15)," ")))),"")</f>
        <v xml:space="preserve"> </v>
      </c>
      <c r="W15" s="4453"/>
      <c r="X15" s="3097"/>
      <c r="Y15" s="2036"/>
      <c r="Z15" s="1420"/>
    </row>
    <row r="16" spans="1:26" ht="12" customHeight="1">
      <c r="A16" s="1418"/>
      <c r="B16" s="1431"/>
      <c r="C16" s="1442"/>
      <c r="D16" s="2430" t="s">
        <v>672</v>
      </c>
      <c r="E16" s="2265"/>
      <c r="F16" s="2265"/>
      <c r="G16" s="2265"/>
      <c r="H16" s="2265"/>
      <c r="I16" s="2265"/>
      <c r="J16" s="2265"/>
      <c r="K16" s="2265"/>
      <c r="L16" s="2265"/>
      <c r="M16" s="2265"/>
      <c r="N16" s="2265"/>
      <c r="O16" s="2265"/>
      <c r="P16" s="1998">
        <f>E16+F16+G16+H16+I16+J16+K16+L16+M16+N16+O16</f>
        <v>0</v>
      </c>
      <c r="Q16" s="1440"/>
      <c r="R16" s="1441"/>
      <c r="S16" s="1430"/>
      <c r="T16" s="1424"/>
      <c r="U16" s="1944"/>
      <c r="V16" s="4452" t="str">
        <f>IF(('الصفحة 1'!$Q$14&gt;0),((IF((P16&gt;P15),"العدد غيرمطابق",IF((P16&lt;=P15)," ")))),"")</f>
        <v xml:space="preserve"> </v>
      </c>
      <c r="W16" s="4453"/>
      <c r="X16" s="3097"/>
      <c r="Y16" s="3052"/>
      <c r="Z16" s="1420"/>
    </row>
    <row r="17" spans="1:26" ht="12" customHeight="1">
      <c r="A17" s="1418"/>
      <c r="B17" s="1431"/>
      <c r="C17" s="1442"/>
      <c r="D17" s="2427" t="s">
        <v>963</v>
      </c>
      <c r="E17" s="1967"/>
      <c r="F17" s="1967"/>
      <c r="G17" s="1967"/>
      <c r="H17" s="1967"/>
      <c r="I17" s="1967"/>
      <c r="J17" s="1967"/>
      <c r="K17" s="1967"/>
      <c r="L17" s="1967"/>
      <c r="M17" s="1967"/>
      <c r="N17" s="1967"/>
      <c r="O17" s="1968"/>
      <c r="P17" s="2400" t="s">
        <v>959</v>
      </c>
      <c r="Q17" s="1440"/>
      <c r="R17" s="1441"/>
      <c r="S17" s="1430"/>
      <c r="T17" s="1424"/>
      <c r="U17" s="1944"/>
      <c r="V17" s="3100" t="s">
        <v>963</v>
      </c>
      <c r="W17" s="1966"/>
      <c r="X17" s="3052"/>
      <c r="Y17" s="3052"/>
      <c r="Z17" s="1420"/>
    </row>
    <row r="18" spans="1:26" ht="12" customHeight="1">
      <c r="A18" s="1418"/>
      <c r="B18" s="1431"/>
      <c r="C18" s="1442"/>
      <c r="D18" s="2430" t="s">
        <v>20</v>
      </c>
      <c r="E18" s="2265"/>
      <c r="F18" s="1462"/>
      <c r="G18" s="1462"/>
      <c r="H18" s="1462"/>
      <c r="I18" s="1462"/>
      <c r="J18" s="1462"/>
      <c r="K18" s="1462"/>
      <c r="L18" s="1462"/>
      <c r="M18" s="1462"/>
      <c r="N18" s="1462"/>
      <c r="O18" s="1462"/>
      <c r="P18" s="1998">
        <f>E18+F18+G18+H18+I18+J18+K18+L18+M18+N18+O18</f>
        <v>0</v>
      </c>
      <c r="Q18" s="1440"/>
      <c r="R18" s="1441"/>
      <c r="S18" s="1430"/>
      <c r="T18" s="1424"/>
      <c r="U18" s="1944"/>
      <c r="V18" s="4452" t="str">
        <f>IF(('الصفحة 1'!$Q$14&gt;0),((IF((P18&gt;'الصفحة 14'!$P$17),"العدد غيرمطابق",IF((P18&lt;='الصفحة 14'!$P$17)," ")))),"")</f>
        <v xml:space="preserve"> </v>
      </c>
      <c r="W18" s="4453"/>
      <c r="X18" s="3097"/>
      <c r="Y18" s="3052"/>
      <c r="Z18" s="1420"/>
    </row>
    <row r="19" spans="1:26" ht="12" customHeight="1">
      <c r="A19" s="1418"/>
      <c r="B19" s="1431"/>
      <c r="C19" s="1442"/>
      <c r="D19" s="2430" t="s">
        <v>672</v>
      </c>
      <c r="E19" s="2265"/>
      <c r="F19" s="2265"/>
      <c r="G19" s="2265"/>
      <c r="H19" s="2265"/>
      <c r="I19" s="2265"/>
      <c r="J19" s="2265"/>
      <c r="K19" s="2265"/>
      <c r="L19" s="2265"/>
      <c r="M19" s="2265"/>
      <c r="N19" s="2265"/>
      <c r="O19" s="2265"/>
      <c r="P19" s="1998">
        <f>E19+F19+G19+H19+I19+J19+K19+L19+M19+N19+O19</f>
        <v>0</v>
      </c>
      <c r="Q19" s="1440"/>
      <c r="R19" s="1441"/>
      <c r="S19" s="1430"/>
      <c r="T19" s="1424"/>
      <c r="U19" s="1944"/>
      <c r="V19" s="4452" t="str">
        <f>IF(('الصفحة 1'!$Q$14&gt;0),((IF((P19&gt;P18),"العدد غيرمطابق",IF((P19&lt;=P18)," ")))),"")</f>
        <v xml:space="preserve"> </v>
      </c>
      <c r="W19" s="4453"/>
      <c r="X19" s="3097"/>
      <c r="Y19" s="3052"/>
      <c r="Z19" s="1420"/>
    </row>
    <row r="20" spans="1:26" ht="12" customHeight="1">
      <c r="A20" s="1418"/>
      <c r="B20" s="1431"/>
      <c r="C20" s="1442"/>
      <c r="D20" s="2427" t="s">
        <v>962</v>
      </c>
      <c r="E20" s="1991"/>
      <c r="F20" s="1991"/>
      <c r="G20" s="1991"/>
      <c r="H20" s="1991"/>
      <c r="I20" s="1990"/>
      <c r="J20" s="1990"/>
      <c r="K20" s="1990"/>
      <c r="L20" s="1990"/>
      <c r="M20" s="1990"/>
      <c r="N20" s="1990"/>
      <c r="O20" s="1968"/>
      <c r="P20" s="2400" t="s">
        <v>958</v>
      </c>
      <c r="Q20" s="1440"/>
      <c r="R20" s="1441"/>
      <c r="S20" s="1430"/>
      <c r="T20" s="1424"/>
      <c r="U20" s="1944"/>
      <c r="V20" s="3100" t="s">
        <v>962</v>
      </c>
      <c r="W20" s="2039"/>
      <c r="X20" s="3052"/>
      <c r="Y20" s="3052"/>
      <c r="Z20" s="1420"/>
    </row>
    <row r="21" spans="1:26" ht="12" customHeight="1">
      <c r="A21" s="1418"/>
      <c r="B21" s="1431"/>
      <c r="C21" s="1442"/>
      <c r="D21" s="2430" t="s">
        <v>20</v>
      </c>
      <c r="E21" s="2265"/>
      <c r="F21" s="1462"/>
      <c r="G21" s="1462"/>
      <c r="H21" s="1462"/>
      <c r="I21" s="1462"/>
      <c r="J21" s="1462"/>
      <c r="K21" s="1462"/>
      <c r="L21" s="1462"/>
      <c r="M21" s="1462"/>
      <c r="N21" s="1462"/>
      <c r="O21" s="1462"/>
      <c r="P21" s="1998">
        <f>E21+F21+G21+H21+I21+J21+K21+L21+M21+N21+O21</f>
        <v>0</v>
      </c>
      <c r="Q21" s="1440"/>
      <c r="R21" s="1441"/>
      <c r="S21" s="1430"/>
      <c r="T21" s="1424"/>
      <c r="U21" s="1944"/>
      <c r="V21" s="4452" t="str">
        <f>IF(('الصفحة 1'!$Q$14&gt;0),((IF((P21&gt;'الصفحة 14'!$P$19),"العدد غيرمطابق",IF((P21&lt;='الصفحة 14'!$P$19)," ")))),"")</f>
        <v xml:space="preserve"> </v>
      </c>
      <c r="W21" s="4453"/>
      <c r="X21" s="3097"/>
      <c r="Y21" s="3052"/>
      <c r="Z21" s="1420"/>
    </row>
    <row r="22" spans="1:26" ht="12" customHeight="1">
      <c r="A22" s="1418"/>
      <c r="B22" s="1431"/>
      <c r="C22" s="1442"/>
      <c r="D22" s="2430" t="s">
        <v>672</v>
      </c>
      <c r="E22" s="2265"/>
      <c r="F22" s="2265"/>
      <c r="G22" s="2265"/>
      <c r="H22" s="2265"/>
      <c r="I22" s="2265"/>
      <c r="J22" s="2265"/>
      <c r="K22" s="2265"/>
      <c r="L22" s="2265"/>
      <c r="M22" s="2265"/>
      <c r="N22" s="2265"/>
      <c r="O22" s="2265"/>
      <c r="P22" s="1998">
        <f>E22+F22+G22+H22+I22+J22+K22+L22+M22+N22+O22</f>
        <v>0</v>
      </c>
      <c r="Q22" s="1440"/>
      <c r="R22" s="1441"/>
      <c r="S22" s="1430"/>
      <c r="T22" s="1424"/>
      <c r="U22" s="1944"/>
      <c r="V22" s="4452" t="str">
        <f>IF(('الصفحة 1'!$Q$14&gt;0),((IF((P22&gt;P21),"العدد غيرمطابق",IF((P22&lt;=P21)," ")))),"")</f>
        <v xml:space="preserve"> </v>
      </c>
      <c r="W22" s="4453"/>
      <c r="X22" s="3097"/>
      <c r="Y22" s="3052"/>
      <c r="Z22" s="1420"/>
    </row>
    <row r="23" spans="1:26" ht="12" customHeight="1">
      <c r="A23" s="1418"/>
      <c r="B23" s="1431"/>
      <c r="C23" s="1442"/>
      <c r="D23" s="2427" t="s">
        <v>961</v>
      </c>
      <c r="E23" s="1991"/>
      <c r="F23" s="1991"/>
      <c r="G23" s="1991"/>
      <c r="H23" s="1991"/>
      <c r="I23" s="1990"/>
      <c r="J23" s="1990"/>
      <c r="K23" s="1990"/>
      <c r="L23" s="1990"/>
      <c r="M23" s="1990"/>
      <c r="N23" s="1990"/>
      <c r="O23" s="1968"/>
      <c r="P23" s="2400" t="s">
        <v>960</v>
      </c>
      <c r="Q23" s="1440"/>
      <c r="R23" s="1441"/>
      <c r="S23" s="1430"/>
      <c r="T23" s="1424"/>
      <c r="U23" s="1944"/>
      <c r="V23" s="3100" t="s">
        <v>961</v>
      </c>
      <c r="W23" s="1966"/>
      <c r="X23" s="3052"/>
      <c r="Y23" s="3052"/>
      <c r="Z23" s="1420"/>
    </row>
    <row r="24" spans="1:26" ht="12" customHeight="1">
      <c r="A24" s="1418"/>
      <c r="B24" s="1431"/>
      <c r="C24" s="1442"/>
      <c r="D24" s="2430" t="s">
        <v>20</v>
      </c>
      <c r="E24" s="2265"/>
      <c r="F24" s="1462"/>
      <c r="G24" s="1462"/>
      <c r="H24" s="1462"/>
      <c r="I24" s="1462"/>
      <c r="J24" s="1462"/>
      <c r="K24" s="1462"/>
      <c r="L24" s="1462"/>
      <c r="M24" s="1462"/>
      <c r="N24" s="1462"/>
      <c r="O24" s="1462"/>
      <c r="P24" s="1998">
        <f>E24+F24+G24+H24+I24+J24+K24+L24+M24+N24+O24</f>
        <v>0</v>
      </c>
      <c r="Q24" s="1440"/>
      <c r="R24" s="1441"/>
      <c r="S24" s="1430"/>
      <c r="T24" s="1424"/>
      <c r="U24" s="1944"/>
      <c r="V24" s="4452" t="str">
        <f>IF(('الصفحة 1'!$Q$14&gt;0),((IF((P24&gt;'الصفحة 14'!$P$21),"العدد غيرمطابق",IF((P24&lt;='الصفحة 14'!$P$21)," ")))),"")</f>
        <v xml:space="preserve"> </v>
      </c>
      <c r="W24" s="4453"/>
      <c r="X24" s="3097"/>
      <c r="Y24" s="3052"/>
      <c r="Z24" s="1420"/>
    </row>
    <row r="25" spans="1:26" ht="12" customHeight="1">
      <c r="A25" s="1418"/>
      <c r="B25" s="1431"/>
      <c r="C25" s="1442"/>
      <c r="D25" s="2430" t="s">
        <v>672</v>
      </c>
      <c r="E25" s="2265"/>
      <c r="F25" s="2265"/>
      <c r="G25" s="2265"/>
      <c r="H25" s="2265"/>
      <c r="I25" s="2265"/>
      <c r="J25" s="2265"/>
      <c r="K25" s="2265"/>
      <c r="L25" s="2265"/>
      <c r="M25" s="2265"/>
      <c r="N25" s="2265"/>
      <c r="O25" s="2265"/>
      <c r="P25" s="1998">
        <f>E25+F25+G25+H25+I25+J25+K25+L25+M25+N25+O25</f>
        <v>0</v>
      </c>
      <c r="Q25" s="1440"/>
      <c r="R25" s="1441"/>
      <c r="S25" s="1430"/>
      <c r="T25" s="1424"/>
      <c r="U25" s="1944"/>
      <c r="V25" s="4452" t="str">
        <f>IF(('الصفحة 1'!$Q$14&gt;0),((IF((P25&gt;P24),"العدد غيرمطابق",IF((P25&lt;=P24)," ")))),"")</f>
        <v xml:space="preserve"> </v>
      </c>
      <c r="W25" s="4453"/>
      <c r="X25" s="3097"/>
      <c r="Y25" s="3052"/>
      <c r="Z25" s="1420"/>
    </row>
    <row r="26" spans="1:26" ht="12.9" customHeight="1">
      <c r="A26" s="1418"/>
      <c r="B26" s="1431"/>
      <c r="C26" s="1442"/>
      <c r="D26" s="2431" t="s">
        <v>1077</v>
      </c>
      <c r="E26" s="2432"/>
      <c r="F26" s="2432"/>
      <c r="G26" s="2432"/>
      <c r="H26" s="2432"/>
      <c r="I26" s="2432"/>
      <c r="J26" s="2432"/>
      <c r="K26" s="2432"/>
      <c r="L26" s="2432"/>
      <c r="M26" s="2432"/>
      <c r="N26" s="2432"/>
      <c r="O26" s="2433"/>
      <c r="P26" s="2401" t="s">
        <v>1080</v>
      </c>
      <c r="Q26" s="1440"/>
      <c r="R26" s="1441"/>
      <c r="S26" s="1430"/>
      <c r="T26" s="1424"/>
      <c r="U26" s="1944"/>
      <c r="V26" s="3109" t="s">
        <v>1083</v>
      </c>
      <c r="W26" s="1966"/>
      <c r="X26" s="3052"/>
      <c r="Y26" s="3052"/>
      <c r="Z26" s="1420"/>
    </row>
    <row r="27" spans="1:26" ht="12" customHeight="1">
      <c r="A27" s="1418"/>
      <c r="B27" s="1431"/>
      <c r="C27" s="1442"/>
      <c r="D27" s="2430" t="s">
        <v>20</v>
      </c>
      <c r="E27" s="1996">
        <f>(E12+E15+E18+E21+E24)</f>
        <v>0</v>
      </c>
      <c r="F27" s="1997">
        <f t="shared" ref="F27:O27" si="0">(F12+F15+F18+F21+F24)</f>
        <v>0</v>
      </c>
      <c r="G27" s="1997">
        <f t="shared" si="0"/>
        <v>0</v>
      </c>
      <c r="H27" s="1997">
        <f t="shared" si="0"/>
        <v>0</v>
      </c>
      <c r="I27" s="1997">
        <f t="shared" si="0"/>
        <v>0</v>
      </c>
      <c r="J27" s="1997">
        <f t="shared" si="0"/>
        <v>0</v>
      </c>
      <c r="K27" s="1997">
        <f t="shared" si="0"/>
        <v>0</v>
      </c>
      <c r="L27" s="1997">
        <f t="shared" si="0"/>
        <v>0</v>
      </c>
      <c r="M27" s="1997">
        <f t="shared" si="0"/>
        <v>0</v>
      </c>
      <c r="N27" s="1997">
        <f t="shared" si="0"/>
        <v>0</v>
      </c>
      <c r="O27" s="1997">
        <f t="shared" si="0"/>
        <v>0</v>
      </c>
      <c r="P27" s="1998">
        <f>E27+F27+G27+H27+I27+J27+K27+L27+M27+N27+O27</f>
        <v>0</v>
      </c>
      <c r="Q27" s="1440"/>
      <c r="R27" s="1441"/>
      <c r="S27" s="1430"/>
      <c r="T27" s="1424"/>
      <c r="U27" s="1944"/>
      <c r="V27" s="4452" t="str">
        <f>IF(('الصفحة 1'!$Q$14&gt;0),((IF((P27&gt;'الصفحة 14'!$P$23),"العدد غيرمطابق",IF((P27&lt;='الصفحة 14'!$P$23)," ")))),"")</f>
        <v xml:space="preserve"> </v>
      </c>
      <c r="W27" s="4453"/>
      <c r="X27" s="3097"/>
      <c r="Y27" s="3052"/>
      <c r="Z27" s="1420"/>
    </row>
    <row r="28" spans="1:26" ht="12" customHeight="1">
      <c r="A28" s="1418"/>
      <c r="B28" s="1431"/>
      <c r="C28" s="1442"/>
      <c r="D28" s="2430" t="s">
        <v>672</v>
      </c>
      <c r="E28" s="1996">
        <f t="shared" ref="E28:O28" si="1">(E13+E16+E19+E22+E25)</f>
        <v>0</v>
      </c>
      <c r="F28" s="1996">
        <f t="shared" si="1"/>
        <v>0</v>
      </c>
      <c r="G28" s="1996">
        <f t="shared" si="1"/>
        <v>0</v>
      </c>
      <c r="H28" s="1996">
        <f t="shared" si="1"/>
        <v>0</v>
      </c>
      <c r="I28" s="1996">
        <f t="shared" si="1"/>
        <v>0</v>
      </c>
      <c r="J28" s="1996">
        <f t="shared" si="1"/>
        <v>0</v>
      </c>
      <c r="K28" s="1996">
        <f t="shared" si="1"/>
        <v>0</v>
      </c>
      <c r="L28" s="1996">
        <f t="shared" si="1"/>
        <v>0</v>
      </c>
      <c r="M28" s="1996">
        <f t="shared" si="1"/>
        <v>0</v>
      </c>
      <c r="N28" s="1996">
        <f t="shared" si="1"/>
        <v>0</v>
      </c>
      <c r="O28" s="1996">
        <f t="shared" si="1"/>
        <v>0</v>
      </c>
      <c r="P28" s="1998">
        <f>E28+F28+G28+H28+I28+J28+K28+L28+M28+N28+O28</f>
        <v>0</v>
      </c>
      <c r="Q28" s="1440"/>
      <c r="R28" s="1441"/>
      <c r="S28" s="1430"/>
      <c r="T28" s="1424"/>
      <c r="U28" s="1944"/>
      <c r="V28" s="4452" t="str">
        <f>IF(('الصفحة 1'!$Q$14&gt;0),((IF((P28&gt;P27),"العدد غيرمطابق",IF((P28&lt;=P27)," ")))),"")</f>
        <v xml:space="preserve"> </v>
      </c>
      <c r="W28" s="4453"/>
      <c r="X28" s="3097"/>
      <c r="Y28" s="3052"/>
      <c r="Z28" s="1420"/>
    </row>
    <row r="29" spans="1:26" ht="11.1" customHeight="1">
      <c r="A29" s="1418"/>
      <c r="B29" s="1431"/>
      <c r="C29" s="1442"/>
      <c r="D29" s="2434" t="s">
        <v>1078</v>
      </c>
      <c r="E29" s="2435"/>
      <c r="F29" s="2435"/>
      <c r="G29" s="2435"/>
      <c r="H29" s="2435"/>
      <c r="I29" s="2435"/>
      <c r="J29" s="2435"/>
      <c r="K29" s="2435"/>
      <c r="L29" s="2435"/>
      <c r="M29" s="2435"/>
      <c r="N29" s="2435"/>
      <c r="O29" s="2436"/>
      <c r="P29" s="2402" t="s">
        <v>1081</v>
      </c>
      <c r="Q29" s="1440"/>
      <c r="R29" s="1441"/>
      <c r="S29" s="1430"/>
      <c r="T29" s="1424"/>
      <c r="U29" s="1944"/>
      <c r="V29" s="2174"/>
      <c r="W29" s="2175"/>
      <c r="X29" s="3052"/>
      <c r="Y29" s="3052"/>
      <c r="Z29" s="1420"/>
    </row>
    <row r="30" spans="1:26" ht="12" customHeight="1">
      <c r="A30" s="1418"/>
      <c r="B30" s="1431"/>
      <c r="C30" s="1442"/>
      <c r="D30" s="2430" t="s">
        <v>20</v>
      </c>
      <c r="E30" s="2265"/>
      <c r="F30" s="1462"/>
      <c r="G30" s="1462"/>
      <c r="H30" s="1462"/>
      <c r="I30" s="1462"/>
      <c r="J30" s="1462"/>
      <c r="K30" s="1462"/>
      <c r="L30" s="1462"/>
      <c r="M30" s="1462"/>
      <c r="N30" s="1462"/>
      <c r="O30" s="1462"/>
      <c r="P30" s="1998">
        <f>E30+F30+G30+H30+I30+J30+K30+L30+M30+N30+O30</f>
        <v>0</v>
      </c>
      <c r="Q30" s="1440"/>
      <c r="R30" s="1441"/>
      <c r="S30" s="1430"/>
      <c r="T30" s="1424"/>
      <c r="U30" s="1944"/>
      <c r="V30" s="4464"/>
      <c r="W30" s="4464"/>
      <c r="X30" s="3052"/>
      <c r="Y30" s="3052"/>
      <c r="Z30" s="1420"/>
    </row>
    <row r="31" spans="1:26" ht="12" customHeight="1">
      <c r="A31" s="1418"/>
      <c r="B31" s="1431"/>
      <c r="C31" s="1442"/>
      <c r="D31" s="2430" t="s">
        <v>672</v>
      </c>
      <c r="E31" s="2265"/>
      <c r="F31" s="2265"/>
      <c r="G31" s="2265"/>
      <c r="H31" s="2265"/>
      <c r="I31" s="2265"/>
      <c r="J31" s="2265"/>
      <c r="K31" s="2265"/>
      <c r="L31" s="2265"/>
      <c r="M31" s="2265"/>
      <c r="N31" s="2265"/>
      <c r="O31" s="2265"/>
      <c r="P31" s="1998">
        <f>E31+F31+G31+H31+I31+J31+K31+L31+M31+N31+O31</f>
        <v>0</v>
      </c>
      <c r="Q31" s="1440"/>
      <c r="R31" s="1441"/>
      <c r="S31" s="1430"/>
      <c r="T31" s="1424"/>
      <c r="U31" s="1944"/>
      <c r="V31" s="4464"/>
      <c r="W31" s="4464"/>
      <c r="X31" s="3052"/>
      <c r="Y31" s="3052"/>
      <c r="Z31" s="1420"/>
    </row>
    <row r="32" spans="1:26" ht="11.1" customHeight="1">
      <c r="A32" s="1418"/>
      <c r="B32" s="1431"/>
      <c r="C32" s="1442"/>
      <c r="D32" s="2437" t="s">
        <v>1241</v>
      </c>
      <c r="E32" s="2000"/>
      <c r="F32" s="2000"/>
      <c r="G32" s="2000"/>
      <c r="H32" s="2000"/>
      <c r="I32" s="2000"/>
      <c r="J32" s="2000"/>
      <c r="K32" s="2000"/>
      <c r="L32" s="2000"/>
      <c r="M32" s="2000"/>
      <c r="N32" s="2000"/>
      <c r="O32" s="2000"/>
      <c r="P32" s="2403" t="s">
        <v>1242</v>
      </c>
      <c r="Q32" s="1440"/>
      <c r="R32" s="1441"/>
      <c r="S32" s="1430"/>
      <c r="T32" s="1424"/>
      <c r="U32" s="1944"/>
      <c r="V32" s="2177"/>
      <c r="W32" s="1966"/>
      <c r="X32" s="3052"/>
      <c r="Y32" s="3052"/>
      <c r="Z32" s="1420"/>
    </row>
    <row r="33" spans="1:26" ht="12.9" customHeight="1">
      <c r="A33" s="1418"/>
      <c r="B33" s="1431"/>
      <c r="C33" s="1442"/>
      <c r="D33" s="2430" t="s">
        <v>20</v>
      </c>
      <c r="E33" s="2265"/>
      <c r="F33" s="1462"/>
      <c r="G33" s="1462"/>
      <c r="H33" s="1462"/>
      <c r="I33" s="1462"/>
      <c r="J33" s="1462"/>
      <c r="K33" s="1462"/>
      <c r="L33" s="1462"/>
      <c r="M33" s="1462"/>
      <c r="N33" s="1462"/>
      <c r="O33" s="1462"/>
      <c r="P33" s="1998">
        <f>E33+F33+G33+H33+I33+J33+K33+L33+M33+N33+O33</f>
        <v>0</v>
      </c>
      <c r="Q33" s="1440"/>
      <c r="R33" s="1441"/>
      <c r="S33" s="1430"/>
      <c r="T33" s="1424"/>
      <c r="U33" s="1944"/>
      <c r="V33" s="4464"/>
      <c r="W33" s="4464"/>
      <c r="X33" s="3052"/>
      <c r="Y33" s="3052"/>
      <c r="Z33" s="1420"/>
    </row>
    <row r="34" spans="1:26" ht="12" customHeight="1">
      <c r="A34" s="1418"/>
      <c r="B34" s="1431"/>
      <c r="C34" s="1442"/>
      <c r="D34" s="2430" t="s">
        <v>672</v>
      </c>
      <c r="E34" s="2265"/>
      <c r="F34" s="2265"/>
      <c r="G34" s="2265"/>
      <c r="H34" s="2265"/>
      <c r="I34" s="2265"/>
      <c r="J34" s="2265"/>
      <c r="K34" s="2265"/>
      <c r="L34" s="2265"/>
      <c r="M34" s="2265"/>
      <c r="N34" s="2265"/>
      <c r="O34" s="2265"/>
      <c r="P34" s="1998">
        <f>E34+F34+G34+H34+I34+J34+K34+L34+M34+N34+O34</f>
        <v>0</v>
      </c>
      <c r="Q34" s="1440"/>
      <c r="R34" s="1441"/>
      <c r="S34" s="1430"/>
      <c r="T34" s="1424"/>
      <c r="U34" s="1944"/>
      <c r="V34" s="4464"/>
      <c r="W34" s="4464"/>
      <c r="X34" s="3052"/>
      <c r="Y34" s="3052"/>
      <c r="Z34" s="1420"/>
    </row>
    <row r="35" spans="1:26" ht="12" customHeight="1">
      <c r="A35" s="1418"/>
      <c r="B35" s="1431"/>
      <c r="C35" s="1442"/>
      <c r="D35" s="2438" t="s">
        <v>1079</v>
      </c>
      <c r="E35" s="2439"/>
      <c r="F35" s="2439"/>
      <c r="G35" s="2439"/>
      <c r="H35" s="2439"/>
      <c r="I35" s="2439"/>
      <c r="J35" s="2439"/>
      <c r="K35" s="2439"/>
      <c r="L35" s="2439"/>
      <c r="M35" s="2439"/>
      <c r="N35" s="2439"/>
      <c r="O35" s="2440"/>
      <c r="P35" s="2404" t="s">
        <v>1082</v>
      </c>
      <c r="Q35" s="1440"/>
      <c r="R35" s="1441"/>
      <c r="S35" s="1430"/>
      <c r="T35" s="1424"/>
      <c r="U35" s="1944"/>
      <c r="V35" s="2176"/>
      <c r="W35" s="1966"/>
      <c r="X35" s="3052"/>
      <c r="Y35" s="3052"/>
      <c r="Z35" s="1420"/>
    </row>
    <row r="36" spans="1:26" ht="12.9" customHeight="1">
      <c r="A36" s="1418"/>
      <c r="B36" s="1431"/>
      <c r="C36" s="1442"/>
      <c r="D36" s="2430" t="s">
        <v>20</v>
      </c>
      <c r="E36" s="1996">
        <f>(E27+E33)</f>
        <v>0</v>
      </c>
      <c r="F36" s="1997">
        <f t="shared" ref="F36:O36" si="2">(F27+F33)</f>
        <v>0</v>
      </c>
      <c r="G36" s="1997">
        <f t="shared" si="2"/>
        <v>0</v>
      </c>
      <c r="H36" s="1997">
        <f t="shared" si="2"/>
        <v>0</v>
      </c>
      <c r="I36" s="1997">
        <f t="shared" si="2"/>
        <v>0</v>
      </c>
      <c r="J36" s="1997">
        <f t="shared" si="2"/>
        <v>0</v>
      </c>
      <c r="K36" s="1997">
        <f t="shared" si="2"/>
        <v>0</v>
      </c>
      <c r="L36" s="1997">
        <f t="shared" si="2"/>
        <v>0</v>
      </c>
      <c r="M36" s="1997">
        <f t="shared" si="2"/>
        <v>0</v>
      </c>
      <c r="N36" s="1997">
        <f t="shared" si="2"/>
        <v>0</v>
      </c>
      <c r="O36" s="1997">
        <f t="shared" si="2"/>
        <v>0</v>
      </c>
      <c r="P36" s="1998">
        <f>E36+F36+G36+H36+I36+J36+K36+L36+M36+N36+O36</f>
        <v>0</v>
      </c>
      <c r="Q36" s="1440"/>
      <c r="R36" s="1441"/>
      <c r="S36" s="1430"/>
      <c r="T36" s="1424"/>
      <c r="U36" s="1944"/>
      <c r="V36" s="4464"/>
      <c r="W36" s="4464"/>
      <c r="X36" s="3052"/>
      <c r="Y36" s="3052"/>
      <c r="Z36" s="1420"/>
    </row>
    <row r="37" spans="1:26" ht="12.9" customHeight="1">
      <c r="A37" s="1418"/>
      <c r="B37" s="1431"/>
      <c r="C37" s="1442"/>
      <c r="D37" s="2430" t="s">
        <v>672</v>
      </c>
      <c r="E37" s="1996">
        <f t="shared" ref="E37:O37" si="3">(E28+E34)</f>
        <v>0</v>
      </c>
      <c r="F37" s="1996">
        <f t="shared" si="3"/>
        <v>0</v>
      </c>
      <c r="G37" s="1996">
        <f t="shared" si="3"/>
        <v>0</v>
      </c>
      <c r="H37" s="1996">
        <f t="shared" si="3"/>
        <v>0</v>
      </c>
      <c r="I37" s="1996">
        <f t="shared" si="3"/>
        <v>0</v>
      </c>
      <c r="J37" s="1996">
        <f t="shared" si="3"/>
        <v>0</v>
      </c>
      <c r="K37" s="1996">
        <f t="shared" si="3"/>
        <v>0</v>
      </c>
      <c r="L37" s="1996">
        <f t="shared" si="3"/>
        <v>0</v>
      </c>
      <c r="M37" s="1996">
        <f t="shared" si="3"/>
        <v>0</v>
      </c>
      <c r="N37" s="1996">
        <f t="shared" si="3"/>
        <v>0</v>
      </c>
      <c r="O37" s="1996">
        <f t="shared" si="3"/>
        <v>0</v>
      </c>
      <c r="P37" s="1998">
        <f>E37+F37+G37+H37+I37+J37+K37+L37+M37+N37+O37</f>
        <v>0</v>
      </c>
      <c r="Q37" s="1440"/>
      <c r="R37" s="1441"/>
      <c r="S37" s="1430"/>
      <c r="T37" s="1424"/>
      <c r="U37" s="1944"/>
      <c r="V37" s="4464"/>
      <c r="W37" s="4464"/>
      <c r="X37" s="3052"/>
      <c r="Y37" s="3052"/>
      <c r="Z37" s="1420"/>
    </row>
    <row r="38" spans="1:26" ht="2.1" customHeight="1">
      <c r="A38" s="1418"/>
      <c r="B38" s="1431"/>
      <c r="C38" s="1442"/>
      <c r="D38" s="1032"/>
      <c r="E38" s="1032"/>
      <c r="F38" s="1032"/>
      <c r="G38" s="1032"/>
      <c r="H38" s="1032"/>
      <c r="I38" s="1032"/>
      <c r="J38" s="1032"/>
      <c r="K38" s="1032"/>
      <c r="L38" s="1032"/>
      <c r="M38" s="1032"/>
      <c r="N38" s="1032"/>
      <c r="O38" s="1032"/>
      <c r="P38" s="1032"/>
      <c r="Q38" s="1440"/>
      <c r="R38" s="1441"/>
      <c r="S38" s="1430"/>
      <c r="T38" s="1424"/>
      <c r="U38" s="1944"/>
      <c r="V38" s="2038"/>
      <c r="W38" s="1966"/>
      <c r="X38" s="3052"/>
      <c r="Y38" s="3052"/>
      <c r="Z38" s="1420"/>
    </row>
    <row r="39" spans="1:26" ht="15" customHeight="1">
      <c r="A39" s="1418"/>
      <c r="B39" s="1431"/>
      <c r="C39" s="1442"/>
      <c r="D39" s="2441" t="s">
        <v>1243</v>
      </c>
      <c r="E39" s="2419"/>
      <c r="F39" s="2419"/>
      <c r="G39" s="2419"/>
      <c r="H39" s="2442" t="s">
        <v>1257</v>
      </c>
      <c r="I39" s="2420"/>
      <c r="J39" s="2420"/>
      <c r="K39" s="2420"/>
      <c r="L39" s="2419"/>
      <c r="M39" s="2419"/>
      <c r="N39" s="2419"/>
      <c r="O39" s="2419"/>
      <c r="P39" s="2443" t="s">
        <v>1244</v>
      </c>
      <c r="Q39" s="1440"/>
      <c r="R39" s="1441"/>
      <c r="S39" s="1430"/>
      <c r="T39" s="1424"/>
      <c r="U39" s="1944"/>
      <c r="V39" s="2038"/>
      <c r="W39" s="1966"/>
      <c r="X39" s="3052"/>
      <c r="Y39" s="3052"/>
      <c r="Z39" s="1420"/>
    </row>
    <row r="40" spans="1:26" ht="2.1" customHeight="1">
      <c r="A40" s="1418"/>
      <c r="B40" s="1431"/>
      <c r="C40" s="1442"/>
      <c r="D40" s="2444"/>
      <c r="E40" s="2445"/>
      <c r="F40" s="2445"/>
      <c r="G40" s="2445"/>
      <c r="H40" s="2445"/>
      <c r="I40" s="2445"/>
      <c r="J40" s="2445"/>
      <c r="K40" s="2445"/>
      <c r="L40" s="2445"/>
      <c r="M40" s="2445"/>
      <c r="N40" s="2444"/>
      <c r="O40" s="2446"/>
      <c r="P40" s="2447"/>
      <c r="Q40" s="1440"/>
      <c r="R40" s="1441"/>
      <c r="S40" s="1430"/>
      <c r="T40" s="1424"/>
      <c r="U40" s="1944"/>
      <c r="V40" s="2038"/>
      <c r="W40" s="1966"/>
      <c r="X40" s="3052"/>
      <c r="Y40" s="3052"/>
      <c r="Z40" s="1420"/>
    </row>
    <row r="41" spans="1:26" ht="26.1" customHeight="1">
      <c r="A41" s="1418"/>
      <c r="B41" s="1431"/>
      <c r="C41" s="1442"/>
      <c r="D41" s="2448" t="s">
        <v>940</v>
      </c>
      <c r="E41" s="2449" t="s">
        <v>941</v>
      </c>
      <c r="F41" s="2449" t="s">
        <v>56</v>
      </c>
      <c r="G41" s="2449" t="s">
        <v>942</v>
      </c>
      <c r="H41" s="2449" t="s">
        <v>943</v>
      </c>
      <c r="I41" s="2449" t="s">
        <v>944</v>
      </c>
      <c r="J41" s="2449" t="s">
        <v>1362</v>
      </c>
      <c r="K41" s="2449" t="s">
        <v>945</v>
      </c>
      <c r="L41" s="2449" t="s">
        <v>50</v>
      </c>
      <c r="M41" s="2450" t="s">
        <v>28</v>
      </c>
      <c r="N41" s="2451"/>
      <c r="O41" s="2452"/>
      <c r="P41" s="2452"/>
      <c r="Q41" s="1440"/>
      <c r="R41" s="1441"/>
      <c r="S41" s="1430"/>
      <c r="T41" s="1424"/>
      <c r="U41" s="1944"/>
      <c r="V41" s="2179" t="s">
        <v>1085</v>
      </c>
      <c r="W41" s="1966"/>
      <c r="X41" s="2037"/>
      <c r="Y41" s="2037"/>
      <c r="Z41" s="1420"/>
    </row>
    <row r="42" spans="1:26" ht="14.1" customHeight="1">
      <c r="A42" s="1418"/>
      <c r="B42" s="1431"/>
      <c r="C42" s="1442"/>
      <c r="D42" s="2430" t="s">
        <v>20</v>
      </c>
      <c r="E42" s="2265"/>
      <c r="F42" s="1462"/>
      <c r="G42" s="1462"/>
      <c r="H42" s="1462"/>
      <c r="I42" s="1462"/>
      <c r="J42" s="1462"/>
      <c r="K42" s="1462"/>
      <c r="L42" s="1462"/>
      <c r="M42" s="2453">
        <f>E42+F42+G42+H42+I42+J42+K42+L42</f>
        <v>0</v>
      </c>
      <c r="N42" s="2452"/>
      <c r="O42" s="2452"/>
      <c r="P42" s="2452"/>
      <c r="Q42" s="1440"/>
      <c r="R42" s="1441"/>
      <c r="S42" s="1430"/>
      <c r="T42" s="1424"/>
      <c r="U42" s="1944"/>
      <c r="V42" s="4452" t="str">
        <f>IF(('الصفحة 1'!$Q$14&gt;0),((IF((M42&gt;'الصفحة 14'!$P$23),"العدد غيرمطابق",IF((M42&lt;='الصفحة 14'!$P$23)," ")))),"")</f>
        <v xml:space="preserve"> </v>
      </c>
      <c r="W42" s="4453"/>
      <c r="X42" s="1975" t="str">
        <f>IF(('الصفحة 1'!$Q$14&gt;0),((IF((M42&lt;&gt;P27),"العدد غيرمطابق",IF((M42=P27)," ")))),"")</f>
        <v xml:space="preserve"> </v>
      </c>
      <c r="Y42" s="2037"/>
      <c r="Z42" s="1420"/>
    </row>
    <row r="43" spans="1:26" ht="14.1" customHeight="1">
      <c r="A43" s="1418"/>
      <c r="B43" s="1431"/>
      <c r="C43" s="1442"/>
      <c r="D43" s="2430" t="s">
        <v>672</v>
      </c>
      <c r="E43" s="2265"/>
      <c r="F43" s="2265"/>
      <c r="G43" s="2265"/>
      <c r="H43" s="2265"/>
      <c r="I43" s="2265"/>
      <c r="J43" s="2265"/>
      <c r="K43" s="2265"/>
      <c r="L43" s="2265"/>
      <c r="M43" s="2453">
        <f>E43+F43+G43+H43+I43+J43+K43+L43</f>
        <v>0</v>
      </c>
      <c r="N43" s="2452"/>
      <c r="O43" s="2452"/>
      <c r="P43" s="2452"/>
      <c r="Q43" s="1440"/>
      <c r="R43" s="1441"/>
      <c r="S43" s="1430"/>
      <c r="T43" s="1424"/>
      <c r="U43" s="1944"/>
      <c r="V43" s="4452" t="str">
        <f>IF(('الصفحة 1'!$Q$14&gt;0),((IF((M43&gt;'الصفحة 14'!$P$23),"العدد غيرمطابق",IF((M43&lt;='الصفحة 14'!$P$23)," ")))),"")</f>
        <v xml:space="preserve"> </v>
      </c>
      <c r="W43" s="4453"/>
      <c r="X43" s="1975" t="str">
        <f>IF(('الصفحة 1'!$Q$14&gt;0),((IF((M43&lt;&gt;P28),"العدد غيرمطابق",IF((M43=P28)," ")))),"")</f>
        <v xml:space="preserve"> </v>
      </c>
      <c r="Y43" s="2037"/>
      <c r="Z43" s="1420"/>
    </row>
    <row r="44" spans="1:26" ht="2.1" customHeight="1">
      <c r="A44" s="1418"/>
      <c r="B44" s="1431"/>
      <c r="C44" s="1442"/>
      <c r="D44" s="2454"/>
      <c r="E44" s="2455"/>
      <c r="F44" s="2455"/>
      <c r="G44" s="2455"/>
      <c r="H44" s="2455"/>
      <c r="I44" s="2455"/>
      <c r="J44" s="2455"/>
      <c r="K44" s="2455"/>
      <c r="L44" s="2455"/>
      <c r="M44" s="2455"/>
      <c r="N44" s="2452"/>
      <c r="O44" s="2452"/>
      <c r="P44" s="2452"/>
      <c r="Q44" s="1440"/>
      <c r="R44" s="1441"/>
      <c r="S44" s="1430"/>
      <c r="T44" s="1424"/>
      <c r="U44" s="1944"/>
      <c r="V44" s="2038"/>
      <c r="W44" s="1966"/>
      <c r="X44" s="2037"/>
      <c r="Y44" s="2037"/>
      <c r="Z44" s="1420"/>
    </row>
    <row r="45" spans="1:26" ht="2.1" customHeight="1">
      <c r="A45" s="1418"/>
      <c r="B45" s="1431"/>
      <c r="C45" s="1442"/>
      <c r="D45" s="1966"/>
      <c r="E45" s="2456"/>
      <c r="F45" s="2456"/>
      <c r="G45" s="2456"/>
      <c r="H45" s="2456"/>
      <c r="I45" s="2456"/>
      <c r="J45" s="2452"/>
      <c r="K45" s="2452"/>
      <c r="L45" s="2452"/>
      <c r="M45" s="2452"/>
      <c r="N45" s="2452"/>
      <c r="O45" s="2452"/>
      <c r="P45" s="2452"/>
      <c r="Q45" s="1440"/>
      <c r="R45" s="1441"/>
      <c r="S45" s="1430"/>
      <c r="T45" s="1424"/>
      <c r="U45" s="1944"/>
      <c r="V45" s="2038"/>
      <c r="W45" s="1966"/>
      <c r="X45" s="2037"/>
      <c r="Y45" s="2037"/>
      <c r="Z45" s="1420"/>
    </row>
    <row r="46" spans="1:26" ht="15" customHeight="1">
      <c r="A46" s="1418"/>
      <c r="B46" s="1431"/>
      <c r="C46" s="1442"/>
      <c r="D46" s="2441" t="s">
        <v>1245</v>
      </c>
      <c r="E46" s="2457"/>
      <c r="F46" s="2457"/>
      <c r="G46" s="2457"/>
      <c r="H46" s="2442" t="s">
        <v>1257</v>
      </c>
      <c r="I46" s="2458"/>
      <c r="J46" s="2458"/>
      <c r="K46" s="2458"/>
      <c r="L46" s="2457"/>
      <c r="M46" s="2457"/>
      <c r="N46" s="2457"/>
      <c r="O46" s="2457"/>
      <c r="P46" s="2459" t="s">
        <v>1246</v>
      </c>
      <c r="Q46" s="1440"/>
      <c r="R46" s="1441"/>
      <c r="S46" s="1430"/>
      <c r="T46" s="1424"/>
      <c r="U46" s="1944"/>
      <c r="V46" s="2038"/>
      <c r="W46" s="1966"/>
      <c r="X46" s="2037"/>
      <c r="Y46" s="2037"/>
      <c r="Z46" s="1420"/>
    </row>
    <row r="47" spans="1:26" ht="2.1" customHeight="1">
      <c r="A47" s="1418"/>
      <c r="B47" s="1431"/>
      <c r="C47" s="1442"/>
      <c r="D47" s="2444"/>
      <c r="E47" s="2435"/>
      <c r="F47" s="2435"/>
      <c r="G47" s="2435"/>
      <c r="H47" s="2435"/>
      <c r="I47" s="2435"/>
      <c r="J47" s="2460"/>
      <c r="K47" s="2460"/>
      <c r="L47" s="2460"/>
      <c r="M47" s="2460"/>
      <c r="N47" s="2460"/>
      <c r="O47" s="2461"/>
      <c r="P47" s="2462"/>
      <c r="Q47" s="1440"/>
      <c r="R47" s="1441"/>
      <c r="S47" s="1430"/>
      <c r="T47" s="1424"/>
      <c r="U47" s="1944"/>
      <c r="V47" s="2038"/>
      <c r="W47" s="1966"/>
      <c r="X47" s="2037"/>
      <c r="Y47" s="2037"/>
      <c r="Z47" s="1420"/>
    </row>
    <row r="48" spans="1:26" ht="18" customHeight="1">
      <c r="A48" s="1418"/>
      <c r="B48" s="1431"/>
      <c r="C48" s="1442"/>
      <c r="D48" s="2463" t="s">
        <v>946</v>
      </c>
      <c r="E48" s="4465" t="s">
        <v>947</v>
      </c>
      <c r="F48" s="4466"/>
      <c r="G48" s="4465" t="s">
        <v>948</v>
      </c>
      <c r="H48" s="4466"/>
      <c r="I48" s="4465" t="s">
        <v>949</v>
      </c>
      <c r="J48" s="4466"/>
      <c r="K48" s="4465" t="s">
        <v>950</v>
      </c>
      <c r="L48" s="4466"/>
      <c r="M48" s="4465" t="s">
        <v>951</v>
      </c>
      <c r="N48" s="4466"/>
      <c r="O48" s="4467" t="s">
        <v>28</v>
      </c>
      <c r="P48" s="4468"/>
      <c r="Q48" s="1440"/>
      <c r="R48" s="1441"/>
      <c r="S48" s="1430"/>
      <c r="T48" s="1424"/>
      <c r="U48" s="1944"/>
      <c r="V48" s="2040" t="s">
        <v>1084</v>
      </c>
      <c r="W48" s="1966"/>
      <c r="X48" s="2037"/>
      <c r="Y48" s="2037"/>
      <c r="Z48" s="1420"/>
    </row>
    <row r="49" spans="1:26" ht="14.1" customHeight="1">
      <c r="A49" s="1418"/>
      <c r="B49" s="1431"/>
      <c r="C49" s="1442"/>
      <c r="D49" s="2430" t="s">
        <v>20</v>
      </c>
      <c r="E49" s="4443"/>
      <c r="F49" s="4444"/>
      <c r="G49" s="4443"/>
      <c r="H49" s="4444"/>
      <c r="I49" s="4443"/>
      <c r="J49" s="4444"/>
      <c r="K49" s="4443"/>
      <c r="L49" s="4444"/>
      <c r="M49" s="4443"/>
      <c r="N49" s="4444"/>
      <c r="O49" s="4469">
        <f>E49+G49+I49+K49+M49</f>
        <v>0</v>
      </c>
      <c r="P49" s="4470"/>
      <c r="Q49" s="1440"/>
      <c r="R49" s="1441"/>
      <c r="S49" s="1430"/>
      <c r="T49" s="1424"/>
      <c r="U49" s="1944"/>
      <c r="V49" s="4452" t="str">
        <f>IF(('الصفحة 1'!$Q$14&gt;0),((IF((O49&gt;'الصفحة 14'!$P$23),"العدد غيرمطابق",IF((O49&lt;='الصفحة 14'!$P$23)," ")))),"")</f>
        <v xml:space="preserve"> </v>
      </c>
      <c r="W49" s="4453"/>
      <c r="X49" s="1975" t="str">
        <f>IF(('الصفحة 1'!$Q$14&gt;0),((IF((O49&lt;&gt;P27),"العدد غيرمطابق",IF((O49=P27)," ")))),"")</f>
        <v xml:space="preserve"> </v>
      </c>
      <c r="Y49" s="2037"/>
      <c r="Z49" s="1420"/>
    </row>
    <row r="50" spans="1:26" ht="14.1" customHeight="1">
      <c r="A50" s="1418"/>
      <c r="B50" s="1431"/>
      <c r="C50" s="1442"/>
      <c r="D50" s="2430" t="s">
        <v>672</v>
      </c>
      <c r="E50" s="4443"/>
      <c r="F50" s="4444"/>
      <c r="G50" s="4443"/>
      <c r="H50" s="4444"/>
      <c r="I50" s="4443"/>
      <c r="J50" s="4444"/>
      <c r="K50" s="4443"/>
      <c r="L50" s="4444"/>
      <c r="M50" s="4443"/>
      <c r="N50" s="4444"/>
      <c r="O50" s="4469">
        <f>E50+G50+I50+K50+M50</f>
        <v>0</v>
      </c>
      <c r="P50" s="4470"/>
      <c r="Q50" s="1440"/>
      <c r="R50" s="1441"/>
      <c r="S50" s="1430"/>
      <c r="T50" s="1424"/>
      <c r="U50" s="1944"/>
      <c r="V50" s="4452" t="str">
        <f>IF(('الصفحة 1'!$Q$14&gt;0),((IF((O50&gt;'الصفحة 14'!$P$23),"العدد غيرمطابق",IF((O50&lt;='الصفحة 14'!$P$23)," ")))),"")</f>
        <v xml:space="preserve"> </v>
      </c>
      <c r="W50" s="4453"/>
      <c r="X50" s="1975" t="str">
        <f>IF(('الصفحة 1'!$Q$14&gt;0),((IF((O50&lt;&gt;P28),"العدد غيرمطابق",IF((O50=P28)," ")))),"")</f>
        <v xml:space="preserve"> </v>
      </c>
      <c r="Y50" s="2037"/>
      <c r="Z50" s="1420"/>
    </row>
    <row r="51" spans="1:26" ht="2.1" customHeight="1">
      <c r="A51" s="1418"/>
      <c r="B51" s="1431"/>
      <c r="C51" s="1442"/>
      <c r="D51" s="1493"/>
      <c r="E51" s="1949"/>
      <c r="F51" s="1949"/>
      <c r="G51" s="1949"/>
      <c r="H51" s="1949"/>
      <c r="I51" s="1949"/>
      <c r="J51" s="1440"/>
      <c r="K51" s="1440"/>
      <c r="L51" s="1440"/>
      <c r="M51" s="1440"/>
      <c r="N51" s="1440"/>
      <c r="O51" s="1440"/>
      <c r="P51" s="1440"/>
      <c r="Q51" s="1440"/>
      <c r="R51" s="1441"/>
      <c r="S51" s="1430"/>
      <c r="T51" s="1424"/>
      <c r="U51" s="1944"/>
      <c r="V51" s="2038"/>
      <c r="W51" s="1966"/>
      <c r="X51" s="2037"/>
      <c r="Y51" s="2037"/>
      <c r="Z51" s="1420"/>
    </row>
    <row r="52" spans="1:26" ht="2.1" customHeight="1" thickBot="1">
      <c r="A52" s="1418"/>
      <c r="B52" s="1425"/>
      <c r="C52" s="1498"/>
      <c r="D52" s="1499"/>
      <c r="E52" s="1500"/>
      <c r="F52" s="1500"/>
      <c r="G52" s="1500"/>
      <c r="H52" s="1500"/>
      <c r="I52" s="1500"/>
      <c r="J52" s="1500"/>
      <c r="K52" s="1500"/>
      <c r="L52" s="1500"/>
      <c r="M52" s="1500"/>
      <c r="N52" s="1500"/>
      <c r="O52" s="1500"/>
      <c r="P52" s="1500"/>
      <c r="Q52" s="1500"/>
      <c r="R52" s="1501"/>
      <c r="S52" s="1430"/>
      <c r="T52" s="1491"/>
      <c r="U52" s="1983"/>
      <c r="V52" s="2038"/>
      <c r="W52" s="2038"/>
      <c r="X52" s="2038"/>
      <c r="Y52" s="2038"/>
      <c r="Z52" s="1420"/>
    </row>
    <row r="53" spans="1:26" ht="14.1" customHeight="1" thickBot="1">
      <c r="A53" s="1418"/>
      <c r="B53" s="1502"/>
      <c r="C53" s="4200">
        <v>26</v>
      </c>
      <c r="D53" s="4200"/>
      <c r="E53" s="4200"/>
      <c r="F53" s="4200"/>
      <c r="G53" s="4200"/>
      <c r="H53" s="4200"/>
      <c r="I53" s="4200"/>
      <c r="J53" s="4200"/>
      <c r="K53" s="4200"/>
      <c r="L53" s="4200"/>
      <c r="M53" s="4200"/>
      <c r="N53" s="4200"/>
      <c r="O53" s="4200"/>
      <c r="P53" s="4200"/>
      <c r="Q53" s="4200"/>
      <c r="R53" s="4200"/>
      <c r="S53" s="1503"/>
      <c r="T53" s="1416"/>
      <c r="U53" s="1984"/>
      <c r="V53" s="2038"/>
      <c r="W53" s="2038"/>
      <c r="X53" s="2038"/>
      <c r="Y53" s="2038"/>
      <c r="Z53" s="1420"/>
    </row>
    <row r="54" spans="1:26" ht="15" customHeight="1">
      <c r="A54" s="1418"/>
      <c r="B54" s="3151" t="str">
        <f>'الصفحة 1'!$B$101</f>
        <v>السنة الدراسية  2022 - 2023</v>
      </c>
      <c r="C54" s="1417"/>
      <c r="D54" s="1417"/>
      <c r="E54" s="1417"/>
      <c r="F54" s="1417"/>
      <c r="G54" s="1417"/>
      <c r="H54" s="1417"/>
      <c r="I54" s="1417"/>
      <c r="J54" s="1417"/>
      <c r="K54" s="1417"/>
      <c r="L54" s="1417"/>
      <c r="M54" s="1417"/>
      <c r="N54" s="1417"/>
      <c r="O54" s="1417"/>
      <c r="P54" s="1417"/>
      <c r="Q54" s="1417"/>
      <c r="R54" s="1417"/>
      <c r="S54" s="1416"/>
      <c r="T54" s="1418"/>
      <c r="U54" s="1418"/>
      <c r="V54" s="1419"/>
      <c r="W54" s="1419"/>
      <c r="X54" s="1419"/>
      <c r="Y54" s="1419"/>
      <c r="Z54" s="1420"/>
    </row>
  </sheetData>
  <sheetProtection password="D8D3" sheet="1" objects="1" scenarios="1"/>
  <mergeCells count="44">
    <mergeCell ref="V15:W15"/>
    <mergeCell ref="V2:X6"/>
    <mergeCell ref="V10:W10"/>
    <mergeCell ref="V12:W12"/>
    <mergeCell ref="V13:W13"/>
    <mergeCell ref="V8:W8"/>
    <mergeCell ref="V33:W33"/>
    <mergeCell ref="V16:W16"/>
    <mergeCell ref="V18:W18"/>
    <mergeCell ref="V19:W19"/>
    <mergeCell ref="V21:W21"/>
    <mergeCell ref="V22:W22"/>
    <mergeCell ref="V24:W24"/>
    <mergeCell ref="V25:W25"/>
    <mergeCell ref="V27:W27"/>
    <mergeCell ref="V28:W28"/>
    <mergeCell ref="V30:W30"/>
    <mergeCell ref="V31:W31"/>
    <mergeCell ref="V34:W34"/>
    <mergeCell ref="V36:W36"/>
    <mergeCell ref="V37:W37"/>
    <mergeCell ref="V42:W42"/>
    <mergeCell ref="V43:W43"/>
    <mergeCell ref="O48:P48"/>
    <mergeCell ref="E49:F49"/>
    <mergeCell ref="G49:H49"/>
    <mergeCell ref="I49:J49"/>
    <mergeCell ref="K49:L49"/>
    <mergeCell ref="M49:N49"/>
    <mergeCell ref="O49:P49"/>
    <mergeCell ref="E48:F48"/>
    <mergeCell ref="G48:H48"/>
    <mergeCell ref="I48:J48"/>
    <mergeCell ref="K48:L48"/>
    <mergeCell ref="M48:N48"/>
    <mergeCell ref="C53:R53"/>
    <mergeCell ref="V49:W49"/>
    <mergeCell ref="E50:F50"/>
    <mergeCell ref="G50:H50"/>
    <mergeCell ref="I50:J50"/>
    <mergeCell ref="K50:L50"/>
    <mergeCell ref="M50:N50"/>
    <mergeCell ref="O50:P50"/>
    <mergeCell ref="V50:W50"/>
  </mergeCells>
  <conditionalFormatting sqref="G49 I49:I50 K49:K50 M49:M50 O49:O50 V49:V50 X49:X50 E49 X42:X43 E42:P42 V42:V43 E27:P27 E12:P12 E15:P15 E18:P18 E21:P21 V12:V13 V15:V16 V18:V19 E30:P30 X12:X13 X15:X16 X18:X19 E24:P24 X21:X25 V21:V22 V24:V25 X27:X28 V27:V28">
    <cfRule type="cellIs" dxfId="3451" priority="1779" operator="equal">
      <formula>0</formula>
    </cfRule>
  </conditionalFormatting>
  <conditionalFormatting sqref="E13 E43:P44 V50 X50">
    <cfRule type="cellIs" dxfId="3450" priority="1777" operator="greaterThan">
      <formula>E12</formula>
    </cfRule>
    <cfRule type="cellIs" dxfId="3449" priority="1778" operator="equal">
      <formula>0</formula>
    </cfRule>
  </conditionalFormatting>
  <conditionalFormatting sqref="F13">
    <cfRule type="cellIs" dxfId="3448" priority="1775" operator="greaterThan">
      <formula>F12</formula>
    </cfRule>
    <cfRule type="cellIs" dxfId="3447" priority="1776" operator="equal">
      <formula>0</formula>
    </cfRule>
  </conditionalFormatting>
  <conditionalFormatting sqref="G13">
    <cfRule type="cellIs" dxfId="3446" priority="1773" operator="greaterThan">
      <formula>G12</formula>
    </cfRule>
    <cfRule type="cellIs" dxfId="3445" priority="1774" operator="equal">
      <formula>0</formula>
    </cfRule>
  </conditionalFormatting>
  <conditionalFormatting sqref="H13">
    <cfRule type="cellIs" dxfId="3444" priority="1771" operator="greaterThan">
      <formula>H12</formula>
    </cfRule>
    <cfRule type="cellIs" dxfId="3443" priority="1772" operator="equal">
      <formula>0</formula>
    </cfRule>
  </conditionalFormatting>
  <conditionalFormatting sqref="I13">
    <cfRule type="cellIs" dxfId="3442" priority="1769" operator="greaterThan">
      <formula>I12</formula>
    </cfRule>
    <cfRule type="cellIs" dxfId="3441" priority="1770" operator="equal">
      <formula>0</formula>
    </cfRule>
  </conditionalFormatting>
  <conditionalFormatting sqref="J13">
    <cfRule type="cellIs" dxfId="3440" priority="1767" operator="greaterThan">
      <formula>J12</formula>
    </cfRule>
    <cfRule type="cellIs" dxfId="3439" priority="1768" operator="equal">
      <formula>0</formula>
    </cfRule>
  </conditionalFormatting>
  <conditionalFormatting sqref="K13">
    <cfRule type="cellIs" dxfId="3438" priority="1765" operator="greaterThan">
      <formula>K12</formula>
    </cfRule>
    <cfRule type="cellIs" dxfId="3437" priority="1766" operator="equal">
      <formula>0</formula>
    </cfRule>
  </conditionalFormatting>
  <conditionalFormatting sqref="L13">
    <cfRule type="cellIs" dxfId="3436" priority="1763" operator="greaterThan">
      <formula>L12</formula>
    </cfRule>
    <cfRule type="cellIs" dxfId="3435" priority="1764" operator="equal">
      <formula>0</formula>
    </cfRule>
  </conditionalFormatting>
  <conditionalFormatting sqref="M13">
    <cfRule type="cellIs" dxfId="3434" priority="1761" operator="greaterThan">
      <formula>M12</formula>
    </cfRule>
    <cfRule type="cellIs" dxfId="3433" priority="1762" operator="equal">
      <formula>0</formula>
    </cfRule>
  </conditionalFormatting>
  <conditionalFormatting sqref="N13">
    <cfRule type="cellIs" dxfId="3432" priority="1759" operator="greaterThan">
      <formula>N12</formula>
    </cfRule>
    <cfRule type="cellIs" dxfId="3431" priority="1760" operator="equal">
      <formula>0</formula>
    </cfRule>
  </conditionalFormatting>
  <conditionalFormatting sqref="O13">
    <cfRule type="cellIs" dxfId="3430" priority="1757" operator="greaterThan">
      <formula>O12</formula>
    </cfRule>
    <cfRule type="cellIs" dxfId="3429" priority="1758" operator="equal">
      <formula>0</formula>
    </cfRule>
  </conditionalFormatting>
  <conditionalFormatting sqref="P13">
    <cfRule type="cellIs" dxfId="3428" priority="1755" operator="greaterThan">
      <formula>P12</formula>
    </cfRule>
    <cfRule type="cellIs" dxfId="3427" priority="1756" operator="equal">
      <formula>0</formula>
    </cfRule>
  </conditionalFormatting>
  <conditionalFormatting sqref="E16">
    <cfRule type="cellIs" dxfId="3426" priority="1753" operator="greaterThan">
      <formula>E15</formula>
    </cfRule>
    <cfRule type="cellIs" dxfId="3425" priority="1754" operator="equal">
      <formula>0</formula>
    </cfRule>
  </conditionalFormatting>
  <conditionalFormatting sqref="F16">
    <cfRule type="cellIs" dxfId="3424" priority="1751" operator="greaterThan">
      <formula>F15</formula>
    </cfRule>
    <cfRule type="cellIs" dxfId="3423" priority="1752" operator="equal">
      <formula>0</formula>
    </cfRule>
  </conditionalFormatting>
  <conditionalFormatting sqref="G16">
    <cfRule type="cellIs" dxfId="3422" priority="1749" operator="greaterThan">
      <formula>G15</formula>
    </cfRule>
    <cfRule type="cellIs" dxfId="3421" priority="1750" operator="equal">
      <formula>0</formula>
    </cfRule>
  </conditionalFormatting>
  <conditionalFormatting sqref="H16">
    <cfRule type="cellIs" dxfId="3420" priority="1747" operator="greaterThan">
      <formula>H15</formula>
    </cfRule>
    <cfRule type="cellIs" dxfId="3419" priority="1748" operator="equal">
      <formula>0</formula>
    </cfRule>
  </conditionalFormatting>
  <conditionalFormatting sqref="I16">
    <cfRule type="cellIs" dxfId="3418" priority="1745" operator="greaterThan">
      <formula>I15</formula>
    </cfRule>
    <cfRule type="cellIs" dxfId="3417" priority="1746" operator="equal">
      <formula>0</formula>
    </cfRule>
  </conditionalFormatting>
  <conditionalFormatting sqref="J16">
    <cfRule type="cellIs" dxfId="3416" priority="1743" operator="greaterThan">
      <formula>J15</formula>
    </cfRule>
    <cfRule type="cellIs" dxfId="3415" priority="1744" operator="equal">
      <formula>0</formula>
    </cfRule>
  </conditionalFormatting>
  <conditionalFormatting sqref="K16">
    <cfRule type="cellIs" dxfId="3414" priority="1741" operator="greaterThan">
      <formula>K15</formula>
    </cfRule>
    <cfRule type="cellIs" dxfId="3413" priority="1742" operator="equal">
      <formula>0</formula>
    </cfRule>
  </conditionalFormatting>
  <conditionalFormatting sqref="L16">
    <cfRule type="cellIs" dxfId="3412" priority="1739" operator="greaterThan">
      <formula>L15</formula>
    </cfRule>
    <cfRule type="cellIs" dxfId="3411" priority="1740" operator="equal">
      <formula>0</formula>
    </cfRule>
  </conditionalFormatting>
  <conditionalFormatting sqref="M16">
    <cfRule type="cellIs" dxfId="3410" priority="1737" operator="greaterThan">
      <formula>M15</formula>
    </cfRule>
    <cfRule type="cellIs" dxfId="3409" priority="1738" operator="equal">
      <formula>0</formula>
    </cfRule>
  </conditionalFormatting>
  <conditionalFormatting sqref="N16">
    <cfRule type="cellIs" dxfId="3408" priority="1735" operator="greaterThan">
      <formula>N15</formula>
    </cfRule>
    <cfRule type="cellIs" dxfId="3407" priority="1736" operator="equal">
      <formula>0</formula>
    </cfRule>
  </conditionalFormatting>
  <conditionalFormatting sqref="O16">
    <cfRule type="cellIs" dxfId="3406" priority="1733" operator="greaterThan">
      <formula>O15</formula>
    </cfRule>
    <cfRule type="cellIs" dxfId="3405" priority="1734" operator="equal">
      <formula>0</formula>
    </cfRule>
  </conditionalFormatting>
  <conditionalFormatting sqref="P16">
    <cfRule type="cellIs" dxfId="3404" priority="1731" operator="greaterThan">
      <formula>P15</formula>
    </cfRule>
    <cfRule type="cellIs" dxfId="3403" priority="1732" operator="equal">
      <formula>0</formula>
    </cfRule>
  </conditionalFormatting>
  <conditionalFormatting sqref="E19">
    <cfRule type="cellIs" dxfId="3402" priority="1729" operator="greaterThan">
      <formula>E18</formula>
    </cfRule>
    <cfRule type="cellIs" dxfId="3401" priority="1730" operator="equal">
      <formula>0</formula>
    </cfRule>
  </conditionalFormatting>
  <conditionalFormatting sqref="F19">
    <cfRule type="cellIs" dxfId="3400" priority="1727" operator="greaterThan">
      <formula>F18</formula>
    </cfRule>
    <cfRule type="cellIs" dxfId="3399" priority="1728" operator="equal">
      <formula>0</formula>
    </cfRule>
  </conditionalFormatting>
  <conditionalFormatting sqref="G19">
    <cfRule type="cellIs" dxfId="3398" priority="1725" operator="greaterThan">
      <formula>G18</formula>
    </cfRule>
    <cfRule type="cellIs" dxfId="3397" priority="1726" operator="equal">
      <formula>0</formula>
    </cfRule>
  </conditionalFormatting>
  <conditionalFormatting sqref="H19">
    <cfRule type="cellIs" dxfId="3396" priority="1723" operator="greaterThan">
      <formula>H18</formula>
    </cfRule>
    <cfRule type="cellIs" dxfId="3395" priority="1724" operator="equal">
      <formula>0</formula>
    </cfRule>
  </conditionalFormatting>
  <conditionalFormatting sqref="I19">
    <cfRule type="cellIs" dxfId="3394" priority="1721" operator="greaterThan">
      <formula>I18</formula>
    </cfRule>
    <cfRule type="cellIs" dxfId="3393" priority="1722" operator="equal">
      <formula>0</formula>
    </cfRule>
  </conditionalFormatting>
  <conditionalFormatting sqref="J19">
    <cfRule type="cellIs" dxfId="3392" priority="1719" operator="greaterThan">
      <formula>J18</formula>
    </cfRule>
    <cfRule type="cellIs" dxfId="3391" priority="1720" operator="equal">
      <formula>0</formula>
    </cfRule>
  </conditionalFormatting>
  <conditionalFormatting sqref="K19">
    <cfRule type="cellIs" dxfId="3390" priority="1717" operator="greaterThan">
      <formula>K18</formula>
    </cfRule>
    <cfRule type="cellIs" dxfId="3389" priority="1718" operator="equal">
      <formula>0</formula>
    </cfRule>
  </conditionalFormatting>
  <conditionalFormatting sqref="L19">
    <cfRule type="cellIs" dxfId="3388" priority="1715" operator="greaterThan">
      <formula>L18</formula>
    </cfRule>
    <cfRule type="cellIs" dxfId="3387" priority="1716" operator="equal">
      <formula>0</formula>
    </cfRule>
  </conditionalFormatting>
  <conditionalFormatting sqref="M19">
    <cfRule type="cellIs" dxfId="3386" priority="1713" operator="greaterThan">
      <formula>M18</formula>
    </cfRule>
    <cfRule type="cellIs" dxfId="3385" priority="1714" operator="equal">
      <formula>0</formula>
    </cfRule>
  </conditionalFormatting>
  <conditionalFormatting sqref="N19">
    <cfRule type="cellIs" dxfId="3384" priority="1711" operator="greaterThan">
      <formula>N18</formula>
    </cfRule>
    <cfRule type="cellIs" dxfId="3383" priority="1712" operator="equal">
      <formula>0</formula>
    </cfRule>
  </conditionalFormatting>
  <conditionalFormatting sqref="O19">
    <cfRule type="cellIs" dxfId="3382" priority="1709" operator="greaterThan">
      <formula>O18</formula>
    </cfRule>
    <cfRule type="cellIs" dxfId="3381" priority="1710" operator="equal">
      <formula>0</formula>
    </cfRule>
  </conditionalFormatting>
  <conditionalFormatting sqref="P19">
    <cfRule type="cellIs" dxfId="3380" priority="1707" operator="greaterThan">
      <formula>P18</formula>
    </cfRule>
    <cfRule type="cellIs" dxfId="3379" priority="1708" operator="equal">
      <formula>0</formula>
    </cfRule>
  </conditionalFormatting>
  <conditionalFormatting sqref="E22">
    <cfRule type="cellIs" dxfId="3378" priority="1705" operator="greaterThan">
      <formula>E21</formula>
    </cfRule>
    <cfRule type="cellIs" dxfId="3377" priority="1706" operator="equal">
      <formula>0</formula>
    </cfRule>
  </conditionalFormatting>
  <conditionalFormatting sqref="F22">
    <cfRule type="cellIs" dxfId="3376" priority="1703" operator="greaterThan">
      <formula>F21</formula>
    </cfRule>
    <cfRule type="cellIs" dxfId="3375" priority="1704" operator="equal">
      <formula>0</formula>
    </cfRule>
  </conditionalFormatting>
  <conditionalFormatting sqref="G22">
    <cfRule type="cellIs" dxfId="3374" priority="1701" operator="greaterThan">
      <formula>G21</formula>
    </cfRule>
    <cfRule type="cellIs" dxfId="3373" priority="1702" operator="equal">
      <formula>0</formula>
    </cfRule>
  </conditionalFormatting>
  <conditionalFormatting sqref="H22">
    <cfRule type="cellIs" dxfId="3372" priority="1699" operator="greaterThan">
      <formula>H21</formula>
    </cfRule>
    <cfRule type="cellIs" dxfId="3371" priority="1700" operator="equal">
      <formula>0</formula>
    </cfRule>
  </conditionalFormatting>
  <conditionalFormatting sqref="I22">
    <cfRule type="cellIs" dxfId="3370" priority="1697" operator="greaterThan">
      <formula>I21</formula>
    </cfRule>
    <cfRule type="cellIs" dxfId="3369" priority="1698" operator="equal">
      <formula>0</formula>
    </cfRule>
  </conditionalFormatting>
  <conditionalFormatting sqref="J22">
    <cfRule type="cellIs" dxfId="3368" priority="1695" operator="greaterThan">
      <formula>J21</formula>
    </cfRule>
    <cfRule type="cellIs" dxfId="3367" priority="1696" operator="equal">
      <formula>0</formula>
    </cfRule>
  </conditionalFormatting>
  <conditionalFormatting sqref="K22">
    <cfRule type="cellIs" dxfId="3366" priority="1693" operator="greaterThan">
      <formula>K21</formula>
    </cfRule>
    <cfRule type="cellIs" dxfId="3365" priority="1694" operator="equal">
      <formula>0</formula>
    </cfRule>
  </conditionalFormatting>
  <conditionalFormatting sqref="L22">
    <cfRule type="cellIs" dxfId="3364" priority="1691" operator="greaterThan">
      <formula>L21</formula>
    </cfRule>
    <cfRule type="cellIs" dxfId="3363" priority="1692" operator="equal">
      <formula>0</formula>
    </cfRule>
  </conditionalFormatting>
  <conditionalFormatting sqref="M22">
    <cfRule type="cellIs" dxfId="3362" priority="1689" operator="greaterThan">
      <formula>M21</formula>
    </cfRule>
    <cfRule type="cellIs" dxfId="3361" priority="1690" operator="equal">
      <formula>0</formula>
    </cfRule>
  </conditionalFormatting>
  <conditionalFormatting sqref="N22">
    <cfRule type="cellIs" dxfId="3360" priority="1687" operator="greaterThan">
      <formula>N21</formula>
    </cfRule>
    <cfRule type="cellIs" dxfId="3359" priority="1688" operator="equal">
      <formula>0</formula>
    </cfRule>
  </conditionalFormatting>
  <conditionalFormatting sqref="O22">
    <cfRule type="cellIs" dxfId="3358" priority="1685" operator="greaterThan">
      <formula>O21</formula>
    </cfRule>
    <cfRule type="cellIs" dxfId="3357" priority="1686" operator="equal">
      <formula>0</formula>
    </cfRule>
  </conditionalFormatting>
  <conditionalFormatting sqref="P22">
    <cfRule type="cellIs" dxfId="3356" priority="1683" operator="greaterThan">
      <formula>P21</formula>
    </cfRule>
    <cfRule type="cellIs" dxfId="3355" priority="1684" operator="equal">
      <formula>0</formula>
    </cfRule>
  </conditionalFormatting>
  <conditionalFormatting sqref="E28">
    <cfRule type="cellIs" dxfId="3354" priority="1681" operator="greaterThan">
      <formula>E27</formula>
    </cfRule>
    <cfRule type="cellIs" dxfId="3353" priority="1682" operator="equal">
      <formula>0</formula>
    </cfRule>
  </conditionalFormatting>
  <conditionalFormatting sqref="F28">
    <cfRule type="cellIs" dxfId="3352" priority="1679" operator="greaterThan">
      <formula>F27</formula>
    </cfRule>
    <cfRule type="cellIs" dxfId="3351" priority="1680" operator="equal">
      <formula>0</formula>
    </cfRule>
  </conditionalFormatting>
  <conditionalFormatting sqref="G28">
    <cfRule type="cellIs" dxfId="3350" priority="1677" operator="greaterThan">
      <formula>G27</formula>
    </cfRule>
    <cfRule type="cellIs" dxfId="3349" priority="1678" operator="equal">
      <formula>0</formula>
    </cfRule>
  </conditionalFormatting>
  <conditionalFormatting sqref="H28">
    <cfRule type="cellIs" dxfId="3348" priority="1675" operator="greaterThan">
      <formula>H27</formula>
    </cfRule>
    <cfRule type="cellIs" dxfId="3347" priority="1676" operator="equal">
      <formula>0</formula>
    </cfRule>
  </conditionalFormatting>
  <conditionalFormatting sqref="I28">
    <cfRule type="cellIs" dxfId="3346" priority="1673" operator="greaterThan">
      <formula>I27</formula>
    </cfRule>
    <cfRule type="cellIs" dxfId="3345" priority="1674" operator="equal">
      <formula>0</formula>
    </cfRule>
  </conditionalFormatting>
  <conditionalFormatting sqref="J28">
    <cfRule type="cellIs" dxfId="3344" priority="1671" operator="greaterThan">
      <formula>J27</formula>
    </cfRule>
    <cfRule type="cellIs" dxfId="3343" priority="1672" operator="equal">
      <formula>0</formula>
    </cfRule>
  </conditionalFormatting>
  <conditionalFormatting sqref="K28">
    <cfRule type="cellIs" dxfId="3342" priority="1669" operator="greaterThan">
      <formula>K27</formula>
    </cfRule>
    <cfRule type="cellIs" dxfId="3341" priority="1670" operator="equal">
      <formula>0</formula>
    </cfRule>
  </conditionalFormatting>
  <conditionalFormatting sqref="L28">
    <cfRule type="cellIs" dxfId="3340" priority="1667" operator="greaterThan">
      <formula>L27</formula>
    </cfRule>
    <cfRule type="cellIs" dxfId="3339" priority="1668" operator="equal">
      <formula>0</formula>
    </cfRule>
  </conditionalFormatting>
  <conditionalFormatting sqref="M28">
    <cfRule type="cellIs" dxfId="3338" priority="1665" operator="greaterThan">
      <formula>M27</formula>
    </cfRule>
    <cfRule type="cellIs" dxfId="3337" priority="1666" operator="equal">
      <formula>0</formula>
    </cfRule>
  </conditionalFormatting>
  <conditionalFormatting sqref="N28">
    <cfRule type="cellIs" dxfId="3336" priority="1663" operator="greaterThan">
      <formula>N27</formula>
    </cfRule>
    <cfRule type="cellIs" dxfId="3335" priority="1664" operator="equal">
      <formula>0</formula>
    </cfRule>
  </conditionalFormatting>
  <conditionalFormatting sqref="O28">
    <cfRule type="cellIs" dxfId="3334" priority="1661" operator="greaterThan">
      <formula>O27</formula>
    </cfRule>
    <cfRule type="cellIs" dxfId="3333" priority="1662" operator="equal">
      <formula>0</formula>
    </cfRule>
  </conditionalFormatting>
  <conditionalFormatting sqref="P28">
    <cfRule type="cellIs" dxfId="3332" priority="1659" operator="greaterThan">
      <formula>P27</formula>
    </cfRule>
    <cfRule type="cellIs" dxfId="3331" priority="1660" operator="equal">
      <formula>0</formula>
    </cfRule>
  </conditionalFormatting>
  <conditionalFormatting sqref="E47:P47">
    <cfRule type="cellIs" dxfId="3330" priority="1657" operator="greaterThan">
      <formula>E45</formula>
    </cfRule>
    <cfRule type="cellIs" dxfId="3329" priority="1658" operator="equal">
      <formula>0</formula>
    </cfRule>
  </conditionalFormatting>
  <conditionalFormatting sqref="G50 I50 K50 M50 O50 E50">
    <cfRule type="cellIs" dxfId="3328" priority="1655" operator="greaterThan">
      <formula>E49</formula>
    </cfRule>
    <cfRule type="cellIs" dxfId="3327" priority="1656" operator="equal">
      <formula>0</formula>
    </cfRule>
  </conditionalFormatting>
  <conditionalFormatting sqref="E51:P51">
    <cfRule type="cellIs" dxfId="3326" priority="1653" operator="greaterThan">
      <formula>E45</formula>
    </cfRule>
    <cfRule type="cellIs" dxfId="3325" priority="1654" operator="equal">
      <formula>0</formula>
    </cfRule>
  </conditionalFormatting>
  <conditionalFormatting sqref="V28">
    <cfRule type="cellIs" dxfId="3324" priority="1651" operator="greaterThan">
      <formula>V27</formula>
    </cfRule>
    <cfRule type="cellIs" dxfId="3323" priority="1652" operator="equal">
      <formula>0</formula>
    </cfRule>
  </conditionalFormatting>
  <conditionalFormatting sqref="V43">
    <cfRule type="cellIs" dxfId="3322" priority="1649" operator="greaterThan">
      <formula>V42</formula>
    </cfRule>
    <cfRule type="cellIs" dxfId="3321" priority="1650" operator="equal">
      <formula>0</formula>
    </cfRule>
  </conditionalFormatting>
  <conditionalFormatting sqref="X43">
    <cfRule type="cellIs" dxfId="3320" priority="1647" operator="greaterThan">
      <formula>X42</formula>
    </cfRule>
    <cfRule type="cellIs" dxfId="3319" priority="1648" operator="equal">
      <formula>0</formula>
    </cfRule>
  </conditionalFormatting>
  <conditionalFormatting sqref="V27">
    <cfRule type="cellIs" dxfId="3318" priority="1645" operator="greaterThan">
      <formula>V26</formula>
    </cfRule>
    <cfRule type="cellIs" dxfId="3317" priority="1646" operator="equal">
      <formula>0</formula>
    </cfRule>
  </conditionalFormatting>
  <conditionalFormatting sqref="E51:N51">
    <cfRule type="cellIs" dxfId="3316" priority="1643" operator="greaterThan">
      <formula>G50</formula>
    </cfRule>
    <cfRule type="cellIs" dxfId="3315" priority="1644" operator="equal">
      <formula>0</formula>
    </cfRule>
  </conditionalFormatting>
  <conditionalFormatting sqref="O51:P51">
    <cfRule type="cellIs" dxfId="3314" priority="1641" operator="greaterThan">
      <formula>#REF!</formula>
    </cfRule>
    <cfRule type="cellIs" dxfId="3313" priority="1642" operator="equal">
      <formula>0</formula>
    </cfRule>
  </conditionalFormatting>
  <conditionalFormatting sqref="V13">
    <cfRule type="cellIs" dxfId="3312" priority="1639" operator="greaterThan">
      <formula>V12</formula>
    </cfRule>
    <cfRule type="cellIs" dxfId="3311" priority="1640" operator="equal">
      <formula>0</formula>
    </cfRule>
  </conditionalFormatting>
  <conditionalFormatting sqref="V12">
    <cfRule type="cellIs" dxfId="3310" priority="1637" operator="greaterThan">
      <formula>V11</formula>
    </cfRule>
    <cfRule type="cellIs" dxfId="3309" priority="1638" operator="equal">
      <formula>0</formula>
    </cfRule>
  </conditionalFormatting>
  <conditionalFormatting sqref="V16">
    <cfRule type="cellIs" dxfId="3308" priority="1635" operator="greaterThan">
      <formula>V15</formula>
    </cfRule>
    <cfRule type="cellIs" dxfId="3307" priority="1636" operator="equal">
      <formula>0</formula>
    </cfRule>
  </conditionalFormatting>
  <conditionalFormatting sqref="V15">
    <cfRule type="cellIs" dxfId="3306" priority="1633" operator="greaterThan">
      <formula>V14</formula>
    </cfRule>
    <cfRule type="cellIs" dxfId="3305" priority="1634" operator="equal">
      <formula>0</formula>
    </cfRule>
  </conditionalFormatting>
  <conditionalFormatting sqref="V19">
    <cfRule type="cellIs" dxfId="3304" priority="1631" operator="greaterThan">
      <formula>V18</formula>
    </cfRule>
    <cfRule type="cellIs" dxfId="3303" priority="1632" operator="equal">
      <formula>0</formula>
    </cfRule>
  </conditionalFormatting>
  <conditionalFormatting sqref="V18">
    <cfRule type="cellIs" dxfId="3302" priority="1629" operator="greaterThan">
      <formula>V17</formula>
    </cfRule>
    <cfRule type="cellIs" dxfId="3301" priority="1630" operator="equal">
      <formula>0</formula>
    </cfRule>
  </conditionalFormatting>
  <conditionalFormatting sqref="V22 V24:V25">
    <cfRule type="cellIs" dxfId="3300" priority="1627" operator="greaterThan">
      <formula>V21</formula>
    </cfRule>
    <cfRule type="cellIs" dxfId="3299" priority="1628" operator="equal">
      <formula>0</formula>
    </cfRule>
  </conditionalFormatting>
  <conditionalFormatting sqref="V21">
    <cfRule type="cellIs" dxfId="3298" priority="1625" operator="greaterThan">
      <formula>V20</formula>
    </cfRule>
    <cfRule type="cellIs" dxfId="3297" priority="1626" operator="equal">
      <formula>0</formula>
    </cfRule>
  </conditionalFormatting>
  <conditionalFormatting sqref="E31">
    <cfRule type="cellIs" dxfId="3296" priority="1623" operator="greaterThan">
      <formula>E30</formula>
    </cfRule>
    <cfRule type="cellIs" dxfId="3295" priority="1624" operator="equal">
      <formula>0</formula>
    </cfRule>
  </conditionalFormatting>
  <conditionalFormatting sqref="F31">
    <cfRule type="cellIs" dxfId="3294" priority="1621" operator="greaterThan">
      <formula>F30</formula>
    </cfRule>
    <cfRule type="cellIs" dxfId="3293" priority="1622" operator="equal">
      <formula>0</formula>
    </cfRule>
  </conditionalFormatting>
  <conditionalFormatting sqref="G31">
    <cfRule type="cellIs" dxfId="3292" priority="1619" operator="greaterThan">
      <formula>G30</formula>
    </cfRule>
    <cfRule type="cellIs" dxfId="3291" priority="1620" operator="equal">
      <formula>0</formula>
    </cfRule>
  </conditionalFormatting>
  <conditionalFormatting sqref="H31">
    <cfRule type="cellIs" dxfId="3290" priority="1617" operator="greaterThan">
      <formula>H30</formula>
    </cfRule>
    <cfRule type="cellIs" dxfId="3289" priority="1618" operator="equal">
      <formula>0</formula>
    </cfRule>
  </conditionalFormatting>
  <conditionalFormatting sqref="I31">
    <cfRule type="cellIs" dxfId="3288" priority="1615" operator="greaterThan">
      <formula>I30</formula>
    </cfRule>
    <cfRule type="cellIs" dxfId="3287" priority="1616" operator="equal">
      <formula>0</formula>
    </cfRule>
  </conditionalFormatting>
  <conditionalFormatting sqref="J31">
    <cfRule type="cellIs" dxfId="3286" priority="1613" operator="greaterThan">
      <formula>J30</formula>
    </cfRule>
    <cfRule type="cellIs" dxfId="3285" priority="1614" operator="equal">
      <formula>0</formula>
    </cfRule>
  </conditionalFormatting>
  <conditionalFormatting sqref="K31">
    <cfRule type="cellIs" dxfId="3284" priority="1611" operator="greaterThan">
      <formula>K30</formula>
    </cfRule>
    <cfRule type="cellIs" dxfId="3283" priority="1612" operator="equal">
      <formula>0</formula>
    </cfRule>
  </conditionalFormatting>
  <conditionalFormatting sqref="L31">
    <cfRule type="cellIs" dxfId="3282" priority="1609" operator="greaterThan">
      <formula>L30</formula>
    </cfRule>
    <cfRule type="cellIs" dxfId="3281" priority="1610" operator="equal">
      <formula>0</formula>
    </cfRule>
  </conditionalFormatting>
  <conditionalFormatting sqref="M31">
    <cfRule type="cellIs" dxfId="3280" priority="1607" operator="greaterThan">
      <formula>M30</formula>
    </cfRule>
    <cfRule type="cellIs" dxfId="3279" priority="1608" operator="equal">
      <formula>0</formula>
    </cfRule>
  </conditionalFormatting>
  <conditionalFormatting sqref="N31">
    <cfRule type="cellIs" dxfId="3278" priority="1605" operator="greaterThan">
      <formula>N30</formula>
    </cfRule>
    <cfRule type="cellIs" dxfId="3277" priority="1606" operator="equal">
      <formula>0</formula>
    </cfRule>
  </conditionalFormatting>
  <conditionalFormatting sqref="O31">
    <cfRule type="cellIs" dxfId="3276" priority="1603" operator="greaterThan">
      <formula>O30</formula>
    </cfRule>
    <cfRule type="cellIs" dxfId="3275" priority="1604" operator="equal">
      <formula>0</formula>
    </cfRule>
  </conditionalFormatting>
  <conditionalFormatting sqref="P31">
    <cfRule type="cellIs" dxfId="3274" priority="1601" operator="greaterThan">
      <formula>P30</formula>
    </cfRule>
    <cfRule type="cellIs" dxfId="3273" priority="1602" operator="equal">
      <formula>0</formula>
    </cfRule>
  </conditionalFormatting>
  <conditionalFormatting sqref="E25">
    <cfRule type="cellIs" dxfId="3272" priority="1599" operator="greaterThan">
      <formula>E24</formula>
    </cfRule>
    <cfRule type="cellIs" dxfId="3271" priority="1600" operator="equal">
      <formula>0</formula>
    </cfRule>
  </conditionalFormatting>
  <conditionalFormatting sqref="F25">
    <cfRule type="cellIs" dxfId="3270" priority="1597" operator="greaterThan">
      <formula>F24</formula>
    </cfRule>
    <cfRule type="cellIs" dxfId="3269" priority="1598" operator="equal">
      <formula>0</formula>
    </cfRule>
  </conditionalFormatting>
  <conditionalFormatting sqref="G25">
    <cfRule type="cellIs" dxfId="3268" priority="1595" operator="greaterThan">
      <formula>G24</formula>
    </cfRule>
    <cfRule type="cellIs" dxfId="3267" priority="1596" operator="equal">
      <formula>0</formula>
    </cfRule>
  </conditionalFormatting>
  <conditionalFormatting sqref="H25">
    <cfRule type="cellIs" dxfId="3266" priority="1593" operator="greaterThan">
      <formula>H24</formula>
    </cfRule>
    <cfRule type="cellIs" dxfId="3265" priority="1594" operator="equal">
      <formula>0</formula>
    </cfRule>
  </conditionalFormatting>
  <conditionalFormatting sqref="I25">
    <cfRule type="cellIs" dxfId="3264" priority="1591" operator="greaterThan">
      <formula>I24</formula>
    </cfRule>
    <cfRule type="cellIs" dxfId="3263" priority="1592" operator="equal">
      <formula>0</formula>
    </cfRule>
  </conditionalFormatting>
  <conditionalFormatting sqref="J25">
    <cfRule type="cellIs" dxfId="3262" priority="1589" operator="greaterThan">
      <formula>J24</formula>
    </cfRule>
    <cfRule type="cellIs" dxfId="3261" priority="1590" operator="equal">
      <formula>0</formula>
    </cfRule>
  </conditionalFormatting>
  <conditionalFormatting sqref="K25">
    <cfRule type="cellIs" dxfId="3260" priority="1587" operator="greaterThan">
      <formula>K24</formula>
    </cfRule>
    <cfRule type="cellIs" dxfId="3259" priority="1588" operator="equal">
      <formula>0</formula>
    </cfRule>
  </conditionalFormatting>
  <conditionalFormatting sqref="L25">
    <cfRule type="cellIs" dxfId="3258" priority="1585" operator="greaterThan">
      <formula>L24</formula>
    </cfRule>
    <cfRule type="cellIs" dxfId="3257" priority="1586" operator="equal">
      <formula>0</formula>
    </cfRule>
  </conditionalFormatting>
  <conditionalFormatting sqref="M25">
    <cfRule type="cellIs" dxfId="3256" priority="1583" operator="greaterThan">
      <formula>M24</formula>
    </cfRule>
    <cfRule type="cellIs" dxfId="3255" priority="1584" operator="equal">
      <formula>0</formula>
    </cfRule>
  </conditionalFormatting>
  <conditionalFormatting sqref="N25">
    <cfRule type="cellIs" dxfId="3254" priority="1581" operator="greaterThan">
      <formula>N24</formula>
    </cfRule>
    <cfRule type="cellIs" dxfId="3253" priority="1582" operator="equal">
      <formula>0</formula>
    </cfRule>
  </conditionalFormatting>
  <conditionalFormatting sqref="O25">
    <cfRule type="cellIs" dxfId="3252" priority="1579" operator="greaterThan">
      <formula>O24</formula>
    </cfRule>
    <cfRule type="cellIs" dxfId="3251" priority="1580" operator="equal">
      <formula>0</formula>
    </cfRule>
  </conditionalFormatting>
  <conditionalFormatting sqref="P25">
    <cfRule type="cellIs" dxfId="3250" priority="1577" operator="greaterThan">
      <formula>P24</formula>
    </cfRule>
    <cfRule type="cellIs" dxfId="3249" priority="1578" operator="equal">
      <formula>0</formula>
    </cfRule>
  </conditionalFormatting>
  <conditionalFormatting sqref="E45:P45 E46:O46">
    <cfRule type="cellIs" dxfId="3248" priority="1575" operator="greaterThan">
      <formula>#REF!</formula>
    </cfRule>
    <cfRule type="cellIs" dxfId="3247" priority="1576" operator="equal">
      <formula>0</formula>
    </cfRule>
  </conditionalFormatting>
  <conditionalFormatting sqref="E33:P33">
    <cfRule type="cellIs" dxfId="3246" priority="1574" operator="equal">
      <formula>0</formula>
    </cfRule>
  </conditionalFormatting>
  <conditionalFormatting sqref="E34">
    <cfRule type="cellIs" dxfId="3245" priority="1572" operator="greaterThan">
      <formula>E33</formula>
    </cfRule>
    <cfRule type="cellIs" dxfId="3244" priority="1573" operator="equal">
      <formula>0</formula>
    </cfRule>
  </conditionalFormatting>
  <conditionalFormatting sqref="F34">
    <cfRule type="cellIs" dxfId="3243" priority="1570" operator="greaterThan">
      <formula>F33</formula>
    </cfRule>
    <cfRule type="cellIs" dxfId="3242" priority="1571" operator="equal">
      <formula>0</formula>
    </cfRule>
  </conditionalFormatting>
  <conditionalFormatting sqref="G34">
    <cfRule type="cellIs" dxfId="3241" priority="1568" operator="greaterThan">
      <formula>G33</formula>
    </cfRule>
    <cfRule type="cellIs" dxfId="3240" priority="1569" operator="equal">
      <formula>0</formula>
    </cfRule>
  </conditionalFormatting>
  <conditionalFormatting sqref="H34">
    <cfRule type="cellIs" dxfId="3239" priority="1566" operator="greaterThan">
      <formula>H33</formula>
    </cfRule>
    <cfRule type="cellIs" dxfId="3238" priority="1567" operator="equal">
      <formula>0</formula>
    </cfRule>
  </conditionalFormatting>
  <conditionalFormatting sqref="I34">
    <cfRule type="cellIs" dxfId="3237" priority="1564" operator="greaterThan">
      <formula>I33</formula>
    </cfRule>
    <cfRule type="cellIs" dxfId="3236" priority="1565" operator="equal">
      <formula>0</formula>
    </cfRule>
  </conditionalFormatting>
  <conditionalFormatting sqref="J34">
    <cfRule type="cellIs" dxfId="3235" priority="1562" operator="greaterThan">
      <formula>J33</formula>
    </cfRule>
    <cfRule type="cellIs" dxfId="3234" priority="1563" operator="equal">
      <formula>0</formula>
    </cfRule>
  </conditionalFormatting>
  <conditionalFormatting sqref="K34">
    <cfRule type="cellIs" dxfId="3233" priority="1560" operator="greaterThan">
      <formula>K33</formula>
    </cfRule>
    <cfRule type="cellIs" dxfId="3232" priority="1561" operator="equal">
      <formula>0</formula>
    </cfRule>
  </conditionalFormatting>
  <conditionalFormatting sqref="L34">
    <cfRule type="cellIs" dxfId="3231" priority="1558" operator="greaterThan">
      <formula>L33</formula>
    </cfRule>
    <cfRule type="cellIs" dxfId="3230" priority="1559" operator="equal">
      <formula>0</formula>
    </cfRule>
  </conditionalFormatting>
  <conditionalFormatting sqref="M34">
    <cfRule type="cellIs" dxfId="3229" priority="1556" operator="greaterThan">
      <formula>M33</formula>
    </cfRule>
    <cfRule type="cellIs" dxfId="3228" priority="1557" operator="equal">
      <formula>0</formula>
    </cfRule>
  </conditionalFormatting>
  <conditionalFormatting sqref="N34">
    <cfRule type="cellIs" dxfId="3227" priority="1554" operator="greaterThan">
      <formula>N33</formula>
    </cfRule>
    <cfRule type="cellIs" dxfId="3226" priority="1555" operator="equal">
      <formula>0</formula>
    </cfRule>
  </conditionalFormatting>
  <conditionalFormatting sqref="O34">
    <cfRule type="cellIs" dxfId="3225" priority="1552" operator="greaterThan">
      <formula>O33</formula>
    </cfRule>
    <cfRule type="cellIs" dxfId="3224" priority="1553" operator="equal">
      <formula>0</formula>
    </cfRule>
  </conditionalFormatting>
  <conditionalFormatting sqref="P34">
    <cfRule type="cellIs" dxfId="3223" priority="1550" operator="greaterThan">
      <formula>P33</formula>
    </cfRule>
    <cfRule type="cellIs" dxfId="3222" priority="1551" operator="equal">
      <formula>0</formula>
    </cfRule>
  </conditionalFormatting>
  <conditionalFormatting sqref="E36:P36">
    <cfRule type="cellIs" dxfId="3221" priority="1549" operator="equal">
      <formula>0</formula>
    </cfRule>
  </conditionalFormatting>
  <conditionalFormatting sqref="E37">
    <cfRule type="cellIs" dxfId="3220" priority="1547" operator="greaterThan">
      <formula>E36</formula>
    </cfRule>
    <cfRule type="cellIs" dxfId="3219" priority="1548" operator="equal">
      <formula>0</formula>
    </cfRule>
  </conditionalFormatting>
  <conditionalFormatting sqref="F37">
    <cfRule type="cellIs" dxfId="3218" priority="1545" operator="greaterThan">
      <formula>F36</formula>
    </cfRule>
    <cfRule type="cellIs" dxfId="3217" priority="1546" operator="equal">
      <formula>0</formula>
    </cfRule>
  </conditionalFormatting>
  <conditionalFormatting sqref="G37">
    <cfRule type="cellIs" dxfId="3216" priority="1543" operator="greaterThan">
      <formula>G36</formula>
    </cfRule>
    <cfRule type="cellIs" dxfId="3215" priority="1544" operator="equal">
      <formula>0</formula>
    </cfRule>
  </conditionalFormatting>
  <conditionalFormatting sqref="H37">
    <cfRule type="cellIs" dxfId="3214" priority="1541" operator="greaterThan">
      <formula>H36</formula>
    </cfRule>
    <cfRule type="cellIs" dxfId="3213" priority="1542" operator="equal">
      <formula>0</formula>
    </cfRule>
  </conditionalFormatting>
  <conditionalFormatting sqref="I37">
    <cfRule type="cellIs" dxfId="3212" priority="1539" operator="greaterThan">
      <formula>I36</formula>
    </cfRule>
    <cfRule type="cellIs" dxfId="3211" priority="1540" operator="equal">
      <formula>0</formula>
    </cfRule>
  </conditionalFormatting>
  <conditionalFormatting sqref="J37">
    <cfRule type="cellIs" dxfId="3210" priority="1537" operator="greaterThan">
      <formula>J36</formula>
    </cfRule>
    <cfRule type="cellIs" dxfId="3209" priority="1538" operator="equal">
      <formula>0</formula>
    </cfRule>
  </conditionalFormatting>
  <conditionalFormatting sqref="K37">
    <cfRule type="cellIs" dxfId="3208" priority="1535" operator="greaterThan">
      <formula>K36</formula>
    </cfRule>
    <cfRule type="cellIs" dxfId="3207" priority="1536" operator="equal">
      <formula>0</formula>
    </cfRule>
  </conditionalFormatting>
  <conditionalFormatting sqref="L37">
    <cfRule type="cellIs" dxfId="3206" priority="1533" operator="greaterThan">
      <formula>L36</formula>
    </cfRule>
    <cfRule type="cellIs" dxfId="3205" priority="1534" operator="equal">
      <formula>0</formula>
    </cfRule>
  </conditionalFormatting>
  <conditionalFormatting sqref="M37">
    <cfRule type="cellIs" dxfId="3204" priority="1531" operator="greaterThan">
      <formula>M36</formula>
    </cfRule>
    <cfRule type="cellIs" dxfId="3203" priority="1532" operator="equal">
      <formula>0</formula>
    </cfRule>
  </conditionalFormatting>
  <conditionalFormatting sqref="N37">
    <cfRule type="cellIs" dxfId="3202" priority="1529" operator="greaterThan">
      <formula>N36</formula>
    </cfRule>
    <cfRule type="cellIs" dxfId="3201" priority="1530" operator="equal">
      <formula>0</formula>
    </cfRule>
  </conditionalFormatting>
  <conditionalFormatting sqref="O37">
    <cfRule type="cellIs" dxfId="3200" priority="1527" operator="greaterThan">
      <formula>O36</formula>
    </cfRule>
    <cfRule type="cellIs" dxfId="3199" priority="1528" operator="equal">
      <formula>0</formula>
    </cfRule>
  </conditionalFormatting>
  <conditionalFormatting sqref="P37">
    <cfRule type="cellIs" dxfId="3198" priority="1525" operator="greaterThan">
      <formula>P36</formula>
    </cfRule>
    <cfRule type="cellIs" dxfId="3197" priority="1526" operator="equal">
      <formula>0</formula>
    </cfRule>
  </conditionalFormatting>
  <conditionalFormatting sqref="V24">
    <cfRule type="cellIs" dxfId="3196" priority="1523" operator="greaterThan">
      <formula>V23</formula>
    </cfRule>
    <cfRule type="cellIs" dxfId="3195" priority="1524" operator="equal">
      <formula>0</formula>
    </cfRule>
  </conditionalFormatting>
  <conditionalFormatting sqref="V27:V28">
    <cfRule type="cellIs" dxfId="3194" priority="1521" operator="greaterThan">
      <formula>V26</formula>
    </cfRule>
    <cfRule type="cellIs" dxfId="3193" priority="1522" operator="equal">
      <formula>0</formula>
    </cfRule>
  </conditionalFormatting>
  <conditionalFormatting sqref="V27">
    <cfRule type="cellIs" dxfId="3192" priority="1519" operator="greaterThan">
      <formula>V26</formula>
    </cfRule>
    <cfRule type="cellIs" dxfId="3191" priority="1520" operator="equal">
      <formula>0</formula>
    </cfRule>
  </conditionalFormatting>
  <conditionalFormatting sqref="P42 P27 P12 P15 P18 P21 P30 P24">
    <cfRule type="cellIs" dxfId="3190" priority="1518" operator="equal">
      <formula>0</formula>
    </cfRule>
  </conditionalFormatting>
  <conditionalFormatting sqref="P43:P44">
    <cfRule type="cellIs" dxfId="3189" priority="1516" operator="greaterThan">
      <formula>P42</formula>
    </cfRule>
    <cfRule type="cellIs" dxfId="3188" priority="1517" operator="equal">
      <formula>0</formula>
    </cfRule>
  </conditionalFormatting>
  <conditionalFormatting sqref="P13">
    <cfRule type="cellIs" dxfId="3187" priority="1514" operator="greaterThan">
      <formula>P12</formula>
    </cfRule>
    <cfRule type="cellIs" dxfId="3186" priority="1515" operator="equal">
      <formula>0</formula>
    </cfRule>
  </conditionalFormatting>
  <conditionalFormatting sqref="P16">
    <cfRule type="cellIs" dxfId="3185" priority="1512" operator="greaterThan">
      <formula>P15</formula>
    </cfRule>
    <cfRule type="cellIs" dxfId="3184" priority="1513" operator="equal">
      <formula>0</formula>
    </cfRule>
  </conditionalFormatting>
  <conditionalFormatting sqref="P19">
    <cfRule type="cellIs" dxfId="3183" priority="1510" operator="greaterThan">
      <formula>P18</formula>
    </cfRule>
    <cfRule type="cellIs" dxfId="3182" priority="1511" operator="equal">
      <formula>0</formula>
    </cfRule>
  </conditionalFormatting>
  <conditionalFormatting sqref="P22">
    <cfRule type="cellIs" dxfId="3181" priority="1508" operator="greaterThan">
      <formula>P21</formula>
    </cfRule>
    <cfRule type="cellIs" dxfId="3180" priority="1509" operator="equal">
      <formula>0</formula>
    </cfRule>
  </conditionalFormatting>
  <conditionalFormatting sqref="P28">
    <cfRule type="cellIs" dxfId="3179" priority="1506" operator="greaterThan">
      <formula>P27</formula>
    </cfRule>
    <cfRule type="cellIs" dxfId="3178" priority="1507" operator="equal">
      <formula>0</formula>
    </cfRule>
  </conditionalFormatting>
  <conditionalFormatting sqref="P31">
    <cfRule type="cellIs" dxfId="3177" priority="1504" operator="greaterThan">
      <formula>P30</formula>
    </cfRule>
    <cfRule type="cellIs" dxfId="3176" priority="1505" operator="equal">
      <formula>0</formula>
    </cfRule>
  </conditionalFormatting>
  <conditionalFormatting sqref="P25">
    <cfRule type="cellIs" dxfId="3175" priority="1502" operator="greaterThan">
      <formula>P24</formula>
    </cfRule>
    <cfRule type="cellIs" dxfId="3174" priority="1503" operator="equal">
      <formula>0</formula>
    </cfRule>
  </conditionalFormatting>
  <conditionalFormatting sqref="P45">
    <cfRule type="cellIs" dxfId="3173" priority="1500" operator="greaterThan">
      <formula>#REF!</formula>
    </cfRule>
    <cfRule type="cellIs" dxfId="3172" priority="1501" operator="equal">
      <formula>0</formula>
    </cfRule>
  </conditionalFormatting>
  <conditionalFormatting sqref="P33">
    <cfRule type="cellIs" dxfId="3171" priority="1499" operator="equal">
      <formula>0</formula>
    </cfRule>
  </conditionalFormatting>
  <conditionalFormatting sqref="P34">
    <cfRule type="cellIs" dxfId="3170" priority="1497" operator="greaterThan">
      <formula>P33</formula>
    </cfRule>
    <cfRule type="cellIs" dxfId="3169" priority="1498" operator="equal">
      <formula>0</formula>
    </cfRule>
  </conditionalFormatting>
  <conditionalFormatting sqref="P36">
    <cfRule type="cellIs" dxfId="3168" priority="1496" operator="equal">
      <formula>0</formula>
    </cfRule>
  </conditionalFormatting>
  <conditionalFormatting sqref="P37">
    <cfRule type="cellIs" dxfId="3167" priority="1494" operator="greaterThan">
      <formula>P36</formula>
    </cfRule>
    <cfRule type="cellIs" dxfId="3166" priority="1495" operator="equal">
      <formula>0</formula>
    </cfRule>
  </conditionalFormatting>
  <conditionalFormatting sqref="H42">
    <cfRule type="cellIs" dxfId="3165" priority="1493" operator="equal">
      <formula>0</formula>
    </cfRule>
  </conditionalFormatting>
  <conditionalFormatting sqref="H43:H44">
    <cfRule type="cellIs" dxfId="3164" priority="1491" operator="greaterThan">
      <formula>H42</formula>
    </cfRule>
    <cfRule type="cellIs" dxfId="3163" priority="1492" operator="equal">
      <formula>0</formula>
    </cfRule>
  </conditionalFormatting>
  <conditionalFormatting sqref="H45">
    <cfRule type="cellIs" dxfId="3162" priority="1489" operator="greaterThan">
      <formula>#REF!</formula>
    </cfRule>
    <cfRule type="cellIs" dxfId="3161" priority="1490" operator="equal">
      <formula>0</formula>
    </cfRule>
  </conditionalFormatting>
  <conditionalFormatting sqref="X49:X50 X42:X43 V42:V43 V12:V13 X12:X13 V15:V16 X15:X16 V18:V19 X18:X19 V21:V22 V24:V25 X21:X25 V27:V28 X27:X28 V49:V50">
    <cfRule type="cellIs" dxfId="3160" priority="1488" operator="equal">
      <formula>0</formula>
    </cfRule>
  </conditionalFormatting>
  <conditionalFormatting sqref="V50 X50">
    <cfRule type="cellIs" dxfId="3159" priority="1486" operator="greaterThan">
      <formula>V49</formula>
    </cfRule>
    <cfRule type="cellIs" dxfId="3158" priority="1487" operator="equal">
      <formula>0</formula>
    </cfRule>
  </conditionalFormatting>
  <conditionalFormatting sqref="V28">
    <cfRule type="cellIs" dxfId="3157" priority="1484" operator="greaterThan">
      <formula>V27</formula>
    </cfRule>
    <cfRule type="cellIs" dxfId="3156" priority="1485" operator="equal">
      <formula>0</formula>
    </cfRule>
  </conditionalFormatting>
  <conditionalFormatting sqref="V43">
    <cfRule type="cellIs" dxfId="3155" priority="1482" operator="greaterThan">
      <formula>V42</formula>
    </cfRule>
    <cfRule type="cellIs" dxfId="3154" priority="1483" operator="equal">
      <formula>0</formula>
    </cfRule>
  </conditionalFormatting>
  <conditionalFormatting sqref="X43">
    <cfRule type="cellIs" dxfId="3153" priority="1480" operator="greaterThan">
      <formula>X42</formula>
    </cfRule>
    <cfRule type="cellIs" dxfId="3152" priority="1481" operator="equal">
      <formula>0</formula>
    </cfRule>
  </conditionalFormatting>
  <conditionalFormatting sqref="V27">
    <cfRule type="cellIs" dxfId="3151" priority="1478" operator="greaterThan">
      <formula>V26</formula>
    </cfRule>
    <cfRule type="cellIs" dxfId="3150" priority="1479" operator="equal">
      <formula>0</formula>
    </cfRule>
  </conditionalFormatting>
  <conditionalFormatting sqref="V13">
    <cfRule type="cellIs" dxfId="3149" priority="1476" operator="greaterThan">
      <formula>V12</formula>
    </cfRule>
    <cfRule type="cellIs" dxfId="3148" priority="1477" operator="equal">
      <formula>0</formula>
    </cfRule>
  </conditionalFormatting>
  <conditionalFormatting sqref="V12">
    <cfRule type="cellIs" dxfId="3147" priority="1474" operator="greaterThan">
      <formula>V11</formula>
    </cfRule>
    <cfRule type="cellIs" dxfId="3146" priority="1475" operator="equal">
      <formula>0</formula>
    </cfRule>
  </conditionalFormatting>
  <conditionalFormatting sqref="V16">
    <cfRule type="cellIs" dxfId="3145" priority="1472" operator="greaterThan">
      <formula>V15</formula>
    </cfRule>
    <cfRule type="cellIs" dxfId="3144" priority="1473" operator="equal">
      <formula>0</formula>
    </cfRule>
  </conditionalFormatting>
  <conditionalFormatting sqref="V15">
    <cfRule type="cellIs" dxfId="3143" priority="1470" operator="greaterThan">
      <formula>V14</formula>
    </cfRule>
    <cfRule type="cellIs" dxfId="3142" priority="1471" operator="equal">
      <formula>0</formula>
    </cfRule>
  </conditionalFormatting>
  <conditionalFormatting sqref="V19">
    <cfRule type="cellIs" dxfId="3141" priority="1468" operator="greaterThan">
      <formula>V18</formula>
    </cfRule>
    <cfRule type="cellIs" dxfId="3140" priority="1469" operator="equal">
      <formula>0</formula>
    </cfRule>
  </conditionalFormatting>
  <conditionalFormatting sqref="V18">
    <cfRule type="cellIs" dxfId="3139" priority="1466" operator="greaterThan">
      <formula>V17</formula>
    </cfRule>
    <cfRule type="cellIs" dxfId="3138" priority="1467" operator="equal">
      <formula>0</formula>
    </cfRule>
  </conditionalFormatting>
  <conditionalFormatting sqref="V22 V24:V25">
    <cfRule type="cellIs" dxfId="3137" priority="1464" operator="greaterThan">
      <formula>V21</formula>
    </cfRule>
    <cfRule type="cellIs" dxfId="3136" priority="1465" operator="equal">
      <formula>0</formula>
    </cfRule>
  </conditionalFormatting>
  <conditionalFormatting sqref="V21">
    <cfRule type="cellIs" dxfId="3135" priority="1462" operator="greaterThan">
      <formula>V20</formula>
    </cfRule>
    <cfRule type="cellIs" dxfId="3134" priority="1463" operator="equal">
      <formula>0</formula>
    </cfRule>
  </conditionalFormatting>
  <conditionalFormatting sqref="V24">
    <cfRule type="cellIs" dxfId="3133" priority="1460" operator="greaterThan">
      <formula>V23</formula>
    </cfRule>
    <cfRule type="cellIs" dxfId="3132" priority="1461" operator="equal">
      <formula>0</formula>
    </cfRule>
  </conditionalFormatting>
  <conditionalFormatting sqref="V27:V28">
    <cfRule type="cellIs" dxfId="3131" priority="1458" operator="greaterThan">
      <formula>V26</formula>
    </cfRule>
    <cfRule type="cellIs" dxfId="3130" priority="1459" operator="equal">
      <formula>0</formula>
    </cfRule>
  </conditionalFormatting>
  <conditionalFormatting sqref="V27">
    <cfRule type="cellIs" dxfId="3129" priority="1456" operator="greaterThan">
      <formula>V26</formula>
    </cfRule>
    <cfRule type="cellIs" dxfId="3128" priority="1457" operator="equal">
      <formula>0</formula>
    </cfRule>
  </conditionalFormatting>
  <conditionalFormatting sqref="V16">
    <cfRule type="cellIs" dxfId="3127" priority="1454" operator="greaterThan">
      <formula>V15</formula>
    </cfRule>
    <cfRule type="cellIs" dxfId="3126" priority="1455" operator="equal">
      <formula>0</formula>
    </cfRule>
  </conditionalFormatting>
  <conditionalFormatting sqref="V15">
    <cfRule type="cellIs" dxfId="3125" priority="1452" operator="greaterThan">
      <formula>V14</formula>
    </cfRule>
    <cfRule type="cellIs" dxfId="3124" priority="1453" operator="equal">
      <formula>0</formula>
    </cfRule>
  </conditionalFormatting>
  <conditionalFormatting sqref="V19">
    <cfRule type="cellIs" dxfId="3123" priority="1450" operator="greaterThan">
      <formula>V18</formula>
    </cfRule>
    <cfRule type="cellIs" dxfId="3122" priority="1451" operator="equal">
      <formula>0</formula>
    </cfRule>
  </conditionalFormatting>
  <conditionalFormatting sqref="V18">
    <cfRule type="cellIs" dxfId="3121" priority="1448" operator="greaterThan">
      <formula>V17</formula>
    </cfRule>
    <cfRule type="cellIs" dxfId="3120" priority="1449" operator="equal">
      <formula>0</formula>
    </cfRule>
  </conditionalFormatting>
  <conditionalFormatting sqref="V22">
    <cfRule type="cellIs" dxfId="3119" priority="1446" operator="greaterThan">
      <formula>V21</formula>
    </cfRule>
    <cfRule type="cellIs" dxfId="3118" priority="1447" operator="equal">
      <formula>0</formula>
    </cfRule>
  </conditionalFormatting>
  <conditionalFormatting sqref="V21">
    <cfRule type="cellIs" dxfId="3117" priority="1444" operator="greaterThan">
      <formula>V20</formula>
    </cfRule>
    <cfRule type="cellIs" dxfId="3116" priority="1445" operator="equal">
      <formula>0</formula>
    </cfRule>
  </conditionalFormatting>
  <conditionalFormatting sqref="V25">
    <cfRule type="cellIs" dxfId="3115" priority="1442" operator="greaterThan">
      <formula>V24</formula>
    </cfRule>
    <cfRule type="cellIs" dxfId="3114" priority="1443" operator="equal">
      <formula>0</formula>
    </cfRule>
  </conditionalFormatting>
  <conditionalFormatting sqref="V24">
    <cfRule type="cellIs" dxfId="3113" priority="1440" operator="greaterThan">
      <formula>V23</formula>
    </cfRule>
    <cfRule type="cellIs" dxfId="3112" priority="1441" operator="equal">
      <formula>0</formula>
    </cfRule>
  </conditionalFormatting>
  <conditionalFormatting sqref="V28">
    <cfRule type="cellIs" dxfId="3111" priority="1438" operator="greaterThan">
      <formula>V27</formula>
    </cfRule>
    <cfRule type="cellIs" dxfId="3110" priority="1439" operator="equal">
      <formula>0</formula>
    </cfRule>
  </conditionalFormatting>
  <conditionalFormatting sqref="V27">
    <cfRule type="cellIs" dxfId="3109" priority="1436" operator="greaterThan">
      <formula>V26</formula>
    </cfRule>
    <cfRule type="cellIs" dxfId="3108" priority="1437" operator="equal">
      <formula>0</formula>
    </cfRule>
  </conditionalFormatting>
  <conditionalFormatting sqref="V30:V31 X30:X31">
    <cfRule type="cellIs" dxfId="3107" priority="1435" operator="equal">
      <formula>0</formula>
    </cfRule>
  </conditionalFormatting>
  <conditionalFormatting sqref="V31">
    <cfRule type="cellIs" dxfId="3106" priority="1433" operator="greaterThan">
      <formula>V30</formula>
    </cfRule>
    <cfRule type="cellIs" dxfId="3105" priority="1434" operator="equal">
      <formula>0</formula>
    </cfRule>
  </conditionalFormatting>
  <conditionalFormatting sqref="V30">
    <cfRule type="cellIs" dxfId="3104" priority="1431" operator="greaterThan">
      <formula>V29</formula>
    </cfRule>
    <cfRule type="cellIs" dxfId="3103" priority="1432" operator="equal">
      <formula>0</formula>
    </cfRule>
  </conditionalFormatting>
  <conditionalFormatting sqref="V33:V34 X33:X34">
    <cfRule type="cellIs" dxfId="3102" priority="1430" operator="equal">
      <formula>0</formula>
    </cfRule>
  </conditionalFormatting>
  <conditionalFormatting sqref="V34">
    <cfRule type="cellIs" dxfId="3101" priority="1428" operator="greaterThan">
      <formula>V33</formula>
    </cfRule>
    <cfRule type="cellIs" dxfId="3100" priority="1429" operator="equal">
      <formula>0</formula>
    </cfRule>
  </conditionalFormatting>
  <conditionalFormatting sqref="V33">
    <cfRule type="cellIs" dxfId="3099" priority="1426" operator="greaterThan">
      <formula>V32</formula>
    </cfRule>
    <cfRule type="cellIs" dxfId="3098" priority="1427" operator="equal">
      <formula>0</formula>
    </cfRule>
  </conditionalFormatting>
  <conditionalFormatting sqref="V36:V37 X36:X37">
    <cfRule type="cellIs" dxfId="3097" priority="1425" operator="equal">
      <formula>0</formula>
    </cfRule>
  </conditionalFormatting>
  <conditionalFormatting sqref="V37">
    <cfRule type="cellIs" dxfId="3096" priority="1423" operator="greaterThan">
      <formula>V36</formula>
    </cfRule>
    <cfRule type="cellIs" dxfId="3095" priority="1424" operator="equal">
      <formula>0</formula>
    </cfRule>
  </conditionalFormatting>
  <conditionalFormatting sqref="V36">
    <cfRule type="cellIs" dxfId="3094" priority="1421" operator="greaterThan">
      <formula>V35</formula>
    </cfRule>
    <cfRule type="cellIs" dxfId="3093" priority="1422" operator="equal">
      <formula>0</formula>
    </cfRule>
  </conditionalFormatting>
  <conditionalFormatting sqref="V16">
    <cfRule type="cellIs" dxfId="3092" priority="1419" operator="greaterThan">
      <formula>V15</formula>
    </cfRule>
    <cfRule type="cellIs" dxfId="3091" priority="1420" operator="equal">
      <formula>0</formula>
    </cfRule>
  </conditionalFormatting>
  <conditionalFormatting sqref="V15">
    <cfRule type="cellIs" dxfId="3090" priority="1417" operator="greaterThan">
      <formula>V14</formula>
    </cfRule>
    <cfRule type="cellIs" dxfId="3089" priority="1418" operator="equal">
      <formula>0</formula>
    </cfRule>
  </conditionalFormatting>
  <conditionalFormatting sqref="V16">
    <cfRule type="cellIs" dxfId="3088" priority="1415" operator="greaterThan">
      <formula>V15</formula>
    </cfRule>
    <cfRule type="cellIs" dxfId="3087" priority="1416" operator="equal">
      <formula>0</formula>
    </cfRule>
  </conditionalFormatting>
  <conditionalFormatting sqref="V15">
    <cfRule type="cellIs" dxfId="3086" priority="1413" operator="greaterThan">
      <formula>V14</formula>
    </cfRule>
    <cfRule type="cellIs" dxfId="3085" priority="1414" operator="equal">
      <formula>0</formula>
    </cfRule>
  </conditionalFormatting>
  <conditionalFormatting sqref="V19">
    <cfRule type="cellIs" dxfId="3084" priority="1411" operator="greaterThan">
      <formula>V18</formula>
    </cfRule>
    <cfRule type="cellIs" dxfId="3083" priority="1412" operator="equal">
      <formula>0</formula>
    </cfRule>
  </conditionalFormatting>
  <conditionalFormatting sqref="V18">
    <cfRule type="cellIs" dxfId="3082" priority="1409" operator="greaterThan">
      <formula>V17</formula>
    </cfRule>
    <cfRule type="cellIs" dxfId="3081" priority="1410" operator="equal">
      <formula>0</formula>
    </cfRule>
  </conditionalFormatting>
  <conditionalFormatting sqref="V19">
    <cfRule type="cellIs" dxfId="3080" priority="1407" operator="greaterThan">
      <formula>V18</formula>
    </cfRule>
    <cfRule type="cellIs" dxfId="3079" priority="1408" operator="equal">
      <formula>0</formula>
    </cfRule>
  </conditionalFormatting>
  <conditionalFormatting sqref="V18">
    <cfRule type="cellIs" dxfId="3078" priority="1405" operator="greaterThan">
      <formula>V17</formula>
    </cfRule>
    <cfRule type="cellIs" dxfId="3077" priority="1406" operator="equal">
      <formula>0</formula>
    </cfRule>
  </conditionalFormatting>
  <conditionalFormatting sqref="V19">
    <cfRule type="cellIs" dxfId="3076" priority="1403" operator="greaterThan">
      <formula>V18</formula>
    </cfRule>
    <cfRule type="cellIs" dxfId="3075" priority="1404" operator="equal">
      <formula>0</formula>
    </cfRule>
  </conditionalFormatting>
  <conditionalFormatting sqref="V18">
    <cfRule type="cellIs" dxfId="3074" priority="1401" operator="greaterThan">
      <formula>V17</formula>
    </cfRule>
    <cfRule type="cellIs" dxfId="3073" priority="1402" operator="equal">
      <formula>0</formula>
    </cfRule>
  </conditionalFormatting>
  <conditionalFormatting sqref="V19">
    <cfRule type="cellIs" dxfId="3072" priority="1399" operator="greaterThan">
      <formula>V18</formula>
    </cfRule>
    <cfRule type="cellIs" dxfId="3071" priority="1400" operator="equal">
      <formula>0</formula>
    </cfRule>
  </conditionalFormatting>
  <conditionalFormatting sqref="V18">
    <cfRule type="cellIs" dxfId="3070" priority="1397" operator="greaterThan">
      <formula>V17</formula>
    </cfRule>
    <cfRule type="cellIs" dxfId="3069" priority="1398" operator="equal">
      <formula>0</formula>
    </cfRule>
  </conditionalFormatting>
  <conditionalFormatting sqref="V22">
    <cfRule type="cellIs" dxfId="3068" priority="1395" operator="greaterThan">
      <formula>V21</formula>
    </cfRule>
    <cfRule type="cellIs" dxfId="3067" priority="1396" operator="equal">
      <formula>0</formula>
    </cfRule>
  </conditionalFormatting>
  <conditionalFormatting sqref="V21">
    <cfRule type="cellIs" dxfId="3066" priority="1393" operator="greaterThan">
      <formula>V20</formula>
    </cfRule>
    <cfRule type="cellIs" dxfId="3065" priority="1394" operator="equal">
      <formula>0</formula>
    </cfRule>
  </conditionalFormatting>
  <conditionalFormatting sqref="V22">
    <cfRule type="cellIs" dxfId="3064" priority="1391" operator="greaterThan">
      <formula>V21</formula>
    </cfRule>
    <cfRule type="cellIs" dxfId="3063" priority="1392" operator="equal">
      <formula>0</formula>
    </cfRule>
  </conditionalFormatting>
  <conditionalFormatting sqref="V21">
    <cfRule type="cellIs" dxfId="3062" priority="1389" operator="greaterThan">
      <formula>V20</formula>
    </cfRule>
    <cfRule type="cellIs" dxfId="3061" priority="1390" operator="equal">
      <formula>0</formula>
    </cfRule>
  </conditionalFormatting>
  <conditionalFormatting sqref="V22">
    <cfRule type="cellIs" dxfId="3060" priority="1387" operator="greaterThan">
      <formula>V21</formula>
    </cfRule>
    <cfRule type="cellIs" dxfId="3059" priority="1388" operator="equal">
      <formula>0</formula>
    </cfRule>
  </conditionalFormatting>
  <conditionalFormatting sqref="V21">
    <cfRule type="cellIs" dxfId="3058" priority="1385" operator="greaterThan">
      <formula>V20</formula>
    </cfRule>
    <cfRule type="cellIs" dxfId="3057" priority="1386" operator="equal">
      <formula>0</formula>
    </cfRule>
  </conditionalFormatting>
  <conditionalFormatting sqref="V22">
    <cfRule type="cellIs" dxfId="3056" priority="1383" operator="greaterThan">
      <formula>V21</formula>
    </cfRule>
    <cfRule type="cellIs" dxfId="3055" priority="1384" operator="equal">
      <formula>0</formula>
    </cfRule>
  </conditionalFormatting>
  <conditionalFormatting sqref="V21">
    <cfRule type="cellIs" dxfId="3054" priority="1381" operator="greaterThan">
      <formula>V20</formula>
    </cfRule>
    <cfRule type="cellIs" dxfId="3053" priority="1382" operator="equal">
      <formula>0</formula>
    </cfRule>
  </conditionalFormatting>
  <conditionalFormatting sqref="V22">
    <cfRule type="cellIs" dxfId="3052" priority="1379" operator="greaterThan">
      <formula>V21</formula>
    </cfRule>
    <cfRule type="cellIs" dxfId="3051" priority="1380" operator="equal">
      <formula>0</formula>
    </cfRule>
  </conditionalFormatting>
  <conditionalFormatting sqref="V21">
    <cfRule type="cellIs" dxfId="3050" priority="1377" operator="greaterThan">
      <formula>V20</formula>
    </cfRule>
    <cfRule type="cellIs" dxfId="3049" priority="1378" operator="equal">
      <formula>0</formula>
    </cfRule>
  </conditionalFormatting>
  <conditionalFormatting sqref="V22">
    <cfRule type="cellIs" dxfId="3048" priority="1375" operator="greaterThan">
      <formula>V21</formula>
    </cfRule>
    <cfRule type="cellIs" dxfId="3047" priority="1376" operator="equal">
      <formula>0</formula>
    </cfRule>
  </conditionalFormatting>
  <conditionalFormatting sqref="V21">
    <cfRule type="cellIs" dxfId="3046" priority="1373" operator="greaterThan">
      <formula>V20</formula>
    </cfRule>
    <cfRule type="cellIs" dxfId="3045" priority="1374" operator="equal">
      <formula>0</formula>
    </cfRule>
  </conditionalFormatting>
  <conditionalFormatting sqref="V24">
    <cfRule type="cellIs" dxfId="3044" priority="1371" operator="greaterThan">
      <formula>V23</formula>
    </cfRule>
    <cfRule type="cellIs" dxfId="3043" priority="1372" operator="equal">
      <formula>0</formula>
    </cfRule>
  </conditionalFormatting>
  <conditionalFormatting sqref="V25">
    <cfRule type="cellIs" dxfId="3042" priority="1369" operator="greaterThan">
      <formula>V24</formula>
    </cfRule>
    <cfRule type="cellIs" dxfId="3041" priority="1370" operator="equal">
      <formula>0</formula>
    </cfRule>
  </conditionalFormatting>
  <conditionalFormatting sqref="V24">
    <cfRule type="cellIs" dxfId="3040" priority="1367" operator="greaterThan">
      <formula>V23</formula>
    </cfRule>
    <cfRule type="cellIs" dxfId="3039" priority="1368" operator="equal">
      <formula>0</formula>
    </cfRule>
  </conditionalFormatting>
  <conditionalFormatting sqref="V25">
    <cfRule type="cellIs" dxfId="3038" priority="1365" operator="greaterThan">
      <formula>V24</formula>
    </cfRule>
    <cfRule type="cellIs" dxfId="3037" priority="1366" operator="equal">
      <formula>0</formula>
    </cfRule>
  </conditionalFormatting>
  <conditionalFormatting sqref="V24">
    <cfRule type="cellIs" dxfId="3036" priority="1363" operator="greaterThan">
      <formula>V23</formula>
    </cfRule>
    <cfRule type="cellIs" dxfId="3035" priority="1364" operator="equal">
      <formula>0</formula>
    </cfRule>
  </conditionalFormatting>
  <conditionalFormatting sqref="V25">
    <cfRule type="cellIs" dxfId="3034" priority="1361" operator="greaterThan">
      <formula>V24</formula>
    </cfRule>
    <cfRule type="cellIs" dxfId="3033" priority="1362" operator="equal">
      <formula>0</formula>
    </cfRule>
  </conditionalFormatting>
  <conditionalFormatting sqref="V24">
    <cfRule type="cellIs" dxfId="3032" priority="1359" operator="greaterThan">
      <formula>V23</formula>
    </cfRule>
    <cfRule type="cellIs" dxfId="3031" priority="1360" operator="equal">
      <formula>0</formula>
    </cfRule>
  </conditionalFormatting>
  <conditionalFormatting sqref="V25">
    <cfRule type="cellIs" dxfId="3030" priority="1357" operator="greaterThan">
      <formula>V24</formula>
    </cfRule>
    <cfRule type="cellIs" dxfId="3029" priority="1358" operator="equal">
      <formula>0</formula>
    </cfRule>
  </conditionalFormatting>
  <conditionalFormatting sqref="V24">
    <cfRule type="cellIs" dxfId="3028" priority="1355" operator="greaterThan">
      <formula>V23</formula>
    </cfRule>
    <cfRule type="cellIs" dxfId="3027" priority="1356" operator="equal">
      <formula>0</formula>
    </cfRule>
  </conditionalFormatting>
  <conditionalFormatting sqref="V25">
    <cfRule type="cellIs" dxfId="3026" priority="1353" operator="greaterThan">
      <formula>V24</formula>
    </cfRule>
    <cfRule type="cellIs" dxfId="3025" priority="1354" operator="equal">
      <formula>0</formula>
    </cfRule>
  </conditionalFormatting>
  <conditionalFormatting sqref="V24">
    <cfRule type="cellIs" dxfId="3024" priority="1351" operator="greaterThan">
      <formula>V23</formula>
    </cfRule>
    <cfRule type="cellIs" dxfId="3023" priority="1352" operator="equal">
      <formula>0</formula>
    </cfRule>
  </conditionalFormatting>
  <conditionalFormatting sqref="V25">
    <cfRule type="cellIs" dxfId="3022" priority="1349" operator="greaterThan">
      <formula>V24</formula>
    </cfRule>
    <cfRule type="cellIs" dxfId="3021" priority="1350" operator="equal">
      <formula>0</formula>
    </cfRule>
  </conditionalFormatting>
  <conditionalFormatting sqref="V24">
    <cfRule type="cellIs" dxfId="3020" priority="1347" operator="greaterThan">
      <formula>V23</formula>
    </cfRule>
    <cfRule type="cellIs" dxfId="3019" priority="1348" operator="equal">
      <formula>0</formula>
    </cfRule>
  </conditionalFormatting>
  <conditionalFormatting sqref="V25">
    <cfRule type="cellIs" dxfId="3018" priority="1345" operator="greaterThan">
      <formula>V24</formula>
    </cfRule>
    <cfRule type="cellIs" dxfId="3017" priority="1346" operator="equal">
      <formula>0</formula>
    </cfRule>
  </conditionalFormatting>
  <conditionalFormatting sqref="V24">
    <cfRule type="cellIs" dxfId="3016" priority="1343" operator="greaterThan">
      <formula>V23</formula>
    </cfRule>
    <cfRule type="cellIs" dxfId="3015" priority="1344" operator="equal">
      <formula>0</formula>
    </cfRule>
  </conditionalFormatting>
  <conditionalFormatting sqref="V27:V28">
    <cfRule type="cellIs" dxfId="3014" priority="1341" operator="greaterThan">
      <formula>V26</formula>
    </cfRule>
    <cfRule type="cellIs" dxfId="3013" priority="1342" operator="equal">
      <formula>0</formula>
    </cfRule>
  </conditionalFormatting>
  <conditionalFormatting sqref="V27">
    <cfRule type="cellIs" dxfId="3012" priority="1339" operator="greaterThan">
      <formula>V26</formula>
    </cfRule>
    <cfRule type="cellIs" dxfId="3011" priority="1340" operator="equal">
      <formula>0</formula>
    </cfRule>
  </conditionalFormatting>
  <conditionalFormatting sqref="V28">
    <cfRule type="cellIs" dxfId="3010" priority="1337" operator="greaterThan">
      <formula>V27</formula>
    </cfRule>
    <cfRule type="cellIs" dxfId="3009" priority="1338" operator="equal">
      <formula>0</formula>
    </cfRule>
  </conditionalFormatting>
  <conditionalFormatting sqref="V27">
    <cfRule type="cellIs" dxfId="3008" priority="1335" operator="greaterThan">
      <formula>V26</formula>
    </cfRule>
    <cfRule type="cellIs" dxfId="3007" priority="1336" operator="equal">
      <formula>0</formula>
    </cfRule>
  </conditionalFormatting>
  <conditionalFormatting sqref="V27">
    <cfRule type="cellIs" dxfId="3006" priority="1333" operator="greaterThan">
      <formula>V26</formula>
    </cfRule>
    <cfRule type="cellIs" dxfId="3005" priority="1334" operator="equal">
      <formula>0</formula>
    </cfRule>
  </conditionalFormatting>
  <conditionalFormatting sqref="V28">
    <cfRule type="cellIs" dxfId="3004" priority="1331" operator="greaterThan">
      <formula>V27</formula>
    </cfRule>
    <cfRule type="cellIs" dxfId="3003" priority="1332" operator="equal">
      <formula>0</formula>
    </cfRule>
  </conditionalFormatting>
  <conditionalFormatting sqref="V27">
    <cfRule type="cellIs" dxfId="3002" priority="1329" operator="greaterThan">
      <formula>V26</formula>
    </cfRule>
    <cfRule type="cellIs" dxfId="3001" priority="1330" operator="equal">
      <formula>0</formula>
    </cfRule>
  </conditionalFormatting>
  <conditionalFormatting sqref="V28">
    <cfRule type="cellIs" dxfId="3000" priority="1327" operator="greaterThan">
      <formula>V27</formula>
    </cfRule>
    <cfRule type="cellIs" dxfId="2999" priority="1328" operator="equal">
      <formula>0</formula>
    </cfRule>
  </conditionalFormatting>
  <conditionalFormatting sqref="V27">
    <cfRule type="cellIs" dxfId="2998" priority="1325" operator="greaterThan">
      <formula>V26</formula>
    </cfRule>
    <cfRule type="cellIs" dxfId="2997" priority="1326" operator="equal">
      <formula>0</formula>
    </cfRule>
  </conditionalFormatting>
  <conditionalFormatting sqref="V28">
    <cfRule type="cellIs" dxfId="2996" priority="1323" operator="greaterThan">
      <formula>V27</formula>
    </cfRule>
    <cfRule type="cellIs" dxfId="2995" priority="1324" operator="equal">
      <formula>0</formula>
    </cfRule>
  </conditionalFormatting>
  <conditionalFormatting sqref="V27">
    <cfRule type="cellIs" dxfId="2994" priority="1321" operator="greaterThan">
      <formula>V26</formula>
    </cfRule>
    <cfRule type="cellIs" dxfId="2993" priority="1322" operator="equal">
      <formula>0</formula>
    </cfRule>
  </conditionalFormatting>
  <conditionalFormatting sqref="V28">
    <cfRule type="cellIs" dxfId="2992" priority="1319" operator="greaterThan">
      <formula>V27</formula>
    </cfRule>
    <cfRule type="cellIs" dxfId="2991" priority="1320" operator="equal">
      <formula>0</formula>
    </cfRule>
  </conditionalFormatting>
  <conditionalFormatting sqref="V27">
    <cfRule type="cellIs" dxfId="2990" priority="1317" operator="greaterThan">
      <formula>V26</formula>
    </cfRule>
    <cfRule type="cellIs" dxfId="2989" priority="1318" operator="equal">
      <formula>0</formula>
    </cfRule>
  </conditionalFormatting>
  <conditionalFormatting sqref="V28">
    <cfRule type="cellIs" dxfId="2988" priority="1315" operator="greaterThan">
      <formula>V27</formula>
    </cfRule>
    <cfRule type="cellIs" dxfId="2987" priority="1316" operator="equal">
      <formula>0</formula>
    </cfRule>
  </conditionalFormatting>
  <conditionalFormatting sqref="V27">
    <cfRule type="cellIs" dxfId="2986" priority="1313" operator="greaterThan">
      <formula>V26</formula>
    </cfRule>
    <cfRule type="cellIs" dxfId="2985" priority="1314" operator="equal">
      <formula>0</formula>
    </cfRule>
  </conditionalFormatting>
  <conditionalFormatting sqref="V28">
    <cfRule type="cellIs" dxfId="2984" priority="1311" operator="greaterThan">
      <formula>V27</formula>
    </cfRule>
    <cfRule type="cellIs" dxfId="2983" priority="1312" operator="equal">
      <formula>0</formula>
    </cfRule>
  </conditionalFormatting>
  <conditionalFormatting sqref="V27">
    <cfRule type="cellIs" dxfId="2982" priority="1309" operator="greaterThan">
      <formula>V26</formula>
    </cfRule>
    <cfRule type="cellIs" dxfId="2981" priority="1310" operator="equal">
      <formula>0</formula>
    </cfRule>
  </conditionalFormatting>
  <conditionalFormatting sqref="V28">
    <cfRule type="cellIs" dxfId="2980" priority="1307" operator="greaterThan">
      <formula>V27</formula>
    </cfRule>
    <cfRule type="cellIs" dxfId="2979" priority="1308" operator="equal">
      <formula>0</formula>
    </cfRule>
  </conditionalFormatting>
  <conditionalFormatting sqref="V27">
    <cfRule type="cellIs" dxfId="2978" priority="1305" operator="greaterThan">
      <formula>V26</formula>
    </cfRule>
    <cfRule type="cellIs" dxfId="2977" priority="1306" operator="equal">
      <formula>0</formula>
    </cfRule>
  </conditionalFormatting>
  <conditionalFormatting sqref="V50">
    <cfRule type="cellIs" dxfId="2976" priority="1303" operator="greaterThan">
      <formula>V49</formula>
    </cfRule>
    <cfRule type="cellIs" dxfId="2975" priority="1304" operator="equal">
      <formula>0</formula>
    </cfRule>
  </conditionalFormatting>
  <conditionalFormatting sqref="V12:V13 X12:X13 X15:X16 X18:X19 X21:X25 X27:X28 V15:V16 V18:V19 V21:V22 V24:V25 V27:V28">
    <cfRule type="cellIs" dxfId="2974" priority="1302" operator="equal">
      <formula>0</formula>
    </cfRule>
  </conditionalFormatting>
  <conditionalFormatting sqref="V28">
    <cfRule type="cellIs" dxfId="2973" priority="1300" operator="greaterThan">
      <formula>V27</formula>
    </cfRule>
    <cfRule type="cellIs" dxfId="2972" priority="1301" operator="equal">
      <formula>0</formula>
    </cfRule>
  </conditionalFormatting>
  <conditionalFormatting sqref="V27">
    <cfRule type="cellIs" dxfId="2971" priority="1298" operator="greaterThan">
      <formula>V26</formula>
    </cfRule>
    <cfRule type="cellIs" dxfId="2970" priority="1299" operator="equal">
      <formula>0</formula>
    </cfRule>
  </conditionalFormatting>
  <conditionalFormatting sqref="V13">
    <cfRule type="cellIs" dxfId="2969" priority="1296" operator="greaterThan">
      <formula>V12</formula>
    </cfRule>
    <cfRule type="cellIs" dxfId="2968" priority="1297" operator="equal">
      <formula>0</formula>
    </cfRule>
  </conditionalFormatting>
  <conditionalFormatting sqref="V12">
    <cfRule type="cellIs" dxfId="2967" priority="1294" operator="greaterThan">
      <formula>V11</formula>
    </cfRule>
    <cfRule type="cellIs" dxfId="2966" priority="1295" operator="equal">
      <formula>0</formula>
    </cfRule>
  </conditionalFormatting>
  <conditionalFormatting sqref="V16">
    <cfRule type="cellIs" dxfId="2965" priority="1292" operator="greaterThan">
      <formula>V15</formula>
    </cfRule>
    <cfRule type="cellIs" dxfId="2964" priority="1293" operator="equal">
      <formula>0</formula>
    </cfRule>
  </conditionalFormatting>
  <conditionalFormatting sqref="V15">
    <cfRule type="cellIs" dxfId="2963" priority="1290" operator="greaterThan">
      <formula>V14</formula>
    </cfRule>
    <cfRule type="cellIs" dxfId="2962" priority="1291" operator="equal">
      <formula>0</formula>
    </cfRule>
  </conditionalFormatting>
  <conditionalFormatting sqref="V19">
    <cfRule type="cellIs" dxfId="2961" priority="1288" operator="greaterThan">
      <formula>V18</formula>
    </cfRule>
    <cfRule type="cellIs" dxfId="2960" priority="1289" operator="equal">
      <formula>0</formula>
    </cfRule>
  </conditionalFormatting>
  <conditionalFormatting sqref="V18">
    <cfRule type="cellIs" dxfId="2959" priority="1286" operator="greaterThan">
      <formula>V17</formula>
    </cfRule>
    <cfRule type="cellIs" dxfId="2958" priority="1287" operator="equal">
      <formula>0</formula>
    </cfRule>
  </conditionalFormatting>
  <conditionalFormatting sqref="V22 V24:V25">
    <cfRule type="cellIs" dxfId="2957" priority="1284" operator="greaterThan">
      <formula>V21</formula>
    </cfRule>
    <cfRule type="cellIs" dxfId="2956" priority="1285" operator="equal">
      <formula>0</formula>
    </cfRule>
  </conditionalFormatting>
  <conditionalFormatting sqref="V21">
    <cfRule type="cellIs" dxfId="2955" priority="1282" operator="greaterThan">
      <formula>V20</formula>
    </cfRule>
    <cfRule type="cellIs" dxfId="2954" priority="1283" operator="equal">
      <formula>0</formula>
    </cfRule>
  </conditionalFormatting>
  <conditionalFormatting sqref="V24">
    <cfRule type="cellIs" dxfId="2953" priority="1280" operator="greaterThan">
      <formula>V23</formula>
    </cfRule>
    <cfRule type="cellIs" dxfId="2952" priority="1281" operator="equal">
      <formula>0</formula>
    </cfRule>
  </conditionalFormatting>
  <conditionalFormatting sqref="V27:V28">
    <cfRule type="cellIs" dxfId="2951" priority="1278" operator="greaterThan">
      <formula>V26</formula>
    </cfRule>
    <cfRule type="cellIs" dxfId="2950" priority="1279" operator="equal">
      <formula>0</formula>
    </cfRule>
  </conditionalFormatting>
  <conditionalFormatting sqref="V27">
    <cfRule type="cellIs" dxfId="2949" priority="1276" operator="greaterThan">
      <formula>V26</formula>
    </cfRule>
    <cfRule type="cellIs" dxfId="2948" priority="1277" operator="equal">
      <formula>0</formula>
    </cfRule>
  </conditionalFormatting>
  <conditionalFormatting sqref="V16">
    <cfRule type="cellIs" dxfId="2947" priority="1274" operator="greaterThan">
      <formula>V15</formula>
    </cfRule>
    <cfRule type="cellIs" dxfId="2946" priority="1275" operator="equal">
      <formula>0</formula>
    </cfRule>
  </conditionalFormatting>
  <conditionalFormatting sqref="V15">
    <cfRule type="cellIs" dxfId="2945" priority="1272" operator="greaterThan">
      <formula>V14</formula>
    </cfRule>
    <cfRule type="cellIs" dxfId="2944" priority="1273" operator="equal">
      <formula>0</formula>
    </cfRule>
  </conditionalFormatting>
  <conditionalFormatting sqref="V19">
    <cfRule type="cellIs" dxfId="2943" priority="1270" operator="greaterThan">
      <formula>V18</formula>
    </cfRule>
    <cfRule type="cellIs" dxfId="2942" priority="1271" operator="equal">
      <formula>0</formula>
    </cfRule>
  </conditionalFormatting>
  <conditionalFormatting sqref="V18">
    <cfRule type="cellIs" dxfId="2941" priority="1268" operator="greaterThan">
      <formula>V17</formula>
    </cfRule>
    <cfRule type="cellIs" dxfId="2940" priority="1269" operator="equal">
      <formula>0</formula>
    </cfRule>
  </conditionalFormatting>
  <conditionalFormatting sqref="V22">
    <cfRule type="cellIs" dxfId="2939" priority="1266" operator="greaterThan">
      <formula>V21</formula>
    </cfRule>
    <cfRule type="cellIs" dxfId="2938" priority="1267" operator="equal">
      <formula>0</formula>
    </cfRule>
  </conditionalFormatting>
  <conditionalFormatting sqref="V21">
    <cfRule type="cellIs" dxfId="2937" priority="1264" operator="greaterThan">
      <formula>V20</formula>
    </cfRule>
    <cfRule type="cellIs" dxfId="2936" priority="1265" operator="equal">
      <formula>0</formula>
    </cfRule>
  </conditionalFormatting>
  <conditionalFormatting sqref="V25">
    <cfRule type="cellIs" dxfId="2935" priority="1262" operator="greaterThan">
      <formula>V24</formula>
    </cfRule>
    <cfRule type="cellIs" dxfId="2934" priority="1263" operator="equal">
      <formula>0</formula>
    </cfRule>
  </conditionalFormatting>
  <conditionalFormatting sqref="V24">
    <cfRule type="cellIs" dxfId="2933" priority="1260" operator="greaterThan">
      <formula>V23</formula>
    </cfRule>
    <cfRule type="cellIs" dxfId="2932" priority="1261" operator="equal">
      <formula>0</formula>
    </cfRule>
  </conditionalFormatting>
  <conditionalFormatting sqref="V28">
    <cfRule type="cellIs" dxfId="2931" priority="1258" operator="greaterThan">
      <formula>V27</formula>
    </cfRule>
    <cfRule type="cellIs" dxfId="2930" priority="1259" operator="equal">
      <formula>0</formula>
    </cfRule>
  </conditionalFormatting>
  <conditionalFormatting sqref="V27">
    <cfRule type="cellIs" dxfId="2929" priority="1256" operator="greaterThan">
      <formula>V26</formula>
    </cfRule>
    <cfRule type="cellIs" dxfId="2928" priority="1257" operator="equal">
      <formula>0</formula>
    </cfRule>
  </conditionalFormatting>
  <conditionalFormatting sqref="V30:V31 X30:X31">
    <cfRule type="cellIs" dxfId="2927" priority="1255" operator="equal">
      <formula>0</formula>
    </cfRule>
  </conditionalFormatting>
  <conditionalFormatting sqref="V31">
    <cfRule type="cellIs" dxfId="2926" priority="1253" operator="greaterThan">
      <formula>V30</formula>
    </cfRule>
    <cfRule type="cellIs" dxfId="2925" priority="1254" operator="equal">
      <formula>0</formula>
    </cfRule>
  </conditionalFormatting>
  <conditionalFormatting sqref="V30">
    <cfRule type="cellIs" dxfId="2924" priority="1251" operator="greaterThan">
      <formula>V29</formula>
    </cfRule>
    <cfRule type="cellIs" dxfId="2923" priority="1252" operator="equal">
      <formula>0</formula>
    </cfRule>
  </conditionalFormatting>
  <conditionalFormatting sqref="V33:V34 X33:X34">
    <cfRule type="cellIs" dxfId="2922" priority="1250" operator="equal">
      <formula>0</formula>
    </cfRule>
  </conditionalFormatting>
  <conditionalFormatting sqref="V34">
    <cfRule type="cellIs" dxfId="2921" priority="1248" operator="greaterThan">
      <formula>V33</formula>
    </cfRule>
    <cfRule type="cellIs" dxfId="2920" priority="1249" operator="equal">
      <formula>0</formula>
    </cfRule>
  </conditionalFormatting>
  <conditionalFormatting sqref="V33">
    <cfRule type="cellIs" dxfId="2919" priority="1246" operator="greaterThan">
      <formula>V32</formula>
    </cfRule>
    <cfRule type="cellIs" dxfId="2918" priority="1247" operator="equal">
      <formula>0</formula>
    </cfRule>
  </conditionalFormatting>
  <conditionalFormatting sqref="V36:V37 X36:X37">
    <cfRule type="cellIs" dxfId="2917" priority="1245" operator="equal">
      <formula>0</formula>
    </cfRule>
  </conditionalFormatting>
  <conditionalFormatting sqref="V37">
    <cfRule type="cellIs" dxfId="2916" priority="1243" operator="greaterThan">
      <formula>V36</formula>
    </cfRule>
    <cfRule type="cellIs" dxfId="2915" priority="1244" operator="equal">
      <formula>0</formula>
    </cfRule>
  </conditionalFormatting>
  <conditionalFormatting sqref="V36">
    <cfRule type="cellIs" dxfId="2914" priority="1241" operator="greaterThan">
      <formula>V35</formula>
    </cfRule>
    <cfRule type="cellIs" dxfId="2913" priority="1242" operator="equal">
      <formula>0</formula>
    </cfRule>
  </conditionalFormatting>
  <conditionalFormatting sqref="V16">
    <cfRule type="cellIs" dxfId="2912" priority="1239" operator="greaterThan">
      <formula>V15</formula>
    </cfRule>
    <cfRule type="cellIs" dxfId="2911" priority="1240" operator="equal">
      <formula>0</formula>
    </cfRule>
  </conditionalFormatting>
  <conditionalFormatting sqref="V15">
    <cfRule type="cellIs" dxfId="2910" priority="1237" operator="greaterThan">
      <formula>V14</formula>
    </cfRule>
    <cfRule type="cellIs" dxfId="2909" priority="1238" operator="equal">
      <formula>0</formula>
    </cfRule>
  </conditionalFormatting>
  <conditionalFormatting sqref="V16">
    <cfRule type="cellIs" dxfId="2908" priority="1235" operator="greaterThan">
      <formula>V15</formula>
    </cfRule>
    <cfRule type="cellIs" dxfId="2907" priority="1236" operator="equal">
      <formula>0</formula>
    </cfRule>
  </conditionalFormatting>
  <conditionalFormatting sqref="V15">
    <cfRule type="cellIs" dxfId="2906" priority="1233" operator="greaterThan">
      <formula>V14</formula>
    </cfRule>
    <cfRule type="cellIs" dxfId="2905" priority="1234" operator="equal">
      <formula>0</formula>
    </cfRule>
  </conditionalFormatting>
  <conditionalFormatting sqref="V19">
    <cfRule type="cellIs" dxfId="2904" priority="1231" operator="greaterThan">
      <formula>V18</formula>
    </cfRule>
    <cfRule type="cellIs" dxfId="2903" priority="1232" operator="equal">
      <formula>0</formula>
    </cfRule>
  </conditionalFormatting>
  <conditionalFormatting sqref="V18">
    <cfRule type="cellIs" dxfId="2902" priority="1229" operator="greaterThan">
      <formula>V17</formula>
    </cfRule>
    <cfRule type="cellIs" dxfId="2901" priority="1230" operator="equal">
      <formula>0</formula>
    </cfRule>
  </conditionalFormatting>
  <conditionalFormatting sqref="V19">
    <cfRule type="cellIs" dxfId="2900" priority="1227" operator="greaterThan">
      <formula>V18</formula>
    </cfRule>
    <cfRule type="cellIs" dxfId="2899" priority="1228" operator="equal">
      <formula>0</formula>
    </cfRule>
  </conditionalFormatting>
  <conditionalFormatting sqref="V18">
    <cfRule type="cellIs" dxfId="2898" priority="1225" operator="greaterThan">
      <formula>V17</formula>
    </cfRule>
    <cfRule type="cellIs" dxfId="2897" priority="1226" operator="equal">
      <formula>0</formula>
    </cfRule>
  </conditionalFormatting>
  <conditionalFormatting sqref="V19">
    <cfRule type="cellIs" dxfId="2896" priority="1223" operator="greaterThan">
      <formula>V18</formula>
    </cfRule>
    <cfRule type="cellIs" dxfId="2895" priority="1224" operator="equal">
      <formula>0</formula>
    </cfRule>
  </conditionalFormatting>
  <conditionalFormatting sqref="V18">
    <cfRule type="cellIs" dxfId="2894" priority="1221" operator="greaterThan">
      <formula>V17</formula>
    </cfRule>
    <cfRule type="cellIs" dxfId="2893" priority="1222" operator="equal">
      <formula>0</formula>
    </cfRule>
  </conditionalFormatting>
  <conditionalFormatting sqref="V19">
    <cfRule type="cellIs" dxfId="2892" priority="1219" operator="greaterThan">
      <formula>V18</formula>
    </cfRule>
    <cfRule type="cellIs" dxfId="2891" priority="1220" operator="equal">
      <formula>0</formula>
    </cfRule>
  </conditionalFormatting>
  <conditionalFormatting sqref="V18">
    <cfRule type="cellIs" dxfId="2890" priority="1217" operator="greaterThan">
      <formula>V17</formula>
    </cfRule>
    <cfRule type="cellIs" dxfId="2889" priority="1218" operator="equal">
      <formula>0</formula>
    </cfRule>
  </conditionalFormatting>
  <conditionalFormatting sqref="V22">
    <cfRule type="cellIs" dxfId="2888" priority="1215" operator="greaterThan">
      <formula>V21</formula>
    </cfRule>
    <cfRule type="cellIs" dxfId="2887" priority="1216" operator="equal">
      <formula>0</formula>
    </cfRule>
  </conditionalFormatting>
  <conditionalFormatting sqref="V21">
    <cfRule type="cellIs" dxfId="2886" priority="1213" operator="greaterThan">
      <formula>V20</formula>
    </cfRule>
    <cfRule type="cellIs" dxfId="2885" priority="1214" operator="equal">
      <formula>0</formula>
    </cfRule>
  </conditionalFormatting>
  <conditionalFormatting sqref="V22">
    <cfRule type="cellIs" dxfId="2884" priority="1211" operator="greaterThan">
      <formula>V21</formula>
    </cfRule>
    <cfRule type="cellIs" dxfId="2883" priority="1212" operator="equal">
      <formula>0</formula>
    </cfRule>
  </conditionalFormatting>
  <conditionalFormatting sqref="V21">
    <cfRule type="cellIs" dxfId="2882" priority="1209" operator="greaterThan">
      <formula>V20</formula>
    </cfRule>
    <cfRule type="cellIs" dxfId="2881" priority="1210" operator="equal">
      <formula>0</formula>
    </cfRule>
  </conditionalFormatting>
  <conditionalFormatting sqref="V22">
    <cfRule type="cellIs" dxfId="2880" priority="1207" operator="greaterThan">
      <formula>V21</formula>
    </cfRule>
    <cfRule type="cellIs" dxfId="2879" priority="1208" operator="equal">
      <formula>0</formula>
    </cfRule>
  </conditionalFormatting>
  <conditionalFormatting sqref="V21">
    <cfRule type="cellIs" dxfId="2878" priority="1205" operator="greaterThan">
      <formula>V20</formula>
    </cfRule>
    <cfRule type="cellIs" dxfId="2877" priority="1206" operator="equal">
      <formula>0</formula>
    </cfRule>
  </conditionalFormatting>
  <conditionalFormatting sqref="V22">
    <cfRule type="cellIs" dxfId="2876" priority="1203" operator="greaterThan">
      <formula>V21</formula>
    </cfRule>
    <cfRule type="cellIs" dxfId="2875" priority="1204" operator="equal">
      <formula>0</formula>
    </cfRule>
  </conditionalFormatting>
  <conditionalFormatting sqref="V21">
    <cfRule type="cellIs" dxfId="2874" priority="1201" operator="greaterThan">
      <formula>V20</formula>
    </cfRule>
    <cfRule type="cellIs" dxfId="2873" priority="1202" operator="equal">
      <formula>0</formula>
    </cfRule>
  </conditionalFormatting>
  <conditionalFormatting sqref="V22">
    <cfRule type="cellIs" dxfId="2872" priority="1199" operator="greaterThan">
      <formula>V21</formula>
    </cfRule>
    <cfRule type="cellIs" dxfId="2871" priority="1200" operator="equal">
      <formula>0</formula>
    </cfRule>
  </conditionalFormatting>
  <conditionalFormatting sqref="V21">
    <cfRule type="cellIs" dxfId="2870" priority="1197" operator="greaterThan">
      <formula>V20</formula>
    </cfRule>
    <cfRule type="cellIs" dxfId="2869" priority="1198" operator="equal">
      <formula>0</formula>
    </cfRule>
  </conditionalFormatting>
  <conditionalFormatting sqref="V22">
    <cfRule type="cellIs" dxfId="2868" priority="1195" operator="greaterThan">
      <formula>V21</formula>
    </cfRule>
    <cfRule type="cellIs" dxfId="2867" priority="1196" operator="equal">
      <formula>0</formula>
    </cfRule>
  </conditionalFormatting>
  <conditionalFormatting sqref="V21">
    <cfRule type="cellIs" dxfId="2866" priority="1193" operator="greaterThan">
      <formula>V20</formula>
    </cfRule>
    <cfRule type="cellIs" dxfId="2865" priority="1194" operator="equal">
      <formula>0</formula>
    </cfRule>
  </conditionalFormatting>
  <conditionalFormatting sqref="V24">
    <cfRule type="cellIs" dxfId="2864" priority="1191" operator="greaterThan">
      <formula>V23</formula>
    </cfRule>
    <cfRule type="cellIs" dxfId="2863" priority="1192" operator="equal">
      <formula>0</formula>
    </cfRule>
  </conditionalFormatting>
  <conditionalFormatting sqref="V25">
    <cfRule type="cellIs" dxfId="2862" priority="1189" operator="greaterThan">
      <formula>V24</formula>
    </cfRule>
    <cfRule type="cellIs" dxfId="2861" priority="1190" operator="equal">
      <formula>0</formula>
    </cfRule>
  </conditionalFormatting>
  <conditionalFormatting sqref="V24">
    <cfRule type="cellIs" dxfId="2860" priority="1187" operator="greaterThan">
      <formula>V23</formula>
    </cfRule>
    <cfRule type="cellIs" dxfId="2859" priority="1188" operator="equal">
      <formula>0</formula>
    </cfRule>
  </conditionalFormatting>
  <conditionalFormatting sqref="V25">
    <cfRule type="cellIs" dxfId="2858" priority="1185" operator="greaterThan">
      <formula>V24</formula>
    </cfRule>
    <cfRule type="cellIs" dxfId="2857" priority="1186" operator="equal">
      <formula>0</formula>
    </cfRule>
  </conditionalFormatting>
  <conditionalFormatting sqref="V24">
    <cfRule type="cellIs" dxfId="2856" priority="1183" operator="greaterThan">
      <formula>V23</formula>
    </cfRule>
    <cfRule type="cellIs" dxfId="2855" priority="1184" operator="equal">
      <formula>0</formula>
    </cfRule>
  </conditionalFormatting>
  <conditionalFormatting sqref="V25">
    <cfRule type="cellIs" dxfId="2854" priority="1181" operator="greaterThan">
      <formula>V24</formula>
    </cfRule>
    <cfRule type="cellIs" dxfId="2853" priority="1182" operator="equal">
      <formula>0</formula>
    </cfRule>
  </conditionalFormatting>
  <conditionalFormatting sqref="V24">
    <cfRule type="cellIs" dxfId="2852" priority="1179" operator="greaterThan">
      <formula>V23</formula>
    </cfRule>
    <cfRule type="cellIs" dxfId="2851" priority="1180" operator="equal">
      <formula>0</formula>
    </cfRule>
  </conditionalFormatting>
  <conditionalFormatting sqref="V25">
    <cfRule type="cellIs" dxfId="2850" priority="1177" operator="greaterThan">
      <formula>V24</formula>
    </cfRule>
    <cfRule type="cellIs" dxfId="2849" priority="1178" operator="equal">
      <formula>0</formula>
    </cfRule>
  </conditionalFormatting>
  <conditionalFormatting sqref="V24">
    <cfRule type="cellIs" dxfId="2848" priority="1175" operator="greaterThan">
      <formula>V23</formula>
    </cfRule>
    <cfRule type="cellIs" dxfId="2847" priority="1176" operator="equal">
      <formula>0</formula>
    </cfRule>
  </conditionalFormatting>
  <conditionalFormatting sqref="V25">
    <cfRule type="cellIs" dxfId="2846" priority="1173" operator="greaterThan">
      <formula>V24</formula>
    </cfRule>
    <cfRule type="cellIs" dxfId="2845" priority="1174" operator="equal">
      <formula>0</formula>
    </cfRule>
  </conditionalFormatting>
  <conditionalFormatting sqref="V24">
    <cfRule type="cellIs" dxfId="2844" priority="1171" operator="greaterThan">
      <formula>V23</formula>
    </cfRule>
    <cfRule type="cellIs" dxfId="2843" priority="1172" operator="equal">
      <formula>0</formula>
    </cfRule>
  </conditionalFormatting>
  <conditionalFormatting sqref="V25">
    <cfRule type="cellIs" dxfId="2842" priority="1169" operator="greaterThan">
      <formula>V24</formula>
    </cfRule>
    <cfRule type="cellIs" dxfId="2841" priority="1170" operator="equal">
      <formula>0</formula>
    </cfRule>
  </conditionalFormatting>
  <conditionalFormatting sqref="V24">
    <cfRule type="cellIs" dxfId="2840" priority="1167" operator="greaterThan">
      <formula>V23</formula>
    </cfRule>
    <cfRule type="cellIs" dxfId="2839" priority="1168" operator="equal">
      <formula>0</formula>
    </cfRule>
  </conditionalFormatting>
  <conditionalFormatting sqref="V25">
    <cfRule type="cellIs" dxfId="2838" priority="1165" operator="greaterThan">
      <formula>V24</formula>
    </cfRule>
    <cfRule type="cellIs" dxfId="2837" priority="1166" operator="equal">
      <formula>0</formula>
    </cfRule>
  </conditionalFormatting>
  <conditionalFormatting sqref="V24">
    <cfRule type="cellIs" dxfId="2836" priority="1163" operator="greaterThan">
      <formula>V23</formula>
    </cfRule>
    <cfRule type="cellIs" dxfId="2835" priority="1164" operator="equal">
      <formula>0</formula>
    </cfRule>
  </conditionalFormatting>
  <conditionalFormatting sqref="V27:V28">
    <cfRule type="cellIs" dxfId="2834" priority="1161" operator="greaterThan">
      <formula>V26</formula>
    </cfRule>
    <cfRule type="cellIs" dxfId="2833" priority="1162" operator="equal">
      <formula>0</formula>
    </cfRule>
  </conditionalFormatting>
  <conditionalFormatting sqref="V27">
    <cfRule type="cellIs" dxfId="2832" priority="1159" operator="greaterThan">
      <formula>V26</formula>
    </cfRule>
    <cfRule type="cellIs" dxfId="2831" priority="1160" operator="equal">
      <formula>0</formula>
    </cfRule>
  </conditionalFormatting>
  <conditionalFormatting sqref="V28">
    <cfRule type="cellIs" dxfId="2830" priority="1157" operator="greaterThan">
      <formula>V27</formula>
    </cfRule>
    <cfRule type="cellIs" dxfId="2829" priority="1158" operator="equal">
      <formula>0</formula>
    </cfRule>
  </conditionalFormatting>
  <conditionalFormatting sqref="V27">
    <cfRule type="cellIs" dxfId="2828" priority="1155" operator="greaterThan">
      <formula>V26</formula>
    </cfRule>
    <cfRule type="cellIs" dxfId="2827" priority="1156" operator="equal">
      <formula>0</formula>
    </cfRule>
  </conditionalFormatting>
  <conditionalFormatting sqref="V27">
    <cfRule type="cellIs" dxfId="2826" priority="1153" operator="greaterThan">
      <formula>V26</formula>
    </cfRule>
    <cfRule type="cellIs" dxfId="2825" priority="1154" operator="equal">
      <formula>0</formula>
    </cfRule>
  </conditionalFormatting>
  <conditionalFormatting sqref="V28">
    <cfRule type="cellIs" dxfId="2824" priority="1151" operator="greaterThan">
      <formula>V27</formula>
    </cfRule>
    <cfRule type="cellIs" dxfId="2823" priority="1152" operator="equal">
      <formula>0</formula>
    </cfRule>
  </conditionalFormatting>
  <conditionalFormatting sqref="V27">
    <cfRule type="cellIs" dxfId="2822" priority="1149" operator="greaterThan">
      <formula>V26</formula>
    </cfRule>
    <cfRule type="cellIs" dxfId="2821" priority="1150" operator="equal">
      <formula>0</formula>
    </cfRule>
  </conditionalFormatting>
  <conditionalFormatting sqref="V28">
    <cfRule type="cellIs" dxfId="2820" priority="1147" operator="greaterThan">
      <formula>V27</formula>
    </cfRule>
    <cfRule type="cellIs" dxfId="2819" priority="1148" operator="equal">
      <formula>0</formula>
    </cfRule>
  </conditionalFormatting>
  <conditionalFormatting sqref="V27">
    <cfRule type="cellIs" dxfId="2818" priority="1145" operator="greaterThan">
      <formula>V26</formula>
    </cfRule>
    <cfRule type="cellIs" dxfId="2817" priority="1146" operator="equal">
      <formula>0</formula>
    </cfRule>
  </conditionalFormatting>
  <conditionalFormatting sqref="V28">
    <cfRule type="cellIs" dxfId="2816" priority="1143" operator="greaterThan">
      <formula>V27</formula>
    </cfRule>
    <cfRule type="cellIs" dxfId="2815" priority="1144" operator="equal">
      <formula>0</formula>
    </cfRule>
  </conditionalFormatting>
  <conditionalFormatting sqref="V27">
    <cfRule type="cellIs" dxfId="2814" priority="1141" operator="greaterThan">
      <formula>V26</formula>
    </cfRule>
    <cfRule type="cellIs" dxfId="2813" priority="1142" operator="equal">
      <formula>0</formula>
    </cfRule>
  </conditionalFormatting>
  <conditionalFormatting sqref="V28">
    <cfRule type="cellIs" dxfId="2812" priority="1139" operator="greaterThan">
      <formula>V27</formula>
    </cfRule>
    <cfRule type="cellIs" dxfId="2811" priority="1140" operator="equal">
      <formula>0</formula>
    </cfRule>
  </conditionalFormatting>
  <conditionalFormatting sqref="V27">
    <cfRule type="cellIs" dxfId="2810" priority="1137" operator="greaterThan">
      <formula>V26</formula>
    </cfRule>
    <cfRule type="cellIs" dxfId="2809" priority="1138" operator="equal">
      <formula>0</formula>
    </cfRule>
  </conditionalFormatting>
  <conditionalFormatting sqref="V28">
    <cfRule type="cellIs" dxfId="2808" priority="1135" operator="greaterThan">
      <formula>V27</formula>
    </cfRule>
    <cfRule type="cellIs" dxfId="2807" priority="1136" operator="equal">
      <formula>0</formula>
    </cfRule>
  </conditionalFormatting>
  <conditionalFormatting sqref="V27">
    <cfRule type="cellIs" dxfId="2806" priority="1133" operator="greaterThan">
      <formula>V26</formula>
    </cfRule>
    <cfRule type="cellIs" dxfId="2805" priority="1134" operator="equal">
      <formula>0</formula>
    </cfRule>
  </conditionalFormatting>
  <conditionalFormatting sqref="V28">
    <cfRule type="cellIs" dxfId="2804" priority="1131" operator="greaterThan">
      <formula>V27</formula>
    </cfRule>
    <cfRule type="cellIs" dxfId="2803" priority="1132" operator="equal">
      <formula>0</formula>
    </cfRule>
  </conditionalFormatting>
  <conditionalFormatting sqref="V27">
    <cfRule type="cellIs" dxfId="2802" priority="1129" operator="greaterThan">
      <formula>V26</formula>
    </cfRule>
    <cfRule type="cellIs" dxfId="2801" priority="1130" operator="equal">
      <formula>0</formula>
    </cfRule>
  </conditionalFormatting>
  <conditionalFormatting sqref="V28">
    <cfRule type="cellIs" dxfId="2800" priority="1127" operator="greaterThan">
      <formula>V27</formula>
    </cfRule>
    <cfRule type="cellIs" dxfId="2799" priority="1128" operator="equal">
      <formula>0</formula>
    </cfRule>
  </conditionalFormatting>
  <conditionalFormatting sqref="V27">
    <cfRule type="cellIs" dxfId="2798" priority="1125" operator="greaterThan">
      <formula>V26</formula>
    </cfRule>
    <cfRule type="cellIs" dxfId="2797" priority="1126" operator="equal">
      <formula>0</formula>
    </cfRule>
  </conditionalFormatting>
  <conditionalFormatting sqref="V19">
    <cfRule type="cellIs" dxfId="2796" priority="1123" operator="greaterThan">
      <formula>V18</formula>
    </cfRule>
    <cfRule type="cellIs" dxfId="2795" priority="1124" operator="equal">
      <formula>0</formula>
    </cfRule>
  </conditionalFormatting>
  <conditionalFormatting sqref="V18">
    <cfRule type="cellIs" dxfId="2794" priority="1121" operator="greaterThan">
      <formula>V17</formula>
    </cfRule>
    <cfRule type="cellIs" dxfId="2793" priority="1122" operator="equal">
      <formula>0</formula>
    </cfRule>
  </conditionalFormatting>
  <conditionalFormatting sqref="V19">
    <cfRule type="cellIs" dxfId="2792" priority="1119" operator="greaterThan">
      <formula>V18</formula>
    </cfRule>
    <cfRule type="cellIs" dxfId="2791" priority="1120" operator="equal">
      <formula>0</formula>
    </cfRule>
  </conditionalFormatting>
  <conditionalFormatting sqref="V18">
    <cfRule type="cellIs" dxfId="2790" priority="1117" operator="greaterThan">
      <formula>V17</formula>
    </cfRule>
    <cfRule type="cellIs" dxfId="2789" priority="1118" operator="equal">
      <formula>0</formula>
    </cfRule>
  </conditionalFormatting>
  <conditionalFormatting sqref="V19">
    <cfRule type="cellIs" dxfId="2788" priority="1115" operator="greaterThan">
      <formula>V18</formula>
    </cfRule>
    <cfRule type="cellIs" dxfId="2787" priority="1116" operator="equal">
      <formula>0</formula>
    </cfRule>
  </conditionalFormatting>
  <conditionalFormatting sqref="V18">
    <cfRule type="cellIs" dxfId="2786" priority="1113" operator="greaterThan">
      <formula>V17</formula>
    </cfRule>
    <cfRule type="cellIs" dxfId="2785" priority="1114" operator="equal">
      <formula>0</formula>
    </cfRule>
  </conditionalFormatting>
  <conditionalFormatting sqref="V19">
    <cfRule type="cellIs" dxfId="2784" priority="1111" operator="greaterThan">
      <formula>V18</formula>
    </cfRule>
    <cfRule type="cellIs" dxfId="2783" priority="1112" operator="equal">
      <formula>0</formula>
    </cfRule>
  </conditionalFormatting>
  <conditionalFormatting sqref="V18">
    <cfRule type="cellIs" dxfId="2782" priority="1109" operator="greaterThan">
      <formula>V17</formula>
    </cfRule>
    <cfRule type="cellIs" dxfId="2781" priority="1110" operator="equal">
      <formula>0</formula>
    </cfRule>
  </conditionalFormatting>
  <conditionalFormatting sqref="V16">
    <cfRule type="cellIs" dxfId="2780" priority="1107" operator="greaterThan">
      <formula>V15</formula>
    </cfRule>
    <cfRule type="cellIs" dxfId="2779" priority="1108" operator="equal">
      <formula>0</formula>
    </cfRule>
  </conditionalFormatting>
  <conditionalFormatting sqref="V16">
    <cfRule type="cellIs" dxfId="2778" priority="1105" operator="greaterThan">
      <formula>V15</formula>
    </cfRule>
    <cfRule type="cellIs" dxfId="2777" priority="1106" operator="equal">
      <formula>0</formula>
    </cfRule>
  </conditionalFormatting>
  <conditionalFormatting sqref="V16">
    <cfRule type="cellIs" dxfId="2776" priority="1103" operator="greaterThan">
      <formula>V15</formula>
    </cfRule>
    <cfRule type="cellIs" dxfId="2775" priority="1104" operator="equal">
      <formula>0</formula>
    </cfRule>
  </conditionalFormatting>
  <conditionalFormatting sqref="V16">
    <cfRule type="cellIs" dxfId="2774" priority="1101" operator="greaterThan">
      <formula>V15</formula>
    </cfRule>
    <cfRule type="cellIs" dxfId="2773" priority="1102" operator="equal">
      <formula>0</formula>
    </cfRule>
  </conditionalFormatting>
  <conditionalFormatting sqref="V19">
    <cfRule type="cellIs" dxfId="2772" priority="1099" operator="greaterThan">
      <formula>V18</formula>
    </cfRule>
    <cfRule type="cellIs" dxfId="2771" priority="1100" operator="equal">
      <formula>0</formula>
    </cfRule>
  </conditionalFormatting>
  <conditionalFormatting sqref="V19">
    <cfRule type="cellIs" dxfId="2770" priority="1097" operator="greaterThan">
      <formula>V18</formula>
    </cfRule>
    <cfRule type="cellIs" dxfId="2769" priority="1098" operator="equal">
      <formula>0</formula>
    </cfRule>
  </conditionalFormatting>
  <conditionalFormatting sqref="V19">
    <cfRule type="cellIs" dxfId="2768" priority="1095" operator="greaterThan">
      <formula>V18</formula>
    </cfRule>
    <cfRule type="cellIs" dxfId="2767" priority="1096" operator="equal">
      <formula>0</formula>
    </cfRule>
  </conditionalFormatting>
  <conditionalFormatting sqref="V19">
    <cfRule type="cellIs" dxfId="2766" priority="1093" operator="greaterThan">
      <formula>V18</formula>
    </cfRule>
    <cfRule type="cellIs" dxfId="2765" priority="1094" operator="equal">
      <formula>0</formula>
    </cfRule>
  </conditionalFormatting>
  <conditionalFormatting sqref="V19">
    <cfRule type="cellIs" dxfId="2764" priority="1091" operator="greaterThan">
      <formula>V18</formula>
    </cfRule>
    <cfRule type="cellIs" dxfId="2763" priority="1092" operator="equal">
      <formula>0</formula>
    </cfRule>
  </conditionalFormatting>
  <conditionalFormatting sqref="V19">
    <cfRule type="cellIs" dxfId="2762" priority="1089" operator="greaterThan">
      <formula>V18</formula>
    </cfRule>
    <cfRule type="cellIs" dxfId="2761" priority="1090" operator="equal">
      <formula>0</formula>
    </cfRule>
  </conditionalFormatting>
  <conditionalFormatting sqref="V19">
    <cfRule type="cellIs" dxfId="2760" priority="1087" operator="greaterThan">
      <formula>V18</formula>
    </cfRule>
    <cfRule type="cellIs" dxfId="2759" priority="1088" operator="equal">
      <formula>0</formula>
    </cfRule>
  </conditionalFormatting>
  <conditionalFormatting sqref="V19">
    <cfRule type="cellIs" dxfId="2758" priority="1085" operator="greaterThan">
      <formula>V18</formula>
    </cfRule>
    <cfRule type="cellIs" dxfId="2757" priority="1086" operator="equal">
      <formula>0</formula>
    </cfRule>
  </conditionalFormatting>
  <conditionalFormatting sqref="V19">
    <cfRule type="cellIs" dxfId="2756" priority="1083" operator="greaterThan">
      <formula>V18</formula>
    </cfRule>
    <cfRule type="cellIs" dxfId="2755" priority="1084" operator="equal">
      <formula>0</formula>
    </cfRule>
  </conditionalFormatting>
  <conditionalFormatting sqref="V19">
    <cfRule type="cellIs" dxfId="2754" priority="1081" operator="greaterThan">
      <formula>V18</formula>
    </cfRule>
    <cfRule type="cellIs" dxfId="2753" priority="1082" operator="equal">
      <formula>0</formula>
    </cfRule>
  </conditionalFormatting>
  <conditionalFormatting sqref="V22">
    <cfRule type="cellIs" dxfId="2752" priority="1079" operator="greaterThan">
      <formula>V21</formula>
    </cfRule>
    <cfRule type="cellIs" dxfId="2751" priority="1080" operator="equal">
      <formula>0</formula>
    </cfRule>
  </conditionalFormatting>
  <conditionalFormatting sqref="V21">
    <cfRule type="cellIs" dxfId="2750" priority="1077" operator="greaterThan">
      <formula>V20</formula>
    </cfRule>
    <cfRule type="cellIs" dxfId="2749" priority="1078" operator="equal">
      <formula>0</formula>
    </cfRule>
  </conditionalFormatting>
  <conditionalFormatting sqref="V22">
    <cfRule type="cellIs" dxfId="2748" priority="1075" operator="greaterThan">
      <formula>V21</formula>
    </cfRule>
    <cfRule type="cellIs" dxfId="2747" priority="1076" operator="equal">
      <formula>0</formula>
    </cfRule>
  </conditionalFormatting>
  <conditionalFormatting sqref="V21">
    <cfRule type="cellIs" dxfId="2746" priority="1073" operator="greaterThan">
      <formula>V20</formula>
    </cfRule>
    <cfRule type="cellIs" dxfId="2745" priority="1074" operator="equal">
      <formula>0</formula>
    </cfRule>
  </conditionalFormatting>
  <conditionalFormatting sqref="V22">
    <cfRule type="cellIs" dxfId="2744" priority="1071" operator="greaterThan">
      <formula>V21</formula>
    </cfRule>
    <cfRule type="cellIs" dxfId="2743" priority="1072" operator="equal">
      <formula>0</formula>
    </cfRule>
  </conditionalFormatting>
  <conditionalFormatting sqref="V21">
    <cfRule type="cellIs" dxfId="2742" priority="1069" operator="greaterThan">
      <formula>V20</formula>
    </cfRule>
    <cfRule type="cellIs" dxfId="2741" priority="1070" operator="equal">
      <formula>0</formula>
    </cfRule>
  </conditionalFormatting>
  <conditionalFormatting sqref="V22">
    <cfRule type="cellIs" dxfId="2740" priority="1067" operator="greaterThan">
      <formula>V21</formula>
    </cfRule>
    <cfRule type="cellIs" dxfId="2739" priority="1068" operator="equal">
      <formula>0</formula>
    </cfRule>
  </conditionalFormatting>
  <conditionalFormatting sqref="V21">
    <cfRule type="cellIs" dxfId="2738" priority="1065" operator="greaterThan">
      <formula>V20</formula>
    </cfRule>
    <cfRule type="cellIs" dxfId="2737" priority="1066" operator="equal">
      <formula>0</formula>
    </cfRule>
  </conditionalFormatting>
  <conditionalFormatting sqref="V22">
    <cfRule type="cellIs" dxfId="2736" priority="1063" operator="greaterThan">
      <formula>V21</formula>
    </cfRule>
    <cfRule type="cellIs" dxfId="2735" priority="1064" operator="equal">
      <formula>0</formula>
    </cfRule>
  </conditionalFormatting>
  <conditionalFormatting sqref="V21">
    <cfRule type="cellIs" dxfId="2734" priority="1061" operator="greaterThan">
      <formula>V20</formula>
    </cfRule>
    <cfRule type="cellIs" dxfId="2733" priority="1062" operator="equal">
      <formula>0</formula>
    </cfRule>
  </conditionalFormatting>
  <conditionalFormatting sqref="V22">
    <cfRule type="cellIs" dxfId="2732" priority="1059" operator="greaterThan">
      <formula>V21</formula>
    </cfRule>
    <cfRule type="cellIs" dxfId="2731" priority="1060" operator="equal">
      <formula>0</formula>
    </cfRule>
  </conditionalFormatting>
  <conditionalFormatting sqref="V21">
    <cfRule type="cellIs" dxfId="2730" priority="1057" operator="greaterThan">
      <formula>V20</formula>
    </cfRule>
    <cfRule type="cellIs" dxfId="2729" priority="1058" operator="equal">
      <formula>0</formula>
    </cfRule>
  </conditionalFormatting>
  <conditionalFormatting sqref="V22">
    <cfRule type="cellIs" dxfId="2728" priority="1055" operator="greaterThan">
      <formula>V21</formula>
    </cfRule>
    <cfRule type="cellIs" dxfId="2727" priority="1056" operator="equal">
      <formula>0</formula>
    </cfRule>
  </conditionalFormatting>
  <conditionalFormatting sqref="V21">
    <cfRule type="cellIs" dxfId="2726" priority="1053" operator="greaterThan">
      <formula>V20</formula>
    </cfRule>
    <cfRule type="cellIs" dxfId="2725" priority="1054" operator="equal">
      <formula>0</formula>
    </cfRule>
  </conditionalFormatting>
  <conditionalFormatting sqref="V22">
    <cfRule type="cellIs" dxfId="2724" priority="1051" operator="greaterThan">
      <formula>V21</formula>
    </cfRule>
    <cfRule type="cellIs" dxfId="2723" priority="1052" operator="equal">
      <formula>0</formula>
    </cfRule>
  </conditionalFormatting>
  <conditionalFormatting sqref="V21">
    <cfRule type="cellIs" dxfId="2722" priority="1049" operator="greaterThan">
      <formula>V20</formula>
    </cfRule>
    <cfRule type="cellIs" dxfId="2721" priority="1050" operator="equal">
      <formula>0</formula>
    </cfRule>
  </conditionalFormatting>
  <conditionalFormatting sqref="V22">
    <cfRule type="cellIs" dxfId="2720" priority="1047" operator="greaterThan">
      <formula>V21</formula>
    </cfRule>
    <cfRule type="cellIs" dxfId="2719" priority="1048" operator="equal">
      <formula>0</formula>
    </cfRule>
  </conditionalFormatting>
  <conditionalFormatting sqref="V21">
    <cfRule type="cellIs" dxfId="2718" priority="1045" operator="greaterThan">
      <formula>V20</formula>
    </cfRule>
    <cfRule type="cellIs" dxfId="2717" priority="1046" operator="equal">
      <formula>0</formula>
    </cfRule>
  </conditionalFormatting>
  <conditionalFormatting sqref="V22">
    <cfRule type="cellIs" dxfId="2716" priority="1043" operator="greaterThan">
      <formula>V21</formula>
    </cfRule>
    <cfRule type="cellIs" dxfId="2715" priority="1044" operator="equal">
      <formula>0</formula>
    </cfRule>
  </conditionalFormatting>
  <conditionalFormatting sqref="V21">
    <cfRule type="cellIs" dxfId="2714" priority="1041" operator="greaterThan">
      <formula>V20</formula>
    </cfRule>
    <cfRule type="cellIs" dxfId="2713" priority="1042" operator="equal">
      <formula>0</formula>
    </cfRule>
  </conditionalFormatting>
  <conditionalFormatting sqref="V22">
    <cfRule type="cellIs" dxfId="2712" priority="1039" operator="greaterThan">
      <formula>V21</formula>
    </cfRule>
    <cfRule type="cellIs" dxfId="2711" priority="1040" operator="equal">
      <formula>0</formula>
    </cfRule>
  </conditionalFormatting>
  <conditionalFormatting sqref="V22">
    <cfRule type="cellIs" dxfId="2710" priority="1037" operator="greaterThan">
      <formula>V21</formula>
    </cfRule>
    <cfRule type="cellIs" dxfId="2709" priority="1038" operator="equal">
      <formula>0</formula>
    </cfRule>
  </conditionalFormatting>
  <conditionalFormatting sqref="V22">
    <cfRule type="cellIs" dxfId="2708" priority="1035" operator="greaterThan">
      <formula>V21</formula>
    </cfRule>
    <cfRule type="cellIs" dxfId="2707" priority="1036" operator="equal">
      <formula>0</formula>
    </cfRule>
  </conditionalFormatting>
  <conditionalFormatting sqref="V22">
    <cfRule type="cellIs" dxfId="2706" priority="1033" operator="greaterThan">
      <formula>V21</formula>
    </cfRule>
    <cfRule type="cellIs" dxfId="2705" priority="1034" operator="equal">
      <formula>0</formula>
    </cfRule>
  </conditionalFormatting>
  <conditionalFormatting sqref="V22">
    <cfRule type="cellIs" dxfId="2704" priority="1031" operator="greaterThan">
      <formula>V21</formula>
    </cfRule>
    <cfRule type="cellIs" dxfId="2703" priority="1032" operator="equal">
      <formula>0</formula>
    </cfRule>
  </conditionalFormatting>
  <conditionalFormatting sqref="V22">
    <cfRule type="cellIs" dxfId="2702" priority="1029" operator="greaterThan">
      <formula>V21</formula>
    </cfRule>
    <cfRule type="cellIs" dxfId="2701" priority="1030" operator="equal">
      <formula>0</formula>
    </cfRule>
  </conditionalFormatting>
  <conditionalFormatting sqref="V22">
    <cfRule type="cellIs" dxfId="2700" priority="1027" operator="greaterThan">
      <formula>V21</formula>
    </cfRule>
    <cfRule type="cellIs" dxfId="2699" priority="1028" operator="equal">
      <formula>0</formula>
    </cfRule>
  </conditionalFormatting>
  <conditionalFormatting sqref="V22">
    <cfRule type="cellIs" dxfId="2698" priority="1025" operator="greaterThan">
      <formula>V21</formula>
    </cfRule>
    <cfRule type="cellIs" dxfId="2697" priority="1026" operator="equal">
      <formula>0</formula>
    </cfRule>
  </conditionalFormatting>
  <conditionalFormatting sqref="V22">
    <cfRule type="cellIs" dxfId="2696" priority="1023" operator="greaterThan">
      <formula>V21</formula>
    </cfRule>
    <cfRule type="cellIs" dxfId="2695" priority="1024" operator="equal">
      <formula>0</formula>
    </cfRule>
  </conditionalFormatting>
  <conditionalFormatting sqref="V22">
    <cfRule type="cellIs" dxfId="2694" priority="1021" operator="greaterThan">
      <formula>V21</formula>
    </cfRule>
    <cfRule type="cellIs" dxfId="2693" priority="1022" operator="equal">
      <formula>0</formula>
    </cfRule>
  </conditionalFormatting>
  <conditionalFormatting sqref="V22">
    <cfRule type="cellIs" dxfId="2692" priority="1019" operator="greaterThan">
      <formula>V21</formula>
    </cfRule>
    <cfRule type="cellIs" dxfId="2691" priority="1020" operator="equal">
      <formula>0</formula>
    </cfRule>
  </conditionalFormatting>
  <conditionalFormatting sqref="V22">
    <cfRule type="cellIs" dxfId="2690" priority="1017" operator="greaterThan">
      <formula>V21</formula>
    </cfRule>
    <cfRule type="cellIs" dxfId="2689" priority="1018" operator="equal">
      <formula>0</formula>
    </cfRule>
  </conditionalFormatting>
  <conditionalFormatting sqref="V22">
    <cfRule type="cellIs" dxfId="2688" priority="1015" operator="greaterThan">
      <formula>V21</formula>
    </cfRule>
    <cfRule type="cellIs" dxfId="2687" priority="1016" operator="equal">
      <formula>0</formula>
    </cfRule>
  </conditionalFormatting>
  <conditionalFormatting sqref="V22">
    <cfRule type="cellIs" dxfId="2686" priority="1013" operator="greaterThan">
      <formula>V21</formula>
    </cfRule>
    <cfRule type="cellIs" dxfId="2685" priority="1014" operator="equal">
      <formula>0</formula>
    </cfRule>
  </conditionalFormatting>
  <conditionalFormatting sqref="V22">
    <cfRule type="cellIs" dxfId="2684" priority="1011" operator="greaterThan">
      <formula>V21</formula>
    </cfRule>
    <cfRule type="cellIs" dxfId="2683" priority="1012" operator="equal">
      <formula>0</formula>
    </cfRule>
  </conditionalFormatting>
  <conditionalFormatting sqref="V22">
    <cfRule type="cellIs" dxfId="2682" priority="1009" operator="greaterThan">
      <formula>V21</formula>
    </cfRule>
    <cfRule type="cellIs" dxfId="2681" priority="1010" operator="equal">
      <formula>0</formula>
    </cfRule>
  </conditionalFormatting>
  <conditionalFormatting sqref="V22">
    <cfRule type="cellIs" dxfId="2680" priority="1007" operator="greaterThan">
      <formula>V21</formula>
    </cfRule>
    <cfRule type="cellIs" dxfId="2679" priority="1008" operator="equal">
      <formula>0</formula>
    </cfRule>
  </conditionalFormatting>
  <conditionalFormatting sqref="V22">
    <cfRule type="cellIs" dxfId="2678" priority="1005" operator="greaterThan">
      <formula>V21</formula>
    </cfRule>
    <cfRule type="cellIs" dxfId="2677" priority="1006" operator="equal">
      <formula>0</formula>
    </cfRule>
  </conditionalFormatting>
  <conditionalFormatting sqref="V22">
    <cfRule type="cellIs" dxfId="2676" priority="1003" operator="greaterThan">
      <formula>V21</formula>
    </cfRule>
    <cfRule type="cellIs" dxfId="2675" priority="1004" operator="equal">
      <formula>0</formula>
    </cfRule>
  </conditionalFormatting>
  <conditionalFormatting sqref="V22">
    <cfRule type="cellIs" dxfId="2674" priority="1001" operator="greaterThan">
      <formula>V21</formula>
    </cfRule>
    <cfRule type="cellIs" dxfId="2673" priority="1002" operator="equal">
      <formula>0</formula>
    </cfRule>
  </conditionalFormatting>
  <conditionalFormatting sqref="V22">
    <cfRule type="cellIs" dxfId="2672" priority="999" operator="greaterThan">
      <formula>V21</formula>
    </cfRule>
    <cfRule type="cellIs" dxfId="2671" priority="1000" operator="equal">
      <formula>0</formula>
    </cfRule>
  </conditionalFormatting>
  <conditionalFormatting sqref="V22">
    <cfRule type="cellIs" dxfId="2670" priority="997" operator="greaterThan">
      <formula>V21</formula>
    </cfRule>
    <cfRule type="cellIs" dxfId="2669" priority="998" operator="equal">
      <formula>0</formula>
    </cfRule>
  </conditionalFormatting>
  <conditionalFormatting sqref="V22">
    <cfRule type="cellIs" dxfId="2668" priority="995" operator="greaterThan">
      <formula>V21</formula>
    </cfRule>
    <cfRule type="cellIs" dxfId="2667" priority="996" operator="equal">
      <formula>0</formula>
    </cfRule>
  </conditionalFormatting>
  <conditionalFormatting sqref="V22">
    <cfRule type="cellIs" dxfId="2666" priority="993" operator="greaterThan">
      <formula>V21</formula>
    </cfRule>
    <cfRule type="cellIs" dxfId="2665" priority="994" operator="equal">
      <formula>0</formula>
    </cfRule>
  </conditionalFormatting>
  <conditionalFormatting sqref="V22">
    <cfRule type="cellIs" dxfId="2664" priority="991" operator="greaterThan">
      <formula>V21</formula>
    </cfRule>
    <cfRule type="cellIs" dxfId="2663" priority="992" operator="equal">
      <formula>0</formula>
    </cfRule>
  </conditionalFormatting>
  <conditionalFormatting sqref="V22">
    <cfRule type="cellIs" dxfId="2662" priority="989" operator="greaterThan">
      <formula>V21</formula>
    </cfRule>
    <cfRule type="cellIs" dxfId="2661" priority="990" operator="equal">
      <formula>0</formula>
    </cfRule>
  </conditionalFormatting>
  <conditionalFormatting sqref="V22">
    <cfRule type="cellIs" dxfId="2660" priority="987" operator="greaterThan">
      <formula>V21</formula>
    </cfRule>
    <cfRule type="cellIs" dxfId="2659" priority="988" operator="equal">
      <formula>0</formula>
    </cfRule>
  </conditionalFormatting>
  <conditionalFormatting sqref="V22">
    <cfRule type="cellIs" dxfId="2658" priority="985" operator="greaterThan">
      <formula>V21</formula>
    </cfRule>
    <cfRule type="cellIs" dxfId="2657" priority="986" operator="equal">
      <formula>0</formula>
    </cfRule>
  </conditionalFormatting>
  <conditionalFormatting sqref="V24">
    <cfRule type="cellIs" dxfId="2656" priority="983" operator="greaterThan">
      <formula>V23</formula>
    </cfRule>
    <cfRule type="cellIs" dxfId="2655" priority="984" operator="equal">
      <formula>0</formula>
    </cfRule>
  </conditionalFormatting>
  <conditionalFormatting sqref="V24">
    <cfRule type="cellIs" dxfId="2654" priority="981" operator="greaterThan">
      <formula>V23</formula>
    </cfRule>
    <cfRule type="cellIs" dxfId="2653" priority="982" operator="equal">
      <formula>0</formula>
    </cfRule>
  </conditionalFormatting>
  <conditionalFormatting sqref="V24">
    <cfRule type="cellIs" dxfId="2652" priority="979" operator="greaterThan">
      <formula>V23</formula>
    </cfRule>
    <cfRule type="cellIs" dxfId="2651" priority="980" operator="equal">
      <formula>0</formula>
    </cfRule>
  </conditionalFormatting>
  <conditionalFormatting sqref="V24">
    <cfRule type="cellIs" dxfId="2650" priority="977" operator="greaterThan">
      <formula>V23</formula>
    </cfRule>
    <cfRule type="cellIs" dxfId="2649" priority="978" operator="equal">
      <formula>0</formula>
    </cfRule>
  </conditionalFormatting>
  <conditionalFormatting sqref="V24">
    <cfRule type="cellIs" dxfId="2648" priority="975" operator="greaterThan">
      <formula>V23</formula>
    </cfRule>
    <cfRule type="cellIs" dxfId="2647" priority="976" operator="equal">
      <formula>0</formula>
    </cfRule>
  </conditionalFormatting>
  <conditionalFormatting sqref="V24">
    <cfRule type="cellIs" dxfId="2646" priority="973" operator="greaterThan">
      <formula>V23</formula>
    </cfRule>
    <cfRule type="cellIs" dxfId="2645" priority="974" operator="equal">
      <formula>0</formula>
    </cfRule>
  </conditionalFormatting>
  <conditionalFormatting sqref="V24">
    <cfRule type="cellIs" dxfId="2644" priority="971" operator="greaterThan">
      <formula>V23</formula>
    </cfRule>
    <cfRule type="cellIs" dxfId="2643" priority="972" operator="equal">
      <formula>0</formula>
    </cfRule>
  </conditionalFormatting>
  <conditionalFormatting sqref="V24">
    <cfRule type="cellIs" dxfId="2642" priority="969" operator="greaterThan">
      <formula>V23</formula>
    </cfRule>
    <cfRule type="cellIs" dxfId="2641" priority="970" operator="equal">
      <formula>0</formula>
    </cfRule>
  </conditionalFormatting>
  <conditionalFormatting sqref="V24">
    <cfRule type="cellIs" dxfId="2640" priority="967" operator="greaterThan">
      <formula>V23</formula>
    </cfRule>
    <cfRule type="cellIs" dxfId="2639" priority="968" operator="equal">
      <formula>0</formula>
    </cfRule>
  </conditionalFormatting>
  <conditionalFormatting sqref="V24">
    <cfRule type="cellIs" dxfId="2638" priority="965" operator="greaterThan">
      <formula>V23</formula>
    </cfRule>
    <cfRule type="cellIs" dxfId="2637" priority="966" operator="equal">
      <formula>0</formula>
    </cfRule>
  </conditionalFormatting>
  <conditionalFormatting sqref="V24">
    <cfRule type="cellIs" dxfId="2636" priority="963" operator="greaterThan">
      <formula>V23</formula>
    </cfRule>
    <cfRule type="cellIs" dxfId="2635" priority="964" operator="equal">
      <formula>0</formula>
    </cfRule>
  </conditionalFormatting>
  <conditionalFormatting sqref="V24">
    <cfRule type="cellIs" dxfId="2634" priority="961" operator="greaterThan">
      <formula>V23</formula>
    </cfRule>
    <cfRule type="cellIs" dxfId="2633" priority="962" operator="equal">
      <formula>0</formula>
    </cfRule>
  </conditionalFormatting>
  <conditionalFormatting sqref="V24">
    <cfRule type="cellIs" dxfId="2632" priority="959" operator="greaterThan">
      <formula>V23</formula>
    </cfRule>
    <cfRule type="cellIs" dxfId="2631" priority="960" operator="equal">
      <formula>0</formula>
    </cfRule>
  </conditionalFormatting>
  <conditionalFormatting sqref="V24">
    <cfRule type="cellIs" dxfId="2630" priority="957" operator="greaterThan">
      <formula>V23</formula>
    </cfRule>
    <cfRule type="cellIs" dxfId="2629" priority="958" operator="equal">
      <formula>0</formula>
    </cfRule>
  </conditionalFormatting>
  <conditionalFormatting sqref="V24">
    <cfRule type="cellIs" dxfId="2628" priority="955" operator="greaterThan">
      <formula>V23</formula>
    </cfRule>
    <cfRule type="cellIs" dxfId="2627" priority="956" operator="equal">
      <formula>0</formula>
    </cfRule>
  </conditionalFormatting>
  <conditionalFormatting sqref="V24">
    <cfRule type="cellIs" dxfId="2626" priority="953" operator="greaterThan">
      <formula>V23</formula>
    </cfRule>
    <cfRule type="cellIs" dxfId="2625" priority="954" operator="equal">
      <formula>0</formula>
    </cfRule>
  </conditionalFormatting>
  <conditionalFormatting sqref="V24">
    <cfRule type="cellIs" dxfId="2624" priority="951" operator="greaterThan">
      <formula>V23</formula>
    </cfRule>
    <cfRule type="cellIs" dxfId="2623" priority="952" operator="equal">
      <formula>0</formula>
    </cfRule>
  </conditionalFormatting>
  <conditionalFormatting sqref="V24">
    <cfRule type="cellIs" dxfId="2622" priority="949" operator="greaterThan">
      <formula>V23</formula>
    </cfRule>
    <cfRule type="cellIs" dxfId="2621" priority="950" operator="equal">
      <formula>0</formula>
    </cfRule>
  </conditionalFormatting>
  <conditionalFormatting sqref="V25">
    <cfRule type="cellIs" dxfId="2620" priority="947" operator="greaterThan">
      <formula>V24</formula>
    </cfRule>
    <cfRule type="cellIs" dxfId="2619" priority="948" operator="equal">
      <formula>0</formula>
    </cfRule>
  </conditionalFormatting>
  <conditionalFormatting sqref="V25">
    <cfRule type="cellIs" dxfId="2618" priority="945" operator="greaterThan">
      <formula>V24</formula>
    </cfRule>
    <cfRule type="cellIs" dxfId="2617" priority="946" operator="equal">
      <formula>0</formula>
    </cfRule>
  </conditionalFormatting>
  <conditionalFormatting sqref="V25">
    <cfRule type="cellIs" dxfId="2616" priority="943" operator="greaterThan">
      <formula>V24</formula>
    </cfRule>
    <cfRule type="cellIs" dxfId="2615" priority="944" operator="equal">
      <formula>0</formula>
    </cfRule>
  </conditionalFormatting>
  <conditionalFormatting sqref="V25">
    <cfRule type="cellIs" dxfId="2614" priority="941" operator="greaterThan">
      <formula>V24</formula>
    </cfRule>
    <cfRule type="cellIs" dxfId="2613" priority="942" operator="equal">
      <formula>0</formula>
    </cfRule>
  </conditionalFormatting>
  <conditionalFormatting sqref="V25">
    <cfRule type="cellIs" dxfId="2612" priority="939" operator="greaterThan">
      <formula>V24</formula>
    </cfRule>
    <cfRule type="cellIs" dxfId="2611" priority="940" operator="equal">
      <formula>0</formula>
    </cfRule>
  </conditionalFormatting>
  <conditionalFormatting sqref="V25">
    <cfRule type="cellIs" dxfId="2610" priority="937" operator="greaterThan">
      <formula>V24</formula>
    </cfRule>
    <cfRule type="cellIs" dxfId="2609" priority="938" operator="equal">
      <formula>0</formula>
    </cfRule>
  </conditionalFormatting>
  <conditionalFormatting sqref="V25">
    <cfRule type="cellIs" dxfId="2608" priority="935" operator="greaterThan">
      <formula>V24</formula>
    </cfRule>
    <cfRule type="cellIs" dxfId="2607" priority="936" operator="equal">
      <formula>0</formula>
    </cfRule>
  </conditionalFormatting>
  <conditionalFormatting sqref="V25">
    <cfRule type="cellIs" dxfId="2606" priority="933" operator="greaterThan">
      <formula>V24</formula>
    </cfRule>
    <cfRule type="cellIs" dxfId="2605" priority="934" operator="equal">
      <formula>0</formula>
    </cfRule>
  </conditionalFormatting>
  <conditionalFormatting sqref="V25">
    <cfRule type="cellIs" dxfId="2604" priority="931" operator="greaterThan">
      <formula>V24</formula>
    </cfRule>
    <cfRule type="cellIs" dxfId="2603" priority="932" operator="equal">
      <formula>0</formula>
    </cfRule>
  </conditionalFormatting>
  <conditionalFormatting sqref="V25">
    <cfRule type="cellIs" dxfId="2602" priority="929" operator="greaterThan">
      <formula>V24</formula>
    </cfRule>
    <cfRule type="cellIs" dxfId="2601" priority="930" operator="equal">
      <formula>0</formula>
    </cfRule>
  </conditionalFormatting>
  <conditionalFormatting sqref="V25">
    <cfRule type="cellIs" dxfId="2600" priority="927" operator="greaterThan">
      <formula>V24</formula>
    </cfRule>
    <cfRule type="cellIs" dxfId="2599" priority="928" operator="equal">
      <formula>0</formula>
    </cfRule>
  </conditionalFormatting>
  <conditionalFormatting sqref="V25">
    <cfRule type="cellIs" dxfId="2598" priority="925" operator="greaterThan">
      <formula>V24</formula>
    </cfRule>
    <cfRule type="cellIs" dxfId="2597" priority="926" operator="equal">
      <formula>0</formula>
    </cfRule>
  </conditionalFormatting>
  <conditionalFormatting sqref="V25">
    <cfRule type="cellIs" dxfId="2596" priority="923" operator="greaterThan">
      <formula>V24</formula>
    </cfRule>
    <cfRule type="cellIs" dxfId="2595" priority="924" operator="equal">
      <formula>0</formula>
    </cfRule>
  </conditionalFormatting>
  <conditionalFormatting sqref="V25">
    <cfRule type="cellIs" dxfId="2594" priority="921" operator="greaterThan">
      <formula>V24</formula>
    </cfRule>
    <cfRule type="cellIs" dxfId="2593" priority="922" operator="equal">
      <formula>0</formula>
    </cfRule>
  </conditionalFormatting>
  <conditionalFormatting sqref="V25">
    <cfRule type="cellIs" dxfId="2592" priority="919" operator="greaterThan">
      <formula>V24</formula>
    </cfRule>
    <cfRule type="cellIs" dxfId="2591" priority="920" operator="equal">
      <formula>0</formula>
    </cfRule>
  </conditionalFormatting>
  <conditionalFormatting sqref="V25">
    <cfRule type="cellIs" dxfId="2590" priority="917" operator="greaterThan">
      <formula>V24</formula>
    </cfRule>
    <cfRule type="cellIs" dxfId="2589" priority="918" operator="equal">
      <formula>0</formula>
    </cfRule>
  </conditionalFormatting>
  <conditionalFormatting sqref="V25">
    <cfRule type="cellIs" dxfId="2588" priority="915" operator="greaterThan">
      <formula>V24</formula>
    </cfRule>
    <cfRule type="cellIs" dxfId="2587" priority="916" operator="equal">
      <formula>0</formula>
    </cfRule>
  </conditionalFormatting>
  <conditionalFormatting sqref="V25">
    <cfRule type="cellIs" dxfId="2586" priority="913" operator="greaterThan">
      <formula>V24</formula>
    </cfRule>
    <cfRule type="cellIs" dxfId="2585" priority="914" operator="equal">
      <formula>0</formula>
    </cfRule>
  </conditionalFormatting>
  <conditionalFormatting sqref="V25">
    <cfRule type="cellIs" dxfId="2584" priority="911" operator="greaterThan">
      <formula>V24</formula>
    </cfRule>
    <cfRule type="cellIs" dxfId="2583" priority="912" operator="equal">
      <formula>0</formula>
    </cfRule>
  </conditionalFormatting>
  <conditionalFormatting sqref="V25">
    <cfRule type="cellIs" dxfId="2582" priority="909" operator="greaterThan">
      <formula>V24</formula>
    </cfRule>
    <cfRule type="cellIs" dxfId="2581" priority="910" operator="equal">
      <formula>0</formula>
    </cfRule>
  </conditionalFormatting>
  <conditionalFormatting sqref="V25">
    <cfRule type="cellIs" dxfId="2580" priority="907" operator="greaterThan">
      <formula>V24</formula>
    </cfRule>
    <cfRule type="cellIs" dxfId="2579" priority="908" operator="equal">
      <formula>0</formula>
    </cfRule>
  </conditionalFormatting>
  <conditionalFormatting sqref="V25">
    <cfRule type="cellIs" dxfId="2578" priority="905" operator="greaterThan">
      <formula>V24</formula>
    </cfRule>
    <cfRule type="cellIs" dxfId="2577" priority="906" operator="equal">
      <formula>0</formula>
    </cfRule>
  </conditionalFormatting>
  <conditionalFormatting sqref="V25">
    <cfRule type="cellIs" dxfId="2576" priority="903" operator="greaterThan">
      <formula>V24</formula>
    </cfRule>
    <cfRule type="cellIs" dxfId="2575" priority="904" operator="equal">
      <formula>0</formula>
    </cfRule>
  </conditionalFormatting>
  <conditionalFormatting sqref="V25">
    <cfRule type="cellIs" dxfId="2574" priority="901" operator="greaterThan">
      <formula>V24</formula>
    </cfRule>
    <cfRule type="cellIs" dxfId="2573" priority="902" operator="equal">
      <formula>0</formula>
    </cfRule>
  </conditionalFormatting>
  <conditionalFormatting sqref="V25">
    <cfRule type="cellIs" dxfId="2572" priority="899" operator="greaterThan">
      <formula>V24</formula>
    </cfRule>
    <cfRule type="cellIs" dxfId="2571" priority="900" operator="equal">
      <formula>0</formula>
    </cfRule>
  </conditionalFormatting>
  <conditionalFormatting sqref="V25">
    <cfRule type="cellIs" dxfId="2570" priority="897" operator="greaterThan">
      <formula>V24</formula>
    </cfRule>
    <cfRule type="cellIs" dxfId="2569" priority="898" operator="equal">
      <formula>0</formula>
    </cfRule>
  </conditionalFormatting>
  <conditionalFormatting sqref="V25">
    <cfRule type="cellIs" dxfId="2568" priority="895" operator="greaterThan">
      <formula>V24</formula>
    </cfRule>
    <cfRule type="cellIs" dxfId="2567" priority="896" operator="equal">
      <formula>0</formula>
    </cfRule>
  </conditionalFormatting>
  <conditionalFormatting sqref="V25">
    <cfRule type="cellIs" dxfId="2566" priority="893" operator="greaterThan">
      <formula>V24</formula>
    </cfRule>
    <cfRule type="cellIs" dxfId="2565" priority="894" operator="equal">
      <formula>0</formula>
    </cfRule>
  </conditionalFormatting>
  <conditionalFormatting sqref="V27">
    <cfRule type="cellIs" dxfId="2564" priority="891" operator="greaterThan">
      <formula>V26</formula>
    </cfRule>
    <cfRule type="cellIs" dxfId="2563" priority="892" operator="equal">
      <formula>0</formula>
    </cfRule>
  </conditionalFormatting>
  <conditionalFormatting sqref="V27">
    <cfRule type="cellIs" dxfId="2562" priority="889" operator="greaterThan">
      <formula>V26</formula>
    </cfRule>
    <cfRule type="cellIs" dxfId="2561" priority="890" operator="equal">
      <formula>0</formula>
    </cfRule>
  </conditionalFormatting>
  <conditionalFormatting sqref="V27">
    <cfRule type="cellIs" dxfId="2560" priority="887" operator="greaterThan">
      <formula>V26</formula>
    </cfRule>
    <cfRule type="cellIs" dxfId="2559" priority="888" operator="equal">
      <formula>0</formula>
    </cfRule>
  </conditionalFormatting>
  <conditionalFormatting sqref="V27">
    <cfRule type="cellIs" dxfId="2558" priority="885" operator="greaterThan">
      <formula>V26</formula>
    </cfRule>
    <cfRule type="cellIs" dxfId="2557" priority="886" operator="equal">
      <formula>0</formula>
    </cfRule>
  </conditionalFormatting>
  <conditionalFormatting sqref="V27">
    <cfRule type="cellIs" dxfId="2556" priority="883" operator="greaterThan">
      <formula>V26</formula>
    </cfRule>
    <cfRule type="cellIs" dxfId="2555" priority="884" operator="equal">
      <formula>0</formula>
    </cfRule>
  </conditionalFormatting>
  <conditionalFormatting sqref="V27">
    <cfRule type="cellIs" dxfId="2554" priority="881" operator="greaterThan">
      <formula>V26</formula>
    </cfRule>
    <cfRule type="cellIs" dxfId="2553" priority="882" operator="equal">
      <formula>0</formula>
    </cfRule>
  </conditionalFormatting>
  <conditionalFormatting sqref="V27">
    <cfRule type="cellIs" dxfId="2552" priority="879" operator="greaterThan">
      <formula>V26</formula>
    </cfRule>
    <cfRule type="cellIs" dxfId="2551" priority="880" operator="equal">
      <formula>0</formula>
    </cfRule>
  </conditionalFormatting>
  <conditionalFormatting sqref="V27">
    <cfRule type="cellIs" dxfId="2550" priority="877" operator="greaterThan">
      <formula>V26</formula>
    </cfRule>
    <cfRule type="cellIs" dxfId="2549" priority="878" operator="equal">
      <formula>0</formula>
    </cfRule>
  </conditionalFormatting>
  <conditionalFormatting sqref="V27">
    <cfRule type="cellIs" dxfId="2548" priority="875" operator="greaterThan">
      <formula>V26</formula>
    </cfRule>
    <cfRule type="cellIs" dxfId="2547" priority="876" operator="equal">
      <formula>0</formula>
    </cfRule>
  </conditionalFormatting>
  <conditionalFormatting sqref="V27">
    <cfRule type="cellIs" dxfId="2546" priority="873" operator="greaterThan">
      <formula>V26</formula>
    </cfRule>
    <cfRule type="cellIs" dxfId="2545" priority="874" operator="equal">
      <formula>0</formula>
    </cfRule>
  </conditionalFormatting>
  <conditionalFormatting sqref="V27">
    <cfRule type="cellIs" dxfId="2544" priority="871" operator="greaterThan">
      <formula>V26</formula>
    </cfRule>
    <cfRule type="cellIs" dxfId="2543" priority="872" operator="equal">
      <formula>0</formula>
    </cfRule>
  </conditionalFormatting>
  <conditionalFormatting sqref="V27">
    <cfRule type="cellIs" dxfId="2542" priority="869" operator="greaterThan">
      <formula>V26</formula>
    </cfRule>
    <cfRule type="cellIs" dxfId="2541" priority="870" operator="equal">
      <formula>0</formula>
    </cfRule>
  </conditionalFormatting>
  <conditionalFormatting sqref="V27">
    <cfRule type="cellIs" dxfId="2540" priority="867" operator="greaterThan">
      <formula>V26</formula>
    </cfRule>
    <cfRule type="cellIs" dxfId="2539" priority="868" operator="equal">
      <formula>0</formula>
    </cfRule>
  </conditionalFormatting>
  <conditionalFormatting sqref="V27">
    <cfRule type="cellIs" dxfId="2538" priority="865" operator="greaterThan">
      <formula>V26</formula>
    </cfRule>
    <cfRule type="cellIs" dxfId="2537" priority="866" operator="equal">
      <formula>0</formula>
    </cfRule>
  </conditionalFormatting>
  <conditionalFormatting sqref="V27">
    <cfRule type="cellIs" dxfId="2536" priority="863" operator="greaterThan">
      <formula>V26</formula>
    </cfRule>
    <cfRule type="cellIs" dxfId="2535" priority="864" operator="equal">
      <formula>0</formula>
    </cfRule>
  </conditionalFormatting>
  <conditionalFormatting sqref="V27">
    <cfRule type="cellIs" dxfId="2534" priority="861" operator="greaterThan">
      <formula>V26</formula>
    </cfRule>
    <cfRule type="cellIs" dxfId="2533" priority="862" operator="equal">
      <formula>0</formula>
    </cfRule>
  </conditionalFormatting>
  <conditionalFormatting sqref="V27">
    <cfRule type="cellIs" dxfId="2532" priority="859" operator="greaterThan">
      <formula>V26</formula>
    </cfRule>
    <cfRule type="cellIs" dxfId="2531" priority="860" operator="equal">
      <formula>0</formula>
    </cfRule>
  </conditionalFormatting>
  <conditionalFormatting sqref="V27">
    <cfRule type="cellIs" dxfId="2530" priority="857" operator="greaterThan">
      <formula>V26</formula>
    </cfRule>
    <cfRule type="cellIs" dxfId="2529" priority="858" operator="equal">
      <formula>0</formula>
    </cfRule>
  </conditionalFormatting>
  <conditionalFormatting sqref="V27">
    <cfRule type="cellIs" dxfId="2528" priority="855" operator="greaterThan">
      <formula>V26</formula>
    </cfRule>
    <cfRule type="cellIs" dxfId="2527" priority="856" operator="equal">
      <formula>0</formula>
    </cfRule>
  </conditionalFormatting>
  <conditionalFormatting sqref="V27">
    <cfRule type="cellIs" dxfId="2526" priority="853" operator="greaterThan">
      <formula>V26</formula>
    </cfRule>
    <cfRule type="cellIs" dxfId="2525" priority="854" operator="equal">
      <formula>0</formula>
    </cfRule>
  </conditionalFormatting>
  <conditionalFormatting sqref="V27">
    <cfRule type="cellIs" dxfId="2524" priority="851" operator="greaterThan">
      <formula>V26</formula>
    </cfRule>
    <cfRule type="cellIs" dxfId="2523" priority="852" operator="equal">
      <formula>0</formula>
    </cfRule>
  </conditionalFormatting>
  <conditionalFormatting sqref="V27">
    <cfRule type="cellIs" dxfId="2522" priority="849" operator="greaterThan">
      <formula>V26</formula>
    </cfRule>
    <cfRule type="cellIs" dxfId="2521" priority="850" operator="equal">
      <formula>0</formula>
    </cfRule>
  </conditionalFormatting>
  <conditionalFormatting sqref="V27">
    <cfRule type="cellIs" dxfId="2520" priority="847" operator="greaterThan">
      <formula>V26</formula>
    </cfRule>
    <cfRule type="cellIs" dxfId="2519" priority="848" operator="equal">
      <formula>0</formula>
    </cfRule>
  </conditionalFormatting>
  <conditionalFormatting sqref="V27">
    <cfRule type="cellIs" dxfId="2518" priority="845" operator="greaterThan">
      <formula>V26</formula>
    </cfRule>
    <cfRule type="cellIs" dxfId="2517" priority="846" operator="equal">
      <formula>0</formula>
    </cfRule>
  </conditionalFormatting>
  <conditionalFormatting sqref="V27">
    <cfRule type="cellIs" dxfId="2516" priority="843" operator="greaterThan">
      <formula>V26</formula>
    </cfRule>
    <cfRule type="cellIs" dxfId="2515" priority="844" operator="equal">
      <formula>0</formula>
    </cfRule>
  </conditionalFormatting>
  <conditionalFormatting sqref="V27">
    <cfRule type="cellIs" dxfId="2514" priority="841" operator="greaterThan">
      <formula>V26</formula>
    </cfRule>
    <cfRule type="cellIs" dxfId="2513" priority="842" operator="equal">
      <formula>0</formula>
    </cfRule>
  </conditionalFormatting>
  <conditionalFormatting sqref="V27">
    <cfRule type="cellIs" dxfId="2512" priority="839" operator="greaterThan">
      <formula>V26</formula>
    </cfRule>
    <cfRule type="cellIs" dxfId="2511" priority="840" operator="equal">
      <formula>0</formula>
    </cfRule>
  </conditionalFormatting>
  <conditionalFormatting sqref="V27">
    <cfRule type="cellIs" dxfId="2510" priority="837" operator="greaterThan">
      <formula>V26</formula>
    </cfRule>
    <cfRule type="cellIs" dxfId="2509" priority="838" operator="equal">
      <formula>0</formula>
    </cfRule>
  </conditionalFormatting>
  <conditionalFormatting sqref="V27">
    <cfRule type="cellIs" dxfId="2508" priority="835" operator="greaterThan">
      <formula>V26</formula>
    </cfRule>
    <cfRule type="cellIs" dxfId="2507" priority="836" operator="equal">
      <formula>0</formula>
    </cfRule>
  </conditionalFormatting>
  <conditionalFormatting sqref="V28">
    <cfRule type="cellIs" dxfId="2506" priority="833" operator="greaterThan">
      <formula>V27</formula>
    </cfRule>
    <cfRule type="cellIs" dxfId="2505" priority="834" operator="equal">
      <formula>0</formula>
    </cfRule>
  </conditionalFormatting>
  <conditionalFormatting sqref="V28">
    <cfRule type="cellIs" dxfId="2504" priority="831" operator="greaterThan">
      <formula>V27</formula>
    </cfRule>
    <cfRule type="cellIs" dxfId="2503" priority="832" operator="equal">
      <formula>0</formula>
    </cfRule>
  </conditionalFormatting>
  <conditionalFormatting sqref="V28">
    <cfRule type="cellIs" dxfId="2502" priority="829" operator="greaterThan">
      <formula>V27</formula>
    </cfRule>
    <cfRule type="cellIs" dxfId="2501" priority="830" operator="equal">
      <formula>0</formula>
    </cfRule>
  </conditionalFormatting>
  <conditionalFormatting sqref="V28">
    <cfRule type="cellIs" dxfId="2500" priority="827" operator="greaterThan">
      <formula>V27</formula>
    </cfRule>
    <cfRule type="cellIs" dxfId="2499" priority="828" operator="equal">
      <formula>0</formula>
    </cfRule>
  </conditionalFormatting>
  <conditionalFormatting sqref="V28">
    <cfRule type="cellIs" dxfId="2498" priority="825" operator="greaterThan">
      <formula>V27</formula>
    </cfRule>
    <cfRule type="cellIs" dxfId="2497" priority="826" operator="equal">
      <formula>0</formula>
    </cfRule>
  </conditionalFormatting>
  <conditionalFormatting sqref="V28">
    <cfRule type="cellIs" dxfId="2496" priority="823" operator="greaterThan">
      <formula>V27</formula>
    </cfRule>
    <cfRule type="cellIs" dxfId="2495" priority="824" operator="equal">
      <formula>0</formula>
    </cfRule>
  </conditionalFormatting>
  <conditionalFormatting sqref="V28">
    <cfRule type="cellIs" dxfId="2494" priority="821" operator="greaterThan">
      <formula>V27</formula>
    </cfRule>
    <cfRule type="cellIs" dxfId="2493" priority="822" operator="equal">
      <formula>0</formula>
    </cfRule>
  </conditionalFormatting>
  <conditionalFormatting sqref="V28">
    <cfRule type="cellIs" dxfId="2492" priority="819" operator="greaterThan">
      <formula>V27</formula>
    </cfRule>
    <cfRule type="cellIs" dxfId="2491" priority="820" operator="equal">
      <formula>0</formula>
    </cfRule>
  </conditionalFormatting>
  <conditionalFormatting sqref="V28">
    <cfRule type="cellIs" dxfId="2490" priority="817" operator="greaterThan">
      <formula>V27</formula>
    </cfRule>
    <cfRule type="cellIs" dxfId="2489" priority="818" operator="equal">
      <formula>0</formula>
    </cfRule>
  </conditionalFormatting>
  <conditionalFormatting sqref="V28">
    <cfRule type="cellIs" dxfId="2488" priority="815" operator="greaterThan">
      <formula>V27</formula>
    </cfRule>
    <cfRule type="cellIs" dxfId="2487" priority="816" operator="equal">
      <formula>0</formula>
    </cfRule>
  </conditionalFormatting>
  <conditionalFormatting sqref="V28">
    <cfRule type="cellIs" dxfId="2486" priority="813" operator="greaterThan">
      <formula>V27</formula>
    </cfRule>
    <cfRule type="cellIs" dxfId="2485" priority="814" operator="equal">
      <formula>0</formula>
    </cfRule>
  </conditionalFormatting>
  <conditionalFormatting sqref="V28">
    <cfRule type="cellIs" dxfId="2484" priority="811" operator="greaterThan">
      <formula>V27</formula>
    </cfRule>
    <cfRule type="cellIs" dxfId="2483" priority="812" operator="equal">
      <formula>0</formula>
    </cfRule>
  </conditionalFormatting>
  <conditionalFormatting sqref="V28">
    <cfRule type="cellIs" dxfId="2482" priority="809" operator="greaterThan">
      <formula>V27</formula>
    </cfRule>
    <cfRule type="cellIs" dxfId="2481" priority="810" operator="equal">
      <formula>0</formula>
    </cfRule>
  </conditionalFormatting>
  <conditionalFormatting sqref="V28">
    <cfRule type="cellIs" dxfId="2480" priority="807" operator="greaterThan">
      <formula>V27</formula>
    </cfRule>
    <cfRule type="cellIs" dxfId="2479" priority="808" operator="equal">
      <formula>0</formula>
    </cfRule>
  </conditionalFormatting>
  <conditionalFormatting sqref="V28">
    <cfRule type="cellIs" dxfId="2478" priority="805" operator="greaterThan">
      <formula>V27</formula>
    </cfRule>
    <cfRule type="cellIs" dxfId="2477" priority="806" operator="equal">
      <formula>0</formula>
    </cfRule>
  </conditionalFormatting>
  <conditionalFormatting sqref="V28">
    <cfRule type="cellIs" dxfId="2476" priority="803" operator="greaterThan">
      <formula>V27</formula>
    </cfRule>
    <cfRule type="cellIs" dxfId="2475" priority="804" operator="equal">
      <formula>0</formula>
    </cfRule>
  </conditionalFormatting>
  <conditionalFormatting sqref="V28">
    <cfRule type="cellIs" dxfId="2474" priority="801" operator="greaterThan">
      <formula>V27</formula>
    </cfRule>
    <cfRule type="cellIs" dxfId="2473" priority="802" operator="equal">
      <formula>0</formula>
    </cfRule>
  </conditionalFormatting>
  <conditionalFormatting sqref="V28">
    <cfRule type="cellIs" dxfId="2472" priority="799" operator="greaterThan">
      <formula>V27</formula>
    </cfRule>
    <cfRule type="cellIs" dxfId="2471" priority="800" operator="equal">
      <formula>0</formula>
    </cfRule>
  </conditionalFormatting>
  <conditionalFormatting sqref="V28">
    <cfRule type="cellIs" dxfId="2470" priority="797" operator="greaterThan">
      <formula>V27</formula>
    </cfRule>
    <cfRule type="cellIs" dxfId="2469" priority="798" operator="equal">
      <formula>0</formula>
    </cfRule>
  </conditionalFormatting>
  <conditionalFormatting sqref="V28">
    <cfRule type="cellIs" dxfId="2468" priority="795" operator="greaterThan">
      <formula>V27</formula>
    </cfRule>
    <cfRule type="cellIs" dxfId="2467" priority="796" operator="equal">
      <formula>0</formula>
    </cfRule>
  </conditionalFormatting>
  <conditionalFormatting sqref="V28">
    <cfRule type="cellIs" dxfId="2466" priority="793" operator="greaterThan">
      <formula>V27</formula>
    </cfRule>
    <cfRule type="cellIs" dxfId="2465" priority="794" operator="equal">
      <formula>0</formula>
    </cfRule>
  </conditionalFormatting>
  <conditionalFormatting sqref="V28">
    <cfRule type="cellIs" dxfId="2464" priority="791" operator="greaterThan">
      <formula>V27</formula>
    </cfRule>
    <cfRule type="cellIs" dxfId="2463" priority="792" operator="equal">
      <formula>0</formula>
    </cfRule>
  </conditionalFormatting>
  <conditionalFormatting sqref="V28">
    <cfRule type="cellIs" dxfId="2462" priority="789" operator="greaterThan">
      <formula>V27</formula>
    </cfRule>
    <cfRule type="cellIs" dxfId="2461" priority="790" operator="equal">
      <formula>0</formula>
    </cfRule>
  </conditionalFormatting>
  <conditionalFormatting sqref="V28">
    <cfRule type="cellIs" dxfId="2460" priority="787" operator="greaterThan">
      <formula>V27</formula>
    </cfRule>
    <cfRule type="cellIs" dxfId="2459" priority="788" operator="equal">
      <formula>0</formula>
    </cfRule>
  </conditionalFormatting>
  <conditionalFormatting sqref="V28">
    <cfRule type="cellIs" dxfId="2458" priority="785" operator="greaterThan">
      <formula>V27</formula>
    </cfRule>
    <cfRule type="cellIs" dxfId="2457" priority="786" operator="equal">
      <formula>0</formula>
    </cfRule>
  </conditionalFormatting>
  <conditionalFormatting sqref="V28">
    <cfRule type="cellIs" dxfId="2456" priority="783" operator="greaterThan">
      <formula>V27</formula>
    </cfRule>
    <cfRule type="cellIs" dxfId="2455" priority="784" operator="equal">
      <formula>0</formula>
    </cfRule>
  </conditionalFormatting>
  <conditionalFormatting sqref="V28">
    <cfRule type="cellIs" dxfId="2454" priority="781" operator="greaterThan">
      <formula>V27</formula>
    </cfRule>
    <cfRule type="cellIs" dxfId="2453" priority="782" operator="equal">
      <formula>0</formula>
    </cfRule>
  </conditionalFormatting>
  <conditionalFormatting sqref="V28">
    <cfRule type="cellIs" dxfId="2452" priority="779" operator="greaterThan">
      <formula>V27</formula>
    </cfRule>
    <cfRule type="cellIs" dxfId="2451" priority="780" operator="equal">
      <formula>0</formula>
    </cfRule>
  </conditionalFormatting>
  <conditionalFormatting sqref="V28">
    <cfRule type="cellIs" dxfId="2450" priority="777" operator="greaterThan">
      <formula>V27</formula>
    </cfRule>
    <cfRule type="cellIs" dxfId="2449" priority="778" operator="equal">
      <formula>0</formula>
    </cfRule>
  </conditionalFormatting>
  <conditionalFormatting sqref="V28">
    <cfRule type="cellIs" dxfId="2448" priority="775" operator="greaterThan">
      <formula>V27</formula>
    </cfRule>
    <cfRule type="cellIs" dxfId="2447" priority="776" operator="equal">
      <formula>0</formula>
    </cfRule>
  </conditionalFormatting>
  <conditionalFormatting sqref="V28">
    <cfRule type="cellIs" dxfId="2446" priority="773" operator="greaterThan">
      <formula>V27</formula>
    </cfRule>
    <cfRule type="cellIs" dxfId="2445" priority="774" operator="equal">
      <formula>0</formula>
    </cfRule>
  </conditionalFormatting>
  <conditionalFormatting sqref="V28">
    <cfRule type="cellIs" dxfId="2444" priority="771" operator="greaterThan">
      <formula>V27</formula>
    </cfRule>
    <cfRule type="cellIs" dxfId="2443" priority="772" operator="equal">
      <formula>0</formula>
    </cfRule>
  </conditionalFormatting>
  <conditionalFormatting sqref="V28">
    <cfRule type="cellIs" dxfId="2442" priority="769" operator="greaterThan">
      <formula>V27</formula>
    </cfRule>
    <cfRule type="cellIs" dxfId="2441" priority="770" operator="equal">
      <formula>0</formula>
    </cfRule>
  </conditionalFormatting>
  <conditionalFormatting sqref="V28">
    <cfRule type="cellIs" dxfId="2440" priority="767" operator="greaterThan">
      <formula>V27</formula>
    </cfRule>
    <cfRule type="cellIs" dxfId="2439" priority="768" operator="equal">
      <formula>0</formula>
    </cfRule>
  </conditionalFormatting>
  <conditionalFormatting sqref="V28">
    <cfRule type="cellIs" dxfId="2438" priority="765" operator="greaterThan">
      <formula>V27</formula>
    </cfRule>
    <cfRule type="cellIs" dxfId="2437" priority="766" operator="equal">
      <formula>0</formula>
    </cfRule>
  </conditionalFormatting>
  <conditionalFormatting sqref="V28">
    <cfRule type="cellIs" dxfId="2436" priority="763" operator="greaterThan">
      <formula>V27</formula>
    </cfRule>
    <cfRule type="cellIs" dxfId="2435" priority="764" operator="equal">
      <formula>0</formula>
    </cfRule>
  </conditionalFormatting>
  <conditionalFormatting sqref="V28">
    <cfRule type="cellIs" dxfId="2434" priority="761" operator="greaterThan">
      <formula>V27</formula>
    </cfRule>
    <cfRule type="cellIs" dxfId="2433" priority="762" operator="equal">
      <formula>0</formula>
    </cfRule>
  </conditionalFormatting>
  <conditionalFormatting sqref="V28">
    <cfRule type="cellIs" dxfId="2432" priority="759" operator="greaterThan">
      <formula>V27</formula>
    </cfRule>
    <cfRule type="cellIs" dxfId="2431" priority="760" operator="equal">
      <formula>0</formula>
    </cfRule>
  </conditionalFormatting>
  <conditionalFormatting sqref="V28">
    <cfRule type="cellIs" dxfId="2430" priority="757" operator="greaterThan">
      <formula>V27</formula>
    </cfRule>
    <cfRule type="cellIs" dxfId="2429" priority="758" operator="equal">
      <formula>0</formula>
    </cfRule>
  </conditionalFormatting>
  <conditionalFormatting sqref="V28">
    <cfRule type="cellIs" dxfId="2428" priority="755" operator="greaterThan">
      <formula>V27</formula>
    </cfRule>
    <cfRule type="cellIs" dxfId="2427" priority="756" operator="equal">
      <formula>0</formula>
    </cfRule>
  </conditionalFormatting>
  <conditionalFormatting sqref="V28">
    <cfRule type="cellIs" dxfId="2426" priority="753" operator="greaterThan">
      <formula>V27</formula>
    </cfRule>
    <cfRule type="cellIs" dxfId="2425" priority="754" operator="equal">
      <formula>0</formula>
    </cfRule>
  </conditionalFormatting>
  <conditionalFormatting sqref="V28">
    <cfRule type="cellIs" dxfId="2424" priority="751" operator="greaterThan">
      <formula>V27</formula>
    </cfRule>
    <cfRule type="cellIs" dxfId="2423" priority="752" operator="equal">
      <formula>0</formula>
    </cfRule>
  </conditionalFormatting>
  <conditionalFormatting sqref="V28">
    <cfRule type="cellIs" dxfId="2422" priority="749" operator="greaterThan">
      <formula>V27</formula>
    </cfRule>
    <cfRule type="cellIs" dxfId="2421" priority="750" operator="equal">
      <formula>0</formula>
    </cfRule>
  </conditionalFormatting>
  <conditionalFormatting sqref="V28">
    <cfRule type="cellIs" dxfId="2420" priority="747" operator="greaterThan">
      <formula>V27</formula>
    </cfRule>
    <cfRule type="cellIs" dxfId="2419" priority="748" operator="equal">
      <formula>0</formula>
    </cfRule>
  </conditionalFormatting>
  <conditionalFormatting sqref="V28">
    <cfRule type="cellIs" dxfId="2418" priority="745" operator="greaterThan">
      <formula>V27</formula>
    </cfRule>
    <cfRule type="cellIs" dxfId="2417" priority="746" operator="equal">
      <formula>0</formula>
    </cfRule>
  </conditionalFormatting>
  <conditionalFormatting sqref="V28">
    <cfRule type="cellIs" dxfId="2416" priority="743" operator="greaterThan">
      <formula>V27</formula>
    </cfRule>
    <cfRule type="cellIs" dxfId="2415" priority="744" operator="equal">
      <formula>0</formula>
    </cfRule>
  </conditionalFormatting>
  <conditionalFormatting sqref="V28">
    <cfRule type="cellIs" dxfId="2414" priority="741" operator="greaterThan">
      <formula>V27</formula>
    </cfRule>
    <cfRule type="cellIs" dxfId="2413" priority="742" operator="equal">
      <formula>0</formula>
    </cfRule>
  </conditionalFormatting>
  <conditionalFormatting sqref="V28">
    <cfRule type="cellIs" dxfId="2412" priority="739" operator="greaterThan">
      <formula>V27</formula>
    </cfRule>
    <cfRule type="cellIs" dxfId="2411" priority="740" operator="equal">
      <formula>0</formula>
    </cfRule>
  </conditionalFormatting>
  <conditionalFormatting sqref="V28">
    <cfRule type="cellIs" dxfId="2410" priority="737" operator="greaterThan">
      <formula>V27</formula>
    </cfRule>
    <cfRule type="cellIs" dxfId="2409" priority="738" operator="equal">
      <formula>0</formula>
    </cfRule>
  </conditionalFormatting>
  <conditionalFormatting sqref="V28">
    <cfRule type="cellIs" dxfId="2408" priority="735" operator="greaterThan">
      <formula>V27</formula>
    </cfRule>
    <cfRule type="cellIs" dxfId="2407" priority="736" operator="equal">
      <formula>0</formula>
    </cfRule>
  </conditionalFormatting>
  <conditionalFormatting sqref="V28">
    <cfRule type="cellIs" dxfId="2406" priority="733" operator="greaterThan">
      <formula>V27</formula>
    </cfRule>
    <cfRule type="cellIs" dxfId="2405" priority="734" operator="equal">
      <formula>0</formula>
    </cfRule>
  </conditionalFormatting>
  <conditionalFormatting sqref="V28">
    <cfRule type="cellIs" dxfId="2404" priority="731" operator="greaterThan">
      <formula>V27</formula>
    </cfRule>
    <cfRule type="cellIs" dxfId="2403" priority="732" operator="equal">
      <formula>0</formula>
    </cfRule>
  </conditionalFormatting>
  <conditionalFormatting sqref="V28">
    <cfRule type="cellIs" dxfId="2402" priority="729" operator="greaterThan">
      <formula>V27</formula>
    </cfRule>
    <cfRule type="cellIs" dxfId="2401" priority="730" operator="equal">
      <formula>0</formula>
    </cfRule>
  </conditionalFormatting>
  <conditionalFormatting sqref="V28">
    <cfRule type="cellIs" dxfId="2400" priority="727" operator="greaterThan">
      <formula>V27</formula>
    </cfRule>
    <cfRule type="cellIs" dxfId="2399" priority="728" operator="equal">
      <formula>0</formula>
    </cfRule>
  </conditionalFormatting>
  <conditionalFormatting sqref="V28">
    <cfRule type="cellIs" dxfId="2398" priority="725" operator="greaterThan">
      <formula>V27</formula>
    </cfRule>
    <cfRule type="cellIs" dxfId="2397" priority="726" operator="equal">
      <formula>0</formula>
    </cfRule>
  </conditionalFormatting>
  <conditionalFormatting sqref="V28">
    <cfRule type="cellIs" dxfId="2396" priority="723" operator="greaterThan">
      <formula>V27</formula>
    </cfRule>
    <cfRule type="cellIs" dxfId="2395" priority="724" operator="equal">
      <formula>0</formula>
    </cfRule>
  </conditionalFormatting>
  <conditionalFormatting sqref="V28">
    <cfRule type="cellIs" dxfId="2394" priority="721" operator="greaterThan">
      <formula>V27</formula>
    </cfRule>
    <cfRule type="cellIs" dxfId="2393" priority="722" operator="equal">
      <formula>0</formula>
    </cfRule>
  </conditionalFormatting>
  <conditionalFormatting sqref="V28">
    <cfRule type="cellIs" dxfId="2392" priority="719" operator="greaterThan">
      <formula>V27</formula>
    </cfRule>
    <cfRule type="cellIs" dxfId="2391" priority="720" operator="equal">
      <formula>0</formula>
    </cfRule>
  </conditionalFormatting>
  <conditionalFormatting sqref="V28">
    <cfRule type="cellIs" dxfId="2390" priority="717" operator="greaterThan">
      <formula>V27</formula>
    </cfRule>
    <cfRule type="cellIs" dxfId="2389" priority="718" operator="equal">
      <formula>0</formula>
    </cfRule>
  </conditionalFormatting>
  <conditionalFormatting sqref="V28">
    <cfRule type="cellIs" dxfId="2388" priority="715" operator="greaterThan">
      <formula>V27</formula>
    </cfRule>
    <cfRule type="cellIs" dxfId="2387" priority="716" operator="equal">
      <formula>0</formula>
    </cfRule>
  </conditionalFormatting>
  <conditionalFormatting sqref="V28">
    <cfRule type="cellIs" dxfId="2386" priority="713" operator="greaterThan">
      <formula>V27</formula>
    </cfRule>
    <cfRule type="cellIs" dxfId="2385" priority="714" operator="equal">
      <formula>0</formula>
    </cfRule>
  </conditionalFormatting>
  <conditionalFormatting sqref="V28">
    <cfRule type="cellIs" dxfId="2384" priority="711" operator="greaterThan">
      <formula>V27</formula>
    </cfRule>
    <cfRule type="cellIs" dxfId="2383" priority="712" operator="equal">
      <formula>0</formula>
    </cfRule>
  </conditionalFormatting>
  <conditionalFormatting sqref="V28">
    <cfRule type="cellIs" dxfId="2382" priority="709" operator="greaterThan">
      <formula>V27</formula>
    </cfRule>
    <cfRule type="cellIs" dxfId="2381" priority="710" operator="equal">
      <formula>0</formula>
    </cfRule>
  </conditionalFormatting>
  <conditionalFormatting sqref="V28">
    <cfRule type="cellIs" dxfId="2380" priority="707" operator="greaterThan">
      <formula>V27</formula>
    </cfRule>
    <cfRule type="cellIs" dxfId="2379" priority="708" operator="equal">
      <formula>0</formula>
    </cfRule>
  </conditionalFormatting>
  <conditionalFormatting sqref="V28">
    <cfRule type="cellIs" dxfId="2378" priority="705" operator="greaterThan">
      <formula>V27</formula>
    </cfRule>
    <cfRule type="cellIs" dxfId="2377" priority="706" operator="equal">
      <formula>0</formula>
    </cfRule>
  </conditionalFormatting>
  <conditionalFormatting sqref="V28">
    <cfRule type="cellIs" dxfId="2376" priority="703" operator="greaterThan">
      <formula>V27</formula>
    </cfRule>
    <cfRule type="cellIs" dxfId="2375" priority="704" operator="equal">
      <formula>0</formula>
    </cfRule>
  </conditionalFormatting>
  <conditionalFormatting sqref="V28">
    <cfRule type="cellIs" dxfId="2374" priority="701" operator="greaterThan">
      <formula>V27</formula>
    </cfRule>
    <cfRule type="cellIs" dxfId="2373" priority="702" operator="equal">
      <formula>0</formula>
    </cfRule>
  </conditionalFormatting>
  <conditionalFormatting sqref="V28">
    <cfRule type="cellIs" dxfId="2372" priority="699" operator="greaterThan">
      <formula>V27</formula>
    </cfRule>
    <cfRule type="cellIs" dxfId="2371" priority="700" operator="equal">
      <formula>0</formula>
    </cfRule>
  </conditionalFormatting>
  <conditionalFormatting sqref="V28">
    <cfRule type="cellIs" dxfId="2370" priority="697" operator="greaterThan">
      <formula>V27</formula>
    </cfRule>
    <cfRule type="cellIs" dxfId="2369" priority="698" operator="equal">
      <formula>0</formula>
    </cfRule>
  </conditionalFormatting>
  <conditionalFormatting sqref="V28">
    <cfRule type="cellIs" dxfId="2368" priority="695" operator="greaterThan">
      <formula>V27</formula>
    </cfRule>
    <cfRule type="cellIs" dxfId="2367" priority="696" operator="equal">
      <formula>0</formula>
    </cfRule>
  </conditionalFormatting>
  <conditionalFormatting sqref="V28">
    <cfRule type="cellIs" dxfId="2366" priority="693" operator="greaterThan">
      <formula>V27</formula>
    </cfRule>
    <cfRule type="cellIs" dxfId="2365" priority="694" operator="equal">
      <formula>0</formula>
    </cfRule>
  </conditionalFormatting>
  <conditionalFormatting sqref="V28">
    <cfRule type="cellIs" dxfId="2364" priority="691" operator="greaterThan">
      <formula>V27</formula>
    </cfRule>
    <cfRule type="cellIs" dxfId="2363" priority="692" operator="equal">
      <formula>0</formula>
    </cfRule>
  </conditionalFormatting>
  <conditionalFormatting sqref="V28">
    <cfRule type="cellIs" dxfId="2362" priority="689" operator="greaterThan">
      <formula>V27</formula>
    </cfRule>
    <cfRule type="cellIs" dxfId="2361" priority="690" operator="equal">
      <formula>0</formula>
    </cfRule>
  </conditionalFormatting>
  <conditionalFormatting sqref="V28">
    <cfRule type="cellIs" dxfId="2360" priority="687" operator="greaterThan">
      <formula>V27</formula>
    </cfRule>
    <cfRule type="cellIs" dxfId="2359" priority="688" operator="equal">
      <formula>0</formula>
    </cfRule>
  </conditionalFormatting>
  <conditionalFormatting sqref="V28">
    <cfRule type="cellIs" dxfId="2358" priority="685" operator="greaterThan">
      <formula>V27</formula>
    </cfRule>
    <cfRule type="cellIs" dxfId="2357" priority="686" operator="equal">
      <formula>0</formula>
    </cfRule>
  </conditionalFormatting>
  <conditionalFormatting sqref="V28">
    <cfRule type="cellIs" dxfId="2356" priority="683" operator="greaterThan">
      <formula>V27</formula>
    </cfRule>
    <cfRule type="cellIs" dxfId="2355" priority="684" operator="equal">
      <formula>0</formula>
    </cfRule>
  </conditionalFormatting>
  <conditionalFormatting sqref="V28">
    <cfRule type="cellIs" dxfId="2354" priority="681" operator="greaterThan">
      <formula>V27</formula>
    </cfRule>
    <cfRule type="cellIs" dxfId="2353" priority="682" operator="equal">
      <formula>0</formula>
    </cfRule>
  </conditionalFormatting>
  <conditionalFormatting sqref="V28">
    <cfRule type="cellIs" dxfId="2352" priority="679" operator="greaterThan">
      <formula>V27</formula>
    </cfRule>
    <cfRule type="cellIs" dxfId="2351" priority="680" operator="equal">
      <formula>0</formula>
    </cfRule>
  </conditionalFormatting>
  <conditionalFormatting sqref="V28">
    <cfRule type="cellIs" dxfId="2350" priority="677" operator="greaterThan">
      <formula>V27</formula>
    </cfRule>
    <cfRule type="cellIs" dxfId="2349" priority="678" operator="equal">
      <formula>0</formula>
    </cfRule>
  </conditionalFormatting>
  <conditionalFormatting sqref="V28">
    <cfRule type="cellIs" dxfId="2348" priority="675" operator="greaterThan">
      <formula>V27</formula>
    </cfRule>
    <cfRule type="cellIs" dxfId="2347" priority="676" operator="equal">
      <formula>0</formula>
    </cfRule>
  </conditionalFormatting>
  <conditionalFormatting sqref="V28">
    <cfRule type="cellIs" dxfId="2346" priority="673" operator="greaterThan">
      <formula>V27</formula>
    </cfRule>
    <cfRule type="cellIs" dxfId="2345" priority="674" operator="equal">
      <formula>0</formula>
    </cfRule>
  </conditionalFormatting>
  <conditionalFormatting sqref="V28">
    <cfRule type="cellIs" dxfId="2344" priority="671" operator="greaterThan">
      <formula>V27</formula>
    </cfRule>
    <cfRule type="cellIs" dxfId="2343" priority="672" operator="equal">
      <formula>0</formula>
    </cfRule>
  </conditionalFormatting>
  <conditionalFormatting sqref="V28">
    <cfRule type="cellIs" dxfId="2342" priority="669" operator="greaterThan">
      <formula>V27</formula>
    </cfRule>
    <cfRule type="cellIs" dxfId="2341" priority="670" operator="equal">
      <formula>0</formula>
    </cfRule>
  </conditionalFormatting>
  <conditionalFormatting sqref="V28">
    <cfRule type="cellIs" dxfId="2340" priority="667" operator="greaterThan">
      <formula>V27</formula>
    </cfRule>
    <cfRule type="cellIs" dxfId="2339" priority="668" operator="equal">
      <formula>0</formula>
    </cfRule>
  </conditionalFormatting>
  <conditionalFormatting sqref="V12:V13 X12:X13 X15:X16 X18:X19 X21:X25 X27:X28 V15:V16 V18:V19 V21:V22 V24:V25 V27:V28">
    <cfRule type="cellIs" dxfId="2338" priority="666" operator="equal">
      <formula>0</formula>
    </cfRule>
  </conditionalFormatting>
  <conditionalFormatting sqref="V28">
    <cfRule type="cellIs" dxfId="2337" priority="664" operator="greaterThan">
      <formula>V27</formula>
    </cfRule>
    <cfRule type="cellIs" dxfId="2336" priority="665" operator="equal">
      <formula>0</formula>
    </cfRule>
  </conditionalFormatting>
  <conditionalFormatting sqref="V27">
    <cfRule type="cellIs" dxfId="2335" priority="662" operator="greaterThan">
      <formula>V26</formula>
    </cfRule>
    <cfRule type="cellIs" dxfId="2334" priority="663" operator="equal">
      <formula>0</formula>
    </cfRule>
  </conditionalFormatting>
  <conditionalFormatting sqref="V13">
    <cfRule type="cellIs" dxfId="2333" priority="660" operator="greaterThan">
      <formula>V12</formula>
    </cfRule>
    <cfRule type="cellIs" dxfId="2332" priority="661" operator="equal">
      <formula>0</formula>
    </cfRule>
  </conditionalFormatting>
  <conditionalFormatting sqref="V12">
    <cfRule type="cellIs" dxfId="2331" priority="658" operator="greaterThan">
      <formula>V11</formula>
    </cfRule>
    <cfRule type="cellIs" dxfId="2330" priority="659" operator="equal">
      <formula>0</formula>
    </cfRule>
  </conditionalFormatting>
  <conditionalFormatting sqref="V16">
    <cfRule type="cellIs" dxfId="2329" priority="656" operator="greaterThan">
      <formula>V15</formula>
    </cfRule>
    <cfRule type="cellIs" dxfId="2328" priority="657" operator="equal">
      <formula>0</formula>
    </cfRule>
  </conditionalFormatting>
  <conditionalFormatting sqref="V15">
    <cfRule type="cellIs" dxfId="2327" priority="654" operator="greaterThan">
      <formula>V14</formula>
    </cfRule>
    <cfRule type="cellIs" dxfId="2326" priority="655" operator="equal">
      <formula>0</formula>
    </cfRule>
  </conditionalFormatting>
  <conditionalFormatting sqref="V19">
    <cfRule type="cellIs" dxfId="2325" priority="652" operator="greaterThan">
      <formula>V18</formula>
    </cfRule>
    <cfRule type="cellIs" dxfId="2324" priority="653" operator="equal">
      <formula>0</formula>
    </cfRule>
  </conditionalFormatting>
  <conditionalFormatting sqref="V18">
    <cfRule type="cellIs" dxfId="2323" priority="650" operator="greaterThan">
      <formula>V17</formula>
    </cfRule>
    <cfRule type="cellIs" dxfId="2322" priority="651" operator="equal">
      <formula>0</formula>
    </cfRule>
  </conditionalFormatting>
  <conditionalFormatting sqref="V22 V24:V25">
    <cfRule type="cellIs" dxfId="2321" priority="648" operator="greaterThan">
      <formula>V21</formula>
    </cfRule>
    <cfRule type="cellIs" dxfId="2320" priority="649" operator="equal">
      <formula>0</formula>
    </cfRule>
  </conditionalFormatting>
  <conditionalFormatting sqref="V21">
    <cfRule type="cellIs" dxfId="2319" priority="646" operator="greaterThan">
      <formula>V20</formula>
    </cfRule>
    <cfRule type="cellIs" dxfId="2318" priority="647" operator="equal">
      <formula>0</formula>
    </cfRule>
  </conditionalFormatting>
  <conditionalFormatting sqref="V24">
    <cfRule type="cellIs" dxfId="2317" priority="644" operator="greaterThan">
      <formula>V23</formula>
    </cfRule>
    <cfRule type="cellIs" dxfId="2316" priority="645" operator="equal">
      <formula>0</formula>
    </cfRule>
  </conditionalFormatting>
  <conditionalFormatting sqref="V27:V28">
    <cfRule type="cellIs" dxfId="2315" priority="642" operator="greaterThan">
      <formula>V26</formula>
    </cfRule>
    <cfRule type="cellIs" dxfId="2314" priority="643" operator="equal">
      <formula>0</formula>
    </cfRule>
  </conditionalFormatting>
  <conditionalFormatting sqref="V27">
    <cfRule type="cellIs" dxfId="2313" priority="640" operator="greaterThan">
      <formula>V26</formula>
    </cfRule>
    <cfRule type="cellIs" dxfId="2312" priority="641" operator="equal">
      <formula>0</formula>
    </cfRule>
  </conditionalFormatting>
  <conditionalFormatting sqref="V16">
    <cfRule type="cellIs" dxfId="2311" priority="638" operator="greaterThan">
      <formula>V15</formula>
    </cfRule>
    <cfRule type="cellIs" dxfId="2310" priority="639" operator="equal">
      <formula>0</formula>
    </cfRule>
  </conditionalFormatting>
  <conditionalFormatting sqref="V15">
    <cfRule type="cellIs" dxfId="2309" priority="636" operator="greaterThan">
      <formula>V14</formula>
    </cfRule>
    <cfRule type="cellIs" dxfId="2308" priority="637" operator="equal">
      <formula>0</formula>
    </cfRule>
  </conditionalFormatting>
  <conditionalFormatting sqref="V19">
    <cfRule type="cellIs" dxfId="2307" priority="634" operator="greaterThan">
      <formula>V18</formula>
    </cfRule>
    <cfRule type="cellIs" dxfId="2306" priority="635" operator="equal">
      <formula>0</formula>
    </cfRule>
  </conditionalFormatting>
  <conditionalFormatting sqref="V18">
    <cfRule type="cellIs" dxfId="2305" priority="632" operator="greaterThan">
      <formula>V17</formula>
    </cfRule>
    <cfRule type="cellIs" dxfId="2304" priority="633" operator="equal">
      <formula>0</formula>
    </cfRule>
  </conditionalFormatting>
  <conditionalFormatting sqref="V22">
    <cfRule type="cellIs" dxfId="2303" priority="630" operator="greaterThan">
      <formula>V21</formula>
    </cfRule>
    <cfRule type="cellIs" dxfId="2302" priority="631" operator="equal">
      <formula>0</formula>
    </cfRule>
  </conditionalFormatting>
  <conditionalFormatting sqref="V21">
    <cfRule type="cellIs" dxfId="2301" priority="628" operator="greaterThan">
      <formula>V20</formula>
    </cfRule>
    <cfRule type="cellIs" dxfId="2300" priority="629" operator="equal">
      <formula>0</formula>
    </cfRule>
  </conditionalFormatting>
  <conditionalFormatting sqref="V25">
    <cfRule type="cellIs" dxfId="2299" priority="626" operator="greaterThan">
      <formula>V24</formula>
    </cfRule>
    <cfRule type="cellIs" dxfId="2298" priority="627" operator="equal">
      <formula>0</formula>
    </cfRule>
  </conditionalFormatting>
  <conditionalFormatting sqref="V24">
    <cfRule type="cellIs" dxfId="2297" priority="624" operator="greaterThan">
      <formula>V23</formula>
    </cfRule>
    <cfRule type="cellIs" dxfId="2296" priority="625" operator="equal">
      <formula>0</formula>
    </cfRule>
  </conditionalFormatting>
  <conditionalFormatting sqref="V28">
    <cfRule type="cellIs" dxfId="2295" priority="622" operator="greaterThan">
      <formula>V27</formula>
    </cfRule>
    <cfRule type="cellIs" dxfId="2294" priority="623" operator="equal">
      <formula>0</formula>
    </cfRule>
  </conditionalFormatting>
  <conditionalFormatting sqref="V27">
    <cfRule type="cellIs" dxfId="2293" priority="620" operator="greaterThan">
      <formula>V26</formula>
    </cfRule>
    <cfRule type="cellIs" dxfId="2292" priority="621" operator="equal">
      <formula>0</formula>
    </cfRule>
  </conditionalFormatting>
  <conditionalFormatting sqref="V30:V31 X30:X31">
    <cfRule type="cellIs" dxfId="2291" priority="619" operator="equal">
      <formula>0</formula>
    </cfRule>
  </conditionalFormatting>
  <conditionalFormatting sqref="V31">
    <cfRule type="cellIs" dxfId="2290" priority="617" operator="greaterThan">
      <formula>V30</formula>
    </cfRule>
    <cfRule type="cellIs" dxfId="2289" priority="618" operator="equal">
      <formula>0</formula>
    </cfRule>
  </conditionalFormatting>
  <conditionalFormatting sqref="V30">
    <cfRule type="cellIs" dxfId="2288" priority="615" operator="greaterThan">
      <formula>V29</formula>
    </cfRule>
    <cfRule type="cellIs" dxfId="2287" priority="616" operator="equal">
      <formula>0</formula>
    </cfRule>
  </conditionalFormatting>
  <conditionalFormatting sqref="V33:V34 X33:X34">
    <cfRule type="cellIs" dxfId="2286" priority="614" operator="equal">
      <formula>0</formula>
    </cfRule>
  </conditionalFormatting>
  <conditionalFormatting sqref="V34">
    <cfRule type="cellIs" dxfId="2285" priority="612" operator="greaterThan">
      <formula>V33</formula>
    </cfRule>
    <cfRule type="cellIs" dxfId="2284" priority="613" operator="equal">
      <formula>0</formula>
    </cfRule>
  </conditionalFormatting>
  <conditionalFormatting sqref="V33">
    <cfRule type="cellIs" dxfId="2283" priority="610" operator="greaterThan">
      <formula>V32</formula>
    </cfRule>
    <cfRule type="cellIs" dxfId="2282" priority="611" operator="equal">
      <formula>0</formula>
    </cfRule>
  </conditionalFormatting>
  <conditionalFormatting sqref="V36:V37 X36:X37">
    <cfRule type="cellIs" dxfId="2281" priority="609" operator="equal">
      <formula>0</formula>
    </cfRule>
  </conditionalFormatting>
  <conditionalFormatting sqref="V37">
    <cfRule type="cellIs" dxfId="2280" priority="607" operator="greaterThan">
      <formula>V36</formula>
    </cfRule>
    <cfRule type="cellIs" dxfId="2279" priority="608" operator="equal">
      <formula>0</formula>
    </cfRule>
  </conditionalFormatting>
  <conditionalFormatting sqref="V36">
    <cfRule type="cellIs" dxfId="2278" priority="605" operator="greaterThan">
      <formula>V35</formula>
    </cfRule>
    <cfRule type="cellIs" dxfId="2277" priority="606" operator="equal">
      <formula>0</formula>
    </cfRule>
  </conditionalFormatting>
  <conditionalFormatting sqref="V16">
    <cfRule type="cellIs" dxfId="2276" priority="603" operator="greaterThan">
      <formula>V15</formula>
    </cfRule>
    <cfRule type="cellIs" dxfId="2275" priority="604" operator="equal">
      <formula>0</formula>
    </cfRule>
  </conditionalFormatting>
  <conditionalFormatting sqref="V15">
    <cfRule type="cellIs" dxfId="2274" priority="601" operator="greaterThan">
      <formula>V14</formula>
    </cfRule>
    <cfRule type="cellIs" dxfId="2273" priority="602" operator="equal">
      <formula>0</formula>
    </cfRule>
  </conditionalFormatting>
  <conditionalFormatting sqref="V16">
    <cfRule type="cellIs" dxfId="2272" priority="599" operator="greaterThan">
      <formula>V15</formula>
    </cfRule>
    <cfRule type="cellIs" dxfId="2271" priority="600" operator="equal">
      <formula>0</formula>
    </cfRule>
  </conditionalFormatting>
  <conditionalFormatting sqref="V15">
    <cfRule type="cellIs" dxfId="2270" priority="597" operator="greaterThan">
      <formula>V14</formula>
    </cfRule>
    <cfRule type="cellIs" dxfId="2269" priority="598" operator="equal">
      <formula>0</formula>
    </cfRule>
  </conditionalFormatting>
  <conditionalFormatting sqref="V19">
    <cfRule type="cellIs" dxfId="2268" priority="595" operator="greaterThan">
      <formula>V18</formula>
    </cfRule>
    <cfRule type="cellIs" dxfId="2267" priority="596" operator="equal">
      <formula>0</formula>
    </cfRule>
  </conditionalFormatting>
  <conditionalFormatting sqref="V18">
    <cfRule type="cellIs" dxfId="2266" priority="593" operator="greaterThan">
      <formula>V17</formula>
    </cfRule>
    <cfRule type="cellIs" dxfId="2265" priority="594" operator="equal">
      <formula>0</formula>
    </cfRule>
  </conditionalFormatting>
  <conditionalFormatting sqref="V19">
    <cfRule type="cellIs" dxfId="2264" priority="591" operator="greaterThan">
      <formula>V18</formula>
    </cfRule>
    <cfRule type="cellIs" dxfId="2263" priority="592" operator="equal">
      <formula>0</formula>
    </cfRule>
  </conditionalFormatting>
  <conditionalFormatting sqref="V18">
    <cfRule type="cellIs" dxfId="2262" priority="589" operator="greaterThan">
      <formula>V17</formula>
    </cfRule>
    <cfRule type="cellIs" dxfId="2261" priority="590" operator="equal">
      <formula>0</formula>
    </cfRule>
  </conditionalFormatting>
  <conditionalFormatting sqref="V19">
    <cfRule type="cellIs" dxfId="2260" priority="587" operator="greaterThan">
      <formula>V18</formula>
    </cfRule>
    <cfRule type="cellIs" dxfId="2259" priority="588" operator="equal">
      <formula>0</formula>
    </cfRule>
  </conditionalFormatting>
  <conditionalFormatting sqref="V18">
    <cfRule type="cellIs" dxfId="2258" priority="585" operator="greaterThan">
      <formula>V17</formula>
    </cfRule>
    <cfRule type="cellIs" dxfId="2257" priority="586" operator="equal">
      <formula>0</formula>
    </cfRule>
  </conditionalFormatting>
  <conditionalFormatting sqref="V19">
    <cfRule type="cellIs" dxfId="2256" priority="583" operator="greaterThan">
      <formula>V18</formula>
    </cfRule>
    <cfRule type="cellIs" dxfId="2255" priority="584" operator="equal">
      <formula>0</formula>
    </cfRule>
  </conditionalFormatting>
  <conditionalFormatting sqref="V18">
    <cfRule type="cellIs" dxfId="2254" priority="581" operator="greaterThan">
      <formula>V17</formula>
    </cfRule>
    <cfRule type="cellIs" dxfId="2253" priority="582" operator="equal">
      <formula>0</formula>
    </cfRule>
  </conditionalFormatting>
  <conditionalFormatting sqref="V22">
    <cfRule type="cellIs" dxfId="2252" priority="579" operator="greaterThan">
      <formula>V21</formula>
    </cfRule>
    <cfRule type="cellIs" dxfId="2251" priority="580" operator="equal">
      <formula>0</formula>
    </cfRule>
  </conditionalFormatting>
  <conditionalFormatting sqref="V21">
    <cfRule type="cellIs" dxfId="2250" priority="577" operator="greaterThan">
      <formula>V20</formula>
    </cfRule>
    <cfRule type="cellIs" dxfId="2249" priority="578" operator="equal">
      <formula>0</formula>
    </cfRule>
  </conditionalFormatting>
  <conditionalFormatting sqref="V22">
    <cfRule type="cellIs" dxfId="2248" priority="575" operator="greaterThan">
      <formula>V21</formula>
    </cfRule>
    <cfRule type="cellIs" dxfId="2247" priority="576" operator="equal">
      <formula>0</formula>
    </cfRule>
  </conditionalFormatting>
  <conditionalFormatting sqref="V21">
    <cfRule type="cellIs" dxfId="2246" priority="573" operator="greaterThan">
      <formula>V20</formula>
    </cfRule>
    <cfRule type="cellIs" dxfId="2245" priority="574" operator="equal">
      <formula>0</formula>
    </cfRule>
  </conditionalFormatting>
  <conditionalFormatting sqref="V22">
    <cfRule type="cellIs" dxfId="2244" priority="571" operator="greaterThan">
      <formula>V21</formula>
    </cfRule>
    <cfRule type="cellIs" dxfId="2243" priority="572" operator="equal">
      <formula>0</formula>
    </cfRule>
  </conditionalFormatting>
  <conditionalFormatting sqref="V21">
    <cfRule type="cellIs" dxfId="2242" priority="569" operator="greaterThan">
      <formula>V20</formula>
    </cfRule>
    <cfRule type="cellIs" dxfId="2241" priority="570" operator="equal">
      <formula>0</formula>
    </cfRule>
  </conditionalFormatting>
  <conditionalFormatting sqref="V22">
    <cfRule type="cellIs" dxfId="2240" priority="567" operator="greaterThan">
      <formula>V21</formula>
    </cfRule>
    <cfRule type="cellIs" dxfId="2239" priority="568" operator="equal">
      <formula>0</formula>
    </cfRule>
  </conditionalFormatting>
  <conditionalFormatting sqref="V21">
    <cfRule type="cellIs" dxfId="2238" priority="565" operator="greaterThan">
      <formula>V20</formula>
    </cfRule>
    <cfRule type="cellIs" dxfId="2237" priority="566" operator="equal">
      <formula>0</formula>
    </cfRule>
  </conditionalFormatting>
  <conditionalFormatting sqref="V22">
    <cfRule type="cellIs" dxfId="2236" priority="563" operator="greaterThan">
      <formula>V21</formula>
    </cfRule>
    <cfRule type="cellIs" dxfId="2235" priority="564" operator="equal">
      <formula>0</formula>
    </cfRule>
  </conditionalFormatting>
  <conditionalFormatting sqref="V21">
    <cfRule type="cellIs" dxfId="2234" priority="561" operator="greaterThan">
      <formula>V20</formula>
    </cfRule>
    <cfRule type="cellIs" dxfId="2233" priority="562" operator="equal">
      <formula>0</formula>
    </cfRule>
  </conditionalFormatting>
  <conditionalFormatting sqref="V22">
    <cfRule type="cellIs" dxfId="2232" priority="559" operator="greaterThan">
      <formula>V21</formula>
    </cfRule>
    <cfRule type="cellIs" dxfId="2231" priority="560" operator="equal">
      <formula>0</formula>
    </cfRule>
  </conditionalFormatting>
  <conditionalFormatting sqref="V21">
    <cfRule type="cellIs" dxfId="2230" priority="557" operator="greaterThan">
      <formula>V20</formula>
    </cfRule>
    <cfRule type="cellIs" dxfId="2229" priority="558" operator="equal">
      <formula>0</formula>
    </cfRule>
  </conditionalFormatting>
  <conditionalFormatting sqref="V24">
    <cfRule type="cellIs" dxfId="2228" priority="555" operator="greaterThan">
      <formula>V23</formula>
    </cfRule>
    <cfRule type="cellIs" dxfId="2227" priority="556" operator="equal">
      <formula>0</formula>
    </cfRule>
  </conditionalFormatting>
  <conditionalFormatting sqref="V25">
    <cfRule type="cellIs" dxfId="2226" priority="553" operator="greaterThan">
      <formula>V24</formula>
    </cfRule>
    <cfRule type="cellIs" dxfId="2225" priority="554" operator="equal">
      <formula>0</formula>
    </cfRule>
  </conditionalFormatting>
  <conditionalFormatting sqref="V24">
    <cfRule type="cellIs" dxfId="2224" priority="551" operator="greaterThan">
      <formula>V23</formula>
    </cfRule>
    <cfRule type="cellIs" dxfId="2223" priority="552" operator="equal">
      <formula>0</formula>
    </cfRule>
  </conditionalFormatting>
  <conditionalFormatting sqref="V25">
    <cfRule type="cellIs" dxfId="2222" priority="549" operator="greaterThan">
      <formula>V24</formula>
    </cfRule>
    <cfRule type="cellIs" dxfId="2221" priority="550" operator="equal">
      <formula>0</formula>
    </cfRule>
  </conditionalFormatting>
  <conditionalFormatting sqref="V24">
    <cfRule type="cellIs" dxfId="2220" priority="547" operator="greaterThan">
      <formula>V23</formula>
    </cfRule>
    <cfRule type="cellIs" dxfId="2219" priority="548" operator="equal">
      <formula>0</formula>
    </cfRule>
  </conditionalFormatting>
  <conditionalFormatting sqref="V25">
    <cfRule type="cellIs" dxfId="2218" priority="545" operator="greaterThan">
      <formula>V24</formula>
    </cfRule>
    <cfRule type="cellIs" dxfId="2217" priority="546" operator="equal">
      <formula>0</formula>
    </cfRule>
  </conditionalFormatting>
  <conditionalFormatting sqref="V24">
    <cfRule type="cellIs" dxfId="2216" priority="543" operator="greaterThan">
      <formula>V23</formula>
    </cfRule>
    <cfRule type="cellIs" dxfId="2215" priority="544" operator="equal">
      <formula>0</formula>
    </cfRule>
  </conditionalFormatting>
  <conditionalFormatting sqref="V25">
    <cfRule type="cellIs" dxfId="2214" priority="541" operator="greaterThan">
      <formula>V24</formula>
    </cfRule>
    <cfRule type="cellIs" dxfId="2213" priority="542" operator="equal">
      <formula>0</formula>
    </cfRule>
  </conditionalFormatting>
  <conditionalFormatting sqref="V24">
    <cfRule type="cellIs" dxfId="2212" priority="539" operator="greaterThan">
      <formula>V23</formula>
    </cfRule>
    <cfRule type="cellIs" dxfId="2211" priority="540" operator="equal">
      <formula>0</formula>
    </cfRule>
  </conditionalFormatting>
  <conditionalFormatting sqref="V25">
    <cfRule type="cellIs" dxfId="2210" priority="537" operator="greaterThan">
      <formula>V24</formula>
    </cfRule>
    <cfRule type="cellIs" dxfId="2209" priority="538" operator="equal">
      <formula>0</formula>
    </cfRule>
  </conditionalFormatting>
  <conditionalFormatting sqref="V24">
    <cfRule type="cellIs" dxfId="2208" priority="535" operator="greaterThan">
      <formula>V23</formula>
    </cfRule>
    <cfRule type="cellIs" dxfId="2207" priority="536" operator="equal">
      <formula>0</formula>
    </cfRule>
  </conditionalFormatting>
  <conditionalFormatting sqref="V25">
    <cfRule type="cellIs" dxfId="2206" priority="533" operator="greaterThan">
      <formula>V24</formula>
    </cfRule>
    <cfRule type="cellIs" dxfId="2205" priority="534" operator="equal">
      <formula>0</formula>
    </cfRule>
  </conditionalFormatting>
  <conditionalFormatting sqref="V24">
    <cfRule type="cellIs" dxfId="2204" priority="531" operator="greaterThan">
      <formula>V23</formula>
    </cfRule>
    <cfRule type="cellIs" dxfId="2203" priority="532" operator="equal">
      <formula>0</formula>
    </cfRule>
  </conditionalFormatting>
  <conditionalFormatting sqref="V25">
    <cfRule type="cellIs" dxfId="2202" priority="529" operator="greaterThan">
      <formula>V24</formula>
    </cfRule>
    <cfRule type="cellIs" dxfId="2201" priority="530" operator="equal">
      <formula>0</formula>
    </cfRule>
  </conditionalFormatting>
  <conditionalFormatting sqref="V24">
    <cfRule type="cellIs" dxfId="2200" priority="527" operator="greaterThan">
      <formula>V23</formula>
    </cfRule>
    <cfRule type="cellIs" dxfId="2199" priority="528" operator="equal">
      <formula>0</formula>
    </cfRule>
  </conditionalFormatting>
  <conditionalFormatting sqref="V27:V28">
    <cfRule type="cellIs" dxfId="2198" priority="525" operator="greaterThan">
      <formula>V26</formula>
    </cfRule>
    <cfRule type="cellIs" dxfId="2197" priority="526" operator="equal">
      <formula>0</formula>
    </cfRule>
  </conditionalFormatting>
  <conditionalFormatting sqref="V27">
    <cfRule type="cellIs" dxfId="2196" priority="523" operator="greaterThan">
      <formula>V26</formula>
    </cfRule>
    <cfRule type="cellIs" dxfId="2195" priority="524" operator="equal">
      <formula>0</formula>
    </cfRule>
  </conditionalFormatting>
  <conditionalFormatting sqref="V28">
    <cfRule type="cellIs" dxfId="2194" priority="521" operator="greaterThan">
      <formula>V27</formula>
    </cfRule>
    <cfRule type="cellIs" dxfId="2193" priority="522" operator="equal">
      <formula>0</formula>
    </cfRule>
  </conditionalFormatting>
  <conditionalFormatting sqref="V27">
    <cfRule type="cellIs" dxfId="2192" priority="519" operator="greaterThan">
      <formula>V26</formula>
    </cfRule>
    <cfRule type="cellIs" dxfId="2191" priority="520" operator="equal">
      <formula>0</formula>
    </cfRule>
  </conditionalFormatting>
  <conditionalFormatting sqref="V27">
    <cfRule type="cellIs" dxfId="2190" priority="517" operator="greaterThan">
      <formula>V26</formula>
    </cfRule>
    <cfRule type="cellIs" dxfId="2189" priority="518" operator="equal">
      <formula>0</formula>
    </cfRule>
  </conditionalFormatting>
  <conditionalFormatting sqref="V28">
    <cfRule type="cellIs" dxfId="2188" priority="515" operator="greaterThan">
      <formula>V27</formula>
    </cfRule>
    <cfRule type="cellIs" dxfId="2187" priority="516" operator="equal">
      <formula>0</formula>
    </cfRule>
  </conditionalFormatting>
  <conditionalFormatting sqref="V27">
    <cfRule type="cellIs" dxfId="2186" priority="513" operator="greaterThan">
      <formula>V26</formula>
    </cfRule>
    <cfRule type="cellIs" dxfId="2185" priority="514" operator="equal">
      <formula>0</formula>
    </cfRule>
  </conditionalFormatting>
  <conditionalFormatting sqref="V28">
    <cfRule type="cellIs" dxfId="2184" priority="511" operator="greaterThan">
      <formula>V27</formula>
    </cfRule>
    <cfRule type="cellIs" dxfId="2183" priority="512" operator="equal">
      <formula>0</formula>
    </cfRule>
  </conditionalFormatting>
  <conditionalFormatting sqref="V27">
    <cfRule type="cellIs" dxfId="2182" priority="509" operator="greaterThan">
      <formula>V26</formula>
    </cfRule>
    <cfRule type="cellIs" dxfId="2181" priority="510" operator="equal">
      <formula>0</formula>
    </cfRule>
  </conditionalFormatting>
  <conditionalFormatting sqref="V28">
    <cfRule type="cellIs" dxfId="2180" priority="507" operator="greaterThan">
      <formula>V27</formula>
    </cfRule>
    <cfRule type="cellIs" dxfId="2179" priority="508" operator="equal">
      <formula>0</formula>
    </cfRule>
  </conditionalFormatting>
  <conditionalFormatting sqref="V27">
    <cfRule type="cellIs" dxfId="2178" priority="505" operator="greaterThan">
      <formula>V26</formula>
    </cfRule>
    <cfRule type="cellIs" dxfId="2177" priority="506" operator="equal">
      <formula>0</formula>
    </cfRule>
  </conditionalFormatting>
  <conditionalFormatting sqref="V28">
    <cfRule type="cellIs" dxfId="2176" priority="503" operator="greaterThan">
      <formula>V27</formula>
    </cfRule>
    <cfRule type="cellIs" dxfId="2175" priority="504" operator="equal">
      <formula>0</formula>
    </cfRule>
  </conditionalFormatting>
  <conditionalFormatting sqref="V27">
    <cfRule type="cellIs" dxfId="2174" priority="501" operator="greaterThan">
      <formula>V26</formula>
    </cfRule>
    <cfRule type="cellIs" dxfId="2173" priority="502" operator="equal">
      <formula>0</formula>
    </cfRule>
  </conditionalFormatting>
  <conditionalFormatting sqref="V28">
    <cfRule type="cellIs" dxfId="2172" priority="499" operator="greaterThan">
      <formula>V27</formula>
    </cfRule>
    <cfRule type="cellIs" dxfId="2171" priority="500" operator="equal">
      <formula>0</formula>
    </cfRule>
  </conditionalFormatting>
  <conditionalFormatting sqref="V27">
    <cfRule type="cellIs" dxfId="2170" priority="497" operator="greaterThan">
      <formula>V26</formula>
    </cfRule>
    <cfRule type="cellIs" dxfId="2169" priority="498" operator="equal">
      <formula>0</formula>
    </cfRule>
  </conditionalFormatting>
  <conditionalFormatting sqref="V28">
    <cfRule type="cellIs" dxfId="2168" priority="495" operator="greaterThan">
      <formula>V27</formula>
    </cfRule>
    <cfRule type="cellIs" dxfId="2167" priority="496" operator="equal">
      <formula>0</formula>
    </cfRule>
  </conditionalFormatting>
  <conditionalFormatting sqref="V27">
    <cfRule type="cellIs" dxfId="2166" priority="493" operator="greaterThan">
      <formula>V26</formula>
    </cfRule>
    <cfRule type="cellIs" dxfId="2165" priority="494" operator="equal">
      <formula>0</formula>
    </cfRule>
  </conditionalFormatting>
  <conditionalFormatting sqref="V28">
    <cfRule type="cellIs" dxfId="2164" priority="491" operator="greaterThan">
      <formula>V27</formula>
    </cfRule>
    <cfRule type="cellIs" dxfId="2163" priority="492" operator="equal">
      <formula>0</formula>
    </cfRule>
  </conditionalFormatting>
  <conditionalFormatting sqref="V27">
    <cfRule type="cellIs" dxfId="2162" priority="489" operator="greaterThan">
      <formula>V26</formula>
    </cfRule>
    <cfRule type="cellIs" dxfId="2161" priority="490" operator="equal">
      <formula>0</formula>
    </cfRule>
  </conditionalFormatting>
  <conditionalFormatting sqref="V19">
    <cfRule type="cellIs" dxfId="2160" priority="487" operator="greaterThan">
      <formula>V18</formula>
    </cfRule>
    <cfRule type="cellIs" dxfId="2159" priority="488" operator="equal">
      <formula>0</formula>
    </cfRule>
  </conditionalFormatting>
  <conditionalFormatting sqref="V18">
    <cfRule type="cellIs" dxfId="2158" priority="485" operator="greaterThan">
      <formula>V17</formula>
    </cfRule>
    <cfRule type="cellIs" dxfId="2157" priority="486" operator="equal">
      <formula>0</formula>
    </cfRule>
  </conditionalFormatting>
  <conditionalFormatting sqref="V19">
    <cfRule type="cellIs" dxfId="2156" priority="483" operator="greaterThan">
      <formula>V18</formula>
    </cfRule>
    <cfRule type="cellIs" dxfId="2155" priority="484" operator="equal">
      <formula>0</formula>
    </cfRule>
  </conditionalFormatting>
  <conditionalFormatting sqref="V18">
    <cfRule type="cellIs" dxfId="2154" priority="481" operator="greaterThan">
      <formula>V17</formula>
    </cfRule>
    <cfRule type="cellIs" dxfId="2153" priority="482" operator="equal">
      <formula>0</formula>
    </cfRule>
  </conditionalFormatting>
  <conditionalFormatting sqref="V19">
    <cfRule type="cellIs" dxfId="2152" priority="479" operator="greaterThan">
      <formula>V18</formula>
    </cfRule>
    <cfRule type="cellIs" dxfId="2151" priority="480" operator="equal">
      <formula>0</formula>
    </cfRule>
  </conditionalFormatting>
  <conditionalFormatting sqref="V18">
    <cfRule type="cellIs" dxfId="2150" priority="477" operator="greaterThan">
      <formula>V17</formula>
    </cfRule>
    <cfRule type="cellIs" dxfId="2149" priority="478" operator="equal">
      <formula>0</formula>
    </cfRule>
  </conditionalFormatting>
  <conditionalFormatting sqref="V19">
    <cfRule type="cellIs" dxfId="2148" priority="475" operator="greaterThan">
      <formula>V18</formula>
    </cfRule>
    <cfRule type="cellIs" dxfId="2147" priority="476" operator="equal">
      <formula>0</formula>
    </cfRule>
  </conditionalFormatting>
  <conditionalFormatting sqref="V18">
    <cfRule type="cellIs" dxfId="2146" priority="473" operator="greaterThan">
      <formula>V17</formula>
    </cfRule>
    <cfRule type="cellIs" dxfId="2145" priority="474" operator="equal">
      <formula>0</formula>
    </cfRule>
  </conditionalFormatting>
  <conditionalFormatting sqref="V16">
    <cfRule type="cellIs" dxfId="2144" priority="471" operator="greaterThan">
      <formula>V15</formula>
    </cfRule>
    <cfRule type="cellIs" dxfId="2143" priority="472" operator="equal">
      <formula>0</formula>
    </cfRule>
  </conditionalFormatting>
  <conditionalFormatting sqref="V16">
    <cfRule type="cellIs" dxfId="2142" priority="469" operator="greaterThan">
      <formula>V15</formula>
    </cfRule>
    <cfRule type="cellIs" dxfId="2141" priority="470" operator="equal">
      <formula>0</formula>
    </cfRule>
  </conditionalFormatting>
  <conditionalFormatting sqref="V16">
    <cfRule type="cellIs" dxfId="2140" priority="467" operator="greaterThan">
      <formula>V15</formula>
    </cfRule>
    <cfRule type="cellIs" dxfId="2139" priority="468" operator="equal">
      <formula>0</formula>
    </cfRule>
  </conditionalFormatting>
  <conditionalFormatting sqref="V16">
    <cfRule type="cellIs" dxfId="2138" priority="465" operator="greaterThan">
      <formula>V15</formula>
    </cfRule>
    <cfRule type="cellIs" dxfId="2137" priority="466" operator="equal">
      <formula>0</formula>
    </cfRule>
  </conditionalFormatting>
  <conditionalFormatting sqref="V19">
    <cfRule type="cellIs" dxfId="2136" priority="463" operator="greaterThan">
      <formula>V18</formula>
    </cfRule>
    <cfRule type="cellIs" dxfId="2135" priority="464" operator="equal">
      <formula>0</formula>
    </cfRule>
  </conditionalFormatting>
  <conditionalFormatting sqref="V19">
    <cfRule type="cellIs" dxfId="2134" priority="461" operator="greaterThan">
      <formula>V18</formula>
    </cfRule>
    <cfRule type="cellIs" dxfId="2133" priority="462" operator="equal">
      <formula>0</formula>
    </cfRule>
  </conditionalFormatting>
  <conditionalFormatting sqref="V19">
    <cfRule type="cellIs" dxfId="2132" priority="459" operator="greaterThan">
      <formula>V18</formula>
    </cfRule>
    <cfRule type="cellIs" dxfId="2131" priority="460" operator="equal">
      <formula>0</formula>
    </cfRule>
  </conditionalFormatting>
  <conditionalFormatting sqref="V19">
    <cfRule type="cellIs" dxfId="2130" priority="457" operator="greaterThan">
      <formula>V18</formula>
    </cfRule>
    <cfRule type="cellIs" dxfId="2129" priority="458" operator="equal">
      <formula>0</formula>
    </cfRule>
  </conditionalFormatting>
  <conditionalFormatting sqref="V19">
    <cfRule type="cellIs" dxfId="2128" priority="455" operator="greaterThan">
      <formula>V18</formula>
    </cfRule>
    <cfRule type="cellIs" dxfId="2127" priority="456" operator="equal">
      <formula>0</formula>
    </cfRule>
  </conditionalFormatting>
  <conditionalFormatting sqref="V19">
    <cfRule type="cellIs" dxfId="2126" priority="453" operator="greaterThan">
      <formula>V18</formula>
    </cfRule>
    <cfRule type="cellIs" dxfId="2125" priority="454" operator="equal">
      <formula>0</formula>
    </cfRule>
  </conditionalFormatting>
  <conditionalFormatting sqref="V19">
    <cfRule type="cellIs" dxfId="2124" priority="451" operator="greaterThan">
      <formula>V18</formula>
    </cfRule>
    <cfRule type="cellIs" dxfId="2123" priority="452" operator="equal">
      <formula>0</formula>
    </cfRule>
  </conditionalFormatting>
  <conditionalFormatting sqref="V19">
    <cfRule type="cellIs" dxfId="2122" priority="449" operator="greaterThan">
      <formula>V18</formula>
    </cfRule>
    <cfRule type="cellIs" dxfId="2121" priority="450" operator="equal">
      <formula>0</formula>
    </cfRule>
  </conditionalFormatting>
  <conditionalFormatting sqref="V19">
    <cfRule type="cellIs" dxfId="2120" priority="447" operator="greaterThan">
      <formula>V18</formula>
    </cfRule>
    <cfRule type="cellIs" dxfId="2119" priority="448" operator="equal">
      <formula>0</formula>
    </cfRule>
  </conditionalFormatting>
  <conditionalFormatting sqref="V19">
    <cfRule type="cellIs" dxfId="2118" priority="445" operator="greaterThan">
      <formula>V18</formula>
    </cfRule>
    <cfRule type="cellIs" dxfId="2117" priority="446" operator="equal">
      <formula>0</formula>
    </cfRule>
  </conditionalFormatting>
  <conditionalFormatting sqref="V22">
    <cfRule type="cellIs" dxfId="2116" priority="443" operator="greaterThan">
      <formula>V21</formula>
    </cfRule>
    <cfRule type="cellIs" dxfId="2115" priority="444" operator="equal">
      <formula>0</formula>
    </cfRule>
  </conditionalFormatting>
  <conditionalFormatting sqref="V21">
    <cfRule type="cellIs" dxfId="2114" priority="441" operator="greaterThan">
      <formula>V20</formula>
    </cfRule>
    <cfRule type="cellIs" dxfId="2113" priority="442" operator="equal">
      <formula>0</formula>
    </cfRule>
  </conditionalFormatting>
  <conditionalFormatting sqref="V22">
    <cfRule type="cellIs" dxfId="2112" priority="439" operator="greaterThan">
      <formula>V21</formula>
    </cfRule>
    <cfRule type="cellIs" dxfId="2111" priority="440" operator="equal">
      <formula>0</formula>
    </cfRule>
  </conditionalFormatting>
  <conditionalFormatting sqref="V21">
    <cfRule type="cellIs" dxfId="2110" priority="437" operator="greaterThan">
      <formula>V20</formula>
    </cfRule>
    <cfRule type="cellIs" dxfId="2109" priority="438" operator="equal">
      <formula>0</formula>
    </cfRule>
  </conditionalFormatting>
  <conditionalFormatting sqref="V22">
    <cfRule type="cellIs" dxfId="2108" priority="435" operator="greaterThan">
      <formula>V21</formula>
    </cfRule>
    <cfRule type="cellIs" dxfId="2107" priority="436" operator="equal">
      <formula>0</formula>
    </cfRule>
  </conditionalFormatting>
  <conditionalFormatting sqref="V21">
    <cfRule type="cellIs" dxfId="2106" priority="433" operator="greaterThan">
      <formula>V20</formula>
    </cfRule>
    <cfRule type="cellIs" dxfId="2105" priority="434" operator="equal">
      <formula>0</formula>
    </cfRule>
  </conditionalFormatting>
  <conditionalFormatting sqref="V22">
    <cfRule type="cellIs" dxfId="2104" priority="431" operator="greaterThan">
      <formula>V21</formula>
    </cfRule>
    <cfRule type="cellIs" dxfId="2103" priority="432" operator="equal">
      <formula>0</formula>
    </cfRule>
  </conditionalFormatting>
  <conditionalFormatting sqref="V21">
    <cfRule type="cellIs" dxfId="2102" priority="429" operator="greaterThan">
      <formula>V20</formula>
    </cfRule>
    <cfRule type="cellIs" dxfId="2101" priority="430" operator="equal">
      <formula>0</formula>
    </cfRule>
  </conditionalFormatting>
  <conditionalFormatting sqref="V22">
    <cfRule type="cellIs" dxfId="2100" priority="427" operator="greaterThan">
      <formula>V21</formula>
    </cfRule>
    <cfRule type="cellIs" dxfId="2099" priority="428" operator="equal">
      <formula>0</formula>
    </cfRule>
  </conditionalFormatting>
  <conditionalFormatting sqref="V21">
    <cfRule type="cellIs" dxfId="2098" priority="425" operator="greaterThan">
      <formula>V20</formula>
    </cfRule>
    <cfRule type="cellIs" dxfId="2097" priority="426" operator="equal">
      <formula>0</formula>
    </cfRule>
  </conditionalFormatting>
  <conditionalFormatting sqref="V22">
    <cfRule type="cellIs" dxfId="2096" priority="423" operator="greaterThan">
      <formula>V21</formula>
    </cfRule>
    <cfRule type="cellIs" dxfId="2095" priority="424" operator="equal">
      <formula>0</formula>
    </cfRule>
  </conditionalFormatting>
  <conditionalFormatting sqref="V21">
    <cfRule type="cellIs" dxfId="2094" priority="421" operator="greaterThan">
      <formula>V20</formula>
    </cfRule>
    <cfRule type="cellIs" dxfId="2093" priority="422" operator="equal">
      <formula>0</formula>
    </cfRule>
  </conditionalFormatting>
  <conditionalFormatting sqref="V22">
    <cfRule type="cellIs" dxfId="2092" priority="419" operator="greaterThan">
      <formula>V21</formula>
    </cfRule>
    <cfRule type="cellIs" dxfId="2091" priority="420" operator="equal">
      <formula>0</formula>
    </cfRule>
  </conditionalFormatting>
  <conditionalFormatting sqref="V21">
    <cfRule type="cellIs" dxfId="2090" priority="417" operator="greaterThan">
      <formula>V20</formula>
    </cfRule>
    <cfRule type="cellIs" dxfId="2089" priority="418" operator="equal">
      <formula>0</formula>
    </cfRule>
  </conditionalFormatting>
  <conditionalFormatting sqref="V22">
    <cfRule type="cellIs" dxfId="2088" priority="415" operator="greaterThan">
      <formula>V21</formula>
    </cfRule>
    <cfRule type="cellIs" dxfId="2087" priority="416" operator="equal">
      <formula>0</formula>
    </cfRule>
  </conditionalFormatting>
  <conditionalFormatting sqref="V21">
    <cfRule type="cellIs" dxfId="2086" priority="413" operator="greaterThan">
      <formula>V20</formula>
    </cfRule>
    <cfRule type="cellIs" dxfId="2085" priority="414" operator="equal">
      <formula>0</formula>
    </cfRule>
  </conditionalFormatting>
  <conditionalFormatting sqref="V22">
    <cfRule type="cellIs" dxfId="2084" priority="411" operator="greaterThan">
      <formula>V21</formula>
    </cfRule>
    <cfRule type="cellIs" dxfId="2083" priority="412" operator="equal">
      <formula>0</formula>
    </cfRule>
  </conditionalFormatting>
  <conditionalFormatting sqref="V21">
    <cfRule type="cellIs" dxfId="2082" priority="409" operator="greaterThan">
      <formula>V20</formula>
    </cfRule>
    <cfRule type="cellIs" dxfId="2081" priority="410" operator="equal">
      <formula>0</formula>
    </cfRule>
  </conditionalFormatting>
  <conditionalFormatting sqref="V22">
    <cfRule type="cellIs" dxfId="2080" priority="407" operator="greaterThan">
      <formula>V21</formula>
    </cfRule>
    <cfRule type="cellIs" dxfId="2079" priority="408" operator="equal">
      <formula>0</formula>
    </cfRule>
  </conditionalFormatting>
  <conditionalFormatting sqref="V21">
    <cfRule type="cellIs" dxfId="2078" priority="405" operator="greaterThan">
      <formula>V20</formula>
    </cfRule>
    <cfRule type="cellIs" dxfId="2077" priority="406" operator="equal">
      <formula>0</formula>
    </cfRule>
  </conditionalFormatting>
  <conditionalFormatting sqref="V22">
    <cfRule type="cellIs" dxfId="2076" priority="403" operator="greaterThan">
      <formula>V21</formula>
    </cfRule>
    <cfRule type="cellIs" dxfId="2075" priority="404" operator="equal">
      <formula>0</formula>
    </cfRule>
  </conditionalFormatting>
  <conditionalFormatting sqref="V22">
    <cfRule type="cellIs" dxfId="2074" priority="401" operator="greaterThan">
      <formula>V21</formula>
    </cfRule>
    <cfRule type="cellIs" dxfId="2073" priority="402" operator="equal">
      <formula>0</formula>
    </cfRule>
  </conditionalFormatting>
  <conditionalFormatting sqref="V22">
    <cfRule type="cellIs" dxfId="2072" priority="399" operator="greaterThan">
      <formula>V21</formula>
    </cfRule>
    <cfRule type="cellIs" dxfId="2071" priority="400" operator="equal">
      <formula>0</formula>
    </cfRule>
  </conditionalFormatting>
  <conditionalFormatting sqref="V22">
    <cfRule type="cellIs" dxfId="2070" priority="397" operator="greaterThan">
      <formula>V21</formula>
    </cfRule>
    <cfRule type="cellIs" dxfId="2069" priority="398" operator="equal">
      <formula>0</formula>
    </cfRule>
  </conditionalFormatting>
  <conditionalFormatting sqref="V22">
    <cfRule type="cellIs" dxfId="2068" priority="395" operator="greaterThan">
      <formula>V21</formula>
    </cfRule>
    <cfRule type="cellIs" dxfId="2067" priority="396" operator="equal">
      <formula>0</formula>
    </cfRule>
  </conditionalFormatting>
  <conditionalFormatting sqref="V22">
    <cfRule type="cellIs" dxfId="2066" priority="393" operator="greaterThan">
      <formula>V21</formula>
    </cfRule>
    <cfRule type="cellIs" dxfId="2065" priority="394" operator="equal">
      <formula>0</formula>
    </cfRule>
  </conditionalFormatting>
  <conditionalFormatting sqref="V22">
    <cfRule type="cellIs" dxfId="2064" priority="391" operator="greaterThan">
      <formula>V21</formula>
    </cfRule>
    <cfRule type="cellIs" dxfId="2063" priority="392" operator="equal">
      <formula>0</formula>
    </cfRule>
  </conditionalFormatting>
  <conditionalFormatting sqref="V22">
    <cfRule type="cellIs" dxfId="2062" priority="389" operator="greaterThan">
      <formula>V21</formula>
    </cfRule>
    <cfRule type="cellIs" dxfId="2061" priority="390" operator="equal">
      <formula>0</formula>
    </cfRule>
  </conditionalFormatting>
  <conditionalFormatting sqref="V22">
    <cfRule type="cellIs" dxfId="2060" priority="387" operator="greaterThan">
      <formula>V21</formula>
    </cfRule>
    <cfRule type="cellIs" dxfId="2059" priority="388" operator="equal">
      <formula>0</formula>
    </cfRule>
  </conditionalFormatting>
  <conditionalFormatting sqref="V22">
    <cfRule type="cellIs" dxfId="2058" priority="385" operator="greaterThan">
      <formula>V21</formula>
    </cfRule>
    <cfRule type="cellIs" dxfId="2057" priority="386" operator="equal">
      <formula>0</formula>
    </cfRule>
  </conditionalFormatting>
  <conditionalFormatting sqref="V22">
    <cfRule type="cellIs" dxfId="2056" priority="383" operator="greaterThan">
      <formula>V21</formula>
    </cfRule>
    <cfRule type="cellIs" dxfId="2055" priority="384" operator="equal">
      <formula>0</formula>
    </cfRule>
  </conditionalFormatting>
  <conditionalFormatting sqref="V22">
    <cfRule type="cellIs" dxfId="2054" priority="381" operator="greaterThan">
      <formula>V21</formula>
    </cfRule>
    <cfRule type="cellIs" dxfId="2053" priority="382" operator="equal">
      <formula>0</formula>
    </cfRule>
  </conditionalFormatting>
  <conditionalFormatting sqref="V22">
    <cfRule type="cellIs" dxfId="2052" priority="379" operator="greaterThan">
      <formula>V21</formula>
    </cfRule>
    <cfRule type="cellIs" dxfId="2051" priority="380" operator="equal">
      <formula>0</formula>
    </cfRule>
  </conditionalFormatting>
  <conditionalFormatting sqref="V22">
    <cfRule type="cellIs" dxfId="2050" priority="377" operator="greaterThan">
      <formula>V21</formula>
    </cfRule>
    <cfRule type="cellIs" dxfId="2049" priority="378" operator="equal">
      <formula>0</formula>
    </cfRule>
  </conditionalFormatting>
  <conditionalFormatting sqref="V22">
    <cfRule type="cellIs" dxfId="2048" priority="375" operator="greaterThan">
      <formula>V21</formula>
    </cfRule>
    <cfRule type="cellIs" dxfId="2047" priority="376" operator="equal">
      <formula>0</formula>
    </cfRule>
  </conditionalFormatting>
  <conditionalFormatting sqref="V22">
    <cfRule type="cellIs" dxfId="2046" priority="373" operator="greaterThan">
      <formula>V21</formula>
    </cfRule>
    <cfRule type="cellIs" dxfId="2045" priority="374" operator="equal">
      <formula>0</formula>
    </cfRule>
  </conditionalFormatting>
  <conditionalFormatting sqref="V22">
    <cfRule type="cellIs" dxfId="2044" priority="371" operator="greaterThan">
      <formula>V21</formula>
    </cfRule>
    <cfRule type="cellIs" dxfId="2043" priority="372" operator="equal">
      <formula>0</formula>
    </cfRule>
  </conditionalFormatting>
  <conditionalFormatting sqref="V22">
    <cfRule type="cellIs" dxfId="2042" priority="369" operator="greaterThan">
      <formula>V21</formula>
    </cfRule>
    <cfRule type="cellIs" dxfId="2041" priority="370" operator="equal">
      <formula>0</formula>
    </cfRule>
  </conditionalFormatting>
  <conditionalFormatting sqref="V22">
    <cfRule type="cellIs" dxfId="2040" priority="367" operator="greaterThan">
      <formula>V21</formula>
    </cfRule>
    <cfRule type="cellIs" dxfId="2039" priority="368" operator="equal">
      <formula>0</formula>
    </cfRule>
  </conditionalFormatting>
  <conditionalFormatting sqref="V22">
    <cfRule type="cellIs" dxfId="2038" priority="365" operator="greaterThan">
      <formula>V21</formula>
    </cfRule>
    <cfRule type="cellIs" dxfId="2037" priority="366" operator="equal">
      <formula>0</formula>
    </cfRule>
  </conditionalFormatting>
  <conditionalFormatting sqref="V22">
    <cfRule type="cellIs" dxfId="2036" priority="363" operator="greaterThan">
      <formula>V21</formula>
    </cfRule>
    <cfRule type="cellIs" dxfId="2035" priority="364" operator="equal">
      <formula>0</formula>
    </cfRule>
  </conditionalFormatting>
  <conditionalFormatting sqref="V22">
    <cfRule type="cellIs" dxfId="2034" priority="361" operator="greaterThan">
      <formula>V21</formula>
    </cfRule>
    <cfRule type="cellIs" dxfId="2033" priority="362" operator="equal">
      <formula>0</formula>
    </cfRule>
  </conditionalFormatting>
  <conditionalFormatting sqref="V22">
    <cfRule type="cellIs" dxfId="2032" priority="359" operator="greaterThan">
      <formula>V21</formula>
    </cfRule>
    <cfRule type="cellIs" dxfId="2031" priority="360" operator="equal">
      <formula>0</formula>
    </cfRule>
  </conditionalFormatting>
  <conditionalFormatting sqref="V22">
    <cfRule type="cellIs" dxfId="2030" priority="357" operator="greaterThan">
      <formula>V21</formula>
    </cfRule>
    <cfRule type="cellIs" dxfId="2029" priority="358" operator="equal">
      <formula>0</formula>
    </cfRule>
  </conditionalFormatting>
  <conditionalFormatting sqref="V22">
    <cfRule type="cellIs" dxfId="2028" priority="355" operator="greaterThan">
      <formula>V21</formula>
    </cfRule>
    <cfRule type="cellIs" dxfId="2027" priority="356" operator="equal">
      <formula>0</formula>
    </cfRule>
  </conditionalFormatting>
  <conditionalFormatting sqref="V22">
    <cfRule type="cellIs" dxfId="2026" priority="353" operator="greaterThan">
      <formula>V21</formula>
    </cfRule>
    <cfRule type="cellIs" dxfId="2025" priority="354" operator="equal">
      <formula>0</formula>
    </cfRule>
  </conditionalFormatting>
  <conditionalFormatting sqref="V22">
    <cfRule type="cellIs" dxfId="2024" priority="351" operator="greaterThan">
      <formula>V21</formula>
    </cfRule>
    <cfRule type="cellIs" dxfId="2023" priority="352" operator="equal">
      <formula>0</formula>
    </cfRule>
  </conditionalFormatting>
  <conditionalFormatting sqref="V22">
    <cfRule type="cellIs" dxfId="2022" priority="349" operator="greaterThan">
      <formula>V21</formula>
    </cfRule>
    <cfRule type="cellIs" dxfId="2021" priority="350" operator="equal">
      <formula>0</formula>
    </cfRule>
  </conditionalFormatting>
  <conditionalFormatting sqref="V24">
    <cfRule type="cellIs" dxfId="2020" priority="347" operator="greaterThan">
      <formula>V23</formula>
    </cfRule>
    <cfRule type="cellIs" dxfId="2019" priority="348" operator="equal">
      <formula>0</formula>
    </cfRule>
  </conditionalFormatting>
  <conditionalFormatting sqref="V24">
    <cfRule type="cellIs" dxfId="2018" priority="345" operator="greaterThan">
      <formula>V23</formula>
    </cfRule>
    <cfRule type="cellIs" dxfId="2017" priority="346" operator="equal">
      <formula>0</formula>
    </cfRule>
  </conditionalFormatting>
  <conditionalFormatting sqref="V24">
    <cfRule type="cellIs" dxfId="2016" priority="343" operator="greaterThan">
      <formula>V23</formula>
    </cfRule>
    <cfRule type="cellIs" dxfId="2015" priority="344" operator="equal">
      <formula>0</formula>
    </cfRule>
  </conditionalFormatting>
  <conditionalFormatting sqref="V24">
    <cfRule type="cellIs" dxfId="2014" priority="341" operator="greaterThan">
      <formula>V23</formula>
    </cfRule>
    <cfRule type="cellIs" dxfId="2013" priority="342" operator="equal">
      <formula>0</formula>
    </cfRule>
  </conditionalFormatting>
  <conditionalFormatting sqref="V24">
    <cfRule type="cellIs" dxfId="2012" priority="339" operator="greaterThan">
      <formula>V23</formula>
    </cfRule>
    <cfRule type="cellIs" dxfId="2011" priority="340" operator="equal">
      <formula>0</formula>
    </cfRule>
  </conditionalFormatting>
  <conditionalFormatting sqref="V24">
    <cfRule type="cellIs" dxfId="2010" priority="337" operator="greaterThan">
      <formula>V23</formula>
    </cfRule>
    <cfRule type="cellIs" dxfId="2009" priority="338" operator="equal">
      <formula>0</formula>
    </cfRule>
  </conditionalFormatting>
  <conditionalFormatting sqref="V24">
    <cfRule type="cellIs" dxfId="2008" priority="335" operator="greaterThan">
      <formula>V23</formula>
    </cfRule>
    <cfRule type="cellIs" dxfId="2007" priority="336" operator="equal">
      <formula>0</formula>
    </cfRule>
  </conditionalFormatting>
  <conditionalFormatting sqref="V24">
    <cfRule type="cellIs" dxfId="2006" priority="333" operator="greaterThan">
      <formula>V23</formula>
    </cfRule>
    <cfRule type="cellIs" dxfId="2005" priority="334" operator="equal">
      <formula>0</formula>
    </cfRule>
  </conditionalFormatting>
  <conditionalFormatting sqref="V24">
    <cfRule type="cellIs" dxfId="2004" priority="331" operator="greaterThan">
      <formula>V23</formula>
    </cfRule>
    <cfRule type="cellIs" dxfId="2003" priority="332" operator="equal">
      <formula>0</formula>
    </cfRule>
  </conditionalFormatting>
  <conditionalFormatting sqref="V24">
    <cfRule type="cellIs" dxfId="2002" priority="329" operator="greaterThan">
      <formula>V23</formula>
    </cfRule>
    <cfRule type="cellIs" dxfId="2001" priority="330" operator="equal">
      <formula>0</formula>
    </cfRule>
  </conditionalFormatting>
  <conditionalFormatting sqref="V24">
    <cfRule type="cellIs" dxfId="2000" priority="327" operator="greaterThan">
      <formula>V23</formula>
    </cfRule>
    <cfRule type="cellIs" dxfId="1999" priority="328" operator="equal">
      <formula>0</formula>
    </cfRule>
  </conditionalFormatting>
  <conditionalFormatting sqref="V24">
    <cfRule type="cellIs" dxfId="1998" priority="325" operator="greaterThan">
      <formula>V23</formula>
    </cfRule>
    <cfRule type="cellIs" dxfId="1997" priority="326" operator="equal">
      <formula>0</formula>
    </cfRule>
  </conditionalFormatting>
  <conditionalFormatting sqref="V24">
    <cfRule type="cellIs" dxfId="1996" priority="323" operator="greaterThan">
      <formula>V23</formula>
    </cfRule>
    <cfRule type="cellIs" dxfId="1995" priority="324" operator="equal">
      <formula>0</formula>
    </cfRule>
  </conditionalFormatting>
  <conditionalFormatting sqref="V24">
    <cfRule type="cellIs" dxfId="1994" priority="321" operator="greaterThan">
      <formula>V23</formula>
    </cfRule>
    <cfRule type="cellIs" dxfId="1993" priority="322" operator="equal">
      <formula>0</formula>
    </cfRule>
  </conditionalFormatting>
  <conditionalFormatting sqref="V24">
    <cfRule type="cellIs" dxfId="1992" priority="319" operator="greaterThan">
      <formula>V23</formula>
    </cfRule>
    <cfRule type="cellIs" dxfId="1991" priority="320" operator="equal">
      <formula>0</formula>
    </cfRule>
  </conditionalFormatting>
  <conditionalFormatting sqref="V24">
    <cfRule type="cellIs" dxfId="1990" priority="317" operator="greaterThan">
      <formula>V23</formula>
    </cfRule>
    <cfRule type="cellIs" dxfId="1989" priority="318" operator="equal">
      <formula>0</formula>
    </cfRule>
  </conditionalFormatting>
  <conditionalFormatting sqref="V24">
    <cfRule type="cellIs" dxfId="1988" priority="315" operator="greaterThan">
      <formula>V23</formula>
    </cfRule>
    <cfRule type="cellIs" dxfId="1987" priority="316" operator="equal">
      <formula>0</formula>
    </cfRule>
  </conditionalFormatting>
  <conditionalFormatting sqref="V24">
    <cfRule type="cellIs" dxfId="1986" priority="313" operator="greaterThan">
      <formula>V23</formula>
    </cfRule>
    <cfRule type="cellIs" dxfId="1985" priority="314" operator="equal">
      <formula>0</formula>
    </cfRule>
  </conditionalFormatting>
  <conditionalFormatting sqref="V25">
    <cfRule type="cellIs" dxfId="1984" priority="311" operator="greaterThan">
      <formula>V24</formula>
    </cfRule>
    <cfRule type="cellIs" dxfId="1983" priority="312" operator="equal">
      <formula>0</formula>
    </cfRule>
  </conditionalFormatting>
  <conditionalFormatting sqref="V25">
    <cfRule type="cellIs" dxfId="1982" priority="309" operator="greaterThan">
      <formula>V24</formula>
    </cfRule>
    <cfRule type="cellIs" dxfId="1981" priority="310" operator="equal">
      <formula>0</formula>
    </cfRule>
  </conditionalFormatting>
  <conditionalFormatting sqref="V25">
    <cfRule type="cellIs" dxfId="1980" priority="307" operator="greaterThan">
      <formula>V24</formula>
    </cfRule>
    <cfRule type="cellIs" dxfId="1979" priority="308" operator="equal">
      <formula>0</formula>
    </cfRule>
  </conditionalFormatting>
  <conditionalFormatting sqref="V25">
    <cfRule type="cellIs" dxfId="1978" priority="305" operator="greaterThan">
      <formula>V24</formula>
    </cfRule>
    <cfRule type="cellIs" dxfId="1977" priority="306" operator="equal">
      <formula>0</formula>
    </cfRule>
  </conditionalFormatting>
  <conditionalFormatting sqref="V25">
    <cfRule type="cellIs" dxfId="1976" priority="303" operator="greaterThan">
      <formula>V24</formula>
    </cfRule>
    <cfRule type="cellIs" dxfId="1975" priority="304" operator="equal">
      <formula>0</formula>
    </cfRule>
  </conditionalFormatting>
  <conditionalFormatting sqref="V25">
    <cfRule type="cellIs" dxfId="1974" priority="301" operator="greaterThan">
      <formula>V24</formula>
    </cfRule>
    <cfRule type="cellIs" dxfId="1973" priority="302" operator="equal">
      <formula>0</formula>
    </cfRule>
  </conditionalFormatting>
  <conditionalFormatting sqref="V25">
    <cfRule type="cellIs" dxfId="1972" priority="299" operator="greaterThan">
      <formula>V24</formula>
    </cfRule>
    <cfRule type="cellIs" dxfId="1971" priority="300" operator="equal">
      <formula>0</formula>
    </cfRule>
  </conditionalFormatting>
  <conditionalFormatting sqref="V25">
    <cfRule type="cellIs" dxfId="1970" priority="297" operator="greaterThan">
      <formula>V24</formula>
    </cfRule>
    <cfRule type="cellIs" dxfId="1969" priority="298" operator="equal">
      <formula>0</formula>
    </cfRule>
  </conditionalFormatting>
  <conditionalFormatting sqref="V25">
    <cfRule type="cellIs" dxfId="1968" priority="295" operator="greaterThan">
      <formula>V24</formula>
    </cfRule>
    <cfRule type="cellIs" dxfId="1967" priority="296" operator="equal">
      <formula>0</formula>
    </cfRule>
  </conditionalFormatting>
  <conditionalFormatting sqref="V25">
    <cfRule type="cellIs" dxfId="1966" priority="293" operator="greaterThan">
      <formula>V24</formula>
    </cfRule>
    <cfRule type="cellIs" dxfId="1965" priority="294" operator="equal">
      <formula>0</formula>
    </cfRule>
  </conditionalFormatting>
  <conditionalFormatting sqref="V25">
    <cfRule type="cellIs" dxfId="1964" priority="291" operator="greaterThan">
      <formula>V24</formula>
    </cfRule>
    <cfRule type="cellIs" dxfId="1963" priority="292" operator="equal">
      <formula>0</formula>
    </cfRule>
  </conditionalFormatting>
  <conditionalFormatting sqref="V25">
    <cfRule type="cellIs" dxfId="1962" priority="289" operator="greaterThan">
      <formula>V24</formula>
    </cfRule>
    <cfRule type="cellIs" dxfId="1961" priority="290" operator="equal">
      <formula>0</formula>
    </cfRule>
  </conditionalFormatting>
  <conditionalFormatting sqref="V25">
    <cfRule type="cellIs" dxfId="1960" priority="287" operator="greaterThan">
      <formula>V24</formula>
    </cfRule>
    <cfRule type="cellIs" dxfId="1959" priority="288" operator="equal">
      <formula>0</formula>
    </cfRule>
  </conditionalFormatting>
  <conditionalFormatting sqref="V25">
    <cfRule type="cellIs" dxfId="1958" priority="285" operator="greaterThan">
      <formula>V24</formula>
    </cfRule>
    <cfRule type="cellIs" dxfId="1957" priority="286" operator="equal">
      <formula>0</formula>
    </cfRule>
  </conditionalFormatting>
  <conditionalFormatting sqref="V25">
    <cfRule type="cellIs" dxfId="1956" priority="283" operator="greaterThan">
      <formula>V24</formula>
    </cfRule>
    <cfRule type="cellIs" dxfId="1955" priority="284" operator="equal">
      <formula>0</formula>
    </cfRule>
  </conditionalFormatting>
  <conditionalFormatting sqref="V25">
    <cfRule type="cellIs" dxfId="1954" priority="281" operator="greaterThan">
      <formula>V24</formula>
    </cfRule>
    <cfRule type="cellIs" dxfId="1953" priority="282" operator="equal">
      <formula>0</formula>
    </cfRule>
  </conditionalFormatting>
  <conditionalFormatting sqref="V25">
    <cfRule type="cellIs" dxfId="1952" priority="279" operator="greaterThan">
      <formula>V24</formula>
    </cfRule>
    <cfRule type="cellIs" dxfId="1951" priority="280" operator="equal">
      <formula>0</formula>
    </cfRule>
  </conditionalFormatting>
  <conditionalFormatting sqref="V25">
    <cfRule type="cellIs" dxfId="1950" priority="277" operator="greaterThan">
      <formula>V24</formula>
    </cfRule>
    <cfRule type="cellIs" dxfId="1949" priority="278" operator="equal">
      <formula>0</formula>
    </cfRule>
  </conditionalFormatting>
  <conditionalFormatting sqref="V25">
    <cfRule type="cellIs" dxfId="1948" priority="275" operator="greaterThan">
      <formula>V24</formula>
    </cfRule>
    <cfRule type="cellIs" dxfId="1947" priority="276" operator="equal">
      <formula>0</formula>
    </cfRule>
  </conditionalFormatting>
  <conditionalFormatting sqref="V25">
    <cfRule type="cellIs" dxfId="1946" priority="273" operator="greaterThan">
      <formula>V24</formula>
    </cfRule>
    <cfRule type="cellIs" dxfId="1945" priority="274" operator="equal">
      <formula>0</formula>
    </cfRule>
  </conditionalFormatting>
  <conditionalFormatting sqref="V25">
    <cfRule type="cellIs" dxfId="1944" priority="271" operator="greaterThan">
      <formula>V24</formula>
    </cfRule>
    <cfRule type="cellIs" dxfId="1943" priority="272" operator="equal">
      <formula>0</formula>
    </cfRule>
  </conditionalFormatting>
  <conditionalFormatting sqref="V25">
    <cfRule type="cellIs" dxfId="1942" priority="269" operator="greaterThan">
      <formula>V24</formula>
    </cfRule>
    <cfRule type="cellIs" dxfId="1941" priority="270" operator="equal">
      <formula>0</formula>
    </cfRule>
  </conditionalFormatting>
  <conditionalFormatting sqref="V25">
    <cfRule type="cellIs" dxfId="1940" priority="267" operator="greaterThan">
      <formula>V24</formula>
    </cfRule>
    <cfRule type="cellIs" dxfId="1939" priority="268" operator="equal">
      <formula>0</formula>
    </cfRule>
  </conditionalFormatting>
  <conditionalFormatting sqref="V25">
    <cfRule type="cellIs" dxfId="1938" priority="265" operator="greaterThan">
      <formula>V24</formula>
    </cfRule>
    <cfRule type="cellIs" dxfId="1937" priority="266" operator="equal">
      <formula>0</formula>
    </cfRule>
  </conditionalFormatting>
  <conditionalFormatting sqref="V25">
    <cfRule type="cellIs" dxfId="1936" priority="263" operator="greaterThan">
      <formula>V24</formula>
    </cfRule>
    <cfRule type="cellIs" dxfId="1935" priority="264" operator="equal">
      <formula>0</formula>
    </cfRule>
  </conditionalFormatting>
  <conditionalFormatting sqref="V25">
    <cfRule type="cellIs" dxfId="1934" priority="261" operator="greaterThan">
      <formula>V24</formula>
    </cfRule>
    <cfRule type="cellIs" dxfId="1933" priority="262" operator="equal">
      <formula>0</formula>
    </cfRule>
  </conditionalFormatting>
  <conditionalFormatting sqref="V25">
    <cfRule type="cellIs" dxfId="1932" priority="259" operator="greaterThan">
      <formula>V24</formula>
    </cfRule>
    <cfRule type="cellIs" dxfId="1931" priority="260" operator="equal">
      <formula>0</formula>
    </cfRule>
  </conditionalFormatting>
  <conditionalFormatting sqref="V25">
    <cfRule type="cellIs" dxfId="1930" priority="257" operator="greaterThan">
      <formula>V24</formula>
    </cfRule>
    <cfRule type="cellIs" dxfId="1929" priority="258" operator="equal">
      <formula>0</formula>
    </cfRule>
  </conditionalFormatting>
  <conditionalFormatting sqref="V27">
    <cfRule type="cellIs" dxfId="1928" priority="255" operator="greaterThan">
      <formula>V26</formula>
    </cfRule>
    <cfRule type="cellIs" dxfId="1927" priority="256" operator="equal">
      <formula>0</formula>
    </cfRule>
  </conditionalFormatting>
  <conditionalFormatting sqref="V27">
    <cfRule type="cellIs" dxfId="1926" priority="253" operator="greaterThan">
      <formula>V26</formula>
    </cfRule>
    <cfRule type="cellIs" dxfId="1925" priority="254" operator="equal">
      <formula>0</formula>
    </cfRule>
  </conditionalFormatting>
  <conditionalFormatting sqref="V27">
    <cfRule type="cellIs" dxfId="1924" priority="251" operator="greaterThan">
      <formula>V26</formula>
    </cfRule>
    <cfRule type="cellIs" dxfId="1923" priority="252" operator="equal">
      <formula>0</formula>
    </cfRule>
  </conditionalFormatting>
  <conditionalFormatting sqref="V27">
    <cfRule type="cellIs" dxfId="1922" priority="249" operator="greaterThan">
      <formula>V26</formula>
    </cfRule>
    <cfRule type="cellIs" dxfId="1921" priority="250" operator="equal">
      <formula>0</formula>
    </cfRule>
  </conditionalFormatting>
  <conditionalFormatting sqref="V27">
    <cfRule type="cellIs" dxfId="1920" priority="247" operator="greaterThan">
      <formula>V26</formula>
    </cfRule>
    <cfRule type="cellIs" dxfId="1919" priority="248" operator="equal">
      <formula>0</formula>
    </cfRule>
  </conditionalFormatting>
  <conditionalFormatting sqref="V27">
    <cfRule type="cellIs" dxfId="1918" priority="245" operator="greaterThan">
      <formula>V26</formula>
    </cfRule>
    <cfRule type="cellIs" dxfId="1917" priority="246" operator="equal">
      <formula>0</formula>
    </cfRule>
  </conditionalFormatting>
  <conditionalFormatting sqref="V27">
    <cfRule type="cellIs" dxfId="1916" priority="243" operator="greaterThan">
      <formula>V26</formula>
    </cfRule>
    <cfRule type="cellIs" dxfId="1915" priority="244" operator="equal">
      <formula>0</formula>
    </cfRule>
  </conditionalFormatting>
  <conditionalFormatting sqref="V27">
    <cfRule type="cellIs" dxfId="1914" priority="241" operator="greaterThan">
      <formula>V26</formula>
    </cfRule>
    <cfRule type="cellIs" dxfId="1913" priority="242" operator="equal">
      <formula>0</formula>
    </cfRule>
  </conditionalFormatting>
  <conditionalFormatting sqref="V27">
    <cfRule type="cellIs" dxfId="1912" priority="239" operator="greaterThan">
      <formula>V26</formula>
    </cfRule>
    <cfRule type="cellIs" dxfId="1911" priority="240" operator="equal">
      <formula>0</formula>
    </cfRule>
  </conditionalFormatting>
  <conditionalFormatting sqref="V27">
    <cfRule type="cellIs" dxfId="1910" priority="237" operator="greaterThan">
      <formula>V26</formula>
    </cfRule>
    <cfRule type="cellIs" dxfId="1909" priority="238" operator="equal">
      <formula>0</formula>
    </cfRule>
  </conditionalFormatting>
  <conditionalFormatting sqref="V27">
    <cfRule type="cellIs" dxfId="1908" priority="235" operator="greaterThan">
      <formula>V26</formula>
    </cfRule>
    <cfRule type="cellIs" dxfId="1907" priority="236" operator="equal">
      <formula>0</formula>
    </cfRule>
  </conditionalFormatting>
  <conditionalFormatting sqref="V27">
    <cfRule type="cellIs" dxfId="1906" priority="233" operator="greaterThan">
      <formula>V26</formula>
    </cfRule>
    <cfRule type="cellIs" dxfId="1905" priority="234" operator="equal">
      <formula>0</formula>
    </cfRule>
  </conditionalFormatting>
  <conditionalFormatting sqref="V27">
    <cfRule type="cellIs" dxfId="1904" priority="231" operator="greaterThan">
      <formula>V26</formula>
    </cfRule>
    <cfRule type="cellIs" dxfId="1903" priority="232" operator="equal">
      <formula>0</formula>
    </cfRule>
  </conditionalFormatting>
  <conditionalFormatting sqref="V27">
    <cfRule type="cellIs" dxfId="1902" priority="229" operator="greaterThan">
      <formula>V26</formula>
    </cfRule>
    <cfRule type="cellIs" dxfId="1901" priority="230" operator="equal">
      <formula>0</formula>
    </cfRule>
  </conditionalFormatting>
  <conditionalFormatting sqref="V27">
    <cfRule type="cellIs" dxfId="1900" priority="227" operator="greaterThan">
      <formula>V26</formula>
    </cfRule>
    <cfRule type="cellIs" dxfId="1899" priority="228" operator="equal">
      <formula>0</formula>
    </cfRule>
  </conditionalFormatting>
  <conditionalFormatting sqref="V27">
    <cfRule type="cellIs" dxfId="1898" priority="225" operator="greaterThan">
      <formula>V26</formula>
    </cfRule>
    <cfRule type="cellIs" dxfId="1897" priority="226" operator="equal">
      <formula>0</formula>
    </cfRule>
  </conditionalFormatting>
  <conditionalFormatting sqref="V27">
    <cfRule type="cellIs" dxfId="1896" priority="223" operator="greaterThan">
      <formula>V26</formula>
    </cfRule>
    <cfRule type="cellIs" dxfId="1895" priority="224" operator="equal">
      <formula>0</formula>
    </cfRule>
  </conditionalFormatting>
  <conditionalFormatting sqref="V27">
    <cfRule type="cellIs" dxfId="1894" priority="221" operator="greaterThan">
      <formula>V26</formula>
    </cfRule>
    <cfRule type="cellIs" dxfId="1893" priority="222" operator="equal">
      <formula>0</formula>
    </cfRule>
  </conditionalFormatting>
  <conditionalFormatting sqref="V27">
    <cfRule type="cellIs" dxfId="1892" priority="219" operator="greaterThan">
      <formula>V26</formula>
    </cfRule>
    <cfRule type="cellIs" dxfId="1891" priority="220" operator="equal">
      <formula>0</formula>
    </cfRule>
  </conditionalFormatting>
  <conditionalFormatting sqref="V27">
    <cfRule type="cellIs" dxfId="1890" priority="217" operator="greaterThan">
      <formula>V26</formula>
    </cfRule>
    <cfRule type="cellIs" dxfId="1889" priority="218" operator="equal">
      <formula>0</formula>
    </cfRule>
  </conditionalFormatting>
  <conditionalFormatting sqref="V27">
    <cfRule type="cellIs" dxfId="1888" priority="215" operator="greaterThan">
      <formula>V26</formula>
    </cfRule>
    <cfRule type="cellIs" dxfId="1887" priority="216" operator="equal">
      <formula>0</formula>
    </cfRule>
  </conditionalFormatting>
  <conditionalFormatting sqref="V27">
    <cfRule type="cellIs" dxfId="1886" priority="213" operator="greaterThan">
      <formula>V26</formula>
    </cfRule>
    <cfRule type="cellIs" dxfId="1885" priority="214" operator="equal">
      <formula>0</formula>
    </cfRule>
  </conditionalFormatting>
  <conditionalFormatting sqref="V27">
    <cfRule type="cellIs" dxfId="1884" priority="211" operator="greaterThan">
      <formula>V26</formula>
    </cfRule>
    <cfRule type="cellIs" dxfId="1883" priority="212" operator="equal">
      <formula>0</formula>
    </cfRule>
  </conditionalFormatting>
  <conditionalFormatting sqref="V27">
    <cfRule type="cellIs" dxfId="1882" priority="209" operator="greaterThan">
      <formula>V26</formula>
    </cfRule>
    <cfRule type="cellIs" dxfId="1881" priority="210" operator="equal">
      <formula>0</formula>
    </cfRule>
  </conditionalFormatting>
  <conditionalFormatting sqref="V27">
    <cfRule type="cellIs" dxfId="1880" priority="207" operator="greaterThan">
      <formula>V26</formula>
    </cfRule>
    <cfRule type="cellIs" dxfId="1879" priority="208" operator="equal">
      <formula>0</formula>
    </cfRule>
  </conditionalFormatting>
  <conditionalFormatting sqref="V27">
    <cfRule type="cellIs" dxfId="1878" priority="205" operator="greaterThan">
      <formula>V26</formula>
    </cfRule>
    <cfRule type="cellIs" dxfId="1877" priority="206" operator="equal">
      <formula>0</formula>
    </cfRule>
  </conditionalFormatting>
  <conditionalFormatting sqref="V27">
    <cfRule type="cellIs" dxfId="1876" priority="203" operator="greaterThan">
      <formula>V26</formula>
    </cfRule>
    <cfRule type="cellIs" dxfId="1875" priority="204" operator="equal">
      <formula>0</formula>
    </cfRule>
  </conditionalFormatting>
  <conditionalFormatting sqref="V27">
    <cfRule type="cellIs" dxfId="1874" priority="201" operator="greaterThan">
      <formula>V26</formula>
    </cfRule>
    <cfRule type="cellIs" dxfId="1873" priority="202" operator="equal">
      <formula>0</formula>
    </cfRule>
  </conditionalFormatting>
  <conditionalFormatting sqref="V27">
    <cfRule type="cellIs" dxfId="1872" priority="199" operator="greaterThan">
      <formula>V26</formula>
    </cfRule>
    <cfRule type="cellIs" dxfId="1871" priority="200" operator="equal">
      <formula>0</formula>
    </cfRule>
  </conditionalFormatting>
  <conditionalFormatting sqref="V28">
    <cfRule type="cellIs" dxfId="1870" priority="197" operator="greaterThan">
      <formula>V27</formula>
    </cfRule>
    <cfRule type="cellIs" dxfId="1869" priority="198" operator="equal">
      <formula>0</formula>
    </cfRule>
  </conditionalFormatting>
  <conditionalFormatting sqref="V28">
    <cfRule type="cellIs" dxfId="1868" priority="195" operator="greaterThan">
      <formula>V27</formula>
    </cfRule>
    <cfRule type="cellIs" dxfId="1867" priority="196" operator="equal">
      <formula>0</formula>
    </cfRule>
  </conditionalFormatting>
  <conditionalFormatting sqref="V28">
    <cfRule type="cellIs" dxfId="1866" priority="193" operator="greaterThan">
      <formula>V27</formula>
    </cfRule>
    <cfRule type="cellIs" dxfId="1865" priority="194" operator="equal">
      <formula>0</formula>
    </cfRule>
  </conditionalFormatting>
  <conditionalFormatting sqref="V28">
    <cfRule type="cellIs" dxfId="1864" priority="191" operator="greaterThan">
      <formula>V27</formula>
    </cfRule>
    <cfRule type="cellIs" dxfId="1863" priority="192" operator="equal">
      <formula>0</formula>
    </cfRule>
  </conditionalFormatting>
  <conditionalFormatting sqref="V28">
    <cfRule type="cellIs" dxfId="1862" priority="189" operator="greaterThan">
      <formula>V27</formula>
    </cfRule>
    <cfRule type="cellIs" dxfId="1861" priority="190" operator="equal">
      <formula>0</formula>
    </cfRule>
  </conditionalFormatting>
  <conditionalFormatting sqref="V28">
    <cfRule type="cellIs" dxfId="1860" priority="187" operator="greaterThan">
      <formula>V27</formula>
    </cfRule>
    <cfRule type="cellIs" dxfId="1859" priority="188" operator="equal">
      <formula>0</formula>
    </cfRule>
  </conditionalFormatting>
  <conditionalFormatting sqref="V28">
    <cfRule type="cellIs" dxfId="1858" priority="185" operator="greaterThan">
      <formula>V27</formula>
    </cfRule>
    <cfRule type="cellIs" dxfId="1857" priority="186" operator="equal">
      <formula>0</formula>
    </cfRule>
  </conditionalFormatting>
  <conditionalFormatting sqref="V28">
    <cfRule type="cellIs" dxfId="1856" priority="183" operator="greaterThan">
      <formula>V27</formula>
    </cfRule>
    <cfRule type="cellIs" dxfId="1855" priority="184" operator="equal">
      <formula>0</formula>
    </cfRule>
  </conditionalFormatting>
  <conditionalFormatting sqref="V28">
    <cfRule type="cellIs" dxfId="1854" priority="181" operator="greaterThan">
      <formula>V27</formula>
    </cfRule>
    <cfRule type="cellIs" dxfId="1853" priority="182" operator="equal">
      <formula>0</formula>
    </cfRule>
  </conditionalFormatting>
  <conditionalFormatting sqref="V28">
    <cfRule type="cellIs" dxfId="1852" priority="179" operator="greaterThan">
      <formula>V27</formula>
    </cfRule>
    <cfRule type="cellIs" dxfId="1851" priority="180" operator="equal">
      <formula>0</formula>
    </cfRule>
  </conditionalFormatting>
  <conditionalFormatting sqref="V28">
    <cfRule type="cellIs" dxfId="1850" priority="177" operator="greaterThan">
      <formula>V27</formula>
    </cfRule>
    <cfRule type="cellIs" dxfId="1849" priority="178" operator="equal">
      <formula>0</formula>
    </cfRule>
  </conditionalFormatting>
  <conditionalFormatting sqref="V28">
    <cfRule type="cellIs" dxfId="1848" priority="175" operator="greaterThan">
      <formula>V27</formula>
    </cfRule>
    <cfRule type="cellIs" dxfId="1847" priority="176" operator="equal">
      <formula>0</formula>
    </cfRule>
  </conditionalFormatting>
  <conditionalFormatting sqref="V28">
    <cfRule type="cellIs" dxfId="1846" priority="173" operator="greaterThan">
      <formula>V27</formula>
    </cfRule>
    <cfRule type="cellIs" dxfId="1845" priority="174" operator="equal">
      <formula>0</formula>
    </cfRule>
  </conditionalFormatting>
  <conditionalFormatting sqref="V28">
    <cfRule type="cellIs" dxfId="1844" priority="171" operator="greaterThan">
      <formula>V27</formula>
    </cfRule>
    <cfRule type="cellIs" dxfId="1843" priority="172" operator="equal">
      <formula>0</formula>
    </cfRule>
  </conditionalFormatting>
  <conditionalFormatting sqref="V28">
    <cfRule type="cellIs" dxfId="1842" priority="169" operator="greaterThan">
      <formula>V27</formula>
    </cfRule>
    <cfRule type="cellIs" dxfId="1841" priority="170" operator="equal">
      <formula>0</formula>
    </cfRule>
  </conditionalFormatting>
  <conditionalFormatting sqref="V28">
    <cfRule type="cellIs" dxfId="1840" priority="167" operator="greaterThan">
      <formula>V27</formula>
    </cfRule>
    <cfRule type="cellIs" dxfId="1839" priority="168" operator="equal">
      <formula>0</formula>
    </cfRule>
  </conditionalFormatting>
  <conditionalFormatting sqref="V28">
    <cfRule type="cellIs" dxfId="1838" priority="165" operator="greaterThan">
      <formula>V27</formula>
    </cfRule>
    <cfRule type="cellIs" dxfId="1837" priority="166" operator="equal">
      <formula>0</formula>
    </cfRule>
  </conditionalFormatting>
  <conditionalFormatting sqref="V28">
    <cfRule type="cellIs" dxfId="1836" priority="163" operator="greaterThan">
      <formula>V27</formula>
    </cfRule>
    <cfRule type="cellIs" dxfId="1835" priority="164" operator="equal">
      <formula>0</formula>
    </cfRule>
  </conditionalFormatting>
  <conditionalFormatting sqref="V28">
    <cfRule type="cellIs" dxfId="1834" priority="161" operator="greaterThan">
      <formula>V27</formula>
    </cfRule>
    <cfRule type="cellIs" dxfId="1833" priority="162" operator="equal">
      <formula>0</formula>
    </cfRule>
  </conditionalFormatting>
  <conditionalFormatting sqref="V28">
    <cfRule type="cellIs" dxfId="1832" priority="159" operator="greaterThan">
      <formula>V27</formula>
    </cfRule>
    <cfRule type="cellIs" dxfId="1831" priority="160" operator="equal">
      <formula>0</formula>
    </cfRule>
  </conditionalFormatting>
  <conditionalFormatting sqref="V28">
    <cfRule type="cellIs" dxfId="1830" priority="157" operator="greaterThan">
      <formula>V27</formula>
    </cfRule>
    <cfRule type="cellIs" dxfId="1829" priority="158" operator="equal">
      <formula>0</formula>
    </cfRule>
  </conditionalFormatting>
  <conditionalFormatting sqref="V28">
    <cfRule type="cellIs" dxfId="1828" priority="155" operator="greaterThan">
      <formula>V27</formula>
    </cfRule>
    <cfRule type="cellIs" dxfId="1827" priority="156" operator="equal">
      <formula>0</formula>
    </cfRule>
  </conditionalFormatting>
  <conditionalFormatting sqref="V28">
    <cfRule type="cellIs" dxfId="1826" priority="153" operator="greaterThan">
      <formula>V27</formula>
    </cfRule>
    <cfRule type="cellIs" dxfId="1825" priority="154" operator="equal">
      <formula>0</formula>
    </cfRule>
  </conditionalFormatting>
  <conditionalFormatting sqref="V28">
    <cfRule type="cellIs" dxfId="1824" priority="151" operator="greaterThan">
      <formula>V27</formula>
    </cfRule>
    <cfRule type="cellIs" dxfId="1823" priority="152" operator="equal">
      <formula>0</formula>
    </cfRule>
  </conditionalFormatting>
  <conditionalFormatting sqref="V28">
    <cfRule type="cellIs" dxfId="1822" priority="149" operator="greaterThan">
      <formula>V27</formula>
    </cfRule>
    <cfRule type="cellIs" dxfId="1821" priority="150" operator="equal">
      <formula>0</formula>
    </cfRule>
  </conditionalFormatting>
  <conditionalFormatting sqref="V28">
    <cfRule type="cellIs" dxfId="1820" priority="147" operator="greaterThan">
      <formula>V27</formula>
    </cfRule>
    <cfRule type="cellIs" dxfId="1819" priority="148" operator="equal">
      <formula>0</formula>
    </cfRule>
  </conditionalFormatting>
  <conditionalFormatting sqref="V28">
    <cfRule type="cellIs" dxfId="1818" priority="145" operator="greaterThan">
      <formula>V27</formula>
    </cfRule>
    <cfRule type="cellIs" dxfId="1817" priority="146" operator="equal">
      <formula>0</formula>
    </cfRule>
  </conditionalFormatting>
  <conditionalFormatting sqref="V28">
    <cfRule type="cellIs" dxfId="1816" priority="143" operator="greaterThan">
      <formula>V27</formula>
    </cfRule>
    <cfRule type="cellIs" dxfId="1815" priority="144" operator="equal">
      <formula>0</formula>
    </cfRule>
  </conditionalFormatting>
  <conditionalFormatting sqref="V28">
    <cfRule type="cellIs" dxfId="1814" priority="141" operator="greaterThan">
      <formula>V27</formula>
    </cfRule>
    <cfRule type="cellIs" dxfId="1813" priority="142" operator="equal">
      <formula>0</formula>
    </cfRule>
  </conditionalFormatting>
  <conditionalFormatting sqref="V28">
    <cfRule type="cellIs" dxfId="1812" priority="139" operator="greaterThan">
      <formula>V27</formula>
    </cfRule>
    <cfRule type="cellIs" dxfId="1811" priority="140" operator="equal">
      <formula>0</formula>
    </cfRule>
  </conditionalFormatting>
  <conditionalFormatting sqref="V28">
    <cfRule type="cellIs" dxfId="1810" priority="137" operator="greaterThan">
      <formula>V27</formula>
    </cfRule>
    <cfRule type="cellIs" dxfId="1809" priority="138" operator="equal">
      <formula>0</formula>
    </cfRule>
  </conditionalFormatting>
  <conditionalFormatting sqref="V28">
    <cfRule type="cellIs" dxfId="1808" priority="135" operator="greaterThan">
      <formula>V27</formula>
    </cfRule>
    <cfRule type="cellIs" dxfId="1807" priority="136" operator="equal">
      <formula>0</formula>
    </cfRule>
  </conditionalFormatting>
  <conditionalFormatting sqref="V28">
    <cfRule type="cellIs" dxfId="1806" priority="133" operator="greaterThan">
      <formula>V27</formula>
    </cfRule>
    <cfRule type="cellIs" dxfId="1805" priority="134" operator="equal">
      <formula>0</formula>
    </cfRule>
  </conditionalFormatting>
  <conditionalFormatting sqref="V28">
    <cfRule type="cellIs" dxfId="1804" priority="131" operator="greaterThan">
      <formula>V27</formula>
    </cfRule>
    <cfRule type="cellIs" dxfId="1803" priority="132" operator="equal">
      <formula>0</formula>
    </cfRule>
  </conditionalFormatting>
  <conditionalFormatting sqref="V28">
    <cfRule type="cellIs" dxfId="1802" priority="129" operator="greaterThan">
      <formula>V27</formula>
    </cfRule>
    <cfRule type="cellIs" dxfId="1801" priority="130" operator="equal">
      <formula>0</formula>
    </cfRule>
  </conditionalFormatting>
  <conditionalFormatting sqref="V28">
    <cfRule type="cellIs" dxfId="1800" priority="127" operator="greaterThan">
      <formula>V27</formula>
    </cfRule>
    <cfRule type="cellIs" dxfId="1799" priority="128" operator="equal">
      <formula>0</formula>
    </cfRule>
  </conditionalFormatting>
  <conditionalFormatting sqref="V28">
    <cfRule type="cellIs" dxfId="1798" priority="125" operator="greaterThan">
      <formula>V27</formula>
    </cfRule>
    <cfRule type="cellIs" dxfId="1797" priority="126" operator="equal">
      <formula>0</formula>
    </cfRule>
  </conditionalFormatting>
  <conditionalFormatting sqref="V28">
    <cfRule type="cellIs" dxfId="1796" priority="123" operator="greaterThan">
      <formula>V27</formula>
    </cfRule>
    <cfRule type="cellIs" dxfId="1795" priority="124" operator="equal">
      <formula>0</formula>
    </cfRule>
  </conditionalFormatting>
  <conditionalFormatting sqref="V28">
    <cfRule type="cellIs" dxfId="1794" priority="121" operator="greaterThan">
      <formula>V27</formula>
    </cfRule>
    <cfRule type="cellIs" dxfId="1793" priority="122" operator="equal">
      <formula>0</formula>
    </cfRule>
  </conditionalFormatting>
  <conditionalFormatting sqref="V28">
    <cfRule type="cellIs" dxfId="1792" priority="119" operator="greaterThan">
      <formula>V27</formula>
    </cfRule>
    <cfRule type="cellIs" dxfId="1791" priority="120" operator="equal">
      <formula>0</formula>
    </cfRule>
  </conditionalFormatting>
  <conditionalFormatting sqref="V28">
    <cfRule type="cellIs" dxfId="1790" priority="117" operator="greaterThan">
      <formula>V27</formula>
    </cfRule>
    <cfRule type="cellIs" dxfId="1789" priority="118" operator="equal">
      <formula>0</formula>
    </cfRule>
  </conditionalFormatting>
  <conditionalFormatting sqref="V28">
    <cfRule type="cellIs" dxfId="1788" priority="115" operator="greaterThan">
      <formula>V27</formula>
    </cfRule>
    <cfRule type="cellIs" dxfId="1787" priority="116" operator="equal">
      <formula>0</formula>
    </cfRule>
  </conditionalFormatting>
  <conditionalFormatting sqref="V28">
    <cfRule type="cellIs" dxfId="1786" priority="113" operator="greaterThan">
      <formula>V27</formula>
    </cfRule>
    <cfRule type="cellIs" dxfId="1785" priority="114" operator="equal">
      <formula>0</formula>
    </cfRule>
  </conditionalFormatting>
  <conditionalFormatting sqref="V28">
    <cfRule type="cellIs" dxfId="1784" priority="111" operator="greaterThan">
      <formula>V27</formula>
    </cfRule>
    <cfRule type="cellIs" dxfId="1783" priority="112" operator="equal">
      <formula>0</formula>
    </cfRule>
  </conditionalFormatting>
  <conditionalFormatting sqref="V28">
    <cfRule type="cellIs" dxfId="1782" priority="109" operator="greaterThan">
      <formula>V27</formula>
    </cfRule>
    <cfRule type="cellIs" dxfId="1781" priority="110" operator="equal">
      <formula>0</formula>
    </cfRule>
  </conditionalFormatting>
  <conditionalFormatting sqref="V28">
    <cfRule type="cellIs" dxfId="1780" priority="107" operator="greaterThan">
      <formula>V27</formula>
    </cfRule>
    <cfRule type="cellIs" dxfId="1779" priority="108" operator="equal">
      <formula>0</formula>
    </cfRule>
  </conditionalFormatting>
  <conditionalFormatting sqref="V28">
    <cfRule type="cellIs" dxfId="1778" priority="105" operator="greaterThan">
      <formula>V27</formula>
    </cfRule>
    <cfRule type="cellIs" dxfId="1777" priority="106" operator="equal">
      <formula>0</formula>
    </cfRule>
  </conditionalFormatting>
  <conditionalFormatting sqref="V28">
    <cfRule type="cellIs" dxfId="1776" priority="103" operator="greaterThan">
      <formula>V27</formula>
    </cfRule>
    <cfRule type="cellIs" dxfId="1775" priority="104" operator="equal">
      <formula>0</formula>
    </cfRule>
  </conditionalFormatting>
  <conditionalFormatting sqref="V28">
    <cfRule type="cellIs" dxfId="1774" priority="101" operator="greaterThan">
      <formula>V27</formula>
    </cfRule>
    <cfRule type="cellIs" dxfId="1773" priority="102" operator="equal">
      <formula>0</formula>
    </cfRule>
  </conditionalFormatting>
  <conditionalFormatting sqref="V28">
    <cfRule type="cellIs" dxfId="1772" priority="99" operator="greaterThan">
      <formula>V27</formula>
    </cfRule>
    <cfRule type="cellIs" dxfId="1771" priority="100" operator="equal">
      <formula>0</formula>
    </cfRule>
  </conditionalFormatting>
  <conditionalFormatting sqref="V28">
    <cfRule type="cellIs" dxfId="1770" priority="97" operator="greaterThan">
      <formula>V27</formula>
    </cfRule>
    <cfRule type="cellIs" dxfId="1769" priority="98" operator="equal">
      <formula>0</formula>
    </cfRule>
  </conditionalFormatting>
  <conditionalFormatting sqref="V28">
    <cfRule type="cellIs" dxfId="1768" priority="95" operator="greaterThan">
      <formula>V27</formula>
    </cfRule>
    <cfRule type="cellIs" dxfId="1767" priority="96" operator="equal">
      <formula>0</formula>
    </cfRule>
  </conditionalFormatting>
  <conditionalFormatting sqref="V28">
    <cfRule type="cellIs" dxfId="1766" priority="93" operator="greaterThan">
      <formula>V27</formula>
    </cfRule>
    <cfRule type="cellIs" dxfId="1765" priority="94" operator="equal">
      <formula>0</formula>
    </cfRule>
  </conditionalFormatting>
  <conditionalFormatting sqref="V28">
    <cfRule type="cellIs" dxfId="1764" priority="91" operator="greaterThan">
      <formula>V27</formula>
    </cfRule>
    <cfRule type="cellIs" dxfId="1763" priority="92" operator="equal">
      <formula>0</formula>
    </cfRule>
  </conditionalFormatting>
  <conditionalFormatting sqref="V28">
    <cfRule type="cellIs" dxfId="1762" priority="89" operator="greaterThan">
      <formula>V27</formula>
    </cfRule>
    <cfRule type="cellIs" dxfId="1761" priority="90" operator="equal">
      <formula>0</formula>
    </cfRule>
  </conditionalFormatting>
  <conditionalFormatting sqref="V28">
    <cfRule type="cellIs" dxfId="1760" priority="87" operator="greaterThan">
      <formula>V27</formula>
    </cfRule>
    <cfRule type="cellIs" dxfId="1759" priority="88" operator="equal">
      <formula>0</formula>
    </cfRule>
  </conditionalFormatting>
  <conditionalFormatting sqref="V28">
    <cfRule type="cellIs" dxfId="1758" priority="85" operator="greaterThan">
      <formula>V27</formula>
    </cfRule>
    <cfRule type="cellIs" dxfId="1757" priority="86" operator="equal">
      <formula>0</formula>
    </cfRule>
  </conditionalFormatting>
  <conditionalFormatting sqref="V28">
    <cfRule type="cellIs" dxfId="1756" priority="83" operator="greaterThan">
      <formula>V27</formula>
    </cfRule>
    <cfRule type="cellIs" dxfId="1755" priority="84" operator="equal">
      <formula>0</formula>
    </cfRule>
  </conditionalFormatting>
  <conditionalFormatting sqref="V28">
    <cfRule type="cellIs" dxfId="1754" priority="81" operator="greaterThan">
      <formula>V27</formula>
    </cfRule>
    <cfRule type="cellIs" dxfId="1753" priority="82" operator="equal">
      <formula>0</formula>
    </cfRule>
  </conditionalFormatting>
  <conditionalFormatting sqref="V28">
    <cfRule type="cellIs" dxfId="1752" priority="79" operator="greaterThan">
      <formula>V27</formula>
    </cfRule>
    <cfRule type="cellIs" dxfId="1751" priority="80" operator="equal">
      <formula>0</formula>
    </cfRule>
  </conditionalFormatting>
  <conditionalFormatting sqref="V28">
    <cfRule type="cellIs" dxfId="1750" priority="77" operator="greaterThan">
      <formula>V27</formula>
    </cfRule>
    <cfRule type="cellIs" dxfId="1749" priority="78" operator="equal">
      <formula>0</formula>
    </cfRule>
  </conditionalFormatting>
  <conditionalFormatting sqref="V28">
    <cfRule type="cellIs" dxfId="1748" priority="75" operator="greaterThan">
      <formula>V27</formula>
    </cfRule>
    <cfRule type="cellIs" dxfId="1747" priority="76" operator="equal">
      <formula>0</formula>
    </cfRule>
  </conditionalFormatting>
  <conditionalFormatting sqref="V28">
    <cfRule type="cellIs" dxfId="1746" priority="73" operator="greaterThan">
      <formula>V27</formula>
    </cfRule>
    <cfRule type="cellIs" dxfId="1745" priority="74" operator="equal">
      <formula>0</formula>
    </cfRule>
  </conditionalFormatting>
  <conditionalFormatting sqref="V28">
    <cfRule type="cellIs" dxfId="1744" priority="71" operator="greaterThan">
      <formula>V27</formula>
    </cfRule>
    <cfRule type="cellIs" dxfId="1743" priority="72" operator="equal">
      <formula>0</formula>
    </cfRule>
  </conditionalFormatting>
  <conditionalFormatting sqref="V28">
    <cfRule type="cellIs" dxfId="1742" priority="69" operator="greaterThan">
      <formula>V27</formula>
    </cfRule>
    <cfRule type="cellIs" dxfId="1741" priority="70" operator="equal">
      <formula>0</formula>
    </cfRule>
  </conditionalFormatting>
  <conditionalFormatting sqref="V28">
    <cfRule type="cellIs" dxfId="1740" priority="67" operator="greaterThan">
      <formula>V27</formula>
    </cfRule>
    <cfRule type="cellIs" dxfId="1739" priority="68" operator="equal">
      <formula>0</formula>
    </cfRule>
  </conditionalFormatting>
  <conditionalFormatting sqref="V28">
    <cfRule type="cellIs" dxfId="1738" priority="65" operator="greaterThan">
      <formula>V27</formula>
    </cfRule>
    <cfRule type="cellIs" dxfId="1737" priority="66" operator="equal">
      <formula>0</formula>
    </cfRule>
  </conditionalFormatting>
  <conditionalFormatting sqref="V28">
    <cfRule type="cellIs" dxfId="1736" priority="63" operator="greaterThan">
      <formula>V27</formula>
    </cfRule>
    <cfRule type="cellIs" dxfId="1735" priority="64" operator="equal">
      <formula>0</formula>
    </cfRule>
  </conditionalFormatting>
  <conditionalFormatting sqref="V28">
    <cfRule type="cellIs" dxfId="1734" priority="61" operator="greaterThan">
      <formula>V27</formula>
    </cfRule>
    <cfRule type="cellIs" dxfId="1733" priority="62" operator="equal">
      <formula>0</formula>
    </cfRule>
  </conditionalFormatting>
  <conditionalFormatting sqref="V28">
    <cfRule type="cellIs" dxfId="1732" priority="59" operator="greaterThan">
      <formula>V27</formula>
    </cfRule>
    <cfRule type="cellIs" dxfId="1731" priority="60" operator="equal">
      <formula>0</formula>
    </cfRule>
  </conditionalFormatting>
  <conditionalFormatting sqref="V28">
    <cfRule type="cellIs" dxfId="1730" priority="57" operator="greaterThan">
      <formula>V27</formula>
    </cfRule>
    <cfRule type="cellIs" dxfId="1729" priority="58" operator="equal">
      <formula>0</formula>
    </cfRule>
  </conditionalFormatting>
  <conditionalFormatting sqref="V28">
    <cfRule type="cellIs" dxfId="1728" priority="55" operator="greaterThan">
      <formula>V27</formula>
    </cfRule>
    <cfRule type="cellIs" dxfId="1727" priority="56" operator="equal">
      <formula>0</formula>
    </cfRule>
  </conditionalFormatting>
  <conditionalFormatting sqref="V28">
    <cfRule type="cellIs" dxfId="1726" priority="53" operator="greaterThan">
      <formula>V27</formula>
    </cfRule>
    <cfRule type="cellIs" dxfId="1725" priority="54" operator="equal">
      <formula>0</formula>
    </cfRule>
  </conditionalFormatting>
  <conditionalFormatting sqref="V28">
    <cfRule type="cellIs" dxfId="1724" priority="51" operator="greaterThan">
      <formula>V27</formula>
    </cfRule>
    <cfRule type="cellIs" dxfId="1723" priority="52" operator="equal">
      <formula>0</formula>
    </cfRule>
  </conditionalFormatting>
  <conditionalFormatting sqref="V28">
    <cfRule type="cellIs" dxfId="1722" priority="49" operator="greaterThan">
      <formula>V27</formula>
    </cfRule>
    <cfRule type="cellIs" dxfId="1721" priority="50" operator="equal">
      <formula>0</formula>
    </cfRule>
  </conditionalFormatting>
  <conditionalFormatting sqref="V28">
    <cfRule type="cellIs" dxfId="1720" priority="47" operator="greaterThan">
      <formula>V27</formula>
    </cfRule>
    <cfRule type="cellIs" dxfId="1719" priority="48" operator="equal">
      <formula>0</formula>
    </cfRule>
  </conditionalFormatting>
  <conditionalFormatting sqref="V28">
    <cfRule type="cellIs" dxfId="1718" priority="45" operator="greaterThan">
      <formula>V27</formula>
    </cfRule>
    <cfRule type="cellIs" dxfId="1717" priority="46" operator="equal">
      <formula>0</formula>
    </cfRule>
  </conditionalFormatting>
  <conditionalFormatting sqref="V28">
    <cfRule type="cellIs" dxfId="1716" priority="43" operator="greaterThan">
      <formula>V27</formula>
    </cfRule>
    <cfRule type="cellIs" dxfId="1715" priority="44" operator="equal">
      <formula>0</formula>
    </cfRule>
  </conditionalFormatting>
  <conditionalFormatting sqref="V28">
    <cfRule type="cellIs" dxfId="1714" priority="41" operator="greaterThan">
      <formula>V27</formula>
    </cfRule>
    <cfRule type="cellIs" dxfId="1713" priority="42" operator="equal">
      <formula>0</formula>
    </cfRule>
  </conditionalFormatting>
  <conditionalFormatting sqref="V28">
    <cfRule type="cellIs" dxfId="1712" priority="39" operator="greaterThan">
      <formula>V27</formula>
    </cfRule>
    <cfRule type="cellIs" dxfId="1711" priority="40" operator="equal">
      <formula>0</formula>
    </cfRule>
  </conditionalFormatting>
  <conditionalFormatting sqref="V28">
    <cfRule type="cellIs" dxfId="1710" priority="37" operator="greaterThan">
      <formula>V27</formula>
    </cfRule>
    <cfRule type="cellIs" dxfId="1709" priority="38" operator="equal">
      <formula>0</formula>
    </cfRule>
  </conditionalFormatting>
  <conditionalFormatting sqref="V28">
    <cfRule type="cellIs" dxfId="1708" priority="35" operator="greaterThan">
      <formula>V27</formula>
    </cfRule>
    <cfRule type="cellIs" dxfId="1707" priority="36" operator="equal">
      <formula>0</formula>
    </cfRule>
  </conditionalFormatting>
  <conditionalFormatting sqref="V28">
    <cfRule type="cellIs" dxfId="1706" priority="33" operator="greaterThan">
      <formula>V27</formula>
    </cfRule>
    <cfRule type="cellIs" dxfId="1705" priority="34" operator="equal">
      <formula>0</formula>
    </cfRule>
  </conditionalFormatting>
  <conditionalFormatting sqref="V28">
    <cfRule type="cellIs" dxfId="1704" priority="31" operator="greaterThan">
      <formula>V27</formula>
    </cfRule>
    <cfRule type="cellIs" dxfId="1703" priority="32" operator="equal">
      <formula>0</formula>
    </cfRule>
  </conditionalFormatting>
  <conditionalFormatting sqref="V13">
    <cfRule type="cellIs" dxfId="1702" priority="30" operator="equal">
      <formula>0</formula>
    </cfRule>
  </conditionalFormatting>
  <conditionalFormatting sqref="V13">
    <cfRule type="cellIs" dxfId="1701" priority="28" operator="greaterThan">
      <formula>V12</formula>
    </cfRule>
    <cfRule type="cellIs" dxfId="1700" priority="29" operator="equal">
      <formula>0</formula>
    </cfRule>
  </conditionalFormatting>
  <conditionalFormatting sqref="V13">
    <cfRule type="cellIs" dxfId="1699" priority="26" operator="greaterThan">
      <formula>V12</formula>
    </cfRule>
    <cfRule type="cellIs" dxfId="1698" priority="27" operator="equal">
      <formula>0</formula>
    </cfRule>
  </conditionalFormatting>
  <conditionalFormatting sqref="V16">
    <cfRule type="cellIs" dxfId="1697" priority="25" operator="equal">
      <formula>0</formula>
    </cfRule>
  </conditionalFormatting>
  <conditionalFormatting sqref="V16">
    <cfRule type="cellIs" dxfId="1696" priority="23" operator="greaterThan">
      <formula>V15</formula>
    </cfRule>
    <cfRule type="cellIs" dxfId="1695" priority="24" operator="equal">
      <formula>0</formula>
    </cfRule>
  </conditionalFormatting>
  <conditionalFormatting sqref="V16">
    <cfRule type="cellIs" dxfId="1694" priority="21" operator="greaterThan">
      <formula>V15</formula>
    </cfRule>
    <cfRule type="cellIs" dxfId="1693" priority="22" operator="equal">
      <formula>0</formula>
    </cfRule>
  </conditionalFormatting>
  <conditionalFormatting sqref="V19">
    <cfRule type="cellIs" dxfId="1692" priority="20" operator="equal">
      <formula>0</formula>
    </cfRule>
  </conditionalFormatting>
  <conditionalFormatting sqref="V19">
    <cfRule type="cellIs" dxfId="1691" priority="18" operator="greaterThan">
      <formula>V18</formula>
    </cfRule>
    <cfRule type="cellIs" dxfId="1690" priority="19" operator="equal">
      <formula>0</formula>
    </cfRule>
  </conditionalFormatting>
  <conditionalFormatting sqref="V19">
    <cfRule type="cellIs" dxfId="1689" priority="16" operator="greaterThan">
      <formula>V18</formula>
    </cfRule>
    <cfRule type="cellIs" dxfId="1688" priority="17" operator="equal">
      <formula>0</formula>
    </cfRule>
  </conditionalFormatting>
  <conditionalFormatting sqref="V22">
    <cfRule type="cellIs" dxfId="1687" priority="15" operator="equal">
      <formula>0</formula>
    </cfRule>
  </conditionalFormatting>
  <conditionalFormatting sqref="V22">
    <cfRule type="cellIs" dxfId="1686" priority="13" operator="greaterThan">
      <formula>V21</formula>
    </cfRule>
    <cfRule type="cellIs" dxfId="1685" priority="14" operator="equal">
      <formula>0</formula>
    </cfRule>
  </conditionalFormatting>
  <conditionalFormatting sqref="V22">
    <cfRule type="cellIs" dxfId="1684" priority="11" operator="greaterThan">
      <formula>V21</formula>
    </cfRule>
    <cfRule type="cellIs" dxfId="1683" priority="12" operator="equal">
      <formula>0</formula>
    </cfRule>
  </conditionalFormatting>
  <conditionalFormatting sqref="V25">
    <cfRule type="cellIs" dxfId="1682" priority="10" operator="equal">
      <formula>0</formula>
    </cfRule>
  </conditionalFormatting>
  <conditionalFormatting sqref="V25">
    <cfRule type="cellIs" dxfId="1681" priority="8" operator="greaterThan">
      <formula>V24</formula>
    </cfRule>
    <cfRule type="cellIs" dxfId="1680" priority="9" operator="equal">
      <formula>0</formula>
    </cfRule>
  </conditionalFormatting>
  <conditionalFormatting sqref="V25">
    <cfRule type="cellIs" dxfId="1679" priority="6" operator="greaterThan">
      <formula>V24</formula>
    </cfRule>
    <cfRule type="cellIs" dxfId="1678" priority="7" operator="equal">
      <formula>0</formula>
    </cfRule>
  </conditionalFormatting>
  <conditionalFormatting sqref="V28">
    <cfRule type="cellIs" dxfId="1677" priority="5" operator="equal">
      <formula>0</formula>
    </cfRule>
  </conditionalFormatting>
  <conditionalFormatting sqref="V28">
    <cfRule type="cellIs" dxfId="1676" priority="3" operator="greaterThan">
      <formula>V27</formula>
    </cfRule>
    <cfRule type="cellIs" dxfId="1675" priority="4" operator="equal">
      <formula>0</formula>
    </cfRule>
  </conditionalFormatting>
  <conditionalFormatting sqref="V28">
    <cfRule type="cellIs" dxfId="1674" priority="1" operator="greaterThan">
      <formula>V27</formula>
    </cfRule>
    <cfRule type="cellIs" dxfId="1673" priority="2" operator="equal">
      <formula>0</formula>
    </cfRule>
  </conditionalFormatting>
  <dataValidations count="25">
    <dataValidation type="whole" allowBlank="1" showInputMessage="1" showErrorMessage="1" sqref="X51 X44:X48 Y16:Y51 X38:X41 X17 X20 X23 X26 X29 X32 X35">
      <formula1>0</formula1>
      <formula2>5000</formula2>
    </dataValidation>
    <dataValidation type="whole" errorStyle="information" operator="greaterThanOrEqual" showInputMessage="1" showErrorMessage="1" errorTitle="إناث 13 سنة" error="ضع العدد المناسب" sqref="M34 M31 M19 M28 M16 M22 M25 M13 M37">
      <formula1>0</formula1>
    </dataValidation>
    <dataValidation type="whole" errorStyle="information" operator="greaterThanOrEqual" showInputMessage="1" showErrorMessage="1" errorTitle="إناث 14 سنة" error="ضع العدد المناسب" sqref="N34 N31 N19 N28 N16 N22 N25 N13 N37">
      <formula1>0</formula1>
    </dataValidation>
    <dataValidation type="whole" errorStyle="information" operator="greaterThanOrEqual" showInputMessage="1" showErrorMessage="1" errorTitle="إناث 15 سنة فأكثر" error="ضع العدد المناسب" sqref="O34 O31 O19 O28 O16 O22 O25 O13 O37">
      <formula1>0</formula1>
    </dataValidation>
    <dataValidation type="whole" errorStyle="information" operator="greaterThanOrEqual" showInputMessage="1" showErrorMessage="1" errorTitle="تلاميذ 14 سنة" error="ضع العدد المناسب" sqref="N33 N30 N12 N15 N18 N21 N24 N27 N36">
      <formula1>0</formula1>
    </dataValidation>
    <dataValidation type="whole" errorStyle="information" operator="greaterThanOrEqual" showInputMessage="1" showErrorMessage="1" errorTitle="تلاميذ 13 سنة" error="ضع العدد المناسب" sqref="M33 M30 M12 M15 M18 M21 M24 M27 M36">
      <formula1>0</formula1>
    </dataValidation>
    <dataValidation type="whole" errorStyle="information" operator="greaterThanOrEqual" showInputMessage="1" showErrorMessage="1" errorTitle="تلاميذ 15 سنة فأكثر" error="ضع العدد المناسب" sqref="O33 O30 O12 O15 O18 O21 O24 O27 O36">
      <formula1>0</formula1>
    </dataValidation>
    <dataValidation type="whole" errorStyle="information" operator="greaterThanOrEqual" showInputMessage="1" showErrorMessage="1" errorTitle="إناث 10 سنوات" error="ضع العدد المناسب" sqref="J34 J31 J19 J13 J16 J28 J22 J25 J43:J44 J37">
      <formula1>0</formula1>
    </dataValidation>
    <dataValidation type="whole" errorStyle="information" operator="greaterThanOrEqual" showInputMessage="1" showErrorMessage="1" errorTitle="إناث 12 سنة" error="ضع العدد المناسب" sqref="L34 L31 L19 L13 L16 L28 L22 L25 L43:L44 L37">
      <formula1>0</formula1>
    </dataValidation>
    <dataValidation type="whole" errorStyle="information" operator="greaterThanOrEqual" showInputMessage="1" showErrorMessage="1" errorTitle="تلاميذ 6 سنوات" error="ضع العدد المناسب" sqref="F33 F30 F12 F15 F18 F21 F27 F24 F42 F36">
      <formula1>0</formula1>
    </dataValidation>
    <dataValidation type="whole" errorStyle="information" operator="greaterThanOrEqual" showInputMessage="1" showErrorMessage="1" errorTitle="تلاميذ 8 سنوات" error="ضع العدد المناسب" sqref="H33 H30 H12 H15 H18 H21 H27 H24 H36 H42">
      <formula1>0</formula1>
    </dataValidation>
    <dataValidation type="whole" errorStyle="information" operator="greaterThanOrEqual" showInputMessage="1" showErrorMessage="1" errorTitle="تلاميذ 10 سنوات" error="ضع العدد المناسب" sqref="J33 J30 J12 J15 J18 J21 J27 J24 J42 J36">
      <formula1>0</formula1>
    </dataValidation>
    <dataValidation type="whole" errorStyle="information" operator="greaterThanOrEqual" showInputMessage="1" showErrorMessage="1" errorTitle="تلاميذ 12 سنة" error="ضع العدد المناسب" sqref="L33 L30 L12 L15 L18 L21 L27 L24 L42 L36">
      <formula1>0</formula1>
    </dataValidation>
    <dataValidation type="whole" errorStyle="information" operator="greaterThanOrEqual" showInputMessage="1" showErrorMessage="1" errorTitle="إناث 9 سنوات" error="ضع العدد المناسب" sqref="I34 I31 I13 I16 I19 I28 I43:I44 I22 I25 K50 I37">
      <formula1>0</formula1>
    </dataValidation>
    <dataValidation type="whole" errorStyle="information" operator="greaterThanOrEqual" showInputMessage="1" showErrorMessage="1" errorTitle="إناث11 سنة" error="ضع العدد المناسب" sqref="K34 K31 K16 K19 K28 K13 K43:K44 K22 K25 M50 K37">
      <formula1>0</formula1>
    </dataValidation>
    <dataValidation type="whole" errorStyle="information" operator="greaterThanOrEqual" showInputMessage="1" showErrorMessage="1" errorTitle="إناث 5 سنوات" error="ضع العدد المناسب" sqref="E34 E31 E16 E19 E13 E43:E45 E28 E22 E25 G50 E50:E51 E37">
      <formula1>0</formula1>
    </dataValidation>
    <dataValidation type="whole" operator="greaterThanOrEqual" allowBlank="1" showInputMessage="1" showErrorMessage="1" errorTitle="مجموع البنات" error="العدد المناسب" sqref="I51 O50 M43:M44 I45 P34 P31 P13 P16 P19 P28 P22 P25 P37">
      <formula1>0</formula1>
    </dataValidation>
    <dataValidation type="whole" errorStyle="information" operator="greaterThanOrEqual" showInputMessage="1" showErrorMessage="1" errorTitle="إناث 6 سنوات" error="ضع العدد المناسب" sqref="F34 F31 F16 F19 F28 F13 F43:F45 F22 F25 F51 F37">
      <formula1>0</formula1>
    </dataValidation>
    <dataValidation type="whole" errorStyle="information" operator="greaterThanOrEqual" showInputMessage="1" showErrorMessage="1" errorTitle="إناث 7 سنوات" error="ضع العدد المناسب" sqref="G34 G31 G16 G19 G28 G13 G43:G45 G22 G25 I50 G51 G37">
      <formula1>0</formula1>
    </dataValidation>
    <dataValidation type="whole" errorStyle="information" operator="greaterThanOrEqual" showInputMessage="1" showErrorMessage="1" errorTitle="إناث 8 سنوات" error="ضع العدد المناسب" sqref="H34 H31 H16 H19 H28 H13 H37 H22 H25 H51 H43:H45">
      <formula1>0</formula1>
    </dataValidation>
    <dataValidation type="whole" errorStyle="information" operator="greaterThanOrEqual" showInputMessage="1" showErrorMessage="1" errorTitle="تلاميذ 5 سنوات" error="ضع العدد المناسب" sqref="E33 E30 E27 E15 E18 E21 E12 E7:P7 E42 E24 G49 E49 E36">
      <formula1>0</formula1>
    </dataValidation>
    <dataValidation type="whole" errorStyle="information" operator="greaterThanOrEqual" showInputMessage="1" showErrorMessage="1" errorTitle="تلاميذ 7 سنوات" error="ضع العدد المناسب" sqref="G33 G42 G30 G15 G18 G21 G12 G27 G24 I49 G36">
      <formula1>0</formula1>
    </dataValidation>
    <dataValidation type="whole" errorStyle="information" operator="greaterThanOrEqual" showInputMessage="1" showErrorMessage="1" errorTitle="تلاميذ 9 سنوات" error="ضع العدد المناسب" sqref="I33 I42 I30 I12 I15 I18 I21 I27 I24 K49 I36">
      <formula1>0</formula1>
    </dataValidation>
    <dataValidation type="whole" errorStyle="information" operator="greaterThanOrEqual" showInputMessage="1" showErrorMessage="1" errorTitle="تلاميذ 11 سنة" error="ضع العدد المناسب" sqref="K33 K42 K30 K15 K18 K21 K12 K27 K24 M49 K36">
      <formula1>0</formula1>
    </dataValidation>
    <dataValidation type="whole" operator="greaterThanOrEqual" allowBlank="1" showInputMessage="1" showErrorMessage="1" errorTitle="المجموع" error="العدد المناسب" sqref="O49 M42 P33 P30 P12 P15 P18 P21 P27 P24 P36">
      <formula1>0</formula1>
    </dataValidation>
  </dataValidations>
  <printOptions horizontalCentered="1" verticalCentered="1"/>
  <pageMargins left="0.19685039370078741" right="0.19685039370078741" top="0.27559055118110237" bottom="0.11811023622047245" header="0" footer="0.31496062992125984"/>
  <pageSetup paperSize="9" orientation="landscape" r:id="rId1"/>
  <headerFooter>
    <oddFooter xml:space="preserve">&amp;R&amp;"-,Gras"&amp;8&amp;K00-019Echamil V.08      &amp;F                          &amp;K00-016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FF33CC"/>
  </sheetPr>
  <dimension ref="A1:Y133"/>
  <sheetViews>
    <sheetView showGridLines="0" rightToLeft="1" topLeftCell="A34" workbookViewId="0">
      <selection activeCell="M13" sqref="M13"/>
    </sheetView>
  </sheetViews>
  <sheetFormatPr baseColWidth="10" defaultColWidth="0" defaultRowHeight="14.4" zeroHeight="1"/>
  <cols>
    <col min="1" max="1" width="2.6640625" customWidth="1"/>
    <col min="2" max="2" width="1.6640625" customWidth="1"/>
    <col min="3" max="3" width="0.88671875" customWidth="1"/>
    <col min="4" max="4" width="12.6640625" customWidth="1"/>
    <col min="5" max="5" width="5.6640625" customWidth="1"/>
    <col min="6" max="6" width="7.6640625" customWidth="1"/>
    <col min="7" max="10" width="6.6640625" customWidth="1"/>
    <col min="11" max="11" width="8" customWidth="1"/>
    <col min="12" max="12" width="6.6640625" customWidth="1"/>
    <col min="13" max="13" width="8" customWidth="1"/>
    <col min="14" max="15" width="7.6640625" customWidth="1"/>
    <col min="16" max="16" width="0.88671875" customWidth="1"/>
    <col min="17" max="17" width="1.6640625" customWidth="1"/>
    <col min="18" max="18" width="2.6640625" customWidth="1"/>
    <col min="19" max="19" width="18.5546875" style="1041" customWidth="1"/>
    <col min="20" max="24" width="8.33203125" style="1041" customWidth="1"/>
    <col min="25" max="25" width="3.33203125" customWidth="1"/>
  </cols>
  <sheetData>
    <row r="1" spans="1:25" ht="14.1" customHeight="1" thickBot="1">
      <c r="A1" s="788"/>
      <c r="B1" s="789"/>
      <c r="C1" s="789"/>
      <c r="D1" s="789"/>
      <c r="E1" s="789"/>
      <c r="F1" s="789"/>
      <c r="G1" s="789"/>
      <c r="H1" s="789"/>
      <c r="I1" s="789"/>
      <c r="J1" s="789"/>
      <c r="K1" s="789"/>
      <c r="L1" s="789"/>
      <c r="M1" s="789"/>
      <c r="N1" s="789"/>
      <c r="O1" s="789"/>
      <c r="P1" s="789"/>
      <c r="Q1" s="789"/>
      <c r="R1" s="788"/>
      <c r="S1" s="1055"/>
      <c r="T1" s="1055"/>
      <c r="U1" s="1055"/>
      <c r="V1" s="1055"/>
      <c r="W1" s="1055"/>
      <c r="X1" s="1056"/>
      <c r="Y1" s="796"/>
    </row>
    <row r="2" spans="1:25" ht="9.9" customHeight="1" thickBot="1">
      <c r="A2" s="788"/>
      <c r="B2" s="816"/>
      <c r="C2" s="817"/>
      <c r="D2" s="817"/>
      <c r="E2" s="817"/>
      <c r="F2" s="817"/>
      <c r="G2" s="817"/>
      <c r="H2" s="817"/>
      <c r="I2" s="817"/>
      <c r="J2" s="817"/>
      <c r="K2" s="817"/>
      <c r="L2" s="817"/>
      <c r="M2" s="817"/>
      <c r="N2" s="817"/>
      <c r="O2" s="817"/>
      <c r="P2" s="817"/>
      <c r="Q2" s="818"/>
      <c r="R2" s="790"/>
      <c r="S2" s="1057"/>
      <c r="T2" s="1057"/>
      <c r="U2" s="1057"/>
      <c r="V2" s="1057"/>
      <c r="W2" s="1057"/>
      <c r="X2" s="464"/>
      <c r="Y2" s="796"/>
    </row>
    <row r="3" spans="1:25" ht="3.9" customHeight="1">
      <c r="A3" s="788"/>
      <c r="B3" s="819"/>
      <c r="C3" s="876"/>
      <c r="D3" s="877"/>
      <c r="E3" s="878"/>
      <c r="F3" s="878"/>
      <c r="G3" s="878"/>
      <c r="H3" s="878"/>
      <c r="I3" s="878"/>
      <c r="J3" s="879"/>
      <c r="K3" s="878"/>
      <c r="L3" s="878"/>
      <c r="M3" s="878"/>
      <c r="N3" s="878"/>
      <c r="O3" s="878"/>
      <c r="P3" s="880"/>
      <c r="Q3" s="872"/>
      <c r="R3" s="1002"/>
      <c r="S3" s="4053" t="s">
        <v>603</v>
      </c>
      <c r="T3" s="4053"/>
      <c r="U3" s="4053"/>
      <c r="V3" s="4053"/>
      <c r="W3" s="4053"/>
      <c r="X3" s="4053"/>
      <c r="Y3" s="796"/>
    </row>
    <row r="4" spans="1:25" ht="14.1" customHeight="1">
      <c r="A4" s="788"/>
      <c r="B4" s="821"/>
      <c r="C4" s="1432"/>
      <c r="D4" s="2049" t="s">
        <v>1465</v>
      </c>
      <c r="E4" s="650"/>
      <c r="F4" s="650"/>
      <c r="G4" s="650"/>
      <c r="H4" s="651"/>
      <c r="I4" s="651"/>
      <c r="J4" s="649"/>
      <c r="K4" s="649"/>
      <c r="L4" s="649"/>
      <c r="M4" s="652"/>
      <c r="N4" s="652"/>
      <c r="O4" s="2050" t="s">
        <v>1464</v>
      </c>
      <c r="P4" s="882"/>
      <c r="Q4" s="872"/>
      <c r="R4" s="1002"/>
      <c r="S4" s="4053"/>
      <c r="T4" s="4053"/>
      <c r="U4" s="4053"/>
      <c r="V4" s="4053"/>
      <c r="W4" s="4053"/>
      <c r="X4" s="4053"/>
      <c r="Y4" s="796"/>
    </row>
    <row r="5" spans="1:25" ht="6.9" customHeight="1">
      <c r="A5" s="788"/>
      <c r="B5" s="819"/>
      <c r="C5" s="883"/>
      <c r="D5" s="650"/>
      <c r="E5" s="650"/>
      <c r="F5" s="650"/>
      <c r="G5" s="650"/>
      <c r="H5" s="649"/>
      <c r="I5" s="649"/>
      <c r="J5" s="652"/>
      <c r="K5" s="652"/>
      <c r="L5" s="652"/>
      <c r="M5" s="652"/>
      <c r="N5" s="652"/>
      <c r="O5" s="652"/>
      <c r="P5" s="882"/>
      <c r="Q5" s="872"/>
      <c r="R5" s="1003"/>
      <c r="S5" s="4053"/>
      <c r="T5" s="4053"/>
      <c r="U5" s="4053"/>
      <c r="V5" s="4053"/>
      <c r="W5" s="4053"/>
      <c r="X5" s="4053"/>
      <c r="Y5" s="796"/>
    </row>
    <row r="6" spans="1:25" ht="18" customHeight="1">
      <c r="A6" s="788"/>
      <c r="B6" s="819"/>
      <c r="C6" s="2048"/>
      <c r="D6" s="1941" t="s">
        <v>1247</v>
      </c>
      <c r="E6" s="989"/>
      <c r="F6" s="955"/>
      <c r="G6" s="955"/>
      <c r="H6" s="955"/>
      <c r="I6" s="955"/>
      <c r="J6" s="776"/>
      <c r="K6" s="955"/>
      <c r="L6" s="2055"/>
      <c r="M6" s="4496" t="s">
        <v>1208</v>
      </c>
      <c r="N6" s="4496"/>
      <c r="O6" s="955"/>
      <c r="P6" s="963"/>
      <c r="Q6" s="872"/>
      <c r="R6" s="1004"/>
      <c r="S6" s="4053"/>
      <c r="T6" s="4053"/>
      <c r="U6" s="4053"/>
      <c r="V6" s="4053"/>
      <c r="W6" s="4053"/>
      <c r="X6" s="4053"/>
      <c r="Y6" s="796"/>
    </row>
    <row r="7" spans="1:25" ht="6" customHeight="1">
      <c r="A7" s="788"/>
      <c r="B7" s="819"/>
      <c r="C7" s="884"/>
      <c r="D7" s="2267"/>
      <c r="E7" s="649"/>
      <c r="F7" s="649"/>
      <c r="G7" s="649"/>
      <c r="H7" s="649"/>
      <c r="I7" s="649"/>
      <c r="J7" s="649"/>
      <c r="K7" s="649"/>
      <c r="L7" s="649"/>
      <c r="M7" s="649"/>
      <c r="N7" s="649"/>
      <c r="O7" s="649"/>
      <c r="P7" s="873"/>
      <c r="Q7" s="872"/>
      <c r="R7" s="1004"/>
      <c r="S7" s="1950"/>
      <c r="T7" s="1950"/>
      <c r="U7" s="1950"/>
      <c r="V7" s="1950"/>
      <c r="W7" s="1950"/>
      <c r="X7" s="1950"/>
      <c r="Y7" s="796"/>
    </row>
    <row r="8" spans="1:25" ht="14.1" customHeight="1">
      <c r="A8" s="788"/>
      <c r="B8" s="819"/>
      <c r="C8" s="884"/>
      <c r="D8" s="4487" t="s">
        <v>1258</v>
      </c>
      <c r="E8" s="4488"/>
      <c r="F8" s="4484" t="s">
        <v>619</v>
      </c>
      <c r="G8" s="4473" t="s">
        <v>233</v>
      </c>
      <c r="H8" s="4473" t="s">
        <v>710</v>
      </c>
      <c r="I8" s="4473" t="s">
        <v>698</v>
      </c>
      <c r="J8" s="4473" t="s">
        <v>1113</v>
      </c>
      <c r="K8" s="4481" t="s">
        <v>1117</v>
      </c>
      <c r="L8" s="4484" t="s">
        <v>1114</v>
      </c>
      <c r="M8" s="4481" t="s">
        <v>1116</v>
      </c>
      <c r="N8" s="4478" t="s">
        <v>1119</v>
      </c>
      <c r="O8" s="1041"/>
      <c r="P8" s="873"/>
      <c r="Q8" s="872"/>
      <c r="R8" s="1004"/>
      <c r="S8" s="4472" t="s">
        <v>1209</v>
      </c>
      <c r="T8" s="4472"/>
      <c r="U8" s="4472"/>
      <c r="V8" s="4472"/>
      <c r="W8" s="4472"/>
      <c r="X8" s="3150"/>
      <c r="Y8" s="796"/>
    </row>
    <row r="9" spans="1:25" ht="20.25" customHeight="1">
      <c r="A9" s="788"/>
      <c r="B9" s="819"/>
      <c r="C9" s="884"/>
      <c r="D9" s="4487"/>
      <c r="E9" s="4488"/>
      <c r="F9" s="4485"/>
      <c r="G9" s="4474"/>
      <c r="H9" s="4474"/>
      <c r="I9" s="4474"/>
      <c r="J9" s="4474"/>
      <c r="K9" s="4482"/>
      <c r="L9" s="4485"/>
      <c r="M9" s="4482"/>
      <c r="N9" s="4479"/>
      <c r="O9" s="1041"/>
      <c r="P9" s="873"/>
      <c r="Q9" s="872"/>
      <c r="R9" s="1004"/>
      <c r="S9" s="4472"/>
      <c r="T9" s="4472"/>
      <c r="U9" s="4472"/>
      <c r="V9" s="4472"/>
      <c r="W9" s="4472"/>
      <c r="X9" s="3150"/>
      <c r="Y9" s="796"/>
    </row>
    <row r="10" spans="1:25" ht="27.75" customHeight="1">
      <c r="A10" s="788"/>
      <c r="B10" s="819"/>
      <c r="C10" s="884"/>
      <c r="D10" s="4476" t="s">
        <v>1259</v>
      </c>
      <c r="E10" s="4477"/>
      <c r="F10" s="4486"/>
      <c r="G10" s="4475"/>
      <c r="H10" s="4475"/>
      <c r="I10" s="4475"/>
      <c r="J10" s="4475"/>
      <c r="K10" s="4483"/>
      <c r="L10" s="4486"/>
      <c r="M10" s="4483"/>
      <c r="N10" s="4480"/>
      <c r="O10" s="1041"/>
      <c r="P10" s="873"/>
      <c r="Q10" s="872"/>
      <c r="R10" s="1004"/>
      <c r="S10" s="4472"/>
      <c r="T10" s="4472"/>
      <c r="U10" s="4472"/>
      <c r="V10" s="4472"/>
      <c r="W10" s="4472"/>
      <c r="X10" s="3150"/>
      <c r="Y10" s="796"/>
    </row>
    <row r="11" spans="1:25" ht="14.1" customHeight="1">
      <c r="A11" s="788"/>
      <c r="B11" s="819"/>
      <c r="C11" s="884"/>
      <c r="D11" s="4497" t="s">
        <v>47</v>
      </c>
      <c r="E11" s="656" t="s">
        <v>20</v>
      </c>
      <c r="F11" s="2042">
        <f>'الصفحة 15'!$P$12</f>
        <v>0</v>
      </c>
      <c r="G11" s="2043">
        <f>'الصفحة 15'!$P$15</f>
        <v>2</v>
      </c>
      <c r="H11" s="2043">
        <f>'الصفحة 15'!$P$18</f>
        <v>0</v>
      </c>
      <c r="I11" s="2043">
        <f>'الصفحة 15'!$P$21</f>
        <v>3</v>
      </c>
      <c r="J11" s="2043">
        <f>'الصفحة 15'!$P$24</f>
        <v>0</v>
      </c>
      <c r="K11" s="985">
        <f>SUM(F11:J11)</f>
        <v>5</v>
      </c>
      <c r="L11" s="2043">
        <f>'الصفحة 15'!$P$33</f>
        <v>2</v>
      </c>
      <c r="M11" s="985">
        <f>K11+L11</f>
        <v>7</v>
      </c>
      <c r="N11" s="2044">
        <f>'الصفحة 15'!$P$30</f>
        <v>0</v>
      </c>
      <c r="O11" s="1041"/>
      <c r="P11" s="873"/>
      <c r="Q11" s="872"/>
      <c r="R11" s="1004"/>
      <c r="S11" s="1950"/>
      <c r="T11" s="1950"/>
      <c r="U11" s="4524" t="s">
        <v>123</v>
      </c>
      <c r="V11" s="4525"/>
      <c r="W11" s="4524" t="s">
        <v>1112</v>
      </c>
      <c r="X11" s="4525"/>
      <c r="Y11" s="796"/>
    </row>
    <row r="12" spans="1:25" ht="14.1" customHeight="1">
      <c r="A12" s="788"/>
      <c r="B12" s="819"/>
      <c r="C12" s="884"/>
      <c r="D12" s="4497"/>
      <c r="E12" s="657" t="s">
        <v>29</v>
      </c>
      <c r="F12" s="2045">
        <f>'الصفحة 15'!$P$13</f>
        <v>0</v>
      </c>
      <c r="G12" s="2046">
        <f>'الصفحة 15'!$P$16</f>
        <v>2</v>
      </c>
      <c r="H12" s="2046">
        <f>'الصفحة 15'!$P$19</f>
        <v>0</v>
      </c>
      <c r="I12" s="2046">
        <f>'الصفحة 15'!$P$22</f>
        <v>2</v>
      </c>
      <c r="J12" s="2046">
        <f>'الصفحة 15'!$P$25</f>
        <v>0</v>
      </c>
      <c r="K12" s="984">
        <f t="shared" ref="K12:K34" si="0">SUM(F12:J12)</f>
        <v>4</v>
      </c>
      <c r="L12" s="2046">
        <f>'الصفحة 15'!$P$34</f>
        <v>2</v>
      </c>
      <c r="M12" s="984">
        <f>K12+L12</f>
        <v>6</v>
      </c>
      <c r="N12" s="2047">
        <f>'الصفحة 15'!$P$31</f>
        <v>0</v>
      </c>
      <c r="O12" s="1041"/>
      <c r="P12" s="873"/>
      <c r="Q12" s="872"/>
      <c r="R12" s="1004"/>
      <c r="S12" s="3196" t="s">
        <v>583</v>
      </c>
      <c r="T12" s="1032"/>
      <c r="U12" s="3199" t="s">
        <v>20</v>
      </c>
      <c r="V12" s="3200" t="s">
        <v>29</v>
      </c>
      <c r="W12" s="3199" t="s">
        <v>20</v>
      </c>
      <c r="X12" s="3200" t="s">
        <v>29</v>
      </c>
      <c r="Y12" s="796"/>
    </row>
    <row r="13" spans="1:25" ht="14.1" customHeight="1">
      <c r="A13" s="788"/>
      <c r="B13" s="819"/>
      <c r="C13" s="884"/>
      <c r="D13" s="4500" t="s">
        <v>46</v>
      </c>
      <c r="E13" s="656" t="s">
        <v>20</v>
      </c>
      <c r="F13" s="2042">
        <f>'الصفحة 16'!$P$12</f>
        <v>0</v>
      </c>
      <c r="G13" s="2043">
        <f>'الصفحة 16'!$P$15</f>
        <v>0</v>
      </c>
      <c r="H13" s="2043">
        <f>'الصفحة 16'!$P$18</f>
        <v>0</v>
      </c>
      <c r="I13" s="2043">
        <f>'الصفحة 16'!$P$21</f>
        <v>0</v>
      </c>
      <c r="J13" s="2043">
        <f>'الصفحة 16'!$P$24</f>
        <v>0</v>
      </c>
      <c r="K13" s="985">
        <f t="shared" si="0"/>
        <v>0</v>
      </c>
      <c r="L13" s="2043">
        <f>'الصفحة 16'!$P$33</f>
        <v>0</v>
      </c>
      <c r="M13" s="985">
        <f>K13+L13</f>
        <v>0</v>
      </c>
      <c r="N13" s="2044">
        <f>'الصفحة 16'!$P$30</f>
        <v>0</v>
      </c>
      <c r="O13" s="1041"/>
      <c r="P13" s="873"/>
      <c r="Q13" s="872"/>
      <c r="R13" s="1004"/>
      <c r="S13" s="3197" t="s">
        <v>47</v>
      </c>
      <c r="T13" s="1032"/>
      <c r="U13" s="3201" t="str">
        <f>IF(M46-M11&lt;&gt;0,"خطأ"," ")</f>
        <v xml:space="preserve"> </v>
      </c>
      <c r="V13" s="3202" t="str">
        <f>IF(N46-M12&lt;&gt;0,"خطأ"," ")</f>
        <v xml:space="preserve"> </v>
      </c>
      <c r="W13" s="3201" t="str">
        <f>IF(K46-L11&lt;&gt;0,"خطأ"," ")</f>
        <v xml:space="preserve"> </v>
      </c>
      <c r="X13" s="3202" t="str">
        <f>IF(L46-L12&lt;&gt;0,"خطأ"," ")</f>
        <v xml:space="preserve"> </v>
      </c>
      <c r="Y13" s="796"/>
    </row>
    <row r="14" spans="1:25" ht="14.1" customHeight="1">
      <c r="A14" s="788"/>
      <c r="B14" s="819"/>
      <c r="C14" s="884"/>
      <c r="D14" s="4500"/>
      <c r="E14" s="657" t="s">
        <v>29</v>
      </c>
      <c r="F14" s="2045">
        <f>'الصفحة 16'!$P$13</f>
        <v>0</v>
      </c>
      <c r="G14" s="2046">
        <f>'الصفحة 16'!$P$16</f>
        <v>0</v>
      </c>
      <c r="H14" s="2046">
        <f>'الصفحة 16'!$P$19</f>
        <v>0</v>
      </c>
      <c r="I14" s="2046">
        <f>'الصفحة 16'!$P$22</f>
        <v>0</v>
      </c>
      <c r="J14" s="2046">
        <f>'الصفحة 16'!$P$25</f>
        <v>0</v>
      </c>
      <c r="K14" s="984">
        <f t="shared" si="0"/>
        <v>0</v>
      </c>
      <c r="L14" s="2046">
        <f>'الصفحة 16'!$P$34</f>
        <v>0</v>
      </c>
      <c r="M14" s="984">
        <f t="shared" ref="M14:M34" si="1">K14+L14</f>
        <v>0</v>
      </c>
      <c r="N14" s="2047">
        <f>'الصفحة 16'!$P$31</f>
        <v>0</v>
      </c>
      <c r="O14" s="1041"/>
      <c r="P14" s="873"/>
      <c r="Q14" s="872"/>
      <c r="R14" s="1004"/>
      <c r="S14" s="3198" t="s">
        <v>46</v>
      </c>
      <c r="T14" s="1032"/>
      <c r="U14" s="3203" t="str">
        <f>IF(M47-M13&lt;&gt;0,"خطأ"," ")</f>
        <v xml:space="preserve"> </v>
      </c>
      <c r="V14" s="3204" t="str">
        <f>IF(N47-M14&lt;&gt;0,"خطأ"," ")</f>
        <v xml:space="preserve"> </v>
      </c>
      <c r="W14" s="3203" t="str">
        <f>IF(K47-L13&lt;&gt;0,"خطأ"," ")</f>
        <v xml:space="preserve"> </v>
      </c>
      <c r="X14" s="3204" t="str">
        <f>IF(L47-L14&lt;&gt;0,"خطأ"," ")</f>
        <v xml:space="preserve"> </v>
      </c>
      <c r="Y14" s="796"/>
    </row>
    <row r="15" spans="1:25" ht="14.1" customHeight="1">
      <c r="A15" s="788"/>
      <c r="B15" s="819"/>
      <c r="C15" s="884"/>
      <c r="D15" s="4497" t="s">
        <v>45</v>
      </c>
      <c r="E15" s="656" t="s">
        <v>20</v>
      </c>
      <c r="F15" s="2042">
        <f>'الصفحة 17'!$P$12</f>
        <v>2</v>
      </c>
      <c r="G15" s="2043">
        <f>'الصفحة 17'!$P$15</f>
        <v>1</v>
      </c>
      <c r="H15" s="2043">
        <f>'الصفحة 17'!$P$18</f>
        <v>0</v>
      </c>
      <c r="I15" s="2043">
        <f>'الصفحة 17'!$P$21</f>
        <v>0</v>
      </c>
      <c r="J15" s="2043">
        <f>'الصفحة 17'!$P$24</f>
        <v>0</v>
      </c>
      <c r="K15" s="985">
        <f t="shared" si="0"/>
        <v>3</v>
      </c>
      <c r="L15" s="2043">
        <f>'الصفحة 17'!$P$33</f>
        <v>0</v>
      </c>
      <c r="M15" s="985">
        <f t="shared" si="1"/>
        <v>3</v>
      </c>
      <c r="N15" s="2044">
        <f>'الصفحة 17'!$P$30</f>
        <v>0</v>
      </c>
      <c r="O15" s="1041"/>
      <c r="P15" s="873"/>
      <c r="Q15" s="872"/>
      <c r="R15" s="1004"/>
      <c r="S15" s="3197" t="s">
        <v>45</v>
      </c>
      <c r="T15" s="1032"/>
      <c r="U15" s="3203" t="str">
        <f>IF(M48-M15&lt;&gt;0,"خطأ"," ")</f>
        <v xml:space="preserve"> </v>
      </c>
      <c r="V15" s="3204" t="str">
        <f>IF(N48-M16&lt;&gt;0,"خطأ"," ")</f>
        <v xml:space="preserve"> </v>
      </c>
      <c r="W15" s="3203" t="str">
        <f>IF(K48-L15&lt;&gt;0,"خطأ"," ")</f>
        <v xml:space="preserve"> </v>
      </c>
      <c r="X15" s="3204" t="str">
        <f>IF(L48-L16&lt;&gt;0,"خطأ"," ")</f>
        <v xml:space="preserve"> </v>
      </c>
      <c r="Y15" s="796"/>
    </row>
    <row r="16" spans="1:25" ht="14.1" customHeight="1">
      <c r="A16" s="788"/>
      <c r="B16" s="819"/>
      <c r="C16" s="884"/>
      <c r="D16" s="4497"/>
      <c r="E16" s="657" t="s">
        <v>29</v>
      </c>
      <c r="F16" s="2045">
        <f>'الصفحة 17'!$P$13</f>
        <v>2</v>
      </c>
      <c r="G16" s="2046">
        <f>'الصفحة 17'!$P$16</f>
        <v>0</v>
      </c>
      <c r="H16" s="2046">
        <f>'الصفحة 17'!$P$19</f>
        <v>0</v>
      </c>
      <c r="I16" s="2046">
        <f>'الصفحة 17'!$P$22</f>
        <v>0</v>
      </c>
      <c r="J16" s="2046">
        <f>'الصفحة 17'!$P$25</f>
        <v>0</v>
      </c>
      <c r="K16" s="984">
        <f t="shared" si="0"/>
        <v>2</v>
      </c>
      <c r="L16" s="2046">
        <f>'الصفحة 17'!$P$34</f>
        <v>0</v>
      </c>
      <c r="M16" s="984">
        <f t="shared" si="1"/>
        <v>2</v>
      </c>
      <c r="N16" s="2047">
        <f>'الصفحة 17'!$P$31</f>
        <v>0</v>
      </c>
      <c r="O16" s="1041"/>
      <c r="P16" s="873"/>
      <c r="Q16" s="872"/>
      <c r="R16" s="1004"/>
      <c r="S16" s="3198" t="s">
        <v>44</v>
      </c>
      <c r="T16" s="1032"/>
      <c r="U16" s="3203" t="str">
        <f>IF(M49-M17&lt;&gt;0,"خطأ"," ")</f>
        <v xml:space="preserve"> </v>
      </c>
      <c r="V16" s="3204" t="str">
        <f>IF(N49-M18&lt;&gt;0,"خطأ"," ")</f>
        <v xml:space="preserve"> </v>
      </c>
      <c r="W16" s="3203" t="str">
        <f>IF(K49-L17&lt;&gt;0,"خطأ"," ")</f>
        <v xml:space="preserve"> </v>
      </c>
      <c r="X16" s="3204" t="str">
        <f>IF(L49-L18&lt;&gt;0,"خطأ"," ")</f>
        <v xml:space="preserve"> </v>
      </c>
      <c r="Y16" s="796"/>
    </row>
    <row r="17" spans="1:25" ht="14.1" customHeight="1">
      <c r="A17" s="788"/>
      <c r="B17" s="819"/>
      <c r="C17" s="884"/>
      <c r="D17" s="4500" t="s">
        <v>44</v>
      </c>
      <c r="E17" s="656" t="s">
        <v>20</v>
      </c>
      <c r="F17" s="2042">
        <f>'الصفحة 18'!$P$12</f>
        <v>2</v>
      </c>
      <c r="G17" s="2043">
        <f>'الصفحة 18'!$P$15</f>
        <v>1</v>
      </c>
      <c r="H17" s="2043">
        <f>'الصفحة 18'!$P$18</f>
        <v>0</v>
      </c>
      <c r="I17" s="2043">
        <f>'الصفحة 18'!$P$21</f>
        <v>1</v>
      </c>
      <c r="J17" s="2043">
        <f>'الصفحة 18'!$P$24</f>
        <v>0</v>
      </c>
      <c r="K17" s="985">
        <f t="shared" si="0"/>
        <v>4</v>
      </c>
      <c r="L17" s="2043">
        <f>'الصفحة 18'!$P$33</f>
        <v>2</v>
      </c>
      <c r="M17" s="985">
        <f t="shared" si="1"/>
        <v>6</v>
      </c>
      <c r="N17" s="2044">
        <f>'الصفحة 18'!$P$30</f>
        <v>0</v>
      </c>
      <c r="O17" s="1041"/>
      <c r="P17" s="873"/>
      <c r="Q17" s="872"/>
      <c r="R17" s="1004"/>
      <c r="S17" s="3197" t="s">
        <v>43</v>
      </c>
      <c r="T17" s="1032"/>
      <c r="U17" s="3203" t="str">
        <f>IF(M50-M19&lt;&gt;0,"خطأ"," ")</f>
        <v xml:space="preserve"> </v>
      </c>
      <c r="V17" s="3204" t="str">
        <f>IF(N50-M20&lt;&gt;0,"خطأ"," ")</f>
        <v xml:space="preserve"> </v>
      </c>
      <c r="W17" s="3203" t="str">
        <f>IF(K50-L19&lt;&gt;0,"خطأ"," ")</f>
        <v xml:space="preserve"> </v>
      </c>
      <c r="X17" s="3204" t="str">
        <f>IF(L50-L20&lt;&gt;0,"خطأ"," ")</f>
        <v xml:space="preserve"> </v>
      </c>
      <c r="Y17" s="796"/>
    </row>
    <row r="18" spans="1:25" ht="14.1" customHeight="1">
      <c r="A18" s="788"/>
      <c r="B18" s="819"/>
      <c r="C18" s="884"/>
      <c r="D18" s="4500"/>
      <c r="E18" s="657" t="s">
        <v>29</v>
      </c>
      <c r="F18" s="2045">
        <f>'الصفحة 18'!$P$13</f>
        <v>2</v>
      </c>
      <c r="G18" s="2046">
        <f>'الصفحة 18'!$P$16</f>
        <v>1</v>
      </c>
      <c r="H18" s="2046">
        <f>'الصفحة 18'!$P$19</f>
        <v>0</v>
      </c>
      <c r="I18" s="2046">
        <f>'الصفحة 18'!$P$22</f>
        <v>1</v>
      </c>
      <c r="J18" s="2046">
        <f>'الصفحة 18'!$P$25</f>
        <v>0</v>
      </c>
      <c r="K18" s="984">
        <f t="shared" si="0"/>
        <v>4</v>
      </c>
      <c r="L18" s="2046">
        <f>'الصفحة 18'!$P$34</f>
        <v>2</v>
      </c>
      <c r="M18" s="984">
        <f t="shared" si="1"/>
        <v>6</v>
      </c>
      <c r="N18" s="2047">
        <f>'الصفحة 18'!$P$31</f>
        <v>0</v>
      </c>
      <c r="O18" s="1041"/>
      <c r="P18" s="873"/>
      <c r="Q18" s="872"/>
      <c r="R18" s="1004"/>
      <c r="S18" s="3198" t="s">
        <v>42</v>
      </c>
      <c r="T18" s="1032"/>
      <c r="U18" s="3203" t="str">
        <f>IF(M51-M21&lt;&gt;0,"خطأ"," ")</f>
        <v xml:space="preserve"> </v>
      </c>
      <c r="V18" s="3204" t="str">
        <f>IF(N51-M22&lt;&gt;0,"خطأ"," ")</f>
        <v xml:space="preserve"> </v>
      </c>
      <c r="W18" s="3203" t="str">
        <f>IF(K51-L21&lt;&gt;0,"خطأ"," ")</f>
        <v xml:space="preserve"> </v>
      </c>
      <c r="X18" s="3204" t="str">
        <f>IF(L51-L22&lt;&gt;0,"خطأ"," ")</f>
        <v xml:space="preserve"> </v>
      </c>
      <c r="Y18" s="796"/>
    </row>
    <row r="19" spans="1:25" ht="14.1" customHeight="1">
      <c r="A19" s="788"/>
      <c r="B19" s="819"/>
      <c r="C19" s="884"/>
      <c r="D19" s="4497" t="s">
        <v>43</v>
      </c>
      <c r="E19" s="656" t="s">
        <v>20</v>
      </c>
      <c r="F19" s="2042">
        <f>'الصفحة 19'!$P$12</f>
        <v>0</v>
      </c>
      <c r="G19" s="2043">
        <f>'الصفحة 19'!$P$15</f>
        <v>0</v>
      </c>
      <c r="H19" s="2043">
        <f>'الصفحة 19'!$P$18</f>
        <v>0</v>
      </c>
      <c r="I19" s="2043">
        <f>'الصفحة 19'!$P$21</f>
        <v>3</v>
      </c>
      <c r="J19" s="2043">
        <f>'الصفحة 19'!$P$24</f>
        <v>0</v>
      </c>
      <c r="K19" s="985">
        <f t="shared" si="0"/>
        <v>3</v>
      </c>
      <c r="L19" s="2043">
        <f>'الصفحة 19'!$P$33</f>
        <v>1</v>
      </c>
      <c r="M19" s="985">
        <f t="shared" si="1"/>
        <v>4</v>
      </c>
      <c r="N19" s="2044">
        <f>'الصفحة 19'!$P$30</f>
        <v>0</v>
      </c>
      <c r="O19" s="1041"/>
      <c r="P19" s="873"/>
      <c r="Q19" s="872"/>
      <c r="R19" s="1004"/>
      <c r="S19" s="3197" t="s">
        <v>1111</v>
      </c>
      <c r="T19" s="1032"/>
      <c r="U19" s="3203" t="str">
        <f>IF(M52-M23&lt;&gt;0,"خطأ"," ")</f>
        <v xml:space="preserve"> </v>
      </c>
      <c r="V19" s="3204" t="str">
        <f>IF(N52-M24&lt;&gt;0,"خطأ"," ")</f>
        <v xml:space="preserve"> </v>
      </c>
      <c r="W19" s="3203" t="str">
        <f>IF(K52-L23&lt;&gt;0,"خطأ"," ")</f>
        <v xml:space="preserve"> </v>
      </c>
      <c r="X19" s="3204" t="str">
        <f>IF(L52-L24&lt;&gt;0,"خطأ"," ")</f>
        <v xml:space="preserve"> </v>
      </c>
      <c r="Y19" s="796"/>
    </row>
    <row r="20" spans="1:25" ht="14.1" customHeight="1">
      <c r="A20" s="788"/>
      <c r="B20" s="819"/>
      <c r="C20" s="884"/>
      <c r="D20" s="4497"/>
      <c r="E20" s="657" t="s">
        <v>29</v>
      </c>
      <c r="F20" s="2045">
        <f>'الصفحة 19'!$P$13</f>
        <v>0</v>
      </c>
      <c r="G20" s="2046">
        <f>'الصفحة 19'!$P$16</f>
        <v>0</v>
      </c>
      <c r="H20" s="2046">
        <f>'الصفحة 19'!$P$19</f>
        <v>0</v>
      </c>
      <c r="I20" s="2046">
        <f>'الصفحة 19'!$P$22</f>
        <v>2</v>
      </c>
      <c r="J20" s="2046">
        <f>'الصفحة 19'!$P$25</f>
        <v>0</v>
      </c>
      <c r="K20" s="984">
        <f t="shared" si="0"/>
        <v>2</v>
      </c>
      <c r="L20" s="2046">
        <f>'الصفحة 19'!$P$34</f>
        <v>1</v>
      </c>
      <c r="M20" s="984">
        <f t="shared" si="1"/>
        <v>3</v>
      </c>
      <c r="N20" s="2047">
        <f>'الصفحة 19'!$P$31</f>
        <v>0</v>
      </c>
      <c r="O20" s="1041"/>
      <c r="P20" s="873"/>
      <c r="Q20" s="872"/>
      <c r="R20" s="1004"/>
      <c r="S20" s="3198" t="s">
        <v>40</v>
      </c>
      <c r="T20" s="1032"/>
      <c r="U20" s="3203" t="str">
        <f>IF(M53-M25&lt;&gt;0,"خطأ"," ")</f>
        <v xml:space="preserve"> </v>
      </c>
      <c r="V20" s="3204" t="str">
        <f>IF(N53-M26&lt;&gt;0,"خطأ"," ")</f>
        <v xml:space="preserve"> </v>
      </c>
      <c r="W20" s="3203" t="str">
        <f>IF(K53-L25&lt;&gt;0,"خطأ"," ")</f>
        <v xml:space="preserve"> </v>
      </c>
      <c r="X20" s="3204" t="str">
        <f>IF(L53-L26&lt;&gt;0,"خطأ"," ")</f>
        <v xml:space="preserve"> </v>
      </c>
      <c r="Y20" s="796"/>
    </row>
    <row r="21" spans="1:25" ht="14.1" customHeight="1">
      <c r="A21" s="788"/>
      <c r="B21" s="819"/>
      <c r="C21" s="884"/>
      <c r="D21" s="4500" t="s">
        <v>42</v>
      </c>
      <c r="E21" s="656" t="s">
        <v>20</v>
      </c>
      <c r="F21" s="2042">
        <f>'الصفحة 20'!$P$12</f>
        <v>2</v>
      </c>
      <c r="G21" s="2043">
        <f>'الصفحة 20'!$P$15</f>
        <v>0</v>
      </c>
      <c r="H21" s="2043">
        <f>'الصفحة 20'!$P$18</f>
        <v>0</v>
      </c>
      <c r="I21" s="2043">
        <f>'الصفحة 20'!$P$21</f>
        <v>3</v>
      </c>
      <c r="J21" s="2043">
        <f>'الصفحة 20'!$P$24</f>
        <v>0</v>
      </c>
      <c r="K21" s="985">
        <f t="shared" si="0"/>
        <v>5</v>
      </c>
      <c r="L21" s="2043">
        <f>'الصفحة 20'!$P$33</f>
        <v>1</v>
      </c>
      <c r="M21" s="985">
        <f t="shared" si="1"/>
        <v>6</v>
      </c>
      <c r="N21" s="2044">
        <f>'الصفحة 20'!$P$30</f>
        <v>0</v>
      </c>
      <c r="O21" s="1041"/>
      <c r="P21" s="873"/>
      <c r="Q21" s="872"/>
      <c r="R21" s="1004"/>
      <c r="S21" s="3197" t="s">
        <v>39</v>
      </c>
      <c r="T21" s="1032"/>
      <c r="U21" s="3203" t="str">
        <f>IF(M54-M27&lt;&gt;0,"خطأ"," ")</f>
        <v xml:space="preserve"> </v>
      </c>
      <c r="V21" s="3204" t="str">
        <f>IF(N54-M28&lt;&gt;0,"خطأ"," ")</f>
        <v xml:space="preserve"> </v>
      </c>
      <c r="W21" s="3203" t="str">
        <f>IF(K54-L27&lt;&gt;0,"خطأ"," ")</f>
        <v xml:space="preserve"> </v>
      </c>
      <c r="X21" s="3204" t="str">
        <f>IF(L54-L28&lt;&gt;0,"خطأ"," ")</f>
        <v xml:space="preserve"> </v>
      </c>
      <c r="Y21" s="796"/>
    </row>
    <row r="22" spans="1:25" ht="14.1" customHeight="1">
      <c r="A22" s="788"/>
      <c r="B22" s="819"/>
      <c r="C22" s="884"/>
      <c r="D22" s="4500"/>
      <c r="E22" s="657" t="s">
        <v>29</v>
      </c>
      <c r="F22" s="2045">
        <f>'الصفحة 20'!$P$13</f>
        <v>0</v>
      </c>
      <c r="G22" s="2046">
        <f>'الصفحة 20'!$P$16</f>
        <v>0</v>
      </c>
      <c r="H22" s="2046">
        <f>'الصفحة 20'!$P$19</f>
        <v>0</v>
      </c>
      <c r="I22" s="2046">
        <f>'الصفحة 20'!$P$22</f>
        <v>3</v>
      </c>
      <c r="J22" s="2046">
        <f>'الصفحة 20'!$P$25</f>
        <v>0</v>
      </c>
      <c r="K22" s="984">
        <f t="shared" si="0"/>
        <v>3</v>
      </c>
      <c r="L22" s="2046">
        <f>'الصفحة 20'!$P$34</f>
        <v>1</v>
      </c>
      <c r="M22" s="984">
        <f t="shared" si="1"/>
        <v>4</v>
      </c>
      <c r="N22" s="2047">
        <f>'الصفحة 20'!$P$31</f>
        <v>0</v>
      </c>
      <c r="O22" s="1041"/>
      <c r="P22" s="873"/>
      <c r="Q22" s="872"/>
      <c r="R22" s="1004"/>
      <c r="S22" s="3198" t="s">
        <v>38</v>
      </c>
      <c r="T22" s="1032"/>
      <c r="U22" s="3203" t="str">
        <f>IF(M55-M29&lt;&gt;0,"خطأ"," ")</f>
        <v xml:space="preserve"> </v>
      </c>
      <c r="V22" s="3204" t="str">
        <f>IF(N55-M30&lt;&gt;0,"خطأ"," ")</f>
        <v xml:space="preserve"> </v>
      </c>
      <c r="W22" s="3203" t="str">
        <f>IF(K55-L29&lt;&gt;0,"خطأ"," ")</f>
        <v xml:space="preserve"> </v>
      </c>
      <c r="X22" s="3204" t="str">
        <f>IF(L55-L30&lt;&gt;0,"خطأ"," ")</f>
        <v xml:space="preserve"> </v>
      </c>
      <c r="Y22" s="796"/>
    </row>
    <row r="23" spans="1:25" ht="14.1" customHeight="1">
      <c r="A23" s="788"/>
      <c r="B23" s="819"/>
      <c r="C23" s="884"/>
      <c r="D23" s="4497" t="s">
        <v>1111</v>
      </c>
      <c r="E23" s="656" t="s">
        <v>20</v>
      </c>
      <c r="F23" s="2042">
        <f>'الصفحة 21'!$P$12</f>
        <v>1</v>
      </c>
      <c r="G23" s="2043">
        <f>'الصفحة 21'!$P$15</f>
        <v>2</v>
      </c>
      <c r="H23" s="2043">
        <f>'الصفحة 21'!$P$18</f>
        <v>0</v>
      </c>
      <c r="I23" s="2043">
        <f>'الصفحة 21'!$P$21</f>
        <v>0</v>
      </c>
      <c r="J23" s="2043">
        <f>'الصفحة 21'!$P$24</f>
        <v>0</v>
      </c>
      <c r="K23" s="985">
        <f t="shared" si="0"/>
        <v>3</v>
      </c>
      <c r="L23" s="2043">
        <f>'الصفحة 21'!$P$33</f>
        <v>0</v>
      </c>
      <c r="M23" s="985">
        <f t="shared" si="1"/>
        <v>3</v>
      </c>
      <c r="N23" s="2044">
        <f>'الصفحة 21'!$P$30</f>
        <v>0</v>
      </c>
      <c r="O23" s="1041"/>
      <c r="P23" s="873"/>
      <c r="Q23" s="872"/>
      <c r="R23" s="1004"/>
      <c r="S23" s="3197" t="s">
        <v>37</v>
      </c>
      <c r="T23" s="1032"/>
      <c r="U23" s="3205" t="str">
        <f>IF(M56-M31&lt;&gt;0,"خطأ"," ")</f>
        <v xml:space="preserve"> </v>
      </c>
      <c r="V23" s="3206" t="str">
        <f>IF(N56-M32&lt;&gt;0,"خطأ"," ")</f>
        <v xml:space="preserve"> </v>
      </c>
      <c r="W23" s="3205" t="str">
        <f>IF(K56-L31&lt;&gt;0,"خطأ"," ")</f>
        <v xml:space="preserve"> </v>
      </c>
      <c r="X23" s="3206" t="str">
        <f>IF(L56-L32&lt;&gt;0,"خطأ"," ")</f>
        <v xml:space="preserve"> </v>
      </c>
      <c r="Y23" s="796"/>
    </row>
    <row r="24" spans="1:25" ht="14.1" customHeight="1">
      <c r="A24" s="788"/>
      <c r="B24" s="819"/>
      <c r="C24" s="884"/>
      <c r="D24" s="4497"/>
      <c r="E24" s="657" t="s">
        <v>29</v>
      </c>
      <c r="F24" s="2045">
        <f>'الصفحة 21'!$P$13</f>
        <v>1</v>
      </c>
      <c r="G24" s="2046">
        <f>'الصفحة 21'!$P$16</f>
        <v>1</v>
      </c>
      <c r="H24" s="2046">
        <f>'الصفحة 21'!$P$19</f>
        <v>0</v>
      </c>
      <c r="I24" s="2046">
        <f>'الصفحة 21'!$P$22</f>
        <v>0</v>
      </c>
      <c r="J24" s="2046">
        <f>'الصفحة 21'!$P$25</f>
        <v>0</v>
      </c>
      <c r="K24" s="984">
        <f t="shared" si="0"/>
        <v>2</v>
      </c>
      <c r="L24" s="2046">
        <f>'الصفحة 21'!$P$34</f>
        <v>0</v>
      </c>
      <c r="M24" s="984">
        <f t="shared" si="1"/>
        <v>2</v>
      </c>
      <c r="N24" s="2047">
        <f>'الصفحة 21'!$P$31</f>
        <v>0</v>
      </c>
      <c r="O24" s="1041"/>
      <c r="P24" s="873"/>
      <c r="Q24" s="872"/>
      <c r="R24" s="1004"/>
      <c r="S24" s="3198" t="s">
        <v>48</v>
      </c>
      <c r="T24" s="1032"/>
      <c r="U24" s="3207" t="str">
        <f>IF(M57-M33&lt;&gt;0,"خطأ"," ")</f>
        <v xml:space="preserve"> </v>
      </c>
      <c r="V24" s="3208" t="str">
        <f>IF(N57-M34&lt;&gt;0,"خطأ"," ")</f>
        <v xml:space="preserve"> </v>
      </c>
      <c r="W24" s="3207" t="str">
        <f>IF(K57-L33&lt;&gt;0,"خطأ"," ")</f>
        <v xml:space="preserve"> </v>
      </c>
      <c r="X24" s="3208" t="str">
        <f>IF(L57-L34&lt;&gt;0,"خطأ"," ")</f>
        <v xml:space="preserve"> </v>
      </c>
      <c r="Y24" s="796"/>
    </row>
    <row r="25" spans="1:25" ht="14.1" customHeight="1">
      <c r="A25" s="788"/>
      <c r="B25" s="819"/>
      <c r="C25" s="884"/>
      <c r="D25" s="4500" t="s">
        <v>40</v>
      </c>
      <c r="E25" s="656" t="s">
        <v>20</v>
      </c>
      <c r="F25" s="2042">
        <f>'الصفحة 22'!$P$12</f>
        <v>3</v>
      </c>
      <c r="G25" s="2043">
        <f>'الصفحة 22'!$P$15</f>
        <v>0</v>
      </c>
      <c r="H25" s="2043">
        <f>'الصفحة 22'!$P$18</f>
        <v>0</v>
      </c>
      <c r="I25" s="2043">
        <f>'الصفحة 22'!$P$21</f>
        <v>0</v>
      </c>
      <c r="J25" s="2043">
        <f>'الصفحة 22'!$P$24</f>
        <v>0</v>
      </c>
      <c r="K25" s="985">
        <f t="shared" si="0"/>
        <v>3</v>
      </c>
      <c r="L25" s="2043">
        <f>'الصفحة 22'!$P$33</f>
        <v>0</v>
      </c>
      <c r="M25" s="985">
        <f t="shared" si="1"/>
        <v>3</v>
      </c>
      <c r="N25" s="2044">
        <f>'الصفحة 22'!$P$30</f>
        <v>0</v>
      </c>
      <c r="O25" s="1041"/>
      <c r="P25" s="873"/>
      <c r="Q25" s="872"/>
      <c r="R25" s="1004"/>
      <c r="S25" s="2753" t="s">
        <v>28</v>
      </c>
      <c r="T25" s="1032"/>
      <c r="U25" s="2756" t="str">
        <f>IF(M58-M35&lt;&gt;0,"خطأ"," ")</f>
        <v xml:space="preserve"> </v>
      </c>
      <c r="V25" s="2757" t="str">
        <f>IF(N58-M36&lt;&gt;0,"خطأ"," ")</f>
        <v xml:space="preserve"> </v>
      </c>
      <c r="W25" s="2756" t="str">
        <f>IF(K58-L35&lt;&gt;0,"خطأ"," ")</f>
        <v xml:space="preserve"> </v>
      </c>
      <c r="X25" s="2757" t="str">
        <f>IF(L58-L36&lt;&gt;0,"خطأ"," ")</f>
        <v xml:space="preserve"> </v>
      </c>
      <c r="Y25" s="796"/>
    </row>
    <row r="26" spans="1:25" ht="14.1" customHeight="1">
      <c r="A26" s="788"/>
      <c r="B26" s="819"/>
      <c r="C26" s="884"/>
      <c r="D26" s="4500"/>
      <c r="E26" s="657" t="s">
        <v>29</v>
      </c>
      <c r="F26" s="2045">
        <f>'الصفحة 22'!$P$13</f>
        <v>3</v>
      </c>
      <c r="G26" s="2046">
        <f>'الصفحة 22'!$P$16</f>
        <v>0</v>
      </c>
      <c r="H26" s="2046">
        <f>'الصفحة 22'!$P$19</f>
        <v>0</v>
      </c>
      <c r="I26" s="2046">
        <f>'الصفحة 22'!$P$22</f>
        <v>0</v>
      </c>
      <c r="J26" s="2046">
        <f>'الصفحة 22'!$P$25</f>
        <v>0</v>
      </c>
      <c r="K26" s="984">
        <f t="shared" si="0"/>
        <v>3</v>
      </c>
      <c r="L26" s="2046">
        <f>'الصفحة 22'!$P$34</f>
        <v>0</v>
      </c>
      <c r="M26" s="984">
        <f t="shared" si="1"/>
        <v>3</v>
      </c>
      <c r="N26" s="2047">
        <f>'الصفحة 22'!$P$31</f>
        <v>0</v>
      </c>
      <c r="O26" s="1041"/>
      <c r="P26" s="873"/>
      <c r="Q26" s="872"/>
      <c r="R26" s="1004"/>
      <c r="S26" s="2758"/>
      <c r="T26" s="2758"/>
      <c r="U26" s="2758"/>
      <c r="V26" s="2758"/>
      <c r="W26" s="2758"/>
      <c r="X26" s="2752"/>
      <c r="Y26" s="796"/>
    </row>
    <row r="27" spans="1:25" ht="14.1" customHeight="1">
      <c r="A27" s="788"/>
      <c r="B27" s="819"/>
      <c r="C27" s="884"/>
      <c r="D27" s="4497" t="s">
        <v>39</v>
      </c>
      <c r="E27" s="656" t="s">
        <v>20</v>
      </c>
      <c r="F27" s="2042">
        <f>'الصفحة 23'!$P$12</f>
        <v>0</v>
      </c>
      <c r="G27" s="2043">
        <f>'الصفحة 23'!$P$15</f>
        <v>0</v>
      </c>
      <c r="H27" s="2043">
        <f>'الصفحة 23'!$P$18</f>
        <v>0</v>
      </c>
      <c r="I27" s="2043">
        <f>'الصفحة 23'!$P$21</f>
        <v>0</v>
      </c>
      <c r="J27" s="2043">
        <f>'الصفحة 23'!$P$24</f>
        <v>0</v>
      </c>
      <c r="K27" s="985">
        <f t="shared" si="0"/>
        <v>0</v>
      </c>
      <c r="L27" s="2043">
        <f>'الصفحة 23'!$P$33</f>
        <v>0</v>
      </c>
      <c r="M27" s="985">
        <f t="shared" si="1"/>
        <v>0</v>
      </c>
      <c r="N27" s="2044">
        <f>'الصفحة 23'!$P$30</f>
        <v>0</v>
      </c>
      <c r="O27" s="1041"/>
      <c r="P27" s="873"/>
      <c r="Q27" s="872"/>
      <c r="R27" s="1004"/>
      <c r="S27" s="1032"/>
      <c r="T27" s="1032"/>
      <c r="U27" s="1032"/>
      <c r="V27" s="1032"/>
      <c r="W27" s="1032"/>
      <c r="X27" s="1950"/>
      <c r="Y27" s="796"/>
    </row>
    <row r="28" spans="1:25" ht="14.1" customHeight="1">
      <c r="A28" s="788"/>
      <c r="B28" s="819"/>
      <c r="C28" s="884"/>
      <c r="D28" s="4497"/>
      <c r="E28" s="657" t="s">
        <v>29</v>
      </c>
      <c r="F28" s="2045">
        <f>'الصفحة 23'!$P$13</f>
        <v>0</v>
      </c>
      <c r="G28" s="2046">
        <f>'الصفحة 23'!$P$16</f>
        <v>0</v>
      </c>
      <c r="H28" s="2046">
        <f>'الصفحة 23'!$P$19</f>
        <v>0</v>
      </c>
      <c r="I28" s="2046">
        <f>'الصفحة 23'!$P$22</f>
        <v>0</v>
      </c>
      <c r="J28" s="2046">
        <f>'الصفحة 23'!$P$25</f>
        <v>0</v>
      </c>
      <c r="K28" s="984">
        <f t="shared" si="0"/>
        <v>0</v>
      </c>
      <c r="L28" s="2046">
        <f>'الصفحة 23'!$P$34</f>
        <v>0</v>
      </c>
      <c r="M28" s="984">
        <f t="shared" si="1"/>
        <v>0</v>
      </c>
      <c r="N28" s="2047">
        <f>'الصفحة 23'!$P$31</f>
        <v>0</v>
      </c>
      <c r="O28" s="1041"/>
      <c r="P28" s="873"/>
      <c r="Q28" s="872"/>
      <c r="R28" s="1004"/>
      <c r="S28" s="1032"/>
      <c r="T28" s="1032"/>
      <c r="U28" s="1032"/>
      <c r="V28" s="1032"/>
      <c r="W28" s="1032"/>
      <c r="X28" s="1950"/>
      <c r="Y28" s="796"/>
    </row>
    <row r="29" spans="1:25" ht="14.1" customHeight="1">
      <c r="A29" s="788"/>
      <c r="B29" s="819"/>
      <c r="C29" s="884"/>
      <c r="D29" s="4500" t="s">
        <v>38</v>
      </c>
      <c r="E29" s="656" t="s">
        <v>20</v>
      </c>
      <c r="F29" s="2042">
        <f>'الصفحة 24'!$P$12</f>
        <v>0</v>
      </c>
      <c r="G29" s="2043">
        <f>'الصفحة 24'!$P$15</f>
        <v>0</v>
      </c>
      <c r="H29" s="2043">
        <f>'الصفحة 24'!$P$18</f>
        <v>0</v>
      </c>
      <c r="I29" s="2043">
        <f>'الصفحة 24'!$P$21</f>
        <v>0</v>
      </c>
      <c r="J29" s="2043">
        <f>'الصفحة 24'!$P$24</f>
        <v>0</v>
      </c>
      <c r="K29" s="985">
        <f t="shared" si="0"/>
        <v>0</v>
      </c>
      <c r="L29" s="2043">
        <f>'الصفحة 24'!$P$33</f>
        <v>0</v>
      </c>
      <c r="M29" s="985">
        <f t="shared" si="1"/>
        <v>0</v>
      </c>
      <c r="N29" s="2044">
        <f>'الصفحة 24'!$P$30</f>
        <v>0</v>
      </c>
      <c r="O29" s="1041"/>
      <c r="P29" s="873"/>
      <c r="Q29" s="872"/>
      <c r="R29" s="1004"/>
      <c r="S29" s="1032"/>
      <c r="T29" s="1032"/>
      <c r="U29" s="1032"/>
      <c r="V29" s="1032"/>
      <c r="W29" s="1032"/>
      <c r="X29" s="1950"/>
      <c r="Y29" s="796"/>
    </row>
    <row r="30" spans="1:25" ht="14.1" customHeight="1">
      <c r="A30" s="788"/>
      <c r="B30" s="819"/>
      <c r="C30" s="884"/>
      <c r="D30" s="4500"/>
      <c r="E30" s="657" t="s">
        <v>29</v>
      </c>
      <c r="F30" s="2045">
        <f>'الصفحة 24'!$P$13</f>
        <v>0</v>
      </c>
      <c r="G30" s="2046">
        <f>'الصفحة 24'!$P$16</f>
        <v>0</v>
      </c>
      <c r="H30" s="2046">
        <f>'الصفحة 24'!$P$19</f>
        <v>0</v>
      </c>
      <c r="I30" s="2046">
        <f>'الصفحة 24'!$P$22</f>
        <v>0</v>
      </c>
      <c r="J30" s="2046">
        <f>'الصفحة 24'!$P$25</f>
        <v>0</v>
      </c>
      <c r="K30" s="984">
        <f t="shared" si="0"/>
        <v>0</v>
      </c>
      <c r="L30" s="2046">
        <f>'الصفحة 24'!$P$34</f>
        <v>0</v>
      </c>
      <c r="M30" s="984">
        <f t="shared" si="1"/>
        <v>0</v>
      </c>
      <c r="N30" s="2047">
        <f>'الصفحة 24'!$P$31</f>
        <v>0</v>
      </c>
      <c r="O30" s="1041"/>
      <c r="P30" s="873"/>
      <c r="Q30" s="872"/>
      <c r="R30" s="1004"/>
      <c r="S30" s="1032"/>
      <c r="T30" s="1032"/>
      <c r="U30" s="1032"/>
      <c r="V30" s="1032"/>
      <c r="W30" s="1032"/>
      <c r="X30" s="1950"/>
      <c r="Y30" s="796"/>
    </row>
    <row r="31" spans="1:25" ht="14.1" customHeight="1">
      <c r="A31" s="788"/>
      <c r="B31" s="819"/>
      <c r="C31" s="884"/>
      <c r="D31" s="4497" t="s">
        <v>37</v>
      </c>
      <c r="E31" s="656" t="s">
        <v>20</v>
      </c>
      <c r="F31" s="2042">
        <f>'الصفحة 25'!$P$12</f>
        <v>1</v>
      </c>
      <c r="G31" s="2043">
        <f>'الصفحة 25'!$P$15</f>
        <v>1</v>
      </c>
      <c r="H31" s="2043">
        <f>'الصفحة 25'!$P$18</f>
        <v>0</v>
      </c>
      <c r="I31" s="2043">
        <f>'الصفحة 25'!$P$21</f>
        <v>0</v>
      </c>
      <c r="J31" s="2043">
        <f>'الصفحة 25'!$P$24</f>
        <v>0</v>
      </c>
      <c r="K31" s="985">
        <f t="shared" si="0"/>
        <v>2</v>
      </c>
      <c r="L31" s="2043">
        <f>'الصفحة 25'!$P$33</f>
        <v>0</v>
      </c>
      <c r="M31" s="985">
        <f t="shared" si="1"/>
        <v>2</v>
      </c>
      <c r="N31" s="2044">
        <f>'الصفحة 25'!$P$30</f>
        <v>0</v>
      </c>
      <c r="O31" s="1041"/>
      <c r="P31" s="873"/>
      <c r="Q31" s="872"/>
      <c r="R31" s="1004"/>
      <c r="S31" s="1032"/>
      <c r="T31" s="1032"/>
      <c r="U31" s="1032"/>
      <c r="V31" s="1032"/>
      <c r="W31" s="1032"/>
      <c r="X31" s="1950"/>
      <c r="Y31" s="796"/>
    </row>
    <row r="32" spans="1:25" ht="14.1" customHeight="1">
      <c r="A32" s="788"/>
      <c r="B32" s="819"/>
      <c r="C32" s="884"/>
      <c r="D32" s="4497"/>
      <c r="E32" s="657" t="s">
        <v>29</v>
      </c>
      <c r="F32" s="2045">
        <f>'الصفحة 25'!$P$13</f>
        <v>0</v>
      </c>
      <c r="G32" s="2046">
        <f>'الصفحة 25'!$P$16</f>
        <v>0</v>
      </c>
      <c r="H32" s="2046">
        <f>'الصفحة 25'!$P$19</f>
        <v>0</v>
      </c>
      <c r="I32" s="2046">
        <f>'الصفحة 25'!$P$22</f>
        <v>0</v>
      </c>
      <c r="J32" s="2046">
        <f>'الصفحة 25'!$P$25</f>
        <v>0</v>
      </c>
      <c r="K32" s="984">
        <f t="shared" si="0"/>
        <v>0</v>
      </c>
      <c r="L32" s="2046">
        <f>'الصفحة 25'!$P$34</f>
        <v>0</v>
      </c>
      <c r="M32" s="984">
        <f t="shared" si="1"/>
        <v>0</v>
      </c>
      <c r="N32" s="2047">
        <f>'الصفحة 25'!$P$31</f>
        <v>0</v>
      </c>
      <c r="O32" s="1041"/>
      <c r="P32" s="873"/>
      <c r="Q32" s="872"/>
      <c r="R32" s="1004"/>
      <c r="S32" s="1032"/>
      <c r="T32" s="1032"/>
      <c r="U32" s="1383"/>
      <c r="V32" s="2759"/>
      <c r="W32" s="1032"/>
      <c r="X32" s="1950"/>
      <c r="Y32" s="796"/>
    </row>
    <row r="33" spans="1:25" ht="14.1" customHeight="1">
      <c r="A33" s="788"/>
      <c r="B33" s="819"/>
      <c r="C33" s="884"/>
      <c r="D33" s="4500" t="s">
        <v>48</v>
      </c>
      <c r="E33" s="656" t="s">
        <v>20</v>
      </c>
      <c r="F33" s="2042">
        <f>'الصفحة 26'!$P$12</f>
        <v>0</v>
      </c>
      <c r="G33" s="2043">
        <f>'الصفحة 26'!$P$15</f>
        <v>0</v>
      </c>
      <c r="H33" s="2043">
        <f>'الصفحة 26'!$P$18</f>
        <v>0</v>
      </c>
      <c r="I33" s="2043">
        <f>'الصفحة 26'!$P$21</f>
        <v>0</v>
      </c>
      <c r="J33" s="2043">
        <f>'الصفحة 26'!$P$24</f>
        <v>0</v>
      </c>
      <c r="K33" s="985">
        <f t="shared" si="0"/>
        <v>0</v>
      </c>
      <c r="L33" s="2043">
        <f>'الصفحة 26'!$P$33</f>
        <v>0</v>
      </c>
      <c r="M33" s="985">
        <f t="shared" si="1"/>
        <v>0</v>
      </c>
      <c r="N33" s="2044">
        <f>'الصفحة 26'!$P$30</f>
        <v>0</v>
      </c>
      <c r="O33" s="1041"/>
      <c r="P33" s="873"/>
      <c r="Q33" s="872"/>
      <c r="R33" s="1004"/>
      <c r="S33" s="1032"/>
      <c r="T33" s="1032"/>
      <c r="U33" s="1032"/>
      <c r="V33" s="1032"/>
      <c r="W33" s="1032"/>
      <c r="X33" s="1950"/>
      <c r="Y33" s="796"/>
    </row>
    <row r="34" spans="1:25" ht="14.1" customHeight="1">
      <c r="A34" s="788"/>
      <c r="B34" s="819"/>
      <c r="C34" s="884"/>
      <c r="D34" s="4500"/>
      <c r="E34" s="657" t="s">
        <v>29</v>
      </c>
      <c r="F34" s="2045">
        <f>'الصفحة 26'!$P$13</f>
        <v>0</v>
      </c>
      <c r="G34" s="2046">
        <f>'الصفحة 26'!$P$16</f>
        <v>0</v>
      </c>
      <c r="H34" s="2046">
        <f>'الصفحة 26'!$P$19</f>
        <v>0</v>
      </c>
      <c r="I34" s="2046">
        <f>'الصفحة 26'!$P$22</f>
        <v>0</v>
      </c>
      <c r="J34" s="2046">
        <f>'الصفحة 26'!$P$25</f>
        <v>0</v>
      </c>
      <c r="K34" s="984">
        <f t="shared" si="0"/>
        <v>0</v>
      </c>
      <c r="L34" s="2046">
        <f>'الصفحة 26'!$P$34</f>
        <v>0</v>
      </c>
      <c r="M34" s="984">
        <f t="shared" si="1"/>
        <v>0</v>
      </c>
      <c r="N34" s="2047">
        <f>'الصفحة 26'!$P$31</f>
        <v>0</v>
      </c>
      <c r="O34" s="1041"/>
      <c r="P34" s="873"/>
      <c r="Q34" s="872"/>
      <c r="R34" s="1004"/>
      <c r="S34" s="1950"/>
      <c r="T34" s="1950"/>
      <c r="U34" s="1950"/>
      <c r="V34" s="1950"/>
      <c r="W34" s="1950"/>
      <c r="X34" s="1950"/>
      <c r="Y34" s="796"/>
    </row>
    <row r="35" spans="1:25" ht="12.9" customHeight="1">
      <c r="A35" s="788"/>
      <c r="B35" s="819"/>
      <c r="C35" s="884"/>
      <c r="D35" s="4305" t="s">
        <v>28</v>
      </c>
      <c r="E35" s="986" t="s">
        <v>20</v>
      </c>
      <c r="F35" s="985">
        <f t="shared" ref="F35:J36" si="2">F11+F13+F15+F17+F19+F21+F23+F25+F27+F29+F31+F33</f>
        <v>11</v>
      </c>
      <c r="G35" s="985">
        <f t="shared" si="2"/>
        <v>7</v>
      </c>
      <c r="H35" s="985">
        <f t="shared" si="2"/>
        <v>0</v>
      </c>
      <c r="I35" s="985">
        <f t="shared" si="2"/>
        <v>10</v>
      </c>
      <c r="J35" s="985">
        <f t="shared" si="2"/>
        <v>0</v>
      </c>
      <c r="K35" s="985">
        <f t="shared" ref="K35:N36" si="3">K11+K13+K15+K17+K19+K21+K23+K25+K27+K29+K31+K33</f>
        <v>28</v>
      </c>
      <c r="L35" s="985">
        <f t="shared" si="3"/>
        <v>6</v>
      </c>
      <c r="M35" s="985">
        <f>M11+M13+M15+M17+M19+M21+M23+M25+M27+M29+M31+M33</f>
        <v>34</v>
      </c>
      <c r="N35" s="985">
        <f t="shared" si="3"/>
        <v>0</v>
      </c>
      <c r="O35" s="1041"/>
      <c r="P35" s="873"/>
      <c r="Q35" s="872"/>
      <c r="R35" s="1004"/>
      <c r="S35" s="1950"/>
      <c r="T35" s="1950"/>
      <c r="U35" s="1950"/>
      <c r="V35" s="1950"/>
      <c r="W35" s="1950"/>
      <c r="X35" s="1950"/>
      <c r="Y35" s="796"/>
    </row>
    <row r="36" spans="1:25" ht="12.9" customHeight="1">
      <c r="A36" s="788"/>
      <c r="B36" s="819"/>
      <c r="C36" s="884"/>
      <c r="D36" s="4305"/>
      <c r="E36" s="987" t="s">
        <v>29</v>
      </c>
      <c r="F36" s="984">
        <f t="shared" si="2"/>
        <v>8</v>
      </c>
      <c r="G36" s="984">
        <f t="shared" si="2"/>
        <v>4</v>
      </c>
      <c r="H36" s="984">
        <f t="shared" si="2"/>
        <v>0</v>
      </c>
      <c r="I36" s="984">
        <f t="shared" si="2"/>
        <v>8</v>
      </c>
      <c r="J36" s="984">
        <f t="shared" si="2"/>
        <v>0</v>
      </c>
      <c r="K36" s="984">
        <f t="shared" si="3"/>
        <v>20</v>
      </c>
      <c r="L36" s="984">
        <f t="shared" si="3"/>
        <v>6</v>
      </c>
      <c r="M36" s="984">
        <f t="shared" si="3"/>
        <v>26</v>
      </c>
      <c r="N36" s="984">
        <f t="shared" si="3"/>
        <v>0</v>
      </c>
      <c r="O36" s="1041"/>
      <c r="P36" s="873"/>
      <c r="Q36" s="872"/>
      <c r="R36" s="1004"/>
      <c r="S36" s="1950"/>
      <c r="T36" s="1950"/>
      <c r="U36" s="1950"/>
      <c r="V36" s="1950"/>
      <c r="W36" s="1950"/>
      <c r="X36" s="1950"/>
      <c r="Y36" s="796"/>
    </row>
    <row r="37" spans="1:25" ht="9.9" customHeight="1">
      <c r="A37" s="788"/>
      <c r="B37" s="819"/>
      <c r="C37" s="884"/>
      <c r="D37" s="649"/>
      <c r="E37" s="649"/>
      <c r="F37" s="1620" t="str">
        <f>IF(('الصفحة 1'!$Q$14&gt;0),IF((F35&gt;0),IF(((F35)&lt;&gt;('الصفحة 29'!$L$10)),"خطء",""),""),"")</f>
        <v/>
      </c>
      <c r="G37" s="1620" t="str">
        <f>IF(('الصفحة 1'!$Q$14&gt;0),IF((G35&gt;0),IF(((G35)&lt;&gt;('الصفحة 29'!$L$12)),"خطء",""),""),"")</f>
        <v/>
      </c>
      <c r="H37" s="1620" t="str">
        <f>IF(('الصفحة 1'!$Q$14&gt;0),IF((H35&gt;0),IF(((H35)&lt;&gt;('الصفحة 29'!$L$14)),"خطء",""),""),"")</f>
        <v/>
      </c>
      <c r="I37" s="1620" t="str">
        <f>IF(('الصفحة 1'!$Q$14&gt;0),IF((I35&gt;0),IF(((I35)&lt;&gt;('الصفحة 29'!$L$16)),"خطء",""),""),"")</f>
        <v/>
      </c>
      <c r="J37" s="1620" t="str">
        <f>IF(('الصفحة 1'!$Q$14&gt;0),IF((J35&gt;0),IF(((J35)&lt;&gt;('الصفحة 29'!$L$18)),"خطء",""),""),"")</f>
        <v/>
      </c>
      <c r="K37" s="1620" t="str">
        <f>IF(('الصفحة 1'!$Q$14&gt;0),IF((K35&gt;0),IF(((K35)&lt;&gt;('الصفحة 29'!$L$20)),"خطء",""),""),"")</f>
        <v/>
      </c>
      <c r="L37" s="649"/>
      <c r="M37" s="1620" t="str">
        <f>IF(('الصفحة 1'!$Q$14&gt;0),IF((M35&gt;0),IF(((M35)&lt;&gt;('الصفحة 29'!$P$20)),"خطء",""),""),"")</f>
        <v/>
      </c>
      <c r="N37" s="874"/>
      <c r="O37" s="1041"/>
      <c r="P37" s="873"/>
      <c r="Q37" s="872"/>
      <c r="R37" s="1004"/>
      <c r="S37" s="1950"/>
      <c r="T37" s="1950"/>
      <c r="U37" s="1950"/>
      <c r="V37" s="1950"/>
      <c r="W37" s="1950"/>
      <c r="X37" s="1950"/>
      <c r="Y37" s="796"/>
    </row>
    <row r="38" spans="1:25" ht="9.9" customHeight="1">
      <c r="A38" s="788"/>
      <c r="B38" s="819"/>
      <c r="C38" s="884"/>
      <c r="D38" s="649"/>
      <c r="E38" s="649"/>
      <c r="F38" s="1388" t="str">
        <f>IF(('الصفحة 1'!$Q$14&gt;0),IF(('الصفحة 29'!$L$10&gt;0),IF((('الصفحة 29'!$L$10)&lt;&gt;(F35)),"خطء",""),""),"")</f>
        <v/>
      </c>
      <c r="G38" s="1388" t="str">
        <f>IF(('الصفحة 1'!$Q$14&gt;0),IF(('الصفحة 29'!$L$12&gt;0),IF((('الصفحة 29'!$L$12)&lt;&gt;(G35)),"خطء",""),""),"")</f>
        <v/>
      </c>
      <c r="H38" s="1388" t="str">
        <f>IF(('الصفحة 1'!$Q$14&gt;0),IF(('الصفحة 29'!$L$14&gt;0),IF((('الصفحة 29'!$L$14)&lt;&gt;(H35)),"خطء",""),""),"")</f>
        <v/>
      </c>
      <c r="I38" s="1388" t="str">
        <f>IF(('الصفحة 1'!$Q$14&gt;0),IF(('الصفحة 29'!$L$16&gt;0),IF((('الصفحة 29'!$L$16)&lt;&gt;(I35)),"خطء",""),""),"")</f>
        <v/>
      </c>
      <c r="J38" s="1388" t="str">
        <f>IF(('الصفحة 1'!$Q$14&gt;0),IF(('الصفحة 29'!$L$18&gt;0),IF((('الصفحة 29'!$L$18)&lt;&gt;(J35)),"خطء",""),""),"")</f>
        <v/>
      </c>
      <c r="K38" s="1388" t="str">
        <f>IF(('الصفحة 1'!$Q$14&gt;0),IF(('الصفحة 29'!$L$20&gt;0),IF((('الصفحة 29'!$L$20)&lt;&gt;(K35)),"خطء",""),""),"")</f>
        <v/>
      </c>
      <c r="L38" s="649"/>
      <c r="M38" s="1388" t="str">
        <f>IF(('الصفحة 1'!$Q$14&gt;0),IF(('الصفحة 29'!$P$20&gt;0),IF((('الصفحة 29'!$P$20)&lt;&gt;(M35)),"خطء",""),""),"")</f>
        <v/>
      </c>
      <c r="N38" s="874"/>
      <c r="O38" s="1041"/>
      <c r="P38" s="873"/>
      <c r="Q38" s="872"/>
      <c r="R38" s="1004"/>
      <c r="S38" s="1950"/>
      <c r="T38" s="1950"/>
      <c r="U38" s="1950"/>
      <c r="V38" s="1950"/>
      <c r="W38" s="1950"/>
      <c r="X38" s="1950"/>
      <c r="Y38" s="796"/>
    </row>
    <row r="39" spans="1:25" ht="9.9" customHeight="1">
      <c r="A39" s="788"/>
      <c r="B39" s="819"/>
      <c r="C39" s="884"/>
      <c r="D39" s="649"/>
      <c r="E39" s="649"/>
      <c r="F39" s="1620" t="str">
        <f>IF(('الصفحة 1'!$Q$14&gt;0),IF((F36&gt;0),IF(((F36)&lt;&gt;('الصفحة 29'!$L$11)),"خطء",""),""),"")</f>
        <v/>
      </c>
      <c r="G39" s="1620" t="str">
        <f>IF(('الصفحة 1'!$Q$14&gt;0),IF((G36&gt;0),IF(((G36)&lt;&gt;('الصفحة 29'!$L$13)),"خطء",""),""),"")</f>
        <v/>
      </c>
      <c r="H39" s="1620" t="str">
        <f>IF(('الصفحة 1'!$Q$14&gt;0),IF((H36&gt;0),IF(((H36)&lt;&gt;('الصفحة 29'!$L$15)),"خطء",""),""),"")</f>
        <v/>
      </c>
      <c r="I39" s="1620" t="str">
        <f>IF(('الصفحة 1'!$Q$14&gt;0),IF((I36&gt;0),IF(((I36)&lt;&gt;('الصفحة 29'!$L$17)),"خطء",""),""),"")</f>
        <v/>
      </c>
      <c r="J39" s="1620" t="str">
        <f>IF(('الصفحة 1'!$Q$14&gt;0),IF((J36&gt;0),IF(((J36)&lt;&gt;('الصفحة 29'!$L$19)),"خطء",""),""),"")</f>
        <v/>
      </c>
      <c r="K39" s="1620" t="str">
        <f>IF(('الصفحة 1'!$Q$14&gt;0),IF((K36&gt;0),IF(((K36)&lt;&gt;('الصفحة 29'!$L$21)),"خطء",""),""),"")</f>
        <v/>
      </c>
      <c r="L39" s="649"/>
      <c r="M39" s="1620" t="str">
        <f>IF(('الصفحة 1'!$Q$14&gt;0),IF((M36&gt;0),IF(((M36)&lt;&gt;('الصفحة 29'!$P$21)),"خطء",""),""),"")</f>
        <v/>
      </c>
      <c r="N39" s="874"/>
      <c r="O39" s="1041"/>
      <c r="P39" s="873"/>
      <c r="Q39" s="872"/>
      <c r="R39" s="1004"/>
      <c r="S39" s="1950"/>
      <c r="T39" s="1950"/>
      <c r="U39" s="1950"/>
      <c r="V39" s="1950"/>
      <c r="W39" s="1950"/>
      <c r="X39" s="1950"/>
      <c r="Y39" s="796"/>
    </row>
    <row r="40" spans="1:25" ht="9.9" customHeight="1">
      <c r="A40" s="788"/>
      <c r="B40" s="819"/>
      <c r="C40" s="884"/>
      <c r="D40" s="649"/>
      <c r="E40" s="649"/>
      <c r="F40" s="1388" t="str">
        <f>IF(('الصفحة 1'!$Q$14&gt;0),IF(('الصفحة 29'!$L$11&gt;0),IF((('الصفحة 29'!$L$11)&lt;&gt;(F36)),"خطء",""),""),"")</f>
        <v/>
      </c>
      <c r="G40" s="1388" t="str">
        <f>IF(('الصفحة 1'!$Q$14&gt;0),IF(('الصفحة 29'!$L$13&gt;0),IF((('الصفحة 29'!$L$13)&lt;&gt;(G36)),"خطء",""),""),"")</f>
        <v/>
      </c>
      <c r="H40" s="1388" t="str">
        <f>IF(('الصفحة 1'!$Q$14&gt;0),IF(('الصفحة 29'!$L$15&gt;0),IF((('الصفحة 29'!$L$15)&lt;&gt;(H36)),"خطء",""),""),"")</f>
        <v/>
      </c>
      <c r="I40" s="1388" t="str">
        <f>IF(('الصفحة 1'!$Q$14&gt;0),IF(('الصفحة 29'!$L$17&gt;0),IF((('الصفحة 29'!$L$17)&lt;&gt;(I36)),"خطء",""),""),"")</f>
        <v/>
      </c>
      <c r="J40" s="1388" t="str">
        <f>IF(('الصفحة 1'!$Q$14&gt;0),IF(('الصفحة 29'!$L$19&gt;0),IF((('الصفحة 29'!$L$19)&lt;&gt;(J36)),"خطء",""),""),"")</f>
        <v/>
      </c>
      <c r="K40" s="1388" t="str">
        <f>IF(('الصفحة 1'!$Q$14&gt;0),IF(('الصفحة 29'!$L$21&gt;0),IF((('الصفحة 29'!$L$21)&lt;&gt;(K36)),"خطء",""),""),"")</f>
        <v/>
      </c>
      <c r="L40" s="649"/>
      <c r="M40" s="1388" t="str">
        <f>IF(('الصفحة 1'!$Q$14&gt;0),IF(('الصفحة 29'!$P$21&gt;0),IF((('الصفحة 29'!$P$21)&lt;&gt;(M36)),"خطء",""),""),"")</f>
        <v/>
      </c>
      <c r="N40" s="874"/>
      <c r="O40" s="1041"/>
      <c r="P40" s="873"/>
      <c r="Q40" s="872"/>
      <c r="R40" s="1004"/>
      <c r="S40" s="1950"/>
      <c r="T40" s="1950"/>
      <c r="U40" s="1950"/>
      <c r="V40" s="1950"/>
      <c r="W40" s="1950"/>
      <c r="X40" s="1950"/>
      <c r="Y40" s="796"/>
    </row>
    <row r="41" spans="1:25" ht="18" customHeight="1">
      <c r="A41" s="788"/>
      <c r="B41" s="819"/>
      <c r="C41" s="2048"/>
      <c r="D41" s="2374" t="s">
        <v>1421</v>
      </c>
      <c r="E41" s="2362"/>
      <c r="F41" s="2362"/>
      <c r="G41" s="2362"/>
      <c r="H41" s="2362"/>
      <c r="I41" s="2362"/>
      <c r="J41" s="2363"/>
      <c r="K41" s="2362"/>
      <c r="L41" s="2362"/>
      <c r="M41" s="2362"/>
      <c r="N41" s="4502" t="s">
        <v>1208</v>
      </c>
      <c r="O41" s="4502"/>
      <c r="P41" s="962"/>
      <c r="Q41" s="873"/>
      <c r="R41" s="1003"/>
      <c r="S41" s="4523"/>
      <c r="T41" s="4523"/>
      <c r="U41" s="4523"/>
      <c r="V41" s="4523"/>
      <c r="W41" s="4523"/>
      <c r="X41" s="2760"/>
      <c r="Y41" s="796"/>
    </row>
    <row r="42" spans="1:25" ht="6" customHeight="1">
      <c r="A42" s="788"/>
      <c r="B42" s="822"/>
      <c r="C42" s="884"/>
      <c r="D42" s="1381"/>
      <c r="E42" s="1316"/>
      <c r="F42" s="1316"/>
      <c r="G42" s="1316"/>
      <c r="H42" s="1316"/>
      <c r="I42" s="1316"/>
      <c r="J42" s="1316"/>
      <c r="K42" s="1316"/>
      <c r="L42" s="1316"/>
      <c r="M42" s="1316"/>
      <c r="N42" s="1316"/>
      <c r="O42" s="1316"/>
      <c r="P42" s="873"/>
      <c r="Q42" s="872"/>
      <c r="R42" s="1003"/>
      <c r="S42" s="1718"/>
      <c r="T42" s="1718"/>
      <c r="U42" s="1718"/>
      <c r="V42" s="1718"/>
      <c r="W42" s="1718"/>
      <c r="X42" s="1950"/>
      <c r="Y42" s="796"/>
    </row>
    <row r="43" spans="1:25" ht="20.25" customHeight="1">
      <c r="A43" s="788"/>
      <c r="B43" s="822"/>
      <c r="C43" s="884"/>
      <c r="D43" s="4510" t="s">
        <v>125</v>
      </c>
      <c r="E43" s="4511"/>
      <c r="F43" s="4493" t="s">
        <v>124</v>
      </c>
      <c r="G43" s="4514" t="s">
        <v>123</v>
      </c>
      <c r="H43" s="4515"/>
      <c r="I43" s="4515"/>
      <c r="J43" s="4515"/>
      <c r="K43" s="4515"/>
      <c r="L43" s="4515"/>
      <c r="M43" s="4515"/>
      <c r="N43" s="4516"/>
      <c r="O43" s="4503" t="s">
        <v>122</v>
      </c>
      <c r="P43" s="873"/>
      <c r="Q43" s="872"/>
      <c r="R43" s="1003"/>
      <c r="S43" s="1718"/>
      <c r="T43" s="1718"/>
      <c r="U43" s="1718"/>
      <c r="V43" s="1718"/>
      <c r="W43" s="1718"/>
      <c r="X43" s="1950"/>
      <c r="Y43" s="796"/>
    </row>
    <row r="44" spans="1:25" ht="21.75" customHeight="1">
      <c r="A44" s="788"/>
      <c r="B44" s="822"/>
      <c r="C44" s="884"/>
      <c r="D44" s="3168"/>
      <c r="E44" s="3169"/>
      <c r="F44" s="4494"/>
      <c r="G44" s="4508" t="s">
        <v>1115</v>
      </c>
      <c r="H44" s="4509"/>
      <c r="I44" s="4517" t="s">
        <v>585</v>
      </c>
      <c r="J44" s="4518"/>
      <c r="K44" s="4508" t="s">
        <v>119</v>
      </c>
      <c r="L44" s="4509"/>
      <c r="M44" s="4506" t="s">
        <v>1118</v>
      </c>
      <c r="N44" s="4507"/>
      <c r="O44" s="4504"/>
      <c r="P44" s="873"/>
      <c r="Q44" s="872"/>
      <c r="R44" s="1003"/>
      <c r="S44" s="2533"/>
      <c r="T44" s="2533"/>
      <c r="U44" s="2533"/>
      <c r="V44" s="2533"/>
      <c r="W44" s="2533"/>
      <c r="X44" s="1950"/>
      <c r="Y44" s="796"/>
    </row>
    <row r="45" spans="1:25" ht="21.75" customHeight="1">
      <c r="A45" s="788"/>
      <c r="B45" s="822"/>
      <c r="C45" s="884"/>
      <c r="D45" s="4512" t="s">
        <v>584</v>
      </c>
      <c r="E45" s="4513"/>
      <c r="F45" s="4495"/>
      <c r="G45" s="2380" t="s">
        <v>20</v>
      </c>
      <c r="H45" s="2381" t="s">
        <v>29</v>
      </c>
      <c r="I45" s="2382" t="s">
        <v>20</v>
      </c>
      <c r="J45" s="2379" t="s">
        <v>29</v>
      </c>
      <c r="K45" s="2380" t="s">
        <v>20</v>
      </c>
      <c r="L45" s="2381" t="s">
        <v>29</v>
      </c>
      <c r="M45" s="2383" t="s">
        <v>20</v>
      </c>
      <c r="N45" s="3170" t="s">
        <v>29</v>
      </c>
      <c r="O45" s="4505"/>
      <c r="P45" s="873"/>
      <c r="Q45" s="872"/>
      <c r="R45" s="1003"/>
      <c r="S45" s="2773"/>
      <c r="T45" s="4522"/>
      <c r="U45" s="4522"/>
      <c r="V45" s="4522"/>
      <c r="W45" s="4522"/>
      <c r="X45" s="1950"/>
      <c r="Y45" s="796"/>
    </row>
    <row r="46" spans="1:25" ht="15" customHeight="1">
      <c r="A46" s="788"/>
      <c r="B46" s="822"/>
      <c r="C46" s="884"/>
      <c r="D46" s="4491" t="s">
        <v>47</v>
      </c>
      <c r="E46" s="4501"/>
      <c r="F46" s="3171">
        <f>'الصفحة 14'!$E$23</f>
        <v>7</v>
      </c>
      <c r="G46" s="3171">
        <f>'الصفحة 28'!G44</f>
        <v>5</v>
      </c>
      <c r="H46" s="3172">
        <f>'الصفحة 28'!H44</f>
        <v>4</v>
      </c>
      <c r="I46" s="3188">
        <f>'الصفحة 28'!I44</f>
        <v>0</v>
      </c>
      <c r="J46" s="3189">
        <f>'الصفحة 28'!J44</f>
        <v>0</v>
      </c>
      <c r="K46" s="3171">
        <f>'الصفحة 15'!$P$33</f>
        <v>2</v>
      </c>
      <c r="L46" s="3172">
        <f>'الصفحة 15'!$P$34</f>
        <v>2</v>
      </c>
      <c r="M46" s="3173">
        <f t="shared" ref="M46:M56" si="4">G46+I46+K46</f>
        <v>7</v>
      </c>
      <c r="N46" s="3174">
        <f t="shared" ref="N46:N56" si="5">H46+J46+L46</f>
        <v>6</v>
      </c>
      <c r="O46" s="3175">
        <f t="shared" ref="O46:O56" si="6">F46-(G46+I46+K46)</f>
        <v>0</v>
      </c>
      <c r="P46" s="873"/>
      <c r="Q46" s="872"/>
      <c r="R46" s="1003"/>
      <c r="S46" s="2066"/>
      <c r="T46" s="4521"/>
      <c r="U46" s="4521"/>
      <c r="V46" s="4521"/>
      <c r="W46" s="4521"/>
      <c r="X46" s="1950"/>
      <c r="Y46" s="796"/>
    </row>
    <row r="47" spans="1:25" ht="15" customHeight="1">
      <c r="A47" s="788"/>
      <c r="B47" s="822"/>
      <c r="C47" s="884"/>
      <c r="D47" s="4489" t="s">
        <v>46</v>
      </c>
      <c r="E47" s="4498"/>
      <c r="F47" s="3176">
        <f>'الصفحة 14'!$F$23</f>
        <v>0</v>
      </c>
      <c r="G47" s="3176">
        <f>'الصفحة 28'!G45</f>
        <v>0</v>
      </c>
      <c r="H47" s="3177">
        <f>'الصفحة 28'!H45</f>
        <v>0</v>
      </c>
      <c r="I47" s="3190">
        <f>'الصفحة 28'!I45</f>
        <v>0</v>
      </c>
      <c r="J47" s="3191">
        <f>'الصفحة 28'!J45</f>
        <v>0</v>
      </c>
      <c r="K47" s="3176">
        <f>'الصفحة 16'!$P$33</f>
        <v>0</v>
      </c>
      <c r="L47" s="3177">
        <f>'الصفحة 16'!$P$34</f>
        <v>0</v>
      </c>
      <c r="M47" s="3178">
        <f t="shared" si="4"/>
        <v>0</v>
      </c>
      <c r="N47" s="3179">
        <f t="shared" si="5"/>
        <v>0</v>
      </c>
      <c r="O47" s="3180">
        <f t="shared" si="6"/>
        <v>0</v>
      </c>
      <c r="P47" s="873"/>
      <c r="Q47" s="872"/>
      <c r="R47" s="1003"/>
      <c r="S47" s="2066"/>
      <c r="T47" s="4521"/>
      <c r="U47" s="4521"/>
      <c r="V47" s="4521"/>
      <c r="W47" s="4521"/>
      <c r="X47" s="1950"/>
      <c r="Y47" s="796"/>
    </row>
    <row r="48" spans="1:25" ht="15" customHeight="1">
      <c r="A48" s="788"/>
      <c r="B48" s="822"/>
      <c r="C48" s="884"/>
      <c r="D48" s="4491" t="s">
        <v>45</v>
      </c>
      <c r="E48" s="4501"/>
      <c r="F48" s="3176">
        <f>'الصفحة 14'!$G$23</f>
        <v>3</v>
      </c>
      <c r="G48" s="3176">
        <f>'الصفحة 28'!G46</f>
        <v>3</v>
      </c>
      <c r="H48" s="3177">
        <f>'الصفحة 28'!H46</f>
        <v>2</v>
      </c>
      <c r="I48" s="3190">
        <f>'الصفحة 28'!I46</f>
        <v>0</v>
      </c>
      <c r="J48" s="3191">
        <f>'الصفحة 28'!J46</f>
        <v>0</v>
      </c>
      <c r="K48" s="3176">
        <f>'الصفحة 17'!$P$33</f>
        <v>0</v>
      </c>
      <c r="L48" s="3177">
        <f>'الصفحة 17'!$P$34</f>
        <v>0</v>
      </c>
      <c r="M48" s="3178">
        <f t="shared" si="4"/>
        <v>3</v>
      </c>
      <c r="N48" s="3179">
        <f t="shared" si="5"/>
        <v>2</v>
      </c>
      <c r="O48" s="3180">
        <f t="shared" si="6"/>
        <v>0</v>
      </c>
      <c r="P48" s="873"/>
      <c r="Q48" s="872"/>
      <c r="R48" s="1003"/>
      <c r="S48" s="2066"/>
      <c r="T48" s="4521"/>
      <c r="U48" s="4521"/>
      <c r="V48" s="4521"/>
      <c r="W48" s="4521"/>
      <c r="X48" s="1950"/>
      <c r="Y48" s="796"/>
    </row>
    <row r="49" spans="1:25" ht="15" customHeight="1">
      <c r="A49" s="788"/>
      <c r="B49" s="822"/>
      <c r="C49" s="884"/>
      <c r="D49" s="4489" t="s">
        <v>44</v>
      </c>
      <c r="E49" s="4498"/>
      <c r="F49" s="3176">
        <f>'الصفحة 14'!$H$23</f>
        <v>6</v>
      </c>
      <c r="G49" s="3176">
        <f>'الصفحة 28'!G47</f>
        <v>4</v>
      </c>
      <c r="H49" s="3177">
        <f>'الصفحة 28'!H47</f>
        <v>4</v>
      </c>
      <c r="I49" s="3190">
        <f>'الصفحة 28'!I47</f>
        <v>0</v>
      </c>
      <c r="J49" s="3191">
        <f>'الصفحة 28'!J47</f>
        <v>0</v>
      </c>
      <c r="K49" s="3176">
        <f>'الصفحة 18'!$P$33</f>
        <v>2</v>
      </c>
      <c r="L49" s="3177">
        <f>'الصفحة 18'!$P$34</f>
        <v>2</v>
      </c>
      <c r="M49" s="3178">
        <f t="shared" si="4"/>
        <v>6</v>
      </c>
      <c r="N49" s="3179">
        <f t="shared" si="5"/>
        <v>6</v>
      </c>
      <c r="O49" s="3180">
        <f t="shared" si="6"/>
        <v>0</v>
      </c>
      <c r="P49" s="873"/>
      <c r="Q49" s="872"/>
      <c r="R49" s="1003"/>
      <c r="S49" s="2066"/>
      <c r="T49" s="4521"/>
      <c r="U49" s="4521"/>
      <c r="V49" s="4521"/>
      <c r="W49" s="4521"/>
      <c r="X49" s="1950"/>
      <c r="Y49" s="796"/>
    </row>
    <row r="50" spans="1:25" ht="15" customHeight="1">
      <c r="A50" s="788"/>
      <c r="B50" s="822"/>
      <c r="C50" s="884"/>
      <c r="D50" s="4491" t="s">
        <v>43</v>
      </c>
      <c r="E50" s="4501"/>
      <c r="F50" s="3176">
        <f>'الصفحة 14'!$I$23</f>
        <v>4</v>
      </c>
      <c r="G50" s="3176">
        <f>'الصفحة 28'!G48</f>
        <v>3</v>
      </c>
      <c r="H50" s="3177">
        <f>'الصفحة 28'!H48</f>
        <v>2</v>
      </c>
      <c r="I50" s="3190">
        <f>'الصفحة 28'!I48</f>
        <v>0</v>
      </c>
      <c r="J50" s="3191">
        <f>'الصفحة 28'!J48</f>
        <v>0</v>
      </c>
      <c r="K50" s="3176">
        <f>'الصفحة 19'!$P$33</f>
        <v>1</v>
      </c>
      <c r="L50" s="3177">
        <f>'الصفحة 19'!$P$34</f>
        <v>1</v>
      </c>
      <c r="M50" s="3178">
        <f t="shared" si="4"/>
        <v>4</v>
      </c>
      <c r="N50" s="3179">
        <f t="shared" si="5"/>
        <v>3</v>
      </c>
      <c r="O50" s="3180">
        <f t="shared" si="6"/>
        <v>0</v>
      </c>
      <c r="P50" s="873"/>
      <c r="Q50" s="872"/>
      <c r="R50" s="1003"/>
      <c r="S50" s="2066"/>
      <c r="T50" s="4521"/>
      <c r="U50" s="4521"/>
      <c r="V50" s="4521"/>
      <c r="W50" s="4521"/>
      <c r="X50" s="1950"/>
      <c r="Y50" s="796"/>
    </row>
    <row r="51" spans="1:25" ht="15" customHeight="1">
      <c r="A51" s="788"/>
      <c r="B51" s="822"/>
      <c r="C51" s="884"/>
      <c r="D51" s="4489" t="s">
        <v>42</v>
      </c>
      <c r="E51" s="4498"/>
      <c r="F51" s="3176">
        <f>'الصفحة 14'!$J$23</f>
        <v>6</v>
      </c>
      <c r="G51" s="3176">
        <f>'الصفحة 28'!G49</f>
        <v>5</v>
      </c>
      <c r="H51" s="3177">
        <f>'الصفحة 28'!H49</f>
        <v>3</v>
      </c>
      <c r="I51" s="3190">
        <f>'الصفحة 28'!I49</f>
        <v>0</v>
      </c>
      <c r="J51" s="3191">
        <f>'الصفحة 28'!J49</f>
        <v>0</v>
      </c>
      <c r="K51" s="3176">
        <f>'الصفحة 20'!$P$33</f>
        <v>1</v>
      </c>
      <c r="L51" s="3177">
        <f>'الصفحة 20'!$P$34</f>
        <v>1</v>
      </c>
      <c r="M51" s="3178">
        <f t="shared" si="4"/>
        <v>6</v>
      </c>
      <c r="N51" s="3179">
        <f t="shared" si="5"/>
        <v>4</v>
      </c>
      <c r="O51" s="3180">
        <f t="shared" si="6"/>
        <v>0</v>
      </c>
      <c r="P51" s="873"/>
      <c r="Q51" s="872"/>
      <c r="R51" s="1003"/>
      <c r="S51" s="2066"/>
      <c r="T51" s="4521"/>
      <c r="U51" s="4521"/>
      <c r="V51" s="4521"/>
      <c r="W51" s="4521"/>
      <c r="X51" s="1950"/>
      <c r="Y51" s="796"/>
    </row>
    <row r="52" spans="1:25" ht="15" customHeight="1">
      <c r="A52" s="788"/>
      <c r="B52" s="822"/>
      <c r="C52" s="884"/>
      <c r="D52" s="4491" t="s">
        <v>1111</v>
      </c>
      <c r="E52" s="4499"/>
      <c r="F52" s="3176">
        <f>'الصفحة 14'!$K$23</f>
        <v>3</v>
      </c>
      <c r="G52" s="3176">
        <f>'الصفحة 28'!G50</f>
        <v>3</v>
      </c>
      <c r="H52" s="3177">
        <f>'الصفحة 28'!H50</f>
        <v>2</v>
      </c>
      <c r="I52" s="3190">
        <f>'الصفحة 28'!I50</f>
        <v>0</v>
      </c>
      <c r="J52" s="3191">
        <f>'الصفحة 28'!J50</f>
        <v>0</v>
      </c>
      <c r="K52" s="3176">
        <f>'الصفحة 21'!$P$33</f>
        <v>0</v>
      </c>
      <c r="L52" s="3177">
        <f>'الصفحة 21'!$P$34</f>
        <v>0</v>
      </c>
      <c r="M52" s="3178">
        <f t="shared" si="4"/>
        <v>3</v>
      </c>
      <c r="N52" s="3179">
        <f t="shared" si="5"/>
        <v>2</v>
      </c>
      <c r="O52" s="3180">
        <f t="shared" si="6"/>
        <v>0</v>
      </c>
      <c r="P52" s="873"/>
      <c r="Q52" s="872"/>
      <c r="R52" s="1003"/>
      <c r="S52" s="2066"/>
      <c r="T52" s="4521"/>
      <c r="U52" s="4521"/>
      <c r="V52" s="4521"/>
      <c r="W52" s="4521"/>
      <c r="X52" s="1950"/>
      <c r="Y52" s="796"/>
    </row>
    <row r="53" spans="1:25" ht="15" customHeight="1">
      <c r="A53" s="788"/>
      <c r="B53" s="822"/>
      <c r="C53" s="884"/>
      <c r="D53" s="4489" t="s">
        <v>40</v>
      </c>
      <c r="E53" s="4490"/>
      <c r="F53" s="3176">
        <f>'الصفحة 14'!$L$23</f>
        <v>3</v>
      </c>
      <c r="G53" s="3176">
        <f>'الصفحة 28'!G51</f>
        <v>3</v>
      </c>
      <c r="H53" s="3177">
        <f>'الصفحة 28'!H51</f>
        <v>3</v>
      </c>
      <c r="I53" s="3190">
        <f>'الصفحة 28'!I51</f>
        <v>0</v>
      </c>
      <c r="J53" s="3191">
        <f>'الصفحة 28'!J51</f>
        <v>0</v>
      </c>
      <c r="K53" s="3176">
        <f>'الصفحة 22'!$P$33</f>
        <v>0</v>
      </c>
      <c r="L53" s="3177">
        <f>'الصفحة 22'!$P$34</f>
        <v>0</v>
      </c>
      <c r="M53" s="3178">
        <f t="shared" si="4"/>
        <v>3</v>
      </c>
      <c r="N53" s="3179">
        <f t="shared" si="5"/>
        <v>3</v>
      </c>
      <c r="O53" s="3180">
        <f t="shared" si="6"/>
        <v>0</v>
      </c>
      <c r="P53" s="873"/>
      <c r="Q53" s="872"/>
      <c r="R53" s="1003"/>
      <c r="S53" s="2066"/>
      <c r="T53" s="4521"/>
      <c r="U53" s="4521"/>
      <c r="V53" s="4521"/>
      <c r="W53" s="4521"/>
      <c r="X53" s="1950"/>
      <c r="Y53" s="796"/>
    </row>
    <row r="54" spans="1:25" ht="15" customHeight="1">
      <c r="A54" s="788"/>
      <c r="B54" s="822"/>
      <c r="C54" s="884"/>
      <c r="D54" s="4491" t="s">
        <v>39</v>
      </c>
      <c r="E54" s="4492"/>
      <c r="F54" s="3176">
        <f>'الصفحة 14'!$M$23</f>
        <v>0</v>
      </c>
      <c r="G54" s="3176">
        <f>'الصفحة 28'!G52</f>
        <v>0</v>
      </c>
      <c r="H54" s="3177">
        <f>'الصفحة 28'!H52</f>
        <v>0</v>
      </c>
      <c r="I54" s="3190">
        <f>'الصفحة 28'!I52</f>
        <v>0</v>
      </c>
      <c r="J54" s="3191">
        <f>'الصفحة 28'!J52</f>
        <v>0</v>
      </c>
      <c r="K54" s="3176">
        <f>'الصفحة 23'!$P$33</f>
        <v>0</v>
      </c>
      <c r="L54" s="3177">
        <f>'الصفحة 23'!$P$34</f>
        <v>0</v>
      </c>
      <c r="M54" s="3178">
        <f t="shared" si="4"/>
        <v>0</v>
      </c>
      <c r="N54" s="3179">
        <f t="shared" si="5"/>
        <v>0</v>
      </c>
      <c r="O54" s="3180">
        <f t="shared" si="6"/>
        <v>0</v>
      </c>
      <c r="P54" s="873"/>
      <c r="Q54" s="872"/>
      <c r="R54" s="1003"/>
      <c r="S54" s="2066"/>
      <c r="T54" s="4521"/>
      <c r="U54" s="4521"/>
      <c r="V54" s="4521"/>
      <c r="W54" s="4521"/>
      <c r="X54" s="1950"/>
      <c r="Y54" s="796"/>
    </row>
    <row r="55" spans="1:25" ht="15" customHeight="1">
      <c r="A55" s="788"/>
      <c r="B55" s="822"/>
      <c r="C55" s="884"/>
      <c r="D55" s="4489" t="s">
        <v>38</v>
      </c>
      <c r="E55" s="4490"/>
      <c r="F55" s="3176">
        <f>'الصفحة 14'!$N$23</f>
        <v>0</v>
      </c>
      <c r="G55" s="3176">
        <f>'الصفحة 28'!G53</f>
        <v>0</v>
      </c>
      <c r="H55" s="3177">
        <f>'الصفحة 28'!H53</f>
        <v>0</v>
      </c>
      <c r="I55" s="3190">
        <f>'الصفحة 28'!I53</f>
        <v>0</v>
      </c>
      <c r="J55" s="3191">
        <f>'الصفحة 28'!J53</f>
        <v>0</v>
      </c>
      <c r="K55" s="3176">
        <f>'الصفحة 24'!$P$33</f>
        <v>0</v>
      </c>
      <c r="L55" s="3177">
        <f>'الصفحة 24'!$P$34</f>
        <v>0</v>
      </c>
      <c r="M55" s="3178">
        <f t="shared" si="4"/>
        <v>0</v>
      </c>
      <c r="N55" s="3179">
        <f t="shared" si="5"/>
        <v>0</v>
      </c>
      <c r="O55" s="3180">
        <f t="shared" si="6"/>
        <v>0</v>
      </c>
      <c r="P55" s="873"/>
      <c r="Q55" s="872"/>
      <c r="R55" s="1003"/>
      <c r="S55" s="2066"/>
      <c r="T55" s="4521"/>
      <c r="U55" s="4521"/>
      <c r="V55" s="4521"/>
      <c r="W55" s="4521"/>
      <c r="X55" s="1950"/>
      <c r="Y55" s="796"/>
    </row>
    <row r="56" spans="1:25" ht="15" customHeight="1">
      <c r="A56" s="788"/>
      <c r="B56" s="822"/>
      <c r="C56" s="884"/>
      <c r="D56" s="4491" t="s">
        <v>37</v>
      </c>
      <c r="E56" s="4492"/>
      <c r="F56" s="3176">
        <f>'الصفحة 14'!$O$23</f>
        <v>2</v>
      </c>
      <c r="G56" s="3176">
        <f>'الصفحة 28'!G54</f>
        <v>2</v>
      </c>
      <c r="H56" s="3177">
        <f>'الصفحة 28'!H54</f>
        <v>0</v>
      </c>
      <c r="I56" s="3190">
        <f>'الصفحة 28'!I54</f>
        <v>0</v>
      </c>
      <c r="J56" s="3191">
        <f>'الصفحة 28'!J54</f>
        <v>0</v>
      </c>
      <c r="K56" s="3176">
        <f>'الصفحة 25'!$P$33</f>
        <v>0</v>
      </c>
      <c r="L56" s="3177">
        <f>'الصفحة 25'!$P$34</f>
        <v>0</v>
      </c>
      <c r="M56" s="3178">
        <f t="shared" si="4"/>
        <v>2</v>
      </c>
      <c r="N56" s="3179">
        <f t="shared" si="5"/>
        <v>0</v>
      </c>
      <c r="O56" s="3180">
        <f t="shared" si="6"/>
        <v>0</v>
      </c>
      <c r="P56" s="873"/>
      <c r="Q56" s="872"/>
      <c r="R56" s="1003"/>
      <c r="S56" s="2066"/>
      <c r="T56" s="4521"/>
      <c r="U56" s="4521"/>
      <c r="V56" s="4521"/>
      <c r="W56" s="4521"/>
      <c r="X56" s="1950"/>
      <c r="Y56" s="796"/>
    </row>
    <row r="57" spans="1:25" ht="15" customHeight="1">
      <c r="A57" s="788"/>
      <c r="B57" s="822"/>
      <c r="C57" s="884"/>
      <c r="D57" s="4489" t="s">
        <v>48</v>
      </c>
      <c r="E57" s="4490"/>
      <c r="F57" s="3181">
        <f>'الصفحة 14'!$P$23</f>
        <v>0</v>
      </c>
      <c r="G57" s="3181">
        <f>'الصفحة 28'!G55</f>
        <v>0</v>
      </c>
      <c r="H57" s="3182">
        <f>'الصفحة 28'!H55</f>
        <v>0</v>
      </c>
      <c r="I57" s="3192">
        <f>'الصفحة 28'!I55</f>
        <v>0</v>
      </c>
      <c r="J57" s="3193">
        <f>'الصفحة 28'!J55</f>
        <v>0</v>
      </c>
      <c r="K57" s="3181">
        <f>'الصفحة 26'!$P$33</f>
        <v>0</v>
      </c>
      <c r="L57" s="3182">
        <f>'الصفحة 26'!$P$34</f>
        <v>0</v>
      </c>
      <c r="M57" s="3183">
        <f>G57+I57+K57</f>
        <v>0</v>
      </c>
      <c r="N57" s="3184">
        <f>H57+J57+L57</f>
        <v>0</v>
      </c>
      <c r="O57" s="3185">
        <f>F57-(G57+I57+K57)</f>
        <v>0</v>
      </c>
      <c r="P57" s="873"/>
      <c r="Q57" s="872"/>
      <c r="R57" s="1003"/>
      <c r="S57" s="2066"/>
      <c r="T57" s="4521"/>
      <c r="U57" s="4521"/>
      <c r="V57" s="4521"/>
      <c r="W57" s="4521"/>
      <c r="X57" s="1950"/>
      <c r="Y57" s="796"/>
    </row>
    <row r="58" spans="1:25" ht="15" customHeight="1">
      <c r="A58" s="788"/>
      <c r="B58" s="822"/>
      <c r="C58" s="884"/>
      <c r="D58" s="4519" t="s">
        <v>28</v>
      </c>
      <c r="E58" s="4520"/>
      <c r="F58" s="3186">
        <f>SUM(F46:F57)</f>
        <v>34</v>
      </c>
      <c r="G58" s="3186">
        <f t="shared" ref="G58:O58" si="7">SUM(G46:G57)</f>
        <v>28</v>
      </c>
      <c r="H58" s="3187">
        <f t="shared" si="7"/>
        <v>20</v>
      </c>
      <c r="I58" s="3186">
        <f t="shared" si="7"/>
        <v>0</v>
      </c>
      <c r="J58" s="3187">
        <f t="shared" si="7"/>
        <v>0</v>
      </c>
      <c r="K58" s="3186">
        <f t="shared" si="7"/>
        <v>6</v>
      </c>
      <c r="L58" s="3187">
        <f t="shared" si="7"/>
        <v>6</v>
      </c>
      <c r="M58" s="3186">
        <f t="shared" si="7"/>
        <v>34</v>
      </c>
      <c r="N58" s="3187">
        <f t="shared" si="7"/>
        <v>26</v>
      </c>
      <c r="O58" s="3167">
        <f t="shared" si="7"/>
        <v>0</v>
      </c>
      <c r="P58" s="873"/>
      <c r="Q58" s="872"/>
      <c r="R58" s="1003"/>
      <c r="S58" s="2533"/>
      <c r="T58" s="2533"/>
      <c r="U58" s="2533"/>
      <c r="V58" s="2533"/>
      <c r="W58" s="2533"/>
      <c r="X58" s="1950"/>
      <c r="Y58" s="796"/>
    </row>
    <row r="59" spans="1:25" ht="3" customHeight="1">
      <c r="A59" s="788"/>
      <c r="B59" s="822"/>
      <c r="C59" s="884"/>
      <c r="D59" s="653"/>
      <c r="E59" s="649"/>
      <c r="F59" s="661"/>
      <c r="G59" s="661"/>
      <c r="H59" s="661"/>
      <c r="I59" s="661"/>
      <c r="J59" s="661"/>
      <c r="K59" s="661"/>
      <c r="L59" s="661"/>
      <c r="M59" s="661"/>
      <c r="N59" s="661"/>
      <c r="O59" s="661"/>
      <c r="P59" s="873"/>
      <c r="Q59" s="872"/>
      <c r="R59" s="1003"/>
      <c r="S59" s="1950" t="s">
        <v>715</v>
      </c>
      <c r="T59" s="1950"/>
      <c r="U59" s="1950"/>
      <c r="V59" s="1950"/>
      <c r="W59" s="1950"/>
      <c r="X59" s="1950"/>
      <c r="Y59" s="796"/>
    </row>
    <row r="60" spans="1:25" ht="3" customHeight="1" thickBot="1">
      <c r="A60" s="788"/>
      <c r="B60" s="819"/>
      <c r="C60" s="885"/>
      <c r="D60" s="886"/>
      <c r="E60" s="887"/>
      <c r="F60" s="888"/>
      <c r="G60" s="888"/>
      <c r="H60" s="888"/>
      <c r="I60" s="888"/>
      <c r="J60" s="888"/>
      <c r="K60" s="888"/>
      <c r="L60" s="888"/>
      <c r="M60" s="888"/>
      <c r="N60" s="888"/>
      <c r="O60" s="888"/>
      <c r="P60" s="889"/>
      <c r="Q60" s="872"/>
      <c r="R60" s="1004"/>
      <c r="S60" s="1950"/>
      <c r="T60" s="1950"/>
      <c r="U60" s="1950"/>
      <c r="V60" s="1950"/>
      <c r="W60" s="1950"/>
      <c r="X60" s="1950"/>
      <c r="Y60" s="796"/>
    </row>
    <row r="61" spans="1:25" ht="14.1" customHeight="1" thickBot="1">
      <c r="A61" s="788"/>
      <c r="B61" s="823"/>
      <c r="C61" s="4399">
        <v>27</v>
      </c>
      <c r="D61" s="4399"/>
      <c r="E61" s="4399"/>
      <c r="F61" s="4399"/>
      <c r="G61" s="4399"/>
      <c r="H61" s="4399"/>
      <c r="I61" s="4399"/>
      <c r="J61" s="4399"/>
      <c r="K61" s="4399"/>
      <c r="L61" s="4399"/>
      <c r="M61" s="4399"/>
      <c r="N61" s="4399"/>
      <c r="O61" s="4399"/>
      <c r="P61" s="4399"/>
      <c r="Q61" s="875"/>
      <c r="R61" s="1004"/>
      <c r="S61" s="1950"/>
      <c r="T61" s="1950"/>
      <c r="U61" s="1950"/>
      <c r="V61" s="1950"/>
      <c r="W61" s="1950"/>
      <c r="X61" s="1950"/>
      <c r="Y61" s="796"/>
    </row>
    <row r="62" spans="1:25" ht="14.1" customHeight="1">
      <c r="A62" s="788"/>
      <c r="B62" s="3143" t="str">
        <f>'صفحة الدفتـر'!$B$68</f>
        <v>السنة الدراسية  2022 - 2023</v>
      </c>
      <c r="C62" s="789"/>
      <c r="D62" s="789"/>
      <c r="E62" s="789"/>
      <c r="F62" s="789"/>
      <c r="G62" s="789"/>
      <c r="H62" s="789"/>
      <c r="I62" s="789"/>
      <c r="J62" s="789"/>
      <c r="K62" s="789"/>
      <c r="L62" s="789"/>
      <c r="M62" s="789"/>
      <c r="N62" s="789"/>
      <c r="O62" s="789"/>
      <c r="P62" s="789"/>
      <c r="Q62" s="789"/>
      <c r="R62" s="789"/>
      <c r="S62" s="1056"/>
      <c r="T62" s="1056"/>
      <c r="U62" s="1056"/>
      <c r="V62" s="1056"/>
      <c r="W62" s="1056"/>
      <c r="X62" s="1056"/>
      <c r="Y62" s="796"/>
    </row>
    <row r="63" spans="1:25" hidden="1"/>
    <row r="64" spans="1:25"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sheetData>
  <sheetProtection password="D8D3" sheet="1" objects="1" scenarios="1"/>
  <mergeCells count="80">
    <mergeCell ref="S41:W41"/>
    <mergeCell ref="S3:X6"/>
    <mergeCell ref="U11:V11"/>
    <mergeCell ref="W11:X11"/>
    <mergeCell ref="T57:U57"/>
    <mergeCell ref="V57:W57"/>
    <mergeCell ref="T54:U54"/>
    <mergeCell ref="V54:W54"/>
    <mergeCell ref="T55:U55"/>
    <mergeCell ref="V55:W55"/>
    <mergeCell ref="T56:U56"/>
    <mergeCell ref="V56:W56"/>
    <mergeCell ref="T51:U51"/>
    <mergeCell ref="V51:W51"/>
    <mergeCell ref="T52:U52"/>
    <mergeCell ref="V52:W52"/>
    <mergeCell ref="T53:U53"/>
    <mergeCell ref="V53:W53"/>
    <mergeCell ref="T48:U48"/>
    <mergeCell ref="V48:W48"/>
    <mergeCell ref="T49:U49"/>
    <mergeCell ref="V49:W49"/>
    <mergeCell ref="T50:U50"/>
    <mergeCell ref="V50:W50"/>
    <mergeCell ref="T46:U46"/>
    <mergeCell ref="T45:U45"/>
    <mergeCell ref="V46:W46"/>
    <mergeCell ref="V45:W45"/>
    <mergeCell ref="T47:U47"/>
    <mergeCell ref="V47:W47"/>
    <mergeCell ref="C61:P61"/>
    <mergeCell ref="D19:D20"/>
    <mergeCell ref="D17:D18"/>
    <mergeCell ref="D33:D34"/>
    <mergeCell ref="D23:D24"/>
    <mergeCell ref="D35:D36"/>
    <mergeCell ref="D29:D30"/>
    <mergeCell ref="D31:D32"/>
    <mergeCell ref="D27:D28"/>
    <mergeCell ref="D21:D22"/>
    <mergeCell ref="D25:D26"/>
    <mergeCell ref="D51:E51"/>
    <mergeCell ref="D56:E56"/>
    <mergeCell ref="D57:E57"/>
    <mergeCell ref="D55:E55"/>
    <mergeCell ref="D58:E58"/>
    <mergeCell ref="D43:E43"/>
    <mergeCell ref="D45:E45"/>
    <mergeCell ref="D46:E46"/>
    <mergeCell ref="G43:N43"/>
    <mergeCell ref="I44:J44"/>
    <mergeCell ref="G44:H44"/>
    <mergeCell ref="D53:E53"/>
    <mergeCell ref="D54:E54"/>
    <mergeCell ref="F43:F45"/>
    <mergeCell ref="M6:N6"/>
    <mergeCell ref="D11:D12"/>
    <mergeCell ref="D49:E49"/>
    <mergeCell ref="D52:E52"/>
    <mergeCell ref="D15:D16"/>
    <mergeCell ref="D13:D14"/>
    <mergeCell ref="D50:E50"/>
    <mergeCell ref="N41:O41"/>
    <mergeCell ref="O43:O45"/>
    <mergeCell ref="M44:N44"/>
    <mergeCell ref="K44:L44"/>
    <mergeCell ref="D47:E47"/>
    <mergeCell ref="D48:E48"/>
    <mergeCell ref="S8:W10"/>
    <mergeCell ref="H8:H10"/>
    <mergeCell ref="J8:J10"/>
    <mergeCell ref="D10:E10"/>
    <mergeCell ref="N8:N10"/>
    <mergeCell ref="K8:K10"/>
    <mergeCell ref="L8:L10"/>
    <mergeCell ref="I8:I10"/>
    <mergeCell ref="M8:M10"/>
    <mergeCell ref="F8:F10"/>
    <mergeCell ref="G8:G10"/>
    <mergeCell ref="D8:E9"/>
  </mergeCells>
  <conditionalFormatting sqref="I46:I57 K46:K57 F46:G57 O46:O57 N11 N13 N15 N19 N21 N23 N25 N27 N29 N31 N33 N17 F27:J27 L11 F25:J25 L13 F23:J23 L15 F21:J21 F19:J19 L19 F17:J17 L21 F15:J15 L23 F13:J13 L25 F11:J11 L27 F37:K37 L29 F39:K39 L31 L33 L17 F33:J33 F31:J31 F29:J29 M37 M39">
    <cfRule type="cellIs" dxfId="1672" priority="197" stopIfTrue="1" operator="equal">
      <formula>0</formula>
    </cfRule>
  </conditionalFormatting>
  <conditionalFormatting sqref="J47:J57">
    <cfRule type="cellIs" dxfId="1671" priority="195" stopIfTrue="1" operator="greaterThan">
      <formula>I47</formula>
    </cfRule>
    <cfRule type="cellIs" dxfId="1670" priority="196" stopIfTrue="1" operator="equal">
      <formula>0</formula>
    </cfRule>
  </conditionalFormatting>
  <conditionalFormatting sqref="L47:L57">
    <cfRule type="cellIs" dxfId="1669" priority="192" stopIfTrue="1" operator="greaterThan">
      <formula>K47</formula>
    </cfRule>
    <cfRule type="cellIs" dxfId="1668" priority="193" stopIfTrue="1" operator="equal">
      <formula>0</formula>
    </cfRule>
  </conditionalFormatting>
  <conditionalFormatting sqref="I58 K58 M46:M58 F58:G58 O58 K11 K13 K15 K17 K19 K21 K23 K25 K27 K31 K39 K37 K29 K33 M11 M13 M15 M17 M19 M21 M23 M25 M27 M31 M39 M37 M29 M33 F35:N35">
    <cfRule type="cellIs" dxfId="1667" priority="191" stopIfTrue="1" operator="equal">
      <formula>0</formula>
    </cfRule>
  </conditionalFormatting>
  <conditionalFormatting sqref="N47:N57">
    <cfRule type="cellIs" dxfId="1666" priority="189" stopIfTrue="1" operator="greaterThan">
      <formula>M47</formula>
    </cfRule>
    <cfRule type="cellIs" dxfId="1665" priority="190" stopIfTrue="1" operator="equal">
      <formula>0</formula>
    </cfRule>
  </conditionalFormatting>
  <conditionalFormatting sqref="J58 L58 N58">
    <cfRule type="cellIs" dxfId="1664" priority="186" stopIfTrue="1" operator="greaterThan">
      <formula>I58</formula>
    </cfRule>
    <cfRule type="cellIs" dxfId="1663" priority="187" stopIfTrue="1" operator="equal">
      <formula>0</formula>
    </cfRule>
  </conditionalFormatting>
  <conditionalFormatting sqref="J46:J47">
    <cfRule type="cellIs" dxfId="1662" priority="183" stopIfTrue="1" operator="greaterThan">
      <formula>I46</formula>
    </cfRule>
    <cfRule type="cellIs" dxfId="1661" priority="184" stopIfTrue="1" operator="equal">
      <formula>0</formula>
    </cfRule>
  </conditionalFormatting>
  <conditionalFormatting sqref="L46:L47">
    <cfRule type="cellIs" dxfId="1660" priority="180" stopIfTrue="1" operator="greaterThan">
      <formula>K46</formula>
    </cfRule>
    <cfRule type="cellIs" dxfId="1659" priority="181" stopIfTrue="1" operator="equal">
      <formula>0</formula>
    </cfRule>
  </conditionalFormatting>
  <conditionalFormatting sqref="N46:N47">
    <cfRule type="cellIs" dxfId="1658" priority="177" stopIfTrue="1" operator="greaterThan">
      <formula>M46</formula>
    </cfRule>
    <cfRule type="cellIs" dxfId="1657" priority="178" stopIfTrue="1" operator="equal">
      <formula>0</formula>
    </cfRule>
  </conditionalFormatting>
  <conditionalFormatting sqref="H47:H57">
    <cfRule type="cellIs" dxfId="1656" priority="174" stopIfTrue="1" operator="greaterThan">
      <formula>G47</formula>
    </cfRule>
    <cfRule type="cellIs" dxfId="1655" priority="175" stopIfTrue="1" operator="equal">
      <formula>0</formula>
    </cfRule>
  </conditionalFormatting>
  <conditionalFormatting sqref="H58">
    <cfRule type="cellIs" dxfId="1654" priority="171" stopIfTrue="1" operator="greaterThan">
      <formula>G58</formula>
    </cfRule>
    <cfRule type="cellIs" dxfId="1653" priority="172" stopIfTrue="1" operator="equal">
      <formula>0</formula>
    </cfRule>
  </conditionalFormatting>
  <conditionalFormatting sqref="H46:H47">
    <cfRule type="cellIs" dxfId="1652" priority="168" stopIfTrue="1" operator="greaterThan">
      <formula>G46</formula>
    </cfRule>
    <cfRule type="cellIs" dxfId="1651" priority="169" stopIfTrue="1" operator="equal">
      <formula>0</formula>
    </cfRule>
  </conditionalFormatting>
  <conditionalFormatting sqref="F12:J12 K38 L18 N12 L12 N14 L14 N16 L16 N20 L20 N22 L22 N24 L24 N26 L26 N28 L28 N30 L30 N32 L32 N34 L34 N18 K40">
    <cfRule type="cellIs" dxfId="1650" priority="159" stopIfTrue="1" operator="greaterThan">
      <formula>F11</formula>
    </cfRule>
    <cfRule type="cellIs" dxfId="1649" priority="160" stopIfTrue="1" operator="equal">
      <formula>0</formula>
    </cfRule>
  </conditionalFormatting>
  <conditionalFormatting sqref="K12 N36 K36:L36">
    <cfRule type="cellIs" dxfId="1648" priority="156" stopIfTrue="1" operator="greaterThan">
      <formula>K11</formula>
    </cfRule>
    <cfRule type="cellIs" dxfId="1647" priority="157" stopIfTrue="1" operator="equal">
      <formula>0</formula>
    </cfRule>
  </conditionalFormatting>
  <conditionalFormatting sqref="F14:J14">
    <cfRule type="cellIs" dxfId="1646" priority="149" stopIfTrue="1" operator="greaterThan">
      <formula>F13</formula>
    </cfRule>
    <cfRule type="cellIs" dxfId="1645" priority="150" stopIfTrue="1" operator="equal">
      <formula>0</formula>
    </cfRule>
  </conditionalFormatting>
  <conditionalFormatting sqref="K14">
    <cfRule type="cellIs" dxfId="1644" priority="147" stopIfTrue="1" operator="greaterThan">
      <formula>K13</formula>
    </cfRule>
    <cfRule type="cellIs" dxfId="1643" priority="148" stopIfTrue="1" operator="equal">
      <formula>0</formula>
    </cfRule>
  </conditionalFormatting>
  <conditionalFormatting sqref="F16:J16">
    <cfRule type="cellIs" dxfId="1642" priority="140" stopIfTrue="1" operator="greaterThan">
      <formula>F15</formula>
    </cfRule>
    <cfRule type="cellIs" dxfId="1641" priority="141" stopIfTrue="1" operator="equal">
      <formula>0</formula>
    </cfRule>
  </conditionalFormatting>
  <conditionalFormatting sqref="K16">
    <cfRule type="cellIs" dxfId="1640" priority="138" stopIfTrue="1" operator="greaterThan">
      <formula>K15</formula>
    </cfRule>
    <cfRule type="cellIs" dxfId="1639" priority="139" stopIfTrue="1" operator="equal">
      <formula>0</formula>
    </cfRule>
  </conditionalFormatting>
  <conditionalFormatting sqref="F18:J18">
    <cfRule type="cellIs" dxfId="1638" priority="131" stopIfTrue="1" operator="greaterThan">
      <formula>F17</formula>
    </cfRule>
    <cfRule type="cellIs" dxfId="1637" priority="132" stopIfTrue="1" operator="equal">
      <formula>0</formula>
    </cfRule>
  </conditionalFormatting>
  <conditionalFormatting sqref="K18">
    <cfRule type="cellIs" dxfId="1636" priority="129" stopIfTrue="1" operator="greaterThan">
      <formula>K17</formula>
    </cfRule>
    <cfRule type="cellIs" dxfId="1635" priority="130" stopIfTrue="1" operator="equal">
      <formula>0</formula>
    </cfRule>
  </conditionalFormatting>
  <conditionalFormatting sqref="F20:J20">
    <cfRule type="cellIs" dxfId="1634" priority="122" stopIfTrue="1" operator="greaterThan">
      <formula>F19</formula>
    </cfRule>
    <cfRule type="cellIs" dxfId="1633" priority="123" stopIfTrue="1" operator="equal">
      <formula>0</formula>
    </cfRule>
  </conditionalFormatting>
  <conditionalFormatting sqref="K20">
    <cfRule type="cellIs" dxfId="1632" priority="120" stopIfTrue="1" operator="greaterThan">
      <formula>K19</formula>
    </cfRule>
    <cfRule type="cellIs" dxfId="1631" priority="121" stopIfTrue="1" operator="equal">
      <formula>0</formula>
    </cfRule>
  </conditionalFormatting>
  <conditionalFormatting sqref="F22:J22">
    <cfRule type="cellIs" dxfId="1630" priority="113" stopIfTrue="1" operator="greaterThan">
      <formula>F21</formula>
    </cfRule>
    <cfRule type="cellIs" dxfId="1629" priority="114" stopIfTrue="1" operator="equal">
      <formula>0</formula>
    </cfRule>
  </conditionalFormatting>
  <conditionalFormatting sqref="K22">
    <cfRule type="cellIs" dxfId="1628" priority="111" stopIfTrue="1" operator="greaterThan">
      <formula>K21</formula>
    </cfRule>
    <cfRule type="cellIs" dxfId="1627" priority="112" stopIfTrue="1" operator="equal">
      <formula>0</formula>
    </cfRule>
  </conditionalFormatting>
  <conditionalFormatting sqref="F24:J24">
    <cfRule type="cellIs" dxfId="1626" priority="104" stopIfTrue="1" operator="greaterThan">
      <formula>F23</formula>
    </cfRule>
    <cfRule type="cellIs" dxfId="1625" priority="105" stopIfTrue="1" operator="equal">
      <formula>0</formula>
    </cfRule>
  </conditionalFormatting>
  <conditionalFormatting sqref="K24">
    <cfRule type="cellIs" dxfId="1624" priority="102" stopIfTrue="1" operator="greaterThan">
      <formula>K23</formula>
    </cfRule>
    <cfRule type="cellIs" dxfId="1623" priority="103" stopIfTrue="1" operator="equal">
      <formula>0</formula>
    </cfRule>
  </conditionalFormatting>
  <conditionalFormatting sqref="F26:J26">
    <cfRule type="cellIs" dxfId="1622" priority="95" stopIfTrue="1" operator="greaterThan">
      <formula>F25</formula>
    </cfRule>
    <cfRule type="cellIs" dxfId="1621" priority="96" stopIfTrue="1" operator="equal">
      <formula>0</formula>
    </cfRule>
  </conditionalFormatting>
  <conditionalFormatting sqref="K26">
    <cfRule type="cellIs" dxfId="1620" priority="93" stopIfTrue="1" operator="greaterThan">
      <formula>K25</formula>
    </cfRule>
    <cfRule type="cellIs" dxfId="1619" priority="94" stopIfTrue="1" operator="equal">
      <formula>0</formula>
    </cfRule>
  </conditionalFormatting>
  <conditionalFormatting sqref="F28:J28">
    <cfRule type="cellIs" dxfId="1618" priority="86" stopIfTrue="1" operator="greaterThan">
      <formula>F27</formula>
    </cfRule>
    <cfRule type="cellIs" dxfId="1617" priority="87" stopIfTrue="1" operator="equal">
      <formula>0</formula>
    </cfRule>
  </conditionalFormatting>
  <conditionalFormatting sqref="F30:J30">
    <cfRule type="cellIs" dxfId="1616" priority="77" stopIfTrue="1" operator="greaterThan">
      <formula>F29</formula>
    </cfRule>
    <cfRule type="cellIs" dxfId="1615" priority="78" stopIfTrue="1" operator="equal">
      <formula>0</formula>
    </cfRule>
  </conditionalFormatting>
  <conditionalFormatting sqref="F32:J32">
    <cfRule type="cellIs" dxfId="1614" priority="68" stopIfTrue="1" operator="greaterThan">
      <formula>F31</formula>
    </cfRule>
    <cfRule type="cellIs" dxfId="1613" priority="69" stopIfTrue="1" operator="equal">
      <formula>0</formula>
    </cfRule>
  </conditionalFormatting>
  <conditionalFormatting sqref="F34:J34">
    <cfRule type="cellIs" dxfId="1612" priority="59" stopIfTrue="1" operator="greaterThan">
      <formula>F33</formula>
    </cfRule>
    <cfRule type="cellIs" dxfId="1611" priority="60" stopIfTrue="1" operator="equal">
      <formula>0</formula>
    </cfRule>
  </conditionalFormatting>
  <conditionalFormatting sqref="F38:J38">
    <cfRule type="cellIs" dxfId="1610" priority="47" stopIfTrue="1" operator="greaterThan">
      <formula>F37</formula>
    </cfRule>
    <cfRule type="cellIs" dxfId="1609" priority="48" stopIfTrue="1" operator="equal">
      <formula>0</formula>
    </cfRule>
  </conditionalFormatting>
  <conditionalFormatting sqref="F40:J40">
    <cfRule type="cellIs" dxfId="1608" priority="41" stopIfTrue="1" operator="greaterThan">
      <formula>F39</formula>
    </cfRule>
    <cfRule type="cellIs" dxfId="1607" priority="42" stopIfTrue="1" operator="equal">
      <formula>0</formula>
    </cfRule>
  </conditionalFormatting>
  <conditionalFormatting sqref="K28 K32 F36:J36 K40">
    <cfRule type="cellIs" dxfId="1606" priority="36" stopIfTrue="1" operator="greaterThan">
      <formula>F27</formula>
    </cfRule>
    <cfRule type="cellIs" dxfId="1605" priority="37" stopIfTrue="1" operator="equal">
      <formula>0</formula>
    </cfRule>
  </conditionalFormatting>
  <conditionalFormatting sqref="K30 K34 K38">
    <cfRule type="cellIs" dxfId="1604" priority="33" stopIfTrue="1" operator="greaterThan">
      <formula>K29</formula>
    </cfRule>
    <cfRule type="cellIs" dxfId="1603" priority="34" stopIfTrue="1" operator="equal">
      <formula>0</formula>
    </cfRule>
  </conditionalFormatting>
  <conditionalFormatting sqref="O46:O58">
    <cfRule type="cellIs" dxfId="1602" priority="29" stopIfTrue="1" operator="lessThan">
      <formula>0</formula>
    </cfRule>
  </conditionalFormatting>
  <conditionalFormatting sqref="F40:J40">
    <cfRule type="cellIs" dxfId="1601" priority="26" stopIfTrue="1" operator="greaterThan">
      <formula>F39</formula>
    </cfRule>
    <cfRule type="cellIs" dxfId="1600" priority="27" stopIfTrue="1" operator="equal">
      <formula>0</formula>
    </cfRule>
  </conditionalFormatting>
  <conditionalFormatting sqref="M38 M40">
    <cfRule type="cellIs" dxfId="1599" priority="21" stopIfTrue="1" operator="greaterThan">
      <formula>M37</formula>
    </cfRule>
    <cfRule type="cellIs" dxfId="1598" priority="22" stopIfTrue="1" operator="equal">
      <formula>0</formula>
    </cfRule>
  </conditionalFormatting>
  <conditionalFormatting sqref="M12 M36">
    <cfRule type="cellIs" dxfId="1597" priority="19" stopIfTrue="1" operator="greaterThan">
      <formula>M11</formula>
    </cfRule>
    <cfRule type="cellIs" dxfId="1596" priority="20" stopIfTrue="1" operator="equal">
      <formula>0</formula>
    </cfRule>
  </conditionalFormatting>
  <conditionalFormatting sqref="M14">
    <cfRule type="cellIs" dxfId="1595" priority="17" stopIfTrue="1" operator="greaterThan">
      <formula>M13</formula>
    </cfRule>
    <cfRule type="cellIs" dxfId="1594" priority="18" stopIfTrue="1" operator="equal">
      <formula>0</formula>
    </cfRule>
  </conditionalFormatting>
  <conditionalFormatting sqref="M16">
    <cfRule type="cellIs" dxfId="1593" priority="15" stopIfTrue="1" operator="greaterThan">
      <formula>M15</formula>
    </cfRule>
    <cfRule type="cellIs" dxfId="1592" priority="16" stopIfTrue="1" operator="equal">
      <formula>0</formula>
    </cfRule>
  </conditionalFormatting>
  <conditionalFormatting sqref="M18">
    <cfRule type="cellIs" dxfId="1591" priority="13" stopIfTrue="1" operator="greaterThan">
      <formula>M17</formula>
    </cfRule>
    <cfRule type="cellIs" dxfId="1590" priority="14" stopIfTrue="1" operator="equal">
      <formula>0</formula>
    </cfRule>
  </conditionalFormatting>
  <conditionalFormatting sqref="M20">
    <cfRule type="cellIs" dxfId="1589" priority="11" stopIfTrue="1" operator="greaterThan">
      <formula>M19</formula>
    </cfRule>
    <cfRule type="cellIs" dxfId="1588" priority="12" stopIfTrue="1" operator="equal">
      <formula>0</formula>
    </cfRule>
  </conditionalFormatting>
  <conditionalFormatting sqref="M22">
    <cfRule type="cellIs" dxfId="1587" priority="9" stopIfTrue="1" operator="greaterThan">
      <formula>M21</formula>
    </cfRule>
    <cfRule type="cellIs" dxfId="1586" priority="10" stopIfTrue="1" operator="equal">
      <formula>0</formula>
    </cfRule>
  </conditionalFormatting>
  <conditionalFormatting sqref="M24">
    <cfRule type="cellIs" dxfId="1585" priority="7" stopIfTrue="1" operator="greaterThan">
      <formula>M23</formula>
    </cfRule>
    <cfRule type="cellIs" dxfId="1584" priority="8" stopIfTrue="1" operator="equal">
      <formula>0</formula>
    </cfRule>
  </conditionalFormatting>
  <conditionalFormatting sqref="M26">
    <cfRule type="cellIs" dxfId="1583" priority="5" stopIfTrue="1" operator="greaterThan">
      <formula>M25</formula>
    </cfRule>
    <cfRule type="cellIs" dxfId="1582" priority="6" stopIfTrue="1" operator="equal">
      <formula>0</formula>
    </cfRule>
  </conditionalFormatting>
  <conditionalFormatting sqref="M28 M32 M40">
    <cfRule type="cellIs" dxfId="1581" priority="3" stopIfTrue="1" operator="greaterThan">
      <formula>M27</formula>
    </cfRule>
    <cfRule type="cellIs" dxfId="1580" priority="4" stopIfTrue="1" operator="equal">
      <formula>0</formula>
    </cfRule>
  </conditionalFormatting>
  <conditionalFormatting sqref="M30 M34 M38">
    <cfRule type="cellIs" dxfId="1579" priority="1" stopIfTrue="1" operator="greaterThan">
      <formula>M29</formula>
    </cfRule>
    <cfRule type="cellIs" dxfId="1578" priority="2" stopIfTrue="1" operator="equal">
      <formula>0</formula>
    </cfRule>
  </conditionalFormatting>
  <dataValidations count="4">
    <dataValidation type="whole" operator="greaterThanOrEqual" allowBlank="1" showInputMessage="1" showErrorMessage="1" errorTitle="المناصب المفتوحة و المشغولة" error="ضع العدد المناسب للمناصب المفتوحة و المشغولة حسب كل مادة تدريس " sqref="F46:O58">
      <formula1>0</formula1>
    </dataValidation>
    <dataValidation type="whole"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L11:L40 N11:N40 F11:K36 M11:M36 D37:E40">
      <formula1>0</formula1>
    </dataValidation>
    <dataValidation operator="greaterThanOrEqual" allowBlank="1" showInputMessage="1" showErrorMessage="1" errorTitle="الأساتذة و الإطار المهني" error="ضع العدد المناسب الأساتذة حسب الإطار المهني و مادة التدريس" sqref="F39:K39 M37 M39 F37:K37"/>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M40 F40:K40 M38 F38:K38"/>
  </dataValidations>
  <printOptions horizontalCentered="1" verticalCentered="1"/>
  <pageMargins left="0.19685039370078741" right="0.19685039370078741" top="0.19685039370078741" bottom="0.19685039370078741" header="0" footer="0.31496062992125984"/>
  <pageSetup paperSize="9" orientation="portrait" r:id="rId1"/>
  <headerFooter>
    <oddFooter xml:space="preserve">&amp;R&amp;"-,Gras"&amp;8&amp;K00-033Echamil V.08    &amp;F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0">
    <tabColor rgb="FF00B050"/>
  </sheetPr>
  <dimension ref="A1:Y80"/>
  <sheetViews>
    <sheetView showGridLines="0" rightToLeft="1" topLeftCell="A40" workbookViewId="0">
      <selection activeCell="T44" sqref="T44:U44"/>
    </sheetView>
  </sheetViews>
  <sheetFormatPr baseColWidth="10" defaultColWidth="0" defaultRowHeight="15" customHeight="1" zeroHeight="1"/>
  <cols>
    <col min="1" max="1" width="2.6640625" customWidth="1"/>
    <col min="2" max="2" width="1.6640625" customWidth="1"/>
    <col min="3" max="3" width="0.88671875" customWidth="1"/>
    <col min="4" max="4" width="14.6640625" customWidth="1"/>
    <col min="5" max="5" width="5.6640625" customWidth="1"/>
    <col min="6" max="6" width="8.6640625" customWidth="1"/>
    <col min="7" max="7" width="8.44140625" customWidth="1"/>
    <col min="8" max="8" width="8.5546875" customWidth="1"/>
    <col min="9" max="9" width="7.33203125" customWidth="1"/>
    <col min="10" max="10" width="8.109375" customWidth="1"/>
    <col min="11" max="11" width="7.109375" customWidth="1"/>
    <col min="12" max="12" width="7.5546875" customWidth="1"/>
    <col min="13" max="13" width="8" customWidth="1"/>
    <col min="14" max="14" width="8.109375" customWidth="1"/>
    <col min="15" max="15" width="7.5546875" customWidth="1"/>
    <col min="16" max="16" width="0.88671875" customWidth="1"/>
    <col min="17" max="17" width="1.6640625" customWidth="1"/>
    <col min="18" max="18" width="2.6640625" customWidth="1"/>
    <col min="19" max="19" width="18.5546875" style="1041" customWidth="1"/>
    <col min="20" max="24" width="8.33203125" style="1041" customWidth="1"/>
    <col min="25" max="25" width="3.33203125" customWidth="1"/>
  </cols>
  <sheetData>
    <row r="1" spans="1:25" ht="14.1" customHeight="1" thickBot="1">
      <c r="A1" s="788"/>
      <c r="B1" s="789"/>
      <c r="C1" s="789"/>
      <c r="D1" s="789"/>
      <c r="E1" s="789"/>
      <c r="F1" s="789"/>
      <c r="G1" s="789"/>
      <c r="H1" s="789"/>
      <c r="I1" s="789"/>
      <c r="J1" s="789"/>
      <c r="K1" s="789"/>
      <c r="L1" s="789"/>
      <c r="M1" s="789"/>
      <c r="N1" s="789"/>
      <c r="O1" s="789"/>
      <c r="P1" s="789"/>
      <c r="Q1" s="789"/>
      <c r="R1" s="788"/>
      <c r="S1" s="1055"/>
      <c r="T1" s="1055"/>
      <c r="U1" s="1055"/>
      <c r="V1" s="1055"/>
      <c r="W1" s="1055"/>
      <c r="X1" s="1056"/>
      <c r="Y1" s="796"/>
    </row>
    <row r="2" spans="1:25" ht="14.1" customHeight="1" thickBot="1">
      <c r="A2" s="788"/>
      <c r="B2" s="816"/>
      <c r="C2" s="817"/>
      <c r="D2" s="817"/>
      <c r="E2" s="817"/>
      <c r="F2" s="817"/>
      <c r="G2" s="817"/>
      <c r="H2" s="817"/>
      <c r="I2" s="817"/>
      <c r="J2" s="817"/>
      <c r="K2" s="817"/>
      <c r="L2" s="817"/>
      <c r="M2" s="817"/>
      <c r="N2" s="817"/>
      <c r="O2" s="817"/>
      <c r="P2" s="817"/>
      <c r="Q2" s="818"/>
      <c r="R2" s="790"/>
      <c r="S2" s="1057"/>
      <c r="T2" s="1057"/>
      <c r="U2" s="1057"/>
      <c r="V2" s="1057"/>
      <c r="W2" s="1057"/>
      <c r="X2" s="464"/>
      <c r="Y2" s="796"/>
    </row>
    <row r="3" spans="1:25" ht="14.1" customHeight="1">
      <c r="A3" s="788"/>
      <c r="B3" s="819"/>
      <c r="C3" s="876"/>
      <c r="D3" s="877"/>
      <c r="E3" s="878"/>
      <c r="F3" s="878"/>
      <c r="G3" s="878"/>
      <c r="H3" s="878"/>
      <c r="I3" s="878"/>
      <c r="J3" s="879"/>
      <c r="K3" s="878"/>
      <c r="L3" s="878"/>
      <c r="M3" s="878"/>
      <c r="N3" s="878"/>
      <c r="O3" s="878"/>
      <c r="P3" s="880"/>
      <c r="Q3" s="872"/>
      <c r="R3" s="1002"/>
      <c r="X3" s="464"/>
      <c r="Y3" s="796"/>
    </row>
    <row r="4" spans="1:25" ht="14.1" customHeight="1">
      <c r="A4" s="788"/>
      <c r="B4" s="821"/>
      <c r="C4" s="881"/>
      <c r="D4" s="2482" t="s">
        <v>1465</v>
      </c>
      <c r="E4" s="2465"/>
      <c r="F4" s="2465"/>
      <c r="G4" s="2465"/>
      <c r="H4" s="2469"/>
      <c r="I4" s="2469"/>
      <c r="J4" s="1316"/>
      <c r="K4" s="1316"/>
      <c r="L4" s="1316"/>
      <c r="M4" s="2467"/>
      <c r="N4" s="2467"/>
      <c r="O4" s="2483" t="s">
        <v>1464</v>
      </c>
      <c r="P4" s="882"/>
      <c r="Q4" s="872"/>
      <c r="R4" s="1002"/>
      <c r="X4" s="464"/>
      <c r="Y4" s="796"/>
    </row>
    <row r="5" spans="1:25" ht="6.9" customHeight="1">
      <c r="A5" s="788"/>
      <c r="B5" s="819"/>
      <c r="C5" s="883"/>
      <c r="D5" s="2465"/>
      <c r="E5" s="2465"/>
      <c r="F5" s="2465"/>
      <c r="G5" s="2465"/>
      <c r="H5" s="1316"/>
      <c r="I5" s="1316"/>
      <c r="J5" s="2467"/>
      <c r="K5" s="2467"/>
      <c r="L5" s="2467"/>
      <c r="M5" s="2467"/>
      <c r="N5" s="2467"/>
      <c r="O5" s="2467"/>
      <c r="P5" s="882"/>
      <c r="Q5" s="872"/>
      <c r="R5" s="1003"/>
      <c r="X5" s="464"/>
      <c r="Y5" s="796"/>
    </row>
    <row r="6" spans="1:25" ht="15" customHeight="1">
      <c r="A6" s="788"/>
      <c r="B6" s="819"/>
      <c r="C6" s="1315"/>
      <c r="D6" s="2484" t="s">
        <v>1409</v>
      </c>
      <c r="E6" s="2485"/>
      <c r="F6" s="2362"/>
      <c r="G6" s="2362"/>
      <c r="H6" s="2362"/>
      <c r="I6" s="2362"/>
      <c r="J6" s="2363"/>
      <c r="K6" s="2362"/>
      <c r="L6" s="2362"/>
      <c r="M6" s="1317"/>
      <c r="N6" s="1317"/>
      <c r="O6" s="2362"/>
      <c r="P6" s="963"/>
      <c r="Q6" s="872"/>
      <c r="R6" s="1004"/>
      <c r="X6" s="464"/>
      <c r="Y6" s="796"/>
    </row>
    <row r="7" spans="1:25" ht="6" customHeight="1" thickBot="1">
      <c r="A7" s="788"/>
      <c r="B7" s="819"/>
      <c r="C7" s="884"/>
      <c r="D7" s="1381"/>
      <c r="E7" s="1316"/>
      <c r="F7" s="1316"/>
      <c r="G7" s="1316"/>
      <c r="H7" s="1316"/>
      <c r="I7" s="1316"/>
      <c r="J7" s="1316"/>
      <c r="K7" s="1316"/>
      <c r="L7" s="1316"/>
      <c r="M7" s="1316"/>
      <c r="N7" s="1316"/>
      <c r="O7" s="1316"/>
      <c r="P7" s="873"/>
      <c r="Q7" s="872"/>
      <c r="R7" s="1004"/>
      <c r="X7" s="464"/>
      <c r="Y7" s="796"/>
    </row>
    <row r="8" spans="1:25" ht="14.1" customHeight="1">
      <c r="A8" s="788"/>
      <c r="B8" s="819"/>
      <c r="C8" s="884"/>
      <c r="D8" s="4549" t="s">
        <v>582</v>
      </c>
      <c r="E8" s="4550"/>
      <c r="F8" s="4553" t="s">
        <v>619</v>
      </c>
      <c r="G8" s="4543" t="s">
        <v>233</v>
      </c>
      <c r="H8" s="4543" t="s">
        <v>710</v>
      </c>
      <c r="I8" s="4543" t="s">
        <v>698</v>
      </c>
      <c r="J8" s="4543" t="s">
        <v>1113</v>
      </c>
      <c r="K8" s="4546" t="s">
        <v>774</v>
      </c>
      <c r="L8" s="1316"/>
      <c r="M8" s="4535" t="s">
        <v>773</v>
      </c>
      <c r="N8" s="1032"/>
      <c r="O8" s="1032"/>
      <c r="P8" s="873"/>
      <c r="Q8" s="872"/>
      <c r="R8" s="1004"/>
      <c r="S8" s="4526" t="s">
        <v>1410</v>
      </c>
      <c r="T8" s="4527"/>
      <c r="U8" s="4527"/>
      <c r="V8" s="4527"/>
      <c r="W8" s="4527"/>
      <c r="X8" s="4528"/>
      <c r="Y8" s="796"/>
    </row>
    <row r="9" spans="1:25" ht="20.25" customHeight="1">
      <c r="A9" s="788"/>
      <c r="B9" s="819"/>
      <c r="C9" s="884"/>
      <c r="D9" s="4551"/>
      <c r="E9" s="4552"/>
      <c r="F9" s="4554"/>
      <c r="G9" s="4544"/>
      <c r="H9" s="4544"/>
      <c r="I9" s="4544"/>
      <c r="J9" s="4544"/>
      <c r="K9" s="4547"/>
      <c r="L9" s="1316"/>
      <c r="M9" s="4536"/>
      <c r="N9" s="1032"/>
      <c r="O9" s="1032"/>
      <c r="P9" s="873"/>
      <c r="Q9" s="872"/>
      <c r="R9" s="1004"/>
      <c r="S9" s="4529"/>
      <c r="T9" s="4530"/>
      <c r="U9" s="4530"/>
      <c r="V9" s="4530"/>
      <c r="W9" s="4530"/>
      <c r="X9" s="4531"/>
      <c r="Y9" s="796"/>
    </row>
    <row r="10" spans="1:25" ht="27.75" customHeight="1">
      <c r="A10" s="788"/>
      <c r="B10" s="819"/>
      <c r="C10" s="884"/>
      <c r="D10" s="4556" t="s">
        <v>581</v>
      </c>
      <c r="E10" s="4557"/>
      <c r="F10" s="4555"/>
      <c r="G10" s="4545"/>
      <c r="H10" s="4545"/>
      <c r="I10" s="4545"/>
      <c r="J10" s="4545"/>
      <c r="K10" s="4548"/>
      <c r="L10" s="1316"/>
      <c r="M10" s="4537"/>
      <c r="N10" s="1032"/>
      <c r="O10" s="1032"/>
      <c r="P10" s="873"/>
      <c r="Q10" s="872"/>
      <c r="R10" s="1004"/>
      <c r="S10" s="4529"/>
      <c r="T10" s="4530"/>
      <c r="U10" s="4530"/>
      <c r="V10" s="4530"/>
      <c r="W10" s="4530"/>
      <c r="X10" s="4531"/>
      <c r="Y10" s="796"/>
    </row>
    <row r="11" spans="1:25" ht="15" customHeight="1">
      <c r="A11" s="788"/>
      <c r="B11" s="819"/>
      <c r="C11" s="884"/>
      <c r="D11" s="4541" t="s">
        <v>47</v>
      </c>
      <c r="E11" s="2486" t="s">
        <v>20</v>
      </c>
      <c r="F11" s="532"/>
      <c r="G11" s="533"/>
      <c r="H11" s="533"/>
      <c r="I11" s="533"/>
      <c r="J11" s="533"/>
      <c r="K11" s="3116">
        <f>SUM(F11:J11)</f>
        <v>0</v>
      </c>
      <c r="L11" s="3419" t="str">
        <f>IF(('الصفحة 1'!$Q$14&gt;0),IF(('الصفحة 27'!M11&gt;0),IF((('الصفحة 27'!M11)&lt;&gt;('الصفحة 27'!M46)),"خطء",""),""),"")</f>
        <v/>
      </c>
      <c r="M11" s="1394">
        <f>'الصفحة 27'!M11</f>
        <v>7</v>
      </c>
      <c r="N11" s="1032"/>
      <c r="O11" s="1032"/>
      <c r="P11" s="873"/>
      <c r="Q11" s="872"/>
      <c r="R11" s="1004"/>
      <c r="S11" s="4529"/>
      <c r="T11" s="4530"/>
      <c r="U11" s="4530"/>
      <c r="V11" s="4530"/>
      <c r="W11" s="4530"/>
      <c r="X11" s="4531"/>
      <c r="Y11" s="796"/>
    </row>
    <row r="12" spans="1:25" ht="15" customHeight="1" thickBot="1">
      <c r="A12" s="788"/>
      <c r="B12" s="819"/>
      <c r="C12" s="884"/>
      <c r="D12" s="4540"/>
      <c r="E12" s="2489" t="s">
        <v>29</v>
      </c>
      <c r="F12" s="535"/>
      <c r="G12" s="536"/>
      <c r="H12" s="536"/>
      <c r="I12" s="536"/>
      <c r="J12" s="536"/>
      <c r="K12" s="3117">
        <f t="shared" ref="K12:K34" si="0">SUM(F12:J12)</f>
        <v>0</v>
      </c>
      <c r="L12" s="1316" t="str">
        <f>IF(('الصفحة 1'!$Q$14&gt;0),IF(('الصفحة 27'!M12&gt;0),IF((('الصفحة 27'!M12)&lt;&gt;('الصفحة 27'!N46)),"خطء",""),""),"")</f>
        <v/>
      </c>
      <c r="M12" s="1395">
        <f>'الصفحة 27'!M12</f>
        <v>6</v>
      </c>
      <c r="N12" s="1032"/>
      <c r="O12" s="1032"/>
      <c r="P12" s="873"/>
      <c r="Q12" s="872"/>
      <c r="R12" s="1004"/>
      <c r="S12" s="4532"/>
      <c r="T12" s="4533"/>
      <c r="U12" s="4533"/>
      <c r="V12" s="4533"/>
      <c r="W12" s="4533"/>
      <c r="X12" s="4534"/>
      <c r="Y12" s="796"/>
    </row>
    <row r="13" spans="1:25" ht="15" customHeight="1">
      <c r="A13" s="788"/>
      <c r="B13" s="819"/>
      <c r="C13" s="884"/>
      <c r="D13" s="4542" t="s">
        <v>46</v>
      </c>
      <c r="E13" s="2492" t="s">
        <v>20</v>
      </c>
      <c r="F13" s="532"/>
      <c r="G13" s="533"/>
      <c r="H13" s="533"/>
      <c r="I13" s="533"/>
      <c r="J13" s="533"/>
      <c r="K13" s="3116">
        <f t="shared" si="0"/>
        <v>0</v>
      </c>
      <c r="L13" s="1393" t="str">
        <f>IF(('الصفحة 1'!$Q$14&gt;0),IF(('الصفحة 27'!M13&gt;0),IF((('الصفحة 27'!M13)&lt;&gt;('الصفحة 27'!M47)),"خطء",""),""),"")</f>
        <v/>
      </c>
      <c r="M13" s="1394">
        <f>'الصفحة 27'!M13</f>
        <v>0</v>
      </c>
      <c r="N13" s="1032"/>
      <c r="O13" s="1032"/>
      <c r="P13" s="873"/>
      <c r="Q13" s="872"/>
      <c r="R13" s="1004"/>
      <c r="X13" s="464"/>
      <c r="Y13" s="796"/>
    </row>
    <row r="14" spans="1:25" ht="15" customHeight="1">
      <c r="A14" s="788"/>
      <c r="B14" s="819"/>
      <c r="C14" s="884"/>
      <c r="D14" s="4542"/>
      <c r="E14" s="2489" t="s">
        <v>29</v>
      </c>
      <c r="F14" s="535"/>
      <c r="G14" s="536"/>
      <c r="H14" s="536"/>
      <c r="I14" s="536"/>
      <c r="J14" s="536"/>
      <c r="K14" s="3117">
        <f t="shared" si="0"/>
        <v>0</v>
      </c>
      <c r="L14" s="1316" t="str">
        <f>IF(('الصفحة 1'!$Q$14&gt;0),IF(('الصفحة 27'!M14&gt;0),IF((('الصفحة 27'!M14)&lt;&gt;('الصفحة 27'!N47)),"خطء",""),""),"")</f>
        <v/>
      </c>
      <c r="M14" s="1395">
        <f>'الصفحة 27'!M14</f>
        <v>0</v>
      </c>
      <c r="N14" s="1032"/>
      <c r="O14" s="1032"/>
      <c r="P14" s="873"/>
      <c r="Q14" s="872"/>
      <c r="R14" s="1004"/>
      <c r="X14" s="464"/>
      <c r="Y14" s="796"/>
    </row>
    <row r="15" spans="1:25" ht="15" customHeight="1">
      <c r="A15" s="788"/>
      <c r="B15" s="819"/>
      <c r="C15" s="884"/>
      <c r="D15" s="4540" t="s">
        <v>45</v>
      </c>
      <c r="E15" s="2492" t="s">
        <v>20</v>
      </c>
      <c r="F15" s="532"/>
      <c r="G15" s="533"/>
      <c r="H15" s="533"/>
      <c r="I15" s="533"/>
      <c r="J15" s="533"/>
      <c r="K15" s="3116">
        <f t="shared" si="0"/>
        <v>0</v>
      </c>
      <c r="L15" s="1393" t="str">
        <f>IF(('الصفحة 1'!$Q$14&gt;0),IF(('الصفحة 27'!M15&gt;0),IF((('الصفحة 27'!M15)&lt;&gt;('الصفحة 27'!M48)),"خطء",""),""),"")</f>
        <v/>
      </c>
      <c r="M15" s="1394">
        <f>'الصفحة 27'!M15</f>
        <v>3</v>
      </c>
      <c r="N15" s="1032"/>
      <c r="O15" s="1032"/>
      <c r="P15" s="873"/>
      <c r="Q15" s="872"/>
      <c r="R15" s="1004"/>
      <c r="X15" s="464"/>
      <c r="Y15" s="796"/>
    </row>
    <row r="16" spans="1:25" ht="15" customHeight="1">
      <c r="A16" s="788"/>
      <c r="B16" s="819"/>
      <c r="C16" s="884"/>
      <c r="D16" s="4540"/>
      <c r="E16" s="2489" t="s">
        <v>29</v>
      </c>
      <c r="F16" s="535"/>
      <c r="G16" s="536"/>
      <c r="H16" s="536"/>
      <c r="I16" s="536"/>
      <c r="J16" s="536"/>
      <c r="K16" s="3117">
        <f t="shared" si="0"/>
        <v>0</v>
      </c>
      <c r="L16" s="1316" t="str">
        <f>IF(('الصفحة 1'!$Q$14&gt;0),IF(('الصفحة 27'!M16&gt;0),IF((('الصفحة 27'!M16)&lt;&gt;('الصفحة 27'!N48)),"خطء",""),""),"")</f>
        <v/>
      </c>
      <c r="M16" s="1395">
        <f>'الصفحة 27'!M16</f>
        <v>2</v>
      </c>
      <c r="N16" s="1032"/>
      <c r="O16" s="1032"/>
      <c r="P16" s="873"/>
      <c r="Q16" s="872"/>
      <c r="R16" s="1004"/>
      <c r="X16" s="464"/>
      <c r="Y16" s="796"/>
    </row>
    <row r="17" spans="1:25" ht="15" customHeight="1">
      <c r="A17" s="788"/>
      <c r="B17" s="819"/>
      <c r="C17" s="884"/>
      <c r="D17" s="4542" t="s">
        <v>44</v>
      </c>
      <c r="E17" s="2492" t="s">
        <v>20</v>
      </c>
      <c r="F17" s="532"/>
      <c r="G17" s="533"/>
      <c r="H17" s="533"/>
      <c r="I17" s="533"/>
      <c r="J17" s="533"/>
      <c r="K17" s="3116">
        <f t="shared" si="0"/>
        <v>0</v>
      </c>
      <c r="L17" s="1393" t="str">
        <f>IF(('الصفحة 1'!$Q$14&gt;0),IF(('الصفحة 27'!M17&gt;0),IF((('الصفحة 27'!M17)&lt;&gt;('الصفحة 27'!M49)),"خطء",""),""),"")</f>
        <v/>
      </c>
      <c r="M17" s="1394">
        <f>'الصفحة 27'!M17</f>
        <v>6</v>
      </c>
      <c r="N17" s="1032"/>
      <c r="O17" s="1032"/>
      <c r="P17" s="873"/>
      <c r="Q17" s="872"/>
      <c r="R17" s="1004"/>
      <c r="X17" s="464"/>
      <c r="Y17" s="796"/>
    </row>
    <row r="18" spans="1:25" ht="15" customHeight="1">
      <c r="A18" s="788"/>
      <c r="B18" s="819"/>
      <c r="C18" s="884"/>
      <c r="D18" s="4542"/>
      <c r="E18" s="2489" t="s">
        <v>29</v>
      </c>
      <c r="F18" s="535"/>
      <c r="G18" s="536"/>
      <c r="H18" s="536"/>
      <c r="I18" s="536"/>
      <c r="J18" s="536"/>
      <c r="K18" s="3117">
        <f t="shared" si="0"/>
        <v>0</v>
      </c>
      <c r="L18" s="1316" t="str">
        <f>IF(('الصفحة 1'!$Q$14&gt;0),IF(('الصفحة 27'!M18&gt;0),IF((('الصفحة 27'!M18)&lt;&gt;('الصفحة 27'!N49)),"خطء",""),""),"")</f>
        <v/>
      </c>
      <c r="M18" s="1395">
        <f>'الصفحة 27'!M18</f>
        <v>6</v>
      </c>
      <c r="N18" s="1032"/>
      <c r="O18" s="1032"/>
      <c r="P18" s="873"/>
      <c r="Q18" s="872"/>
      <c r="R18" s="1004"/>
      <c r="X18" s="464"/>
      <c r="Y18" s="796"/>
    </row>
    <row r="19" spans="1:25" ht="15" customHeight="1">
      <c r="A19" s="788"/>
      <c r="B19" s="819"/>
      <c r="C19" s="884"/>
      <c r="D19" s="4540" t="s">
        <v>43</v>
      </c>
      <c r="E19" s="2492" t="s">
        <v>20</v>
      </c>
      <c r="F19" s="532"/>
      <c r="G19" s="533"/>
      <c r="H19" s="533"/>
      <c r="I19" s="533"/>
      <c r="J19" s="533"/>
      <c r="K19" s="3116">
        <f t="shared" si="0"/>
        <v>0</v>
      </c>
      <c r="L19" s="1393" t="str">
        <f>IF(('الصفحة 1'!$Q$14&gt;0),IF(('الصفحة 27'!M19&gt;0),IF((('الصفحة 27'!M19)&lt;&gt;('الصفحة 27'!M50)),"خطء",""),""),"")</f>
        <v/>
      </c>
      <c r="M19" s="1394">
        <f>'الصفحة 27'!M19</f>
        <v>4</v>
      </c>
      <c r="N19" s="1032"/>
      <c r="O19" s="1032"/>
      <c r="P19" s="873"/>
      <c r="Q19" s="872"/>
      <c r="R19" s="1004"/>
      <c r="X19" s="464"/>
      <c r="Y19" s="796"/>
    </row>
    <row r="20" spans="1:25" ht="15" customHeight="1">
      <c r="A20" s="788"/>
      <c r="B20" s="819"/>
      <c r="C20" s="884"/>
      <c r="D20" s="4540"/>
      <c r="E20" s="2489" t="s">
        <v>29</v>
      </c>
      <c r="F20" s="535"/>
      <c r="G20" s="536"/>
      <c r="H20" s="536"/>
      <c r="I20" s="536"/>
      <c r="J20" s="536"/>
      <c r="K20" s="3117">
        <f t="shared" si="0"/>
        <v>0</v>
      </c>
      <c r="L20" s="1316" t="str">
        <f>IF(('الصفحة 1'!$Q$14&gt;0),IF(('الصفحة 27'!M20&gt;0),IF((('الصفحة 27'!M20)&lt;&gt;('الصفحة 27'!N50)),"خطء",""),""),"")</f>
        <v/>
      </c>
      <c r="M20" s="1395">
        <f>'الصفحة 27'!M20</f>
        <v>3</v>
      </c>
      <c r="N20" s="1032"/>
      <c r="O20" s="1032"/>
      <c r="P20" s="873"/>
      <c r="Q20" s="872"/>
      <c r="R20" s="1004"/>
      <c r="X20" s="464"/>
      <c r="Y20" s="796"/>
    </row>
    <row r="21" spans="1:25" ht="15" customHeight="1">
      <c r="A21" s="788"/>
      <c r="B21" s="819"/>
      <c r="C21" s="884"/>
      <c r="D21" s="4542" t="s">
        <v>42</v>
      </c>
      <c r="E21" s="2492" t="s">
        <v>20</v>
      </c>
      <c r="F21" s="532"/>
      <c r="G21" s="533"/>
      <c r="H21" s="533"/>
      <c r="I21" s="533"/>
      <c r="J21" s="533"/>
      <c r="K21" s="3116">
        <f t="shared" si="0"/>
        <v>0</v>
      </c>
      <c r="L21" s="1393" t="str">
        <f>IF(('الصفحة 1'!$Q$14&gt;0),IF(('الصفحة 27'!M21&gt;0),IF((('الصفحة 27'!M21)&lt;&gt;('الصفحة 27'!M51)),"خطء",""),""),"")</f>
        <v/>
      </c>
      <c r="M21" s="1394">
        <f>'الصفحة 27'!M21</f>
        <v>6</v>
      </c>
      <c r="N21" s="1032"/>
      <c r="O21" s="1032"/>
      <c r="P21" s="873"/>
      <c r="Q21" s="872"/>
      <c r="R21" s="1004"/>
      <c r="X21" s="464"/>
      <c r="Y21" s="796"/>
    </row>
    <row r="22" spans="1:25" ht="15" customHeight="1">
      <c r="A22" s="788"/>
      <c r="B22" s="819"/>
      <c r="C22" s="884"/>
      <c r="D22" s="4542"/>
      <c r="E22" s="2489" t="s">
        <v>29</v>
      </c>
      <c r="F22" s="535"/>
      <c r="G22" s="536"/>
      <c r="H22" s="536"/>
      <c r="I22" s="536"/>
      <c r="J22" s="536"/>
      <c r="K22" s="3117">
        <f t="shared" si="0"/>
        <v>0</v>
      </c>
      <c r="L22" s="1316" t="str">
        <f>IF(('الصفحة 1'!$Q$14&gt;0),IF(('الصفحة 27'!M22&gt;0),IF((('الصفحة 27'!M22)&lt;&gt;('الصفحة 27'!N51)),"خطء",""),""),"")</f>
        <v/>
      </c>
      <c r="M22" s="1395">
        <f>'الصفحة 27'!M22</f>
        <v>4</v>
      </c>
      <c r="N22" s="1032"/>
      <c r="O22" s="1032"/>
      <c r="P22" s="873"/>
      <c r="Q22" s="872"/>
      <c r="R22" s="1004"/>
      <c r="X22" s="464"/>
      <c r="Y22" s="796"/>
    </row>
    <row r="23" spans="1:25" ht="15" customHeight="1">
      <c r="A23" s="788"/>
      <c r="B23" s="819"/>
      <c r="C23" s="884"/>
      <c r="D23" s="4540" t="s">
        <v>1111</v>
      </c>
      <c r="E23" s="2492" t="s">
        <v>20</v>
      </c>
      <c r="F23" s="532"/>
      <c r="G23" s="533"/>
      <c r="H23" s="533"/>
      <c r="I23" s="533"/>
      <c r="J23" s="533"/>
      <c r="K23" s="3116">
        <f t="shared" si="0"/>
        <v>0</v>
      </c>
      <c r="L23" s="1393" t="str">
        <f>IF(('الصفحة 1'!$Q$14&gt;0),IF(('الصفحة 27'!M23&gt;0),IF((('الصفحة 27'!M23)&lt;&gt;('الصفحة 27'!M52)),"خطء",""),""),"")</f>
        <v/>
      </c>
      <c r="M23" s="1394">
        <f>'الصفحة 27'!M23</f>
        <v>3</v>
      </c>
      <c r="N23" s="1032"/>
      <c r="O23" s="1032"/>
      <c r="P23" s="873"/>
      <c r="Q23" s="872"/>
      <c r="R23" s="1004"/>
      <c r="X23" s="464"/>
      <c r="Y23" s="796"/>
    </row>
    <row r="24" spans="1:25" ht="15" customHeight="1">
      <c r="A24" s="788"/>
      <c r="B24" s="819"/>
      <c r="C24" s="884"/>
      <c r="D24" s="4540"/>
      <c r="E24" s="2489" t="s">
        <v>29</v>
      </c>
      <c r="F24" s="535"/>
      <c r="G24" s="536"/>
      <c r="H24" s="536"/>
      <c r="I24" s="536"/>
      <c r="J24" s="536"/>
      <c r="K24" s="3117">
        <f t="shared" si="0"/>
        <v>0</v>
      </c>
      <c r="L24" s="1316" t="str">
        <f>IF(('الصفحة 1'!$Q$14&gt;0),IF(('الصفحة 27'!M24&gt;0),IF((('الصفحة 27'!M24)&lt;&gt;('الصفحة 27'!N52)),"خطء",""),""),"")</f>
        <v/>
      </c>
      <c r="M24" s="1395">
        <f>'الصفحة 27'!M24</f>
        <v>2</v>
      </c>
      <c r="N24" s="1032"/>
      <c r="O24" s="1032"/>
      <c r="P24" s="873"/>
      <c r="Q24" s="872"/>
      <c r="R24" s="1004"/>
      <c r="X24" s="464"/>
      <c r="Y24" s="796"/>
    </row>
    <row r="25" spans="1:25" ht="15" customHeight="1">
      <c r="A25" s="788"/>
      <c r="B25" s="819"/>
      <c r="C25" s="884"/>
      <c r="D25" s="4542" t="s">
        <v>40</v>
      </c>
      <c r="E25" s="2492" t="s">
        <v>20</v>
      </c>
      <c r="F25" s="532"/>
      <c r="G25" s="533"/>
      <c r="H25" s="533"/>
      <c r="I25" s="533"/>
      <c r="J25" s="533"/>
      <c r="K25" s="3116">
        <f t="shared" si="0"/>
        <v>0</v>
      </c>
      <c r="L25" s="1393" t="str">
        <f>IF(('الصفحة 1'!$Q$14&gt;0),IF(('الصفحة 27'!M25&gt;0),IF((('الصفحة 27'!M25)&lt;&gt;('الصفحة 27'!M53)),"خطء",""),""),"")</f>
        <v/>
      </c>
      <c r="M25" s="1394">
        <f>'الصفحة 27'!M25</f>
        <v>3</v>
      </c>
      <c r="N25" s="1032"/>
      <c r="O25" s="1032"/>
      <c r="P25" s="873"/>
      <c r="Q25" s="872"/>
      <c r="R25" s="1004"/>
      <c r="X25" s="464"/>
      <c r="Y25" s="796"/>
    </row>
    <row r="26" spans="1:25" ht="15" customHeight="1">
      <c r="A26" s="788"/>
      <c r="B26" s="819"/>
      <c r="C26" s="884"/>
      <c r="D26" s="4542"/>
      <c r="E26" s="2489" t="s">
        <v>29</v>
      </c>
      <c r="F26" s="535"/>
      <c r="G26" s="536"/>
      <c r="H26" s="536"/>
      <c r="I26" s="536"/>
      <c r="J26" s="536"/>
      <c r="K26" s="3117">
        <f t="shared" si="0"/>
        <v>0</v>
      </c>
      <c r="L26" s="1316" t="str">
        <f>IF(('الصفحة 1'!$Q$14&gt;0),IF(('الصفحة 27'!M26&gt;0),IF((('الصفحة 27'!M26)&lt;&gt;('الصفحة 27'!N53)),"خطء",""),""),"")</f>
        <v/>
      </c>
      <c r="M26" s="1395">
        <f>'الصفحة 27'!M26</f>
        <v>3</v>
      </c>
      <c r="N26" s="1032"/>
      <c r="O26" s="1032"/>
      <c r="P26" s="873"/>
      <c r="Q26" s="872"/>
      <c r="R26" s="1004"/>
      <c r="X26" s="464"/>
      <c r="Y26" s="796"/>
    </row>
    <row r="27" spans="1:25" ht="15" customHeight="1">
      <c r="A27" s="788"/>
      <c r="B27" s="819"/>
      <c r="C27" s="884"/>
      <c r="D27" s="4540" t="s">
        <v>39</v>
      </c>
      <c r="E27" s="2492" t="s">
        <v>20</v>
      </c>
      <c r="F27" s="532"/>
      <c r="G27" s="533"/>
      <c r="H27" s="533"/>
      <c r="I27" s="533"/>
      <c r="J27" s="533"/>
      <c r="K27" s="3116">
        <f t="shared" si="0"/>
        <v>0</v>
      </c>
      <c r="L27" s="1393" t="str">
        <f>IF(('الصفحة 1'!$Q$14&gt;0),IF(('الصفحة 27'!M27&gt;0),IF((('الصفحة 27'!M27)&lt;&gt;('الصفحة 27'!M54)),"خطء",""),""),"")</f>
        <v/>
      </c>
      <c r="M27" s="1394">
        <f>'الصفحة 27'!M27</f>
        <v>0</v>
      </c>
      <c r="N27" s="1032"/>
      <c r="O27" s="1032"/>
      <c r="P27" s="873"/>
      <c r="Q27" s="872"/>
      <c r="R27" s="1004"/>
      <c r="X27" s="464"/>
      <c r="Y27" s="796"/>
    </row>
    <row r="28" spans="1:25" ht="15" customHeight="1">
      <c r="A28" s="788"/>
      <c r="B28" s="819"/>
      <c r="C28" s="884"/>
      <c r="D28" s="4540"/>
      <c r="E28" s="2489" t="s">
        <v>29</v>
      </c>
      <c r="F28" s="535"/>
      <c r="G28" s="536"/>
      <c r="H28" s="536"/>
      <c r="I28" s="536"/>
      <c r="J28" s="536"/>
      <c r="K28" s="3117">
        <f t="shared" si="0"/>
        <v>0</v>
      </c>
      <c r="L28" s="1316" t="str">
        <f>IF(('الصفحة 1'!$Q$14&gt;0),IF(('الصفحة 27'!M28&gt;0),IF((('الصفحة 27'!M28)&lt;&gt;('الصفحة 27'!N54)),"خطء",""),""),"")</f>
        <v/>
      </c>
      <c r="M28" s="1395">
        <f>'الصفحة 27'!M28</f>
        <v>0</v>
      </c>
      <c r="N28" s="1032"/>
      <c r="O28" s="1032"/>
      <c r="P28" s="873"/>
      <c r="Q28" s="872"/>
      <c r="R28" s="1004"/>
      <c r="X28" s="464"/>
      <c r="Y28" s="796"/>
    </row>
    <row r="29" spans="1:25" ht="15" customHeight="1">
      <c r="A29" s="788"/>
      <c r="B29" s="819"/>
      <c r="C29" s="884"/>
      <c r="D29" s="4542" t="s">
        <v>38</v>
      </c>
      <c r="E29" s="2492" t="s">
        <v>20</v>
      </c>
      <c r="F29" s="532"/>
      <c r="G29" s="533"/>
      <c r="H29" s="533"/>
      <c r="I29" s="533"/>
      <c r="J29" s="533"/>
      <c r="K29" s="3116">
        <f t="shared" si="0"/>
        <v>0</v>
      </c>
      <c r="L29" s="1393" t="str">
        <f>IF(('الصفحة 1'!$Q$14&gt;0),IF(('الصفحة 27'!M29&gt;0),IF((('الصفحة 27'!M29)&lt;&gt;('الصفحة 27'!M55)),"خطء",""),""),"")</f>
        <v/>
      </c>
      <c r="M29" s="1394">
        <f>'الصفحة 27'!M29</f>
        <v>0</v>
      </c>
      <c r="N29" s="1032"/>
      <c r="O29" s="1032"/>
      <c r="P29" s="873"/>
      <c r="Q29" s="872"/>
      <c r="R29" s="1004"/>
      <c r="X29" s="464"/>
      <c r="Y29" s="796"/>
    </row>
    <row r="30" spans="1:25" ht="15" customHeight="1">
      <c r="A30" s="788"/>
      <c r="B30" s="819"/>
      <c r="C30" s="884"/>
      <c r="D30" s="4542"/>
      <c r="E30" s="2489" t="s">
        <v>29</v>
      </c>
      <c r="F30" s="535"/>
      <c r="G30" s="536"/>
      <c r="H30" s="536"/>
      <c r="I30" s="536"/>
      <c r="J30" s="536"/>
      <c r="K30" s="3117">
        <f t="shared" si="0"/>
        <v>0</v>
      </c>
      <c r="L30" s="1316" t="str">
        <f>IF(('الصفحة 1'!$Q$14&gt;0),IF(('الصفحة 27'!M30&gt;0),IF((('الصفحة 27'!M30)&lt;&gt;('الصفحة 27'!N55)),"خطء",""),""),"")</f>
        <v/>
      </c>
      <c r="M30" s="1395">
        <f>'الصفحة 27'!M30</f>
        <v>0</v>
      </c>
      <c r="N30" s="1032"/>
      <c r="O30" s="1032"/>
      <c r="P30" s="873"/>
      <c r="Q30" s="872"/>
      <c r="R30" s="1004"/>
      <c r="X30" s="464"/>
      <c r="Y30" s="796"/>
    </row>
    <row r="31" spans="1:25" ht="15" customHeight="1">
      <c r="A31" s="788"/>
      <c r="B31" s="819"/>
      <c r="C31" s="884"/>
      <c r="D31" s="4540" t="s">
        <v>37</v>
      </c>
      <c r="E31" s="2492" t="s">
        <v>20</v>
      </c>
      <c r="F31" s="532"/>
      <c r="G31" s="533"/>
      <c r="H31" s="533"/>
      <c r="I31" s="533"/>
      <c r="J31" s="533"/>
      <c r="K31" s="3116">
        <f t="shared" si="0"/>
        <v>0</v>
      </c>
      <c r="L31" s="1393" t="str">
        <f>IF(('الصفحة 1'!$Q$14&gt;0),IF(('الصفحة 27'!M31&gt;0),IF((('الصفحة 27'!M31)&lt;&gt;('الصفحة 27'!M56)),"خطء",""),""),"")</f>
        <v/>
      </c>
      <c r="M31" s="1394">
        <f>'الصفحة 27'!M31</f>
        <v>2</v>
      </c>
      <c r="N31" s="1032"/>
      <c r="O31" s="1032"/>
      <c r="P31" s="873"/>
      <c r="Q31" s="872"/>
      <c r="R31" s="1004"/>
      <c r="X31" s="464"/>
      <c r="Y31" s="796"/>
    </row>
    <row r="32" spans="1:25" ht="15" customHeight="1">
      <c r="A32" s="788"/>
      <c r="B32" s="819"/>
      <c r="C32" s="884"/>
      <c r="D32" s="4540"/>
      <c r="E32" s="2489" t="s">
        <v>29</v>
      </c>
      <c r="F32" s="535"/>
      <c r="G32" s="536"/>
      <c r="H32" s="536"/>
      <c r="I32" s="536"/>
      <c r="J32" s="536"/>
      <c r="K32" s="3117">
        <f t="shared" si="0"/>
        <v>0</v>
      </c>
      <c r="L32" s="1316" t="str">
        <f>IF(('الصفحة 1'!$Q$14&gt;0),IF(('الصفحة 27'!M32&gt;0),IF((('الصفحة 27'!M32)&lt;&gt;('الصفحة 27'!N56)),"خطء",""),""),"")</f>
        <v/>
      </c>
      <c r="M32" s="1395">
        <f>'الصفحة 27'!M32</f>
        <v>0</v>
      </c>
      <c r="N32" s="1032"/>
      <c r="O32" s="1032"/>
      <c r="P32" s="873"/>
      <c r="Q32" s="872"/>
      <c r="R32" s="1004"/>
      <c r="U32" s="941"/>
      <c r="V32" s="1058"/>
      <c r="X32" s="464"/>
      <c r="Y32" s="796"/>
    </row>
    <row r="33" spans="1:25" ht="15" customHeight="1">
      <c r="A33" s="788"/>
      <c r="B33" s="819"/>
      <c r="C33" s="884"/>
      <c r="D33" s="4542" t="s">
        <v>48</v>
      </c>
      <c r="E33" s="2492" t="s">
        <v>20</v>
      </c>
      <c r="F33" s="532"/>
      <c r="G33" s="533"/>
      <c r="H33" s="533"/>
      <c r="I33" s="533"/>
      <c r="J33" s="533"/>
      <c r="K33" s="3116">
        <f t="shared" si="0"/>
        <v>0</v>
      </c>
      <c r="L33" s="1393" t="str">
        <f>IF(('الصفحة 1'!$Q$14&gt;0),IF(('الصفحة 27'!M33&gt;0),IF((('الصفحة 27'!M33)&lt;&gt;('الصفحة 27'!M57)),"خطء",""),""),"")</f>
        <v/>
      </c>
      <c r="M33" s="1394">
        <f>'الصفحة 27'!M33</f>
        <v>0</v>
      </c>
      <c r="N33" s="1032"/>
      <c r="O33" s="1032"/>
      <c r="P33" s="873"/>
      <c r="Q33" s="872"/>
      <c r="R33" s="1004"/>
      <c r="X33" s="464"/>
      <c r="Y33" s="796"/>
    </row>
    <row r="34" spans="1:25" ht="15" customHeight="1">
      <c r="A34" s="788"/>
      <c r="B34" s="819"/>
      <c r="C34" s="884"/>
      <c r="D34" s="4542"/>
      <c r="E34" s="2489" t="s">
        <v>29</v>
      </c>
      <c r="F34" s="535"/>
      <c r="G34" s="536"/>
      <c r="H34" s="536"/>
      <c r="I34" s="536"/>
      <c r="J34" s="536"/>
      <c r="K34" s="3117">
        <f t="shared" si="0"/>
        <v>0</v>
      </c>
      <c r="L34" s="1316" t="str">
        <f>IF(('الصفحة 1'!$Q$14&gt;0),IF(('الصفحة 27'!M34&gt;0),IF((('الصفحة 27'!M34)&lt;&gt;('الصفحة 27'!N57)),"خطء",""),""),"")</f>
        <v/>
      </c>
      <c r="M34" s="1395">
        <f>'الصفحة 27'!M34</f>
        <v>0</v>
      </c>
      <c r="N34" s="1032"/>
      <c r="O34" s="1032"/>
      <c r="P34" s="873"/>
      <c r="Q34" s="872"/>
      <c r="R34" s="1004"/>
      <c r="S34" s="464"/>
      <c r="T34" s="464"/>
      <c r="U34" s="464"/>
      <c r="V34" s="464"/>
      <c r="W34" s="464"/>
      <c r="X34" s="464"/>
      <c r="Y34" s="796"/>
    </row>
    <row r="35" spans="1:25" ht="15" customHeight="1">
      <c r="A35" s="788"/>
      <c r="B35" s="819"/>
      <c r="C35" s="884"/>
      <c r="D35" s="4538" t="s">
        <v>28</v>
      </c>
      <c r="E35" s="2493" t="s">
        <v>20</v>
      </c>
      <c r="F35" s="3119">
        <f>F11+F13+F15+F17+F19+F21+F23+F25+F27+F29+F31+F33</f>
        <v>0</v>
      </c>
      <c r="G35" s="3120">
        <f t="shared" ref="G35:J36" si="1">G11+G13+G15+G17+G19+G21+G23+G25+G27+G29+G31+G33</f>
        <v>0</v>
      </c>
      <c r="H35" s="3120">
        <f t="shared" si="1"/>
        <v>0</v>
      </c>
      <c r="I35" s="3120">
        <f t="shared" si="1"/>
        <v>0</v>
      </c>
      <c r="J35" s="3121">
        <f t="shared" si="1"/>
        <v>0</v>
      </c>
      <c r="K35" s="3116">
        <f>K11+K13+K15+K17+K19+K21+K23+K25+K27+K29+K31+K33</f>
        <v>0</v>
      </c>
      <c r="L35" s="3118" t="str">
        <f>IF(('الصفحة 1'!$Q$14&gt;0),IF(('الصفحة 27'!M35&gt;0),IF((('الصفحة 27'!M35)&lt;&gt;('الصفحة 27'!M58)),"خطء",""),""),"")</f>
        <v/>
      </c>
      <c r="M35" s="3116">
        <f>M11+M13+M15+M17+M19+M21+M23+M25+M27+M29+M31+M33</f>
        <v>34</v>
      </c>
      <c r="N35" s="1032"/>
      <c r="O35" s="1032"/>
      <c r="P35" s="873"/>
      <c r="Q35" s="872"/>
      <c r="R35" s="1004"/>
      <c r="S35" s="464"/>
      <c r="T35" s="464"/>
      <c r="U35" s="464"/>
      <c r="V35" s="464"/>
      <c r="W35" s="464"/>
      <c r="X35" s="464"/>
      <c r="Y35" s="796"/>
    </row>
    <row r="36" spans="1:25" ht="15" customHeight="1">
      <c r="A36" s="788"/>
      <c r="B36" s="819"/>
      <c r="C36" s="884"/>
      <c r="D36" s="4539"/>
      <c r="E36" s="2494" t="s">
        <v>29</v>
      </c>
      <c r="F36" s="3122">
        <f>F12+F14+F16+F18+F20+F22+F24+F26+F28+F30+F32+F34</f>
        <v>0</v>
      </c>
      <c r="G36" s="3123">
        <f t="shared" si="1"/>
        <v>0</v>
      </c>
      <c r="H36" s="3123">
        <f t="shared" si="1"/>
        <v>0</v>
      </c>
      <c r="I36" s="3123">
        <f t="shared" si="1"/>
        <v>0</v>
      </c>
      <c r="J36" s="3124">
        <f t="shared" si="1"/>
        <v>0</v>
      </c>
      <c r="K36" s="3117">
        <f>K12+K14+K16+K18+K20+K22+K24+K26+K28+K30+K32+K34</f>
        <v>0</v>
      </c>
      <c r="L36" s="3125" t="str">
        <f>IF(('الصفحة 1'!$Q$14&gt;0),IF(('الصفحة 27'!M36&gt;0),IF((('الصفحة 27'!M36)&lt;&gt;('الصفحة 27'!N58)),"خطء",""),""),"")</f>
        <v/>
      </c>
      <c r="M36" s="3117">
        <f>M12+M14+M16+M18+M20+M22+M24+M26+M28+M30+M32+M34</f>
        <v>26</v>
      </c>
      <c r="N36" s="1032"/>
      <c r="O36" s="1032"/>
      <c r="P36" s="873"/>
      <c r="Q36" s="872"/>
      <c r="R36" s="1004"/>
      <c r="S36" s="464"/>
      <c r="T36" s="464"/>
      <c r="U36" s="464"/>
      <c r="V36" s="464"/>
      <c r="W36" s="464"/>
      <c r="X36" s="464"/>
      <c r="Y36" s="796"/>
    </row>
    <row r="37" spans="1:25" ht="15.9" customHeight="1">
      <c r="A37" s="788"/>
      <c r="B37" s="819"/>
      <c r="C37" s="884"/>
      <c r="D37" s="1316"/>
      <c r="E37" s="1316"/>
      <c r="F37" s="1316"/>
      <c r="G37" s="1316"/>
      <c r="H37" s="1316"/>
      <c r="I37" s="1316"/>
      <c r="J37" s="1316"/>
      <c r="K37" s="1032"/>
      <c r="L37" s="1316"/>
      <c r="M37" s="2495"/>
      <c r="N37" s="1032"/>
      <c r="O37" s="1032"/>
      <c r="P37" s="873"/>
      <c r="Q37" s="872"/>
      <c r="R37" s="1004"/>
      <c r="S37" s="464"/>
      <c r="T37" s="464"/>
      <c r="U37" s="464"/>
      <c r="V37" s="464"/>
      <c r="W37" s="464"/>
      <c r="X37" s="464"/>
      <c r="Y37" s="796"/>
    </row>
    <row r="38" spans="1:25" ht="15" customHeight="1">
      <c r="A38" s="788"/>
      <c r="B38" s="819"/>
      <c r="C38" s="884"/>
      <c r="D38" s="649"/>
      <c r="E38" s="649"/>
      <c r="F38" s="649"/>
      <c r="G38" s="649"/>
      <c r="H38" s="649"/>
      <c r="I38" s="649"/>
      <c r="J38" s="649"/>
      <c r="K38" s="649"/>
      <c r="L38" s="649"/>
      <c r="M38" s="874"/>
      <c r="P38" s="873"/>
      <c r="Q38" s="872"/>
      <c r="R38" s="1004"/>
      <c r="S38" s="464"/>
      <c r="T38" s="464"/>
      <c r="U38" s="464"/>
      <c r="V38" s="464"/>
      <c r="W38" s="464"/>
      <c r="X38" s="464"/>
      <c r="Y38" s="796"/>
    </row>
    <row r="39" spans="1:25" ht="18" customHeight="1">
      <c r="A39" s="788"/>
      <c r="B39" s="819"/>
      <c r="C39" s="2048"/>
      <c r="D39" s="1941" t="s">
        <v>1411</v>
      </c>
      <c r="E39" s="955"/>
      <c r="F39" s="955"/>
      <c r="G39" s="955"/>
      <c r="H39" s="955"/>
      <c r="I39" s="955"/>
      <c r="J39" s="776"/>
      <c r="K39" s="955"/>
      <c r="L39" s="955"/>
      <c r="M39" s="955"/>
      <c r="N39" s="955"/>
      <c r="O39" s="955"/>
      <c r="P39" s="962"/>
      <c r="Q39" s="872"/>
      <c r="R39" s="1004"/>
      <c r="S39" s="4587" t="s">
        <v>1207</v>
      </c>
      <c r="T39" s="4587"/>
      <c r="U39" s="4587"/>
      <c r="V39" s="4587"/>
      <c r="W39" s="4587"/>
      <c r="X39" s="2760"/>
      <c r="Y39" s="796"/>
    </row>
    <row r="40" spans="1:25" ht="15" customHeight="1">
      <c r="A40" s="788"/>
      <c r="B40" s="819"/>
      <c r="C40" s="884"/>
      <c r="D40" s="3164"/>
      <c r="E40" s="649"/>
      <c r="F40" s="649"/>
      <c r="G40" s="649"/>
      <c r="H40" s="649"/>
      <c r="I40" s="649"/>
      <c r="J40" s="649"/>
      <c r="K40" s="649"/>
      <c r="L40" s="649"/>
      <c r="M40" s="649"/>
      <c r="N40" s="649"/>
      <c r="O40" s="649"/>
      <c r="P40" s="873"/>
      <c r="Q40" s="872"/>
      <c r="R40" s="1004"/>
      <c r="S40" s="4587"/>
      <c r="T40" s="4587"/>
      <c r="U40" s="4587"/>
      <c r="V40" s="4587"/>
      <c r="W40" s="4587"/>
      <c r="X40" s="1950"/>
      <c r="Y40" s="796"/>
    </row>
    <row r="41" spans="1:25" ht="15" customHeight="1">
      <c r="A41" s="788"/>
      <c r="B41" s="819"/>
      <c r="C41" s="884"/>
      <c r="D41" s="4487" t="s">
        <v>125</v>
      </c>
      <c r="E41" s="4488"/>
      <c r="F41" s="4433" t="s">
        <v>124</v>
      </c>
      <c r="G41" s="4560" t="s">
        <v>123</v>
      </c>
      <c r="H41" s="4561"/>
      <c r="I41" s="4561"/>
      <c r="J41" s="4561"/>
      <c r="K41" s="4561"/>
      <c r="L41" s="4561"/>
      <c r="M41" s="4561"/>
      <c r="N41" s="4562"/>
      <c r="O41" s="4563" t="s">
        <v>122</v>
      </c>
      <c r="P41" s="873"/>
      <c r="Q41" s="872"/>
      <c r="R41" s="1004"/>
      <c r="S41" s="4587"/>
      <c r="T41" s="4587"/>
      <c r="U41" s="4587"/>
      <c r="V41" s="4587"/>
      <c r="W41" s="4587"/>
      <c r="X41" s="1950"/>
      <c r="Y41" s="796"/>
    </row>
    <row r="42" spans="1:25" ht="15" customHeight="1">
      <c r="A42" s="788"/>
      <c r="B42" s="819"/>
      <c r="C42" s="884"/>
      <c r="D42" s="1327"/>
      <c r="E42" s="1328"/>
      <c r="F42" s="4558"/>
      <c r="G42" s="4566" t="s">
        <v>1115</v>
      </c>
      <c r="H42" s="4567"/>
      <c r="I42" s="4568" t="s">
        <v>585</v>
      </c>
      <c r="J42" s="4569"/>
      <c r="K42" s="4566" t="s">
        <v>119</v>
      </c>
      <c r="L42" s="4567"/>
      <c r="M42" s="4570" t="s">
        <v>1422</v>
      </c>
      <c r="N42" s="4571"/>
      <c r="O42" s="4564"/>
      <c r="P42" s="873"/>
      <c r="Q42" s="872"/>
      <c r="R42" s="1004"/>
      <c r="S42" s="2760"/>
      <c r="T42" s="2760"/>
      <c r="U42" s="2760"/>
      <c r="V42" s="2760"/>
      <c r="W42" s="2760"/>
      <c r="X42" s="1950"/>
      <c r="Y42" s="796"/>
    </row>
    <row r="43" spans="1:25" ht="15" customHeight="1">
      <c r="A43" s="788"/>
      <c r="B43" s="819"/>
      <c r="C43" s="884"/>
      <c r="D43" s="4572" t="s">
        <v>584</v>
      </c>
      <c r="E43" s="4573"/>
      <c r="F43" s="4559"/>
      <c r="G43" s="1324" t="s">
        <v>20</v>
      </c>
      <c r="H43" s="1325" t="s">
        <v>29</v>
      </c>
      <c r="I43" s="642" t="s">
        <v>20</v>
      </c>
      <c r="J43" s="643" t="s">
        <v>29</v>
      </c>
      <c r="K43" s="1324" t="s">
        <v>20</v>
      </c>
      <c r="L43" s="1325" t="s">
        <v>29</v>
      </c>
      <c r="M43" s="964" t="s">
        <v>20</v>
      </c>
      <c r="N43" s="990" t="s">
        <v>29</v>
      </c>
      <c r="O43" s="4565"/>
      <c r="P43" s="873"/>
      <c r="Q43" s="872"/>
      <c r="R43" s="1004"/>
      <c r="S43" s="3194" t="s">
        <v>583</v>
      </c>
      <c r="T43" s="4583" t="s">
        <v>124</v>
      </c>
      <c r="U43" s="4584"/>
      <c r="V43" s="4583" t="s">
        <v>123</v>
      </c>
      <c r="W43" s="4584"/>
      <c r="X43" s="1950"/>
      <c r="Y43" s="796"/>
    </row>
    <row r="44" spans="1:25" ht="15" customHeight="1">
      <c r="A44" s="788"/>
      <c r="B44" s="819"/>
      <c r="C44" s="884"/>
      <c r="D44" s="4574" t="s">
        <v>47</v>
      </c>
      <c r="E44" s="4579"/>
      <c r="F44" s="1281">
        <f>'الصفحة 14'!$E$23</f>
        <v>7</v>
      </c>
      <c r="G44" s="526">
        <v>5</v>
      </c>
      <c r="H44" s="523">
        <v>4</v>
      </c>
      <c r="I44" s="1318">
        <v>0</v>
      </c>
      <c r="J44" s="1319">
        <v>0</v>
      </c>
      <c r="K44" s="1281">
        <f>'الصفحة 15'!$P$33</f>
        <v>2</v>
      </c>
      <c r="L44" s="1282">
        <f>'الصفحة 15'!$P$34</f>
        <v>2</v>
      </c>
      <c r="M44" s="766">
        <f t="shared" ref="M44:N54" si="2">G44+I44+K44</f>
        <v>7</v>
      </c>
      <c r="N44" s="767">
        <f t="shared" si="2"/>
        <v>6</v>
      </c>
      <c r="O44" s="2051">
        <f t="shared" ref="O44:O54" si="3">F44-(G44+I44+K44)</f>
        <v>0</v>
      </c>
      <c r="P44" s="873"/>
      <c r="Q44" s="872"/>
      <c r="R44" s="1004"/>
      <c r="S44" s="3110" t="s">
        <v>47</v>
      </c>
      <c r="T44" s="4585" t="str">
        <f>IF(('الصفحة 1'!$Q$14&gt;0),((IF((F44=""),"اللغــة العربية",IF((F44=0)," ",IF((F44&gt;0),""))))),"")</f>
        <v/>
      </c>
      <c r="U44" s="4586"/>
      <c r="V44" s="4585" t="str">
        <f>IF(('الصفحة 1'!$Q$14&gt;0),(IF((F44=0),(IF((M44&gt;0),("المناصب المفتوحة في المادة ؟"),(IF((M44=""),(""),(IF((M44=0),(""),(""))))))),(""))),(""))</f>
        <v/>
      </c>
      <c r="W44" s="4586"/>
      <c r="X44" s="1950"/>
      <c r="Y44" s="796"/>
    </row>
    <row r="45" spans="1:25" ht="15" customHeight="1">
      <c r="A45" s="788"/>
      <c r="B45" s="819"/>
      <c r="C45" s="884"/>
      <c r="D45" s="4576" t="s">
        <v>46</v>
      </c>
      <c r="E45" s="4580"/>
      <c r="F45" s="1283">
        <f>'الصفحة 14'!$F$23</f>
        <v>0</v>
      </c>
      <c r="G45" s="527"/>
      <c r="H45" s="524"/>
      <c r="I45" s="1320"/>
      <c r="J45" s="1321"/>
      <c r="K45" s="1283">
        <f>'الصفحة 16'!$P$33</f>
        <v>0</v>
      </c>
      <c r="L45" s="1284">
        <f>'الصفحة 16'!$P$34</f>
        <v>0</v>
      </c>
      <c r="M45" s="768">
        <f t="shared" si="2"/>
        <v>0</v>
      </c>
      <c r="N45" s="769">
        <f t="shared" si="2"/>
        <v>0</v>
      </c>
      <c r="O45" s="2052">
        <f t="shared" si="3"/>
        <v>0</v>
      </c>
      <c r="P45" s="873"/>
      <c r="Q45" s="872"/>
      <c r="R45" s="1004"/>
      <c r="S45" s="3195" t="s">
        <v>46</v>
      </c>
      <c r="T45" s="4585" t="str">
        <f>IF(('الصفحة 1'!$Q$14&gt;0),((IF((F45=""),"اللغــة الأمازيغية",IF((F45=0)," ",IF((F45&gt;0),""))))),"")</f>
        <v xml:space="preserve"> </v>
      </c>
      <c r="U45" s="4586"/>
      <c r="V45" s="4585" t="str">
        <f>IF(('الصفحة 1'!$Q$14&gt;0),(IF((F45=0),(IF((M45&gt;0),("المناصب المفتوحة في المادة ؟"),(IF((M45=""),(""),(IF((M45=0),(""),(""))))))),(""))),(""))</f>
        <v/>
      </c>
      <c r="W45" s="4586"/>
      <c r="X45" s="1950"/>
      <c r="Y45" s="796"/>
    </row>
    <row r="46" spans="1:25" ht="15" customHeight="1">
      <c r="A46" s="788"/>
      <c r="B46" s="819"/>
      <c r="C46" s="884"/>
      <c r="D46" s="4574" t="s">
        <v>45</v>
      </c>
      <c r="E46" s="4579"/>
      <c r="F46" s="1283">
        <f>'الصفحة 14'!$G$23</f>
        <v>3</v>
      </c>
      <c r="G46" s="527">
        <v>3</v>
      </c>
      <c r="H46" s="524">
        <v>2</v>
      </c>
      <c r="I46" s="1320"/>
      <c r="J46" s="1321"/>
      <c r="K46" s="1283">
        <f>'الصفحة 17'!$P$33</f>
        <v>0</v>
      </c>
      <c r="L46" s="1284">
        <f>'الصفحة 17'!$P$34</f>
        <v>0</v>
      </c>
      <c r="M46" s="768">
        <f t="shared" si="2"/>
        <v>3</v>
      </c>
      <c r="N46" s="769">
        <f t="shared" si="2"/>
        <v>2</v>
      </c>
      <c r="O46" s="2052">
        <f t="shared" si="3"/>
        <v>0</v>
      </c>
      <c r="P46" s="873"/>
      <c r="Q46" s="872"/>
      <c r="R46" s="1004"/>
      <c r="S46" s="3110" t="s">
        <v>45</v>
      </c>
      <c r="T46" s="4585" t="str">
        <f>IF(('الصفحة 1'!$Q$14&gt;0),((IF((F46=""),"التاريخ والجغرافيا",IF((F46=0)," ",IF((F46&gt;0),""))))),"")</f>
        <v/>
      </c>
      <c r="U46" s="4586"/>
      <c r="V46" s="4585" t="str">
        <f>IF(('الصفحة 1'!$Q$14&gt;0),(IF((F46=0),(IF((M46&gt;0),("المناصب المفتوحة في المادة ؟"),(IF((M46=""),(""),(IF((M46=0),(""),(""))))))),(""))),(""))</f>
        <v/>
      </c>
      <c r="W46" s="4586"/>
      <c r="X46" s="1950"/>
      <c r="Y46" s="796"/>
    </row>
    <row r="47" spans="1:25" ht="15" customHeight="1">
      <c r="A47" s="788"/>
      <c r="B47" s="819"/>
      <c r="C47" s="884"/>
      <c r="D47" s="4576" t="s">
        <v>44</v>
      </c>
      <c r="E47" s="4580"/>
      <c r="F47" s="1283">
        <f>'الصفحة 14'!$H$23</f>
        <v>6</v>
      </c>
      <c r="G47" s="527">
        <v>4</v>
      </c>
      <c r="H47" s="524">
        <v>4</v>
      </c>
      <c r="I47" s="1320"/>
      <c r="J47" s="1321"/>
      <c r="K47" s="1283">
        <f>'الصفحة 18'!$P$33</f>
        <v>2</v>
      </c>
      <c r="L47" s="1284">
        <f>'الصفحة 18'!$P$34</f>
        <v>2</v>
      </c>
      <c r="M47" s="768">
        <f t="shared" si="2"/>
        <v>6</v>
      </c>
      <c r="N47" s="769">
        <f t="shared" si="2"/>
        <v>6</v>
      </c>
      <c r="O47" s="2052">
        <f t="shared" si="3"/>
        <v>0</v>
      </c>
      <c r="P47" s="873"/>
      <c r="Q47" s="872"/>
      <c r="R47" s="1004"/>
      <c r="S47" s="3195" t="s">
        <v>44</v>
      </c>
      <c r="T47" s="4585" t="str">
        <f>IF(('الصفحة 1'!$Q$14&gt;0),((IF((F47=""),"اللغــة الفرنسية",IF((F47=0)," ",IF((F47&gt;0),""))))),"")</f>
        <v/>
      </c>
      <c r="U47" s="4586"/>
      <c r="V47" s="4585" t="str">
        <f>IF(('الصفحة 1'!$Q$14&gt;0),(IF((F47=0),(IF((M47&gt;0),("المناصب المفتوحة في المادة ؟"),(IF((M47=""),(""),(IF((M47=0),(""),(""))))))),(""))),(""))</f>
        <v/>
      </c>
      <c r="W47" s="4586"/>
      <c r="X47" s="1950"/>
      <c r="Y47" s="796"/>
    </row>
    <row r="48" spans="1:25" ht="15" customHeight="1">
      <c r="A48" s="788"/>
      <c r="B48" s="819"/>
      <c r="C48" s="884"/>
      <c r="D48" s="4574" t="s">
        <v>43</v>
      </c>
      <c r="E48" s="4579"/>
      <c r="F48" s="1283">
        <f>'الصفحة 14'!$I$23</f>
        <v>4</v>
      </c>
      <c r="G48" s="527">
        <v>3</v>
      </c>
      <c r="H48" s="524">
        <v>2</v>
      </c>
      <c r="I48" s="1320"/>
      <c r="J48" s="1321"/>
      <c r="K48" s="1283">
        <f>'الصفحة 19'!$P$33</f>
        <v>1</v>
      </c>
      <c r="L48" s="1284">
        <f>'الصفحة 19'!$P$34</f>
        <v>1</v>
      </c>
      <c r="M48" s="768">
        <f t="shared" si="2"/>
        <v>4</v>
      </c>
      <c r="N48" s="769">
        <f t="shared" si="2"/>
        <v>3</v>
      </c>
      <c r="O48" s="2052">
        <f t="shared" si="3"/>
        <v>0</v>
      </c>
      <c r="P48" s="873"/>
      <c r="Q48" s="872"/>
      <c r="R48" s="1004"/>
      <c r="S48" s="3110" t="s">
        <v>43</v>
      </c>
      <c r="T48" s="4585" t="str">
        <f>IF(('الصفحة 1'!$Q$14&gt;0),((IF((F48=""),"اللغــة الأنجليزية",IF((F48=0)," ",IF((F48&gt;0),""))))),"")</f>
        <v/>
      </c>
      <c r="U48" s="4586"/>
      <c r="V48" s="4585" t="str">
        <f>IF(('الصفحة 1'!$Q$14&gt;0),(IF((F48=0),(IF((M48&gt;0),("المناصب المفتوحة في المادة ؟"),(IF((M48=""),(""),(IF((M48=0),(""),(""))))))),(""))),(""))</f>
        <v/>
      </c>
      <c r="W48" s="4586"/>
      <c r="X48" s="1950"/>
      <c r="Y48" s="796"/>
    </row>
    <row r="49" spans="1:25" ht="15" customHeight="1">
      <c r="A49" s="788"/>
      <c r="B49" s="819"/>
      <c r="C49" s="884"/>
      <c r="D49" s="4576" t="s">
        <v>42</v>
      </c>
      <c r="E49" s="4580"/>
      <c r="F49" s="1283">
        <f>'الصفحة 14'!$J$23</f>
        <v>6</v>
      </c>
      <c r="G49" s="527">
        <v>5</v>
      </c>
      <c r="H49" s="524">
        <v>3</v>
      </c>
      <c r="I49" s="1320"/>
      <c r="J49" s="1321"/>
      <c r="K49" s="1283">
        <f>'الصفحة 20'!$P$33</f>
        <v>1</v>
      </c>
      <c r="L49" s="1284">
        <f>'الصفحة 20'!$P$34</f>
        <v>1</v>
      </c>
      <c r="M49" s="768">
        <f t="shared" si="2"/>
        <v>6</v>
      </c>
      <c r="N49" s="769">
        <f t="shared" si="2"/>
        <v>4</v>
      </c>
      <c r="O49" s="2052">
        <f t="shared" si="3"/>
        <v>0</v>
      </c>
      <c r="P49" s="873"/>
      <c r="Q49" s="872"/>
      <c r="R49" s="1004"/>
      <c r="S49" s="3195" t="s">
        <v>42</v>
      </c>
      <c r="T49" s="4585" t="str">
        <f>IF(('الصفحة 1'!$Q$14&gt;0),((IF((F49=""),"الرياضيـات",IF((F49=0)," ",IF((F49&gt;0),""))))),"")</f>
        <v/>
      </c>
      <c r="U49" s="4586"/>
      <c r="V49" s="4585" t="str">
        <f>IF(('الصفحة 1'!$Q$14&gt;0),(IF((F49=0),(IF((M49&gt;0),("المناصب المفتوحة في المادة ؟"),(IF((M49=""),(""),(IF((M49=0),(""),(""))))))),(""))),(""))</f>
        <v/>
      </c>
      <c r="W49" s="4586"/>
      <c r="X49" s="1950"/>
      <c r="Y49" s="796"/>
    </row>
    <row r="50" spans="1:25" ht="15" customHeight="1">
      <c r="A50" s="788"/>
      <c r="B50" s="819"/>
      <c r="C50" s="884"/>
      <c r="D50" s="4574" t="s">
        <v>1111</v>
      </c>
      <c r="E50" s="4575"/>
      <c r="F50" s="1283">
        <f>'الصفحة 14'!$K$23</f>
        <v>3</v>
      </c>
      <c r="G50" s="527">
        <v>3</v>
      </c>
      <c r="H50" s="524">
        <v>2</v>
      </c>
      <c r="I50" s="1320"/>
      <c r="J50" s="1321"/>
      <c r="K50" s="1283">
        <f>'الصفحة 21'!$P$33</f>
        <v>0</v>
      </c>
      <c r="L50" s="1284">
        <f>'الصفحة 21'!$P$34</f>
        <v>0</v>
      </c>
      <c r="M50" s="768">
        <f t="shared" si="2"/>
        <v>3</v>
      </c>
      <c r="N50" s="769">
        <f t="shared" si="2"/>
        <v>2</v>
      </c>
      <c r="O50" s="2052">
        <f t="shared" si="3"/>
        <v>0</v>
      </c>
      <c r="P50" s="873"/>
      <c r="Q50" s="872"/>
      <c r="R50" s="1004"/>
      <c r="S50" s="3110" t="s">
        <v>1111</v>
      </c>
      <c r="T50" s="4585" t="str">
        <f>IF(('الصفحة 1'!$Q$14&gt;0),((IF((F50=""),"العلوم ف والتكنولوجيا",IF((F50=0)," ",IF((F50&gt;0),""))))),"")</f>
        <v/>
      </c>
      <c r="U50" s="4586"/>
      <c r="V50" s="4585" t="str">
        <f>IF(('الصفحة 1'!$Q$14&gt;0),(IF((F50=0),(IF((M50&gt;0),("المناصب المفتوحة في المادة ؟"),(IF((M50=""),(""),(IF((M50=0),(""),(""))))))),(""))),(""))</f>
        <v/>
      </c>
      <c r="W50" s="4586"/>
      <c r="X50" s="1950"/>
      <c r="Y50" s="796"/>
    </row>
    <row r="51" spans="1:25" ht="15" customHeight="1">
      <c r="A51" s="788"/>
      <c r="B51" s="819"/>
      <c r="C51" s="884"/>
      <c r="D51" s="4576" t="s">
        <v>40</v>
      </c>
      <c r="E51" s="4577"/>
      <c r="F51" s="1283">
        <f>'الصفحة 14'!$L$23</f>
        <v>3</v>
      </c>
      <c r="G51" s="527">
        <v>3</v>
      </c>
      <c r="H51" s="524">
        <v>3</v>
      </c>
      <c r="I51" s="1320"/>
      <c r="J51" s="1321"/>
      <c r="K51" s="1283">
        <f>'الصفحة 22'!$P$33</f>
        <v>0</v>
      </c>
      <c r="L51" s="1284">
        <f>'الصفحة 22'!$P$34</f>
        <v>0</v>
      </c>
      <c r="M51" s="768">
        <f t="shared" si="2"/>
        <v>3</v>
      </c>
      <c r="N51" s="769">
        <f t="shared" si="2"/>
        <v>3</v>
      </c>
      <c r="O51" s="2052">
        <f t="shared" si="3"/>
        <v>0</v>
      </c>
      <c r="P51" s="873"/>
      <c r="Q51" s="872"/>
      <c r="R51" s="1004"/>
      <c r="S51" s="3195" t="s">
        <v>40</v>
      </c>
      <c r="T51" s="4585" t="str">
        <f>IF(('الصفحة 1'!$Q$14&gt;0),((IF((F51=""),"علوم الطبيعة والحياة",IF((F51=0)," ",IF((F51&gt;0),""))))),"")</f>
        <v/>
      </c>
      <c r="U51" s="4586"/>
      <c r="V51" s="4585" t="str">
        <f>IF(('الصفحة 1'!$Q$14&gt;0),(IF((F51=0),(IF((M51&gt;0),("المناصب المفتوحة في المادة ؟"),(IF((M51=""),(""),(IF((M51=0),(""),(""))))))),(""))),(""))</f>
        <v/>
      </c>
      <c r="W51" s="4586"/>
      <c r="X51" s="1950"/>
      <c r="Y51" s="796"/>
    </row>
    <row r="52" spans="1:25" ht="15" customHeight="1">
      <c r="A52" s="788"/>
      <c r="B52" s="819"/>
      <c r="C52" s="884"/>
      <c r="D52" s="4574" t="s">
        <v>39</v>
      </c>
      <c r="E52" s="4578"/>
      <c r="F52" s="1283">
        <f>'الصفحة 14'!$M$23</f>
        <v>0</v>
      </c>
      <c r="G52" s="527"/>
      <c r="H52" s="524"/>
      <c r="I52" s="1320"/>
      <c r="J52" s="1321"/>
      <c r="K52" s="1283">
        <f>'الصفحة 23'!$P$33</f>
        <v>0</v>
      </c>
      <c r="L52" s="1284">
        <f>'الصفحة 23'!$P$34</f>
        <v>0</v>
      </c>
      <c r="M52" s="768">
        <f t="shared" si="2"/>
        <v>0</v>
      </c>
      <c r="N52" s="769">
        <f t="shared" si="2"/>
        <v>0</v>
      </c>
      <c r="O52" s="2052">
        <f t="shared" si="3"/>
        <v>0</v>
      </c>
      <c r="P52" s="873"/>
      <c r="Q52" s="872"/>
      <c r="R52" s="1004"/>
      <c r="S52" s="3110" t="s">
        <v>39</v>
      </c>
      <c r="T52" s="4585" t="str">
        <f>IF(('الصفحة 1'!$Q$14&gt;0),((IF((F52=""),"التربية الموسيقية",IF((F52=0)," ",IF((F52&gt;0),""))))),"")</f>
        <v xml:space="preserve"> </v>
      </c>
      <c r="U52" s="4586"/>
      <c r="V52" s="4585" t="str">
        <f>IF(('الصفحة 1'!$Q$14&gt;0),(IF((F52=0),(IF((M52&gt;0),("المناصب المفتوحة في المادة ؟"),(IF((M52=""),(""),(IF((M52=0),(""),(""))))))),(""))),(""))</f>
        <v/>
      </c>
      <c r="W52" s="4586"/>
      <c r="X52" s="1950"/>
      <c r="Y52" s="796"/>
    </row>
    <row r="53" spans="1:25" ht="15" customHeight="1">
      <c r="A53" s="788"/>
      <c r="B53" s="819"/>
      <c r="C53" s="884"/>
      <c r="D53" s="4576" t="s">
        <v>38</v>
      </c>
      <c r="E53" s="4577"/>
      <c r="F53" s="1283">
        <f>'الصفحة 14'!$N$23</f>
        <v>0</v>
      </c>
      <c r="G53" s="527"/>
      <c r="H53" s="524"/>
      <c r="I53" s="1320"/>
      <c r="J53" s="1321"/>
      <c r="K53" s="1283">
        <f>'الصفحة 24'!$P$33</f>
        <v>0</v>
      </c>
      <c r="L53" s="1284">
        <f>'الصفحة 24'!$P$34</f>
        <v>0</v>
      </c>
      <c r="M53" s="768">
        <f t="shared" si="2"/>
        <v>0</v>
      </c>
      <c r="N53" s="769">
        <f t="shared" si="2"/>
        <v>0</v>
      </c>
      <c r="O53" s="2052">
        <f t="shared" si="3"/>
        <v>0</v>
      </c>
      <c r="P53" s="873"/>
      <c r="Q53" s="872"/>
      <c r="R53" s="1004"/>
      <c r="S53" s="3195" t="s">
        <v>38</v>
      </c>
      <c r="T53" s="4585" t="str">
        <f>IF(('الصفحة 1'!$Q$14&gt;0),((IF((F53=""),"التربية التشكيلية",IF((F53=0)," ",IF((F53&gt;0),""))))),"")</f>
        <v xml:space="preserve"> </v>
      </c>
      <c r="U53" s="4586"/>
      <c r="V53" s="4585" t="str">
        <f>IF(('الصفحة 1'!$Q$14&gt;0),(IF((F53=0),(IF((M53&gt;0),("المناصب المفتوحة في المادة ؟"),(IF((M53=""),(""),(IF((M53=0),(""),(""))))))),(""))),(""))</f>
        <v/>
      </c>
      <c r="W53" s="4586"/>
      <c r="X53" s="1950"/>
      <c r="Y53" s="796"/>
    </row>
    <row r="54" spans="1:25" ht="15" customHeight="1">
      <c r="A54" s="788"/>
      <c r="B54" s="819"/>
      <c r="C54" s="884"/>
      <c r="D54" s="4574" t="s">
        <v>37</v>
      </c>
      <c r="E54" s="4578"/>
      <c r="F54" s="1283">
        <f>'الصفحة 14'!$O$23</f>
        <v>2</v>
      </c>
      <c r="G54" s="527">
        <v>2</v>
      </c>
      <c r="H54" s="524"/>
      <c r="I54" s="1320"/>
      <c r="J54" s="1321"/>
      <c r="K54" s="1283">
        <f>'الصفحة 25'!$P$33</f>
        <v>0</v>
      </c>
      <c r="L54" s="1284">
        <f>'الصفحة 25'!$P$34</f>
        <v>0</v>
      </c>
      <c r="M54" s="768">
        <f t="shared" si="2"/>
        <v>2</v>
      </c>
      <c r="N54" s="769">
        <f t="shared" si="2"/>
        <v>0</v>
      </c>
      <c r="O54" s="2052">
        <f t="shared" si="3"/>
        <v>0</v>
      </c>
      <c r="P54" s="873"/>
      <c r="Q54" s="872"/>
      <c r="R54" s="1004"/>
      <c r="S54" s="3110" t="s">
        <v>37</v>
      </c>
      <c r="T54" s="4585" t="str">
        <f>IF(('الصفحة 1'!$Q$14&gt;0),((IF((F54=""),"ت البدنية والرياضية",IF((F54=0)," ",IF((F54&gt;0),""))))),"")</f>
        <v/>
      </c>
      <c r="U54" s="4586"/>
      <c r="V54" s="4585" t="str">
        <f>IF(('الصفحة 1'!$Q$14&gt;0),(IF((F54=0),(IF((M54&gt;0),("المناصب المفتوحة في المادة ؟"),(IF((M54=""),(""),(IF((M54=0),(""),(""))))))),(""))),(""))</f>
        <v/>
      </c>
      <c r="W54" s="4586"/>
      <c r="X54" s="1950"/>
      <c r="Y54" s="796"/>
    </row>
    <row r="55" spans="1:25" ht="15" customHeight="1">
      <c r="A55" s="788"/>
      <c r="B55" s="819"/>
      <c r="C55" s="884"/>
      <c r="D55" s="4576" t="s">
        <v>48</v>
      </c>
      <c r="E55" s="4577"/>
      <c r="F55" s="2181">
        <f>'الصفحة 14'!$P$23</f>
        <v>0</v>
      </c>
      <c r="G55" s="528"/>
      <c r="H55" s="525"/>
      <c r="I55" s="1322"/>
      <c r="J55" s="1323"/>
      <c r="K55" s="2181">
        <f>'الصفحة 26'!$P$33</f>
        <v>0</v>
      </c>
      <c r="L55" s="2199">
        <f>'الصفحة 26'!$P$34</f>
        <v>0</v>
      </c>
      <c r="M55" s="770">
        <f>G55+I55+K55</f>
        <v>0</v>
      </c>
      <c r="N55" s="771">
        <f>H55+J55+L55</f>
        <v>0</v>
      </c>
      <c r="O55" s="2053">
        <f>F55-(G55+I55+K55)</f>
        <v>0</v>
      </c>
      <c r="P55" s="873"/>
      <c r="Q55" s="872"/>
      <c r="R55" s="1004"/>
      <c r="S55" s="3195" t="s">
        <v>48</v>
      </c>
      <c r="T55" s="4585" t="str">
        <f>IF(('الصفحة 1'!$Q$14&gt;0),((IF((F55=""),"الإعلام الآلي",IF((F55=0)," ",IF((F55&gt;0),""))))),"")</f>
        <v xml:space="preserve"> </v>
      </c>
      <c r="U55" s="4586"/>
      <c r="V55" s="4585" t="str">
        <f>IF(('الصفحة 1'!$Q$14&gt;0),(IF((F55=0),(IF((M55&gt;0),("المناصب المفتوحة في المادة ؟"),(IF((M55=""),(""),(IF((M55=0),(""),(""))))))),(""))),(""))</f>
        <v/>
      </c>
      <c r="W55" s="4586"/>
      <c r="X55" s="1950"/>
      <c r="Y55" s="796"/>
    </row>
    <row r="56" spans="1:25" ht="15" customHeight="1">
      <c r="A56" s="788"/>
      <c r="B56" s="819"/>
      <c r="C56" s="884"/>
      <c r="D56" s="4581" t="s">
        <v>28</v>
      </c>
      <c r="E56" s="4582"/>
      <c r="F56" s="772">
        <f>SUM(F44:F55)</f>
        <v>34</v>
      </c>
      <c r="G56" s="772">
        <f t="shared" ref="G56:O56" si="4">SUM(G44:G55)</f>
        <v>28</v>
      </c>
      <c r="H56" s="773">
        <f t="shared" si="4"/>
        <v>20</v>
      </c>
      <c r="I56" s="772">
        <f t="shared" si="4"/>
        <v>0</v>
      </c>
      <c r="J56" s="773">
        <f t="shared" si="4"/>
        <v>0</v>
      </c>
      <c r="K56" s="772">
        <f t="shared" si="4"/>
        <v>6</v>
      </c>
      <c r="L56" s="773">
        <f t="shared" si="4"/>
        <v>6</v>
      </c>
      <c r="M56" s="772">
        <f t="shared" si="4"/>
        <v>34</v>
      </c>
      <c r="N56" s="773">
        <f t="shared" si="4"/>
        <v>26</v>
      </c>
      <c r="O56" s="2054">
        <f t="shared" si="4"/>
        <v>0</v>
      </c>
      <c r="P56" s="873"/>
      <c r="Q56" s="872"/>
      <c r="R56" s="1004"/>
      <c r="S56" s="1950"/>
      <c r="T56" s="1950"/>
      <c r="U56" s="1950"/>
      <c r="V56" s="1950"/>
      <c r="W56" s="1950"/>
      <c r="X56" s="1950"/>
      <c r="Y56" s="796"/>
    </row>
    <row r="57" spans="1:25" ht="15" customHeight="1">
      <c r="A57" s="788"/>
      <c r="B57" s="819"/>
      <c r="C57" s="884"/>
      <c r="D57" s="3164"/>
      <c r="E57" s="649"/>
      <c r="F57" s="661"/>
      <c r="G57" s="661"/>
      <c r="H57" s="661"/>
      <c r="I57" s="661"/>
      <c r="J57" s="661"/>
      <c r="K57" s="661"/>
      <c r="L57" s="661"/>
      <c r="M57" s="661"/>
      <c r="N57" s="661"/>
      <c r="O57" s="661"/>
      <c r="P57" s="873"/>
      <c r="Q57" s="872"/>
      <c r="R57" s="1004"/>
      <c r="S57" s="1950" t="s">
        <v>715</v>
      </c>
      <c r="T57" s="1950"/>
      <c r="U57" s="1950"/>
      <c r="V57" s="1950"/>
      <c r="W57" s="1950"/>
      <c r="X57" s="1950"/>
      <c r="Y57" s="796"/>
    </row>
    <row r="58" spans="1:25" ht="6" customHeight="1">
      <c r="A58" s="788"/>
      <c r="B58" s="819"/>
      <c r="C58" s="884"/>
      <c r="D58" s="649"/>
      <c r="E58" s="649"/>
      <c r="F58" s="649"/>
      <c r="G58" s="649"/>
      <c r="H58" s="649"/>
      <c r="I58" s="649"/>
      <c r="J58" s="649"/>
      <c r="K58" s="649"/>
      <c r="L58" s="649"/>
      <c r="M58" s="874"/>
      <c r="P58" s="873"/>
      <c r="Q58" s="872"/>
      <c r="R58" s="1004"/>
      <c r="S58" s="1950"/>
      <c r="T58" s="1950"/>
      <c r="U58" s="1950"/>
      <c r="V58" s="1950"/>
      <c r="W58" s="1950"/>
      <c r="X58" s="1950"/>
      <c r="Y58" s="796"/>
    </row>
    <row r="59" spans="1:25" ht="6" customHeight="1" thickBot="1">
      <c r="A59" s="788"/>
      <c r="B59" s="819"/>
      <c r="C59" s="885"/>
      <c r="D59" s="886"/>
      <c r="E59" s="887"/>
      <c r="F59" s="888"/>
      <c r="G59" s="888"/>
      <c r="H59" s="888"/>
      <c r="I59" s="888"/>
      <c r="J59" s="888"/>
      <c r="K59" s="888"/>
      <c r="L59" s="888"/>
      <c r="M59" s="888"/>
      <c r="N59" s="888"/>
      <c r="O59" s="888"/>
      <c r="P59" s="889"/>
      <c r="Q59" s="872"/>
      <c r="R59" s="1004"/>
      <c r="S59" s="464"/>
      <c r="T59" s="464"/>
      <c r="U59" s="464"/>
      <c r="V59" s="464"/>
      <c r="W59" s="464"/>
      <c r="X59" s="464"/>
      <c r="Y59" s="796"/>
    </row>
    <row r="60" spans="1:25" ht="14.1" customHeight="1" thickBot="1">
      <c r="A60" s="788"/>
      <c r="B60" s="823"/>
      <c r="C60" s="4399">
        <v>28</v>
      </c>
      <c r="D60" s="4399"/>
      <c r="E60" s="4399"/>
      <c r="F60" s="4399"/>
      <c r="G60" s="4399"/>
      <c r="H60" s="4399"/>
      <c r="I60" s="4399"/>
      <c r="J60" s="4399"/>
      <c r="K60" s="4399"/>
      <c r="L60" s="4399"/>
      <c r="M60" s="4399"/>
      <c r="N60" s="4399"/>
      <c r="O60" s="4399"/>
      <c r="P60" s="4399"/>
      <c r="Q60" s="875"/>
      <c r="R60" s="1004"/>
      <c r="S60" s="464"/>
      <c r="T60" s="464"/>
      <c r="U60" s="464"/>
      <c r="V60" s="464"/>
      <c r="W60" s="464"/>
      <c r="X60" s="464"/>
      <c r="Y60" s="796"/>
    </row>
    <row r="61" spans="1:25" ht="14.1" customHeight="1">
      <c r="A61" s="788"/>
      <c r="B61" s="3143" t="str">
        <f>'صفحة الدفتـر'!$B$68</f>
        <v>السنة الدراسية  2022 - 2023</v>
      </c>
      <c r="C61" s="789"/>
      <c r="D61" s="789"/>
      <c r="E61" s="789"/>
      <c r="F61" s="789"/>
      <c r="G61" s="789"/>
      <c r="H61" s="789"/>
      <c r="I61" s="789"/>
      <c r="J61" s="789"/>
      <c r="K61" s="789"/>
      <c r="L61" s="789"/>
      <c r="M61" s="789"/>
      <c r="N61" s="789"/>
      <c r="O61" s="789"/>
      <c r="P61" s="789"/>
      <c r="Q61" s="789"/>
      <c r="R61" s="789"/>
      <c r="S61" s="1056"/>
      <c r="T61" s="1056"/>
      <c r="U61" s="1056"/>
      <c r="V61" s="1056"/>
      <c r="W61" s="1056"/>
      <c r="X61" s="1056"/>
      <c r="Y61" s="796"/>
    </row>
    <row r="62" spans="1:25" ht="15" hidden="1" customHeight="1"/>
    <row r="63" spans="1:25" ht="15" hidden="1" customHeight="1"/>
    <row r="64" spans="1:25"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sheetData>
  <sheetProtection password="D8D3" sheet="1" objects="1" scenarios="1"/>
  <mergeCells count="73">
    <mergeCell ref="T55:U55"/>
    <mergeCell ref="V55:W55"/>
    <mergeCell ref="S39:W41"/>
    <mergeCell ref="T52:U52"/>
    <mergeCell ref="V52:W52"/>
    <mergeCell ref="T53:U53"/>
    <mergeCell ref="V53:W53"/>
    <mergeCell ref="T54:U54"/>
    <mergeCell ref="V54:W54"/>
    <mergeCell ref="T49:U49"/>
    <mergeCell ref="V49:W49"/>
    <mergeCell ref="T50:U50"/>
    <mergeCell ref="V50:W50"/>
    <mergeCell ref="T51:U51"/>
    <mergeCell ref="V51:W51"/>
    <mergeCell ref="D54:E54"/>
    <mergeCell ref="D55:E55"/>
    <mergeCell ref="D56:E56"/>
    <mergeCell ref="T43:U43"/>
    <mergeCell ref="V43:W43"/>
    <mergeCell ref="T44:U44"/>
    <mergeCell ref="V44:W44"/>
    <mergeCell ref="T45:U45"/>
    <mergeCell ref="V45:W45"/>
    <mergeCell ref="T46:U46"/>
    <mergeCell ref="V46:W46"/>
    <mergeCell ref="T47:U47"/>
    <mergeCell ref="V47:W47"/>
    <mergeCell ref="T48:U48"/>
    <mergeCell ref="V48:W48"/>
    <mergeCell ref="D49:E49"/>
    <mergeCell ref="D50:E50"/>
    <mergeCell ref="D51:E51"/>
    <mergeCell ref="D52:E52"/>
    <mergeCell ref="D53:E53"/>
    <mergeCell ref="D44:E44"/>
    <mergeCell ref="D45:E45"/>
    <mergeCell ref="D46:E46"/>
    <mergeCell ref="D47:E47"/>
    <mergeCell ref="D48:E48"/>
    <mergeCell ref="D41:E41"/>
    <mergeCell ref="F41:F43"/>
    <mergeCell ref="G41:N41"/>
    <mergeCell ref="O41:O43"/>
    <mergeCell ref="G42:H42"/>
    <mergeCell ref="I42:J42"/>
    <mergeCell ref="K42:L42"/>
    <mergeCell ref="M42:N42"/>
    <mergeCell ref="D43:E43"/>
    <mergeCell ref="J8:J10"/>
    <mergeCell ref="K8:K10"/>
    <mergeCell ref="D8:E9"/>
    <mergeCell ref="F8:F10"/>
    <mergeCell ref="G8:G10"/>
    <mergeCell ref="H8:H10"/>
    <mergeCell ref="I8:I10"/>
    <mergeCell ref="D10:E10"/>
    <mergeCell ref="S8:X12"/>
    <mergeCell ref="M8:M10"/>
    <mergeCell ref="D35:D36"/>
    <mergeCell ref="C60:P60"/>
    <mergeCell ref="D27:D28"/>
    <mergeCell ref="D11:D12"/>
    <mergeCell ref="D13:D14"/>
    <mergeCell ref="D15:D16"/>
    <mergeCell ref="D17:D18"/>
    <mergeCell ref="D19:D20"/>
    <mergeCell ref="D21:D22"/>
    <mergeCell ref="D23:D24"/>
    <mergeCell ref="D25:D26"/>
    <mergeCell ref="D29:D30"/>
    <mergeCell ref="D31:D32"/>
    <mergeCell ref="D33:D34"/>
  </mergeCells>
  <conditionalFormatting sqref="L35 F33:J33 F31:J31 F29:J29 F27:J27 F25:J25 F23:J23 F21:J21 F19:J19 F17:J17 F15:J15 F13:J13 F11:J11 F37:J37 L11:M11 L13:M13 L15:M15 L17:M17 L19:M19 L21:M21 L23:M23 L25:M25 L27:M27 L29:M29 L31:M31 L33:M33">
    <cfRule type="cellIs" dxfId="1577" priority="186" stopIfTrue="1" operator="equal">
      <formula>0</formula>
    </cfRule>
  </conditionalFormatting>
  <conditionalFormatting sqref="M35 M33 M11 M13 M15 M17 M19 M21 M23 M25 M27 M31 M29 K33 K11 K13 K15 K17 K19 K21 K23 K25 K27 K31 F35:K35 K29">
    <cfRule type="cellIs" dxfId="1576" priority="181" stopIfTrue="1" operator="equal">
      <formula>0</formula>
    </cfRule>
  </conditionalFormatting>
  <conditionalFormatting sqref="F12:J12 L12:M12 L14:M14 L16:M16 L20:M20 L22:M22 L24:M24 L26:M26 L28:M28 L30:M30 L32:M32 L34:M34 L18:M18 F38:J38">
    <cfRule type="cellIs" dxfId="1575" priority="163" stopIfTrue="1" operator="greaterThan">
      <formula>F11</formula>
    </cfRule>
    <cfRule type="cellIs" dxfId="1574" priority="164" stopIfTrue="1" operator="equal">
      <formula>0</formula>
    </cfRule>
  </conditionalFormatting>
  <conditionalFormatting sqref="K12 K36">
    <cfRule type="cellIs" dxfId="1573" priority="161" stopIfTrue="1" operator="greaterThan">
      <formula>K11</formula>
    </cfRule>
    <cfRule type="cellIs" dxfId="1572" priority="162" stopIfTrue="1" operator="equal">
      <formula>0</formula>
    </cfRule>
  </conditionalFormatting>
  <conditionalFormatting sqref="L14 L16 L18 L20 L22 L24 L26 L28 L30 L32 L34 L36">
    <cfRule type="cellIs" dxfId="1571" priority="159" stopIfTrue="1" operator="greaterThan">
      <formula>L13</formula>
    </cfRule>
    <cfRule type="cellIs" dxfId="1570" priority="160" stopIfTrue="1" operator="equal">
      <formula>0</formula>
    </cfRule>
  </conditionalFormatting>
  <conditionalFormatting sqref="F14:J14">
    <cfRule type="cellIs" dxfId="1569" priority="157" stopIfTrue="1" operator="greaterThan">
      <formula>F13</formula>
    </cfRule>
    <cfRule type="cellIs" dxfId="1568" priority="158" stopIfTrue="1" operator="equal">
      <formula>0</formula>
    </cfRule>
  </conditionalFormatting>
  <conditionalFormatting sqref="K14">
    <cfRule type="cellIs" dxfId="1567" priority="155" stopIfTrue="1" operator="greaterThan">
      <formula>K13</formula>
    </cfRule>
    <cfRule type="cellIs" dxfId="1566" priority="156" stopIfTrue="1" operator="equal">
      <formula>0</formula>
    </cfRule>
  </conditionalFormatting>
  <conditionalFormatting sqref="F16:J16">
    <cfRule type="cellIs" dxfId="1565" priority="151" stopIfTrue="1" operator="greaterThan">
      <formula>F15</formula>
    </cfRule>
    <cfRule type="cellIs" dxfId="1564" priority="152" stopIfTrue="1" operator="equal">
      <formula>0</formula>
    </cfRule>
  </conditionalFormatting>
  <conditionalFormatting sqref="K16">
    <cfRule type="cellIs" dxfId="1563" priority="149" stopIfTrue="1" operator="greaterThan">
      <formula>K15</formula>
    </cfRule>
    <cfRule type="cellIs" dxfId="1562" priority="150" stopIfTrue="1" operator="equal">
      <formula>0</formula>
    </cfRule>
  </conditionalFormatting>
  <conditionalFormatting sqref="F18:J18">
    <cfRule type="cellIs" dxfId="1561" priority="145" stopIfTrue="1" operator="greaterThan">
      <formula>F17</formula>
    </cfRule>
    <cfRule type="cellIs" dxfId="1560" priority="146" stopIfTrue="1" operator="equal">
      <formula>0</formula>
    </cfRule>
  </conditionalFormatting>
  <conditionalFormatting sqref="K18">
    <cfRule type="cellIs" dxfId="1559" priority="143" stopIfTrue="1" operator="greaterThan">
      <formula>K17</formula>
    </cfRule>
    <cfRule type="cellIs" dxfId="1558" priority="144" stopIfTrue="1" operator="equal">
      <formula>0</formula>
    </cfRule>
  </conditionalFormatting>
  <conditionalFormatting sqref="F20:J20">
    <cfRule type="cellIs" dxfId="1557" priority="139" stopIfTrue="1" operator="greaterThan">
      <formula>F19</formula>
    </cfRule>
    <cfRule type="cellIs" dxfId="1556" priority="140" stopIfTrue="1" operator="equal">
      <formula>0</formula>
    </cfRule>
  </conditionalFormatting>
  <conditionalFormatting sqref="K20">
    <cfRule type="cellIs" dxfId="1555" priority="137" stopIfTrue="1" operator="greaterThan">
      <formula>K19</formula>
    </cfRule>
    <cfRule type="cellIs" dxfId="1554" priority="138" stopIfTrue="1" operator="equal">
      <formula>0</formula>
    </cfRule>
  </conditionalFormatting>
  <conditionalFormatting sqref="F22:J22">
    <cfRule type="cellIs" dxfId="1553" priority="133" stopIfTrue="1" operator="greaterThan">
      <formula>F21</formula>
    </cfRule>
    <cfRule type="cellIs" dxfId="1552" priority="134" stopIfTrue="1" operator="equal">
      <formula>0</formula>
    </cfRule>
  </conditionalFormatting>
  <conditionalFormatting sqref="K22">
    <cfRule type="cellIs" dxfId="1551" priority="131" stopIfTrue="1" operator="greaterThan">
      <formula>K21</formula>
    </cfRule>
    <cfRule type="cellIs" dxfId="1550" priority="132" stopIfTrue="1" operator="equal">
      <formula>0</formula>
    </cfRule>
  </conditionalFormatting>
  <conditionalFormatting sqref="F24:J24">
    <cfRule type="cellIs" dxfId="1549" priority="127" stopIfTrue="1" operator="greaterThan">
      <formula>F23</formula>
    </cfRule>
    <cfRule type="cellIs" dxfId="1548" priority="128" stopIfTrue="1" operator="equal">
      <formula>0</formula>
    </cfRule>
  </conditionalFormatting>
  <conditionalFormatting sqref="K24">
    <cfRule type="cellIs" dxfId="1547" priority="125" stopIfTrue="1" operator="greaterThan">
      <formula>K23</formula>
    </cfRule>
    <cfRule type="cellIs" dxfId="1546" priority="126" stopIfTrue="1" operator="equal">
      <formula>0</formula>
    </cfRule>
  </conditionalFormatting>
  <conditionalFormatting sqref="F26:J26">
    <cfRule type="cellIs" dxfId="1545" priority="121" stopIfTrue="1" operator="greaterThan">
      <formula>F25</formula>
    </cfRule>
    <cfRule type="cellIs" dxfId="1544" priority="122" stopIfTrue="1" operator="equal">
      <formula>0</formula>
    </cfRule>
  </conditionalFormatting>
  <conditionalFormatting sqref="K26">
    <cfRule type="cellIs" dxfId="1543" priority="119" stopIfTrue="1" operator="greaterThan">
      <formula>K25</formula>
    </cfRule>
    <cfRule type="cellIs" dxfId="1542" priority="120" stopIfTrue="1" operator="equal">
      <formula>0</formula>
    </cfRule>
  </conditionalFormatting>
  <conditionalFormatting sqref="F28:J28">
    <cfRule type="cellIs" dxfId="1541" priority="115" stopIfTrue="1" operator="greaterThan">
      <formula>F27</formula>
    </cfRule>
    <cfRule type="cellIs" dxfId="1540" priority="116" stopIfTrue="1" operator="equal">
      <formula>0</formula>
    </cfRule>
  </conditionalFormatting>
  <conditionalFormatting sqref="F30:J30">
    <cfRule type="cellIs" dxfId="1539" priority="111" stopIfTrue="1" operator="greaterThan">
      <formula>F29</formula>
    </cfRule>
    <cfRule type="cellIs" dxfId="1538" priority="112" stopIfTrue="1" operator="equal">
      <formula>0</formula>
    </cfRule>
  </conditionalFormatting>
  <conditionalFormatting sqref="F32:J32">
    <cfRule type="cellIs" dxfId="1537" priority="107" stopIfTrue="1" operator="greaterThan">
      <formula>F31</formula>
    </cfRule>
    <cfRule type="cellIs" dxfId="1536" priority="108" stopIfTrue="1" operator="equal">
      <formula>0</formula>
    </cfRule>
  </conditionalFormatting>
  <conditionalFormatting sqref="F34:J34">
    <cfRule type="cellIs" dxfId="1535" priority="103" stopIfTrue="1" operator="greaterThan">
      <formula>F33</formula>
    </cfRule>
    <cfRule type="cellIs" dxfId="1534" priority="104" stopIfTrue="1" operator="equal">
      <formula>0</formula>
    </cfRule>
  </conditionalFormatting>
  <conditionalFormatting sqref="F58:J58">
    <cfRule type="cellIs" dxfId="1533" priority="97" stopIfTrue="1" operator="greaterThan">
      <formula>F57</formula>
    </cfRule>
    <cfRule type="cellIs" dxfId="1532" priority="98" stopIfTrue="1" operator="equal">
      <formula>0</formula>
    </cfRule>
  </conditionalFormatting>
  <conditionalFormatting sqref="K28 K32 K58 M36 M28 M32 F36:J36">
    <cfRule type="cellIs" dxfId="1531" priority="95" stopIfTrue="1" operator="greaterThan">
      <formula>F27</formula>
    </cfRule>
    <cfRule type="cellIs" dxfId="1530" priority="96" stopIfTrue="1" operator="equal">
      <formula>0</formula>
    </cfRule>
  </conditionalFormatting>
  <conditionalFormatting sqref="K30 K34">
    <cfRule type="cellIs" dxfId="1529" priority="93" stopIfTrue="1" operator="greaterThan">
      <formula>K29</formula>
    </cfRule>
    <cfRule type="cellIs" dxfId="1528" priority="94" stopIfTrue="1" operator="equal">
      <formula>0</formula>
    </cfRule>
  </conditionalFormatting>
  <conditionalFormatting sqref="M12">
    <cfRule type="cellIs" dxfId="1527" priority="69" stopIfTrue="1" operator="greaterThan">
      <formula>M11</formula>
    </cfRule>
    <cfRule type="cellIs" dxfId="1526" priority="70" stopIfTrue="1" operator="equal">
      <formula>0</formula>
    </cfRule>
  </conditionalFormatting>
  <conditionalFormatting sqref="M14">
    <cfRule type="cellIs" dxfId="1525" priority="67" stopIfTrue="1" operator="greaterThan">
      <formula>M13</formula>
    </cfRule>
    <cfRule type="cellIs" dxfId="1524" priority="68" stopIfTrue="1" operator="equal">
      <formula>0</formula>
    </cfRule>
  </conditionalFormatting>
  <conditionalFormatting sqref="M16">
    <cfRule type="cellIs" dxfId="1523" priority="65" stopIfTrue="1" operator="greaterThan">
      <formula>M15</formula>
    </cfRule>
    <cfRule type="cellIs" dxfId="1522" priority="66" stopIfTrue="1" operator="equal">
      <formula>0</formula>
    </cfRule>
  </conditionalFormatting>
  <conditionalFormatting sqref="M18">
    <cfRule type="cellIs" dxfId="1521" priority="63" stopIfTrue="1" operator="greaterThan">
      <formula>M17</formula>
    </cfRule>
    <cfRule type="cellIs" dxfId="1520" priority="64" stopIfTrue="1" operator="equal">
      <formula>0</formula>
    </cfRule>
  </conditionalFormatting>
  <conditionalFormatting sqref="M20">
    <cfRule type="cellIs" dxfId="1519" priority="61" stopIfTrue="1" operator="greaterThan">
      <formula>M19</formula>
    </cfRule>
    <cfRule type="cellIs" dxfId="1518" priority="62" stopIfTrue="1" operator="equal">
      <formula>0</formula>
    </cfRule>
  </conditionalFormatting>
  <conditionalFormatting sqref="M22">
    <cfRule type="cellIs" dxfId="1517" priority="59" stopIfTrue="1" operator="greaterThan">
      <formula>M21</formula>
    </cfRule>
    <cfRule type="cellIs" dxfId="1516" priority="60" stopIfTrue="1" operator="equal">
      <formula>0</formula>
    </cfRule>
  </conditionalFormatting>
  <conditionalFormatting sqref="M24">
    <cfRule type="cellIs" dxfId="1515" priority="57" stopIfTrue="1" operator="greaterThan">
      <formula>M23</formula>
    </cfRule>
    <cfRule type="cellIs" dxfId="1514" priority="58" stopIfTrue="1" operator="equal">
      <formula>0</formula>
    </cfRule>
  </conditionalFormatting>
  <conditionalFormatting sqref="M26">
    <cfRule type="cellIs" dxfId="1513" priority="55" stopIfTrue="1" operator="greaterThan">
      <formula>M25</formula>
    </cfRule>
    <cfRule type="cellIs" dxfId="1512" priority="56" stopIfTrue="1" operator="equal">
      <formula>0</formula>
    </cfRule>
  </conditionalFormatting>
  <conditionalFormatting sqref="M30 M34">
    <cfRule type="cellIs" dxfId="1511" priority="53" stopIfTrue="1" operator="greaterThan">
      <formula>M29</formula>
    </cfRule>
    <cfRule type="cellIs" dxfId="1510" priority="54" stopIfTrue="1" operator="equal">
      <formula>0</formula>
    </cfRule>
  </conditionalFormatting>
  <conditionalFormatting sqref="L11 L13 L15 L17 L19 L21 L23 L25 L27 L29 L31 L33 L35">
    <cfRule type="cellIs" dxfId="1509" priority="52" stopIfTrue="1" operator="equal">
      <formula>0</formula>
    </cfRule>
  </conditionalFormatting>
  <conditionalFormatting sqref="K38">
    <cfRule type="cellIs" dxfId="1508" priority="366" stopIfTrue="1" operator="greaterThan">
      <formula>#REF!</formula>
    </cfRule>
    <cfRule type="cellIs" dxfId="1507" priority="367" stopIfTrue="1" operator="equal">
      <formula>0</formula>
    </cfRule>
  </conditionalFormatting>
  <conditionalFormatting sqref="I44:I55 K44:K55 F44:G55 O44:O55">
    <cfRule type="cellIs" dxfId="1506" priority="27" stopIfTrue="1" operator="equal">
      <formula>0</formula>
    </cfRule>
  </conditionalFormatting>
  <conditionalFormatting sqref="J45:J55">
    <cfRule type="cellIs" dxfId="1505" priority="25" stopIfTrue="1" operator="greaterThan">
      <formula>I45</formula>
    </cfRule>
    <cfRule type="cellIs" dxfId="1504" priority="26" stopIfTrue="1" operator="equal">
      <formula>0</formula>
    </cfRule>
  </conditionalFormatting>
  <conditionalFormatting sqref="L45:L55">
    <cfRule type="cellIs" dxfId="1503" priority="23" stopIfTrue="1" operator="greaterThan">
      <formula>K45</formula>
    </cfRule>
    <cfRule type="cellIs" dxfId="1502" priority="24" stopIfTrue="1" operator="equal">
      <formula>0</formula>
    </cfRule>
  </conditionalFormatting>
  <conditionalFormatting sqref="M44:M55">
    <cfRule type="cellIs" dxfId="1501" priority="22" stopIfTrue="1" operator="equal">
      <formula>0</formula>
    </cfRule>
  </conditionalFormatting>
  <conditionalFormatting sqref="N45:N55">
    <cfRule type="cellIs" dxfId="1500" priority="20" stopIfTrue="1" operator="greaterThan">
      <formula>M45</formula>
    </cfRule>
    <cfRule type="cellIs" dxfId="1499" priority="21" stopIfTrue="1" operator="equal">
      <formula>0</formula>
    </cfRule>
  </conditionalFormatting>
  <conditionalFormatting sqref="J44:J45">
    <cfRule type="cellIs" dxfId="1498" priority="18" stopIfTrue="1" operator="greaterThan">
      <formula>I44</formula>
    </cfRule>
    <cfRule type="cellIs" dxfId="1497" priority="19" stopIfTrue="1" operator="equal">
      <formula>0</formula>
    </cfRule>
  </conditionalFormatting>
  <conditionalFormatting sqref="L44:L45">
    <cfRule type="cellIs" dxfId="1496" priority="16" stopIfTrue="1" operator="greaterThan">
      <formula>K44</formula>
    </cfRule>
    <cfRule type="cellIs" dxfId="1495" priority="17" stopIfTrue="1" operator="equal">
      <formula>0</formula>
    </cfRule>
  </conditionalFormatting>
  <conditionalFormatting sqref="N44:N45">
    <cfRule type="cellIs" dxfId="1494" priority="14" stopIfTrue="1" operator="greaterThan">
      <formula>M44</formula>
    </cfRule>
    <cfRule type="cellIs" dxfId="1493" priority="15" stopIfTrue="1" operator="equal">
      <formula>0</formula>
    </cfRule>
  </conditionalFormatting>
  <conditionalFormatting sqref="H45:H55">
    <cfRule type="cellIs" dxfId="1492" priority="12" stopIfTrue="1" operator="greaterThan">
      <formula>G45</formula>
    </cfRule>
    <cfRule type="cellIs" dxfId="1491" priority="13" stopIfTrue="1" operator="equal">
      <formula>0</formula>
    </cfRule>
  </conditionalFormatting>
  <conditionalFormatting sqref="H44:H45">
    <cfRule type="cellIs" dxfId="1490" priority="10" stopIfTrue="1" operator="greaterThan">
      <formula>G44</formula>
    </cfRule>
    <cfRule type="cellIs" dxfId="1489" priority="11" stopIfTrue="1" operator="equal">
      <formula>0</formula>
    </cfRule>
  </conditionalFormatting>
  <conditionalFormatting sqref="O44:O55">
    <cfRule type="cellIs" dxfId="1488" priority="9" stopIfTrue="1" operator="lessThan">
      <formula>0</formula>
    </cfRule>
  </conditionalFormatting>
  <conditionalFormatting sqref="I56 K56 M56 F56:G56 O56">
    <cfRule type="cellIs" dxfId="1487" priority="8" stopIfTrue="1" operator="equal">
      <formula>0</formula>
    </cfRule>
  </conditionalFormatting>
  <conditionalFormatting sqref="J56 L56 N56">
    <cfRule type="cellIs" dxfId="1486" priority="6" stopIfTrue="1" operator="greaterThan">
      <formula>I56</formula>
    </cfRule>
    <cfRule type="cellIs" dxfId="1485" priority="7" stopIfTrue="1" operator="equal">
      <formula>0</formula>
    </cfRule>
  </conditionalFormatting>
  <conditionalFormatting sqref="H56">
    <cfRule type="cellIs" dxfId="1484" priority="4" stopIfTrue="1" operator="greaterThan">
      <formula>G56</formula>
    </cfRule>
    <cfRule type="cellIs" dxfId="1483" priority="5" stopIfTrue="1" operator="equal">
      <formula>0</formula>
    </cfRule>
  </conditionalFormatting>
  <conditionalFormatting sqref="O56">
    <cfRule type="cellIs" dxfId="1482" priority="3" stopIfTrue="1" operator="lessThan">
      <formula>0</formula>
    </cfRule>
  </conditionalFormatting>
  <conditionalFormatting sqref="F11:H34">
    <cfRule type="cellIs" dxfId="1481" priority="2" operator="greaterThan">
      <formula>0</formula>
    </cfRule>
  </conditionalFormatting>
  <conditionalFormatting sqref="J11:J34">
    <cfRule type="cellIs" dxfId="1480" priority="1" operator="greaterThan">
      <formula>0</formula>
    </cfRule>
  </conditionalFormatting>
  <dataValidations count="3">
    <dataValidation type="whole"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F11:K36 L8:L10 L37:L38 K38 D37:J38 M11:M38 D58:M58">
      <formula1>0</formula1>
    </dataValidation>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L11:L36"/>
    <dataValidation type="whole" operator="greaterThanOrEqual" allowBlank="1" showInputMessage="1" showErrorMessage="1" errorTitle="المناصب المفتوحة و المشغولة" error="ضع العدد المناسب للمناصب المفتوحة و المشغولة حسب كل مادة تدريس " sqref="F44:O56">
      <formula1>0</formula1>
    </dataValidation>
  </dataValidations>
  <printOptions horizontalCentered="1" verticalCentered="1"/>
  <pageMargins left="0.19685039370078741" right="0.19685039370078741" top="0.19685039370078741" bottom="0.19685039370078741" header="0" footer="0.31496062992125984"/>
  <pageSetup paperSize="9" scale="95" orientation="portrait" r:id="rId1"/>
  <headerFooter>
    <oddFooter xml:space="preserve">&amp;R&amp;"-,Gras"&amp;8&amp;K00-033Echamil V.08    &amp;F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rgb="FFFFC000"/>
  </sheetPr>
  <dimension ref="A1:AC72"/>
  <sheetViews>
    <sheetView showGridLines="0" rightToLeft="1" topLeftCell="A4" workbookViewId="0">
      <selection activeCell="N19" sqref="N19:O19"/>
    </sheetView>
  </sheetViews>
  <sheetFormatPr baseColWidth="10" defaultColWidth="0" defaultRowHeight="14.4" zeroHeight="1"/>
  <cols>
    <col min="1" max="1" width="2.6640625" customWidth="1"/>
    <col min="2" max="2" width="1.44140625" customWidth="1"/>
    <col min="3" max="3" width="0.88671875" customWidth="1"/>
    <col min="4" max="5" width="5.6640625" customWidth="1"/>
    <col min="6" max="6" width="4.6640625" customWidth="1"/>
    <col min="7" max="7" width="6.44140625" customWidth="1"/>
    <col min="8" max="16" width="6.109375" customWidth="1"/>
    <col min="17" max="17" width="6.33203125" customWidth="1"/>
    <col min="18" max="18" width="6.6640625" customWidth="1"/>
    <col min="19" max="19" width="2.33203125" customWidth="1"/>
    <col min="20" max="20" width="0.5546875" customWidth="1"/>
    <col min="21" max="21" width="1.44140625" customWidth="1"/>
    <col min="22" max="22" width="2.6640625" customWidth="1"/>
    <col min="23" max="23" width="10.6640625" customWidth="1"/>
    <col min="24" max="24" width="5.6640625" customWidth="1"/>
    <col min="25" max="25" width="6.44140625" customWidth="1"/>
    <col min="26" max="26" width="6.6640625" customWidth="1"/>
    <col min="27" max="27" width="4.6640625" customWidth="1"/>
    <col min="28" max="28" width="1.88671875" customWidth="1"/>
    <col min="29" max="29" width="3.33203125" customWidth="1"/>
    <col min="30" max="16384" width="11.44140625" hidden="1"/>
  </cols>
  <sheetData>
    <row r="1" spans="1:29" ht="14.1" customHeight="1" thickBot="1">
      <c r="A1" s="788"/>
      <c r="B1" s="789"/>
      <c r="C1" s="789"/>
      <c r="D1" s="789"/>
      <c r="E1" s="789"/>
      <c r="F1" s="789"/>
      <c r="G1" s="789"/>
      <c r="H1" s="789"/>
      <c r="I1" s="789"/>
      <c r="J1" s="789"/>
      <c r="K1" s="789"/>
      <c r="L1" s="789"/>
      <c r="M1" s="789"/>
      <c r="N1" s="789"/>
      <c r="O1" s="789"/>
      <c r="P1" s="789"/>
      <c r="Q1" s="789"/>
      <c r="R1" s="789"/>
      <c r="S1" s="789"/>
      <c r="T1" s="789"/>
      <c r="U1" s="789"/>
      <c r="V1" s="788"/>
      <c r="W1" s="788"/>
      <c r="X1" s="788"/>
      <c r="Y1" s="788"/>
      <c r="Z1" s="788"/>
      <c r="AA1" s="788"/>
      <c r="AB1" s="796"/>
      <c r="AC1" s="796"/>
    </row>
    <row r="2" spans="1:29" ht="14.1" customHeight="1" thickBot="1">
      <c r="A2" s="788"/>
      <c r="B2" s="890"/>
      <c r="C2" s="891"/>
      <c r="D2" s="891"/>
      <c r="E2" s="891"/>
      <c r="F2" s="891"/>
      <c r="G2" s="891"/>
      <c r="H2" s="891"/>
      <c r="I2" s="891"/>
      <c r="J2" s="891"/>
      <c r="K2" s="891"/>
      <c r="L2" s="891"/>
      <c r="M2" s="891"/>
      <c r="N2" s="891"/>
      <c r="O2" s="891"/>
      <c r="P2" s="891"/>
      <c r="Q2" s="891"/>
      <c r="R2" s="891"/>
      <c r="S2" s="891"/>
      <c r="T2" s="891"/>
      <c r="U2" s="892"/>
      <c r="V2" s="790"/>
      <c r="W2" s="4053" t="s">
        <v>603</v>
      </c>
      <c r="X2" s="4053"/>
      <c r="Y2" s="4053"/>
      <c r="Z2" s="4053"/>
      <c r="AA2" s="4053"/>
      <c r="AB2" s="4053"/>
      <c r="AC2" s="796"/>
    </row>
    <row r="3" spans="1:29" ht="14.1" customHeight="1">
      <c r="A3" s="788"/>
      <c r="B3" s="893"/>
      <c r="C3" s="876"/>
      <c r="D3" s="2496"/>
      <c r="E3" s="2496"/>
      <c r="F3" s="2497"/>
      <c r="G3" s="2497"/>
      <c r="H3" s="2497"/>
      <c r="I3" s="2497"/>
      <c r="J3" s="2498"/>
      <c r="K3" s="2497"/>
      <c r="L3" s="2497"/>
      <c r="M3" s="2497"/>
      <c r="N3" s="2497"/>
      <c r="O3" s="2497"/>
      <c r="P3" s="2497"/>
      <c r="Q3" s="2497"/>
      <c r="R3" s="2497"/>
      <c r="S3" s="2497"/>
      <c r="T3" s="880"/>
      <c r="U3" s="872"/>
      <c r="V3" s="790"/>
      <c r="W3" s="4053"/>
      <c r="X3" s="4053"/>
      <c r="Y3" s="4053"/>
      <c r="Z3" s="4053"/>
      <c r="AA3" s="4053"/>
      <c r="AB3" s="4053"/>
      <c r="AC3" s="796"/>
    </row>
    <row r="4" spans="1:29" ht="14.1" customHeight="1">
      <c r="A4" s="788"/>
      <c r="B4" s="893"/>
      <c r="C4" s="897"/>
      <c r="D4" s="2482" t="s">
        <v>1465</v>
      </c>
      <c r="E4" s="2499"/>
      <c r="F4" s="2465"/>
      <c r="G4" s="2465"/>
      <c r="H4" s="2465"/>
      <c r="I4" s="2469"/>
      <c r="J4" s="1316"/>
      <c r="K4" s="1316"/>
      <c r="L4" s="1316"/>
      <c r="M4" s="1316"/>
      <c r="N4" s="2467"/>
      <c r="O4" s="2467"/>
      <c r="P4" s="2467"/>
      <c r="Q4" s="2467"/>
      <c r="R4" s="2467"/>
      <c r="S4" s="2483" t="s">
        <v>1464</v>
      </c>
      <c r="T4" s="898"/>
      <c r="U4" s="872"/>
      <c r="V4" s="790"/>
      <c r="W4" s="4053"/>
      <c r="X4" s="4053"/>
      <c r="Y4" s="4053"/>
      <c r="Z4" s="4053"/>
      <c r="AA4" s="4053"/>
      <c r="AB4" s="4053"/>
      <c r="AC4" s="796"/>
    </row>
    <row r="5" spans="1:29" ht="14.1" customHeight="1">
      <c r="A5" s="788"/>
      <c r="B5" s="894"/>
      <c r="C5" s="883"/>
      <c r="D5" s="2499"/>
      <c r="E5" s="2499"/>
      <c r="F5" s="2499"/>
      <c r="G5" s="2499"/>
      <c r="H5" s="1316"/>
      <c r="I5" s="1316"/>
      <c r="J5" s="2467"/>
      <c r="K5" s="2500"/>
      <c r="L5" s="2500"/>
      <c r="M5" s="2500"/>
      <c r="N5" s="2500"/>
      <c r="O5" s="2500"/>
      <c r="P5" s="2500"/>
      <c r="Q5" s="2500"/>
      <c r="R5" s="2500"/>
      <c r="S5" s="2500"/>
      <c r="T5" s="882"/>
      <c r="U5" s="872"/>
      <c r="V5" s="791"/>
      <c r="W5" s="4611" t="s">
        <v>1266</v>
      </c>
      <c r="X5" s="4611"/>
      <c r="Y5" s="4611"/>
      <c r="Z5" s="4611"/>
      <c r="AA5" s="4611"/>
      <c r="AB5" s="1950"/>
      <c r="AC5" s="796"/>
    </row>
    <row r="6" spans="1:29" ht="18" customHeight="1">
      <c r="A6" s="788"/>
      <c r="B6" s="894"/>
      <c r="C6" s="1315"/>
      <c r="D6" s="2484" t="s">
        <v>1248</v>
      </c>
      <c r="E6" s="2501"/>
      <c r="F6" s="2362"/>
      <c r="G6" s="2362"/>
      <c r="H6" s="2362"/>
      <c r="I6" s="2362"/>
      <c r="J6" s="2363"/>
      <c r="K6" s="2362"/>
      <c r="L6" s="2362"/>
      <c r="M6" s="2362"/>
      <c r="N6" s="2362"/>
      <c r="O6" s="2362"/>
      <c r="P6" s="2362"/>
      <c r="Q6" s="2362"/>
      <c r="R6" s="2362"/>
      <c r="S6" s="2362"/>
      <c r="T6" s="962"/>
      <c r="U6" s="873"/>
      <c r="V6" s="791"/>
      <c r="W6" s="4611"/>
      <c r="X6" s="4611"/>
      <c r="Y6" s="4611"/>
      <c r="Z6" s="4611"/>
      <c r="AA6" s="4611"/>
      <c r="AB6" s="1950"/>
      <c r="AC6" s="796"/>
    </row>
    <row r="7" spans="1:29" ht="14.1" customHeight="1">
      <c r="A7" s="788"/>
      <c r="B7" s="895"/>
      <c r="C7" s="884"/>
      <c r="D7" s="1381"/>
      <c r="E7" s="1381"/>
      <c r="F7" s="1316"/>
      <c r="G7" s="1316"/>
      <c r="H7" s="1316"/>
      <c r="I7" s="1316"/>
      <c r="J7" s="1316"/>
      <c r="K7" s="1316"/>
      <c r="L7" s="1316"/>
      <c r="M7" s="1316"/>
      <c r="N7" s="1316"/>
      <c r="O7" s="1316"/>
      <c r="P7" s="1316"/>
      <c r="Q7" s="1316"/>
      <c r="R7" s="2502"/>
      <c r="S7" s="2502"/>
      <c r="T7" s="873"/>
      <c r="U7" s="872"/>
      <c r="V7" s="791"/>
      <c r="W7" s="2761"/>
      <c r="X7" s="2761"/>
      <c r="Y7" s="2761"/>
      <c r="Z7" s="2761"/>
      <c r="AA7" s="2761"/>
      <c r="AB7" s="1950"/>
      <c r="AC7" s="796"/>
    </row>
    <row r="8" spans="1:29" ht="14.1" customHeight="1">
      <c r="A8" s="788"/>
      <c r="B8" s="895"/>
      <c r="C8" s="884"/>
      <c r="D8" s="4510" t="s">
        <v>168</v>
      </c>
      <c r="E8" s="4510"/>
      <c r="F8" s="4510"/>
      <c r="G8" s="4511"/>
      <c r="H8" s="4493" t="s">
        <v>121</v>
      </c>
      <c r="I8" s="4614"/>
      <c r="J8" s="4493" t="s">
        <v>167</v>
      </c>
      <c r="K8" s="4612"/>
      <c r="L8" s="4614" t="s">
        <v>166</v>
      </c>
      <c r="M8" s="4612"/>
      <c r="N8" s="4493" t="s">
        <v>119</v>
      </c>
      <c r="O8" s="4612"/>
      <c r="P8" s="4620" t="s">
        <v>773</v>
      </c>
      <c r="Q8" s="4621"/>
      <c r="R8" s="4620" t="s">
        <v>27</v>
      </c>
      <c r="S8" s="4621"/>
      <c r="T8" s="873"/>
      <c r="U8" s="872"/>
      <c r="V8" s="791"/>
      <c r="W8" s="4619" t="s">
        <v>152</v>
      </c>
      <c r="X8" s="4619"/>
      <c r="Y8" s="2761"/>
      <c r="Z8" s="2761"/>
      <c r="AA8" s="2761"/>
      <c r="AB8" s="1950"/>
      <c r="AC8" s="796"/>
    </row>
    <row r="9" spans="1:29" ht="14.1" customHeight="1">
      <c r="A9" s="788"/>
      <c r="B9" s="895"/>
      <c r="C9" s="884"/>
      <c r="D9" s="4512" t="s">
        <v>151</v>
      </c>
      <c r="E9" s="4512"/>
      <c r="F9" s="4512"/>
      <c r="G9" s="4513"/>
      <c r="H9" s="4495"/>
      <c r="I9" s="4615"/>
      <c r="J9" s="4495"/>
      <c r="K9" s="4613"/>
      <c r="L9" s="4615"/>
      <c r="M9" s="4613"/>
      <c r="N9" s="4495"/>
      <c r="O9" s="4613"/>
      <c r="P9" s="4622"/>
      <c r="Q9" s="4623"/>
      <c r="R9" s="4622"/>
      <c r="S9" s="4623"/>
      <c r="T9" s="873"/>
      <c r="U9" s="872"/>
      <c r="V9" s="791"/>
      <c r="W9" s="4619"/>
      <c r="X9" s="4619"/>
      <c r="Y9" s="2761"/>
      <c r="Z9" s="2761"/>
      <c r="AA9" s="2761"/>
      <c r="AB9" s="1950"/>
      <c r="AC9" s="796"/>
    </row>
    <row r="10" spans="1:29" ht="15" customHeight="1">
      <c r="A10" s="788"/>
      <c r="B10" s="895"/>
      <c r="C10" s="884"/>
      <c r="D10" s="4604" t="s">
        <v>619</v>
      </c>
      <c r="E10" s="4604"/>
      <c r="F10" s="4604"/>
      <c r="G10" s="2492" t="s">
        <v>20</v>
      </c>
      <c r="H10" s="4606">
        <v>11</v>
      </c>
      <c r="I10" s="4607"/>
      <c r="J10" s="4606"/>
      <c r="K10" s="4607"/>
      <c r="L10" s="4590">
        <f>SUM(H10:K10)</f>
        <v>11</v>
      </c>
      <c r="M10" s="4591"/>
      <c r="N10" s="4606"/>
      <c r="O10" s="4607"/>
      <c r="P10" s="4590">
        <f>N10+L10</f>
        <v>11</v>
      </c>
      <c r="Q10" s="4591"/>
      <c r="R10" s="4606"/>
      <c r="S10" s="4607"/>
      <c r="T10" s="873"/>
      <c r="U10" s="872"/>
      <c r="V10" s="791"/>
      <c r="W10" s="4588" t="str">
        <f>D10</f>
        <v>الأستاذ المكون في التعليم المتوسط</v>
      </c>
      <c r="X10" s="4588"/>
      <c r="Y10" s="2762" t="s">
        <v>20</v>
      </c>
      <c r="Z10" s="2763" t="str">
        <f>IF(L10-'الصفحة 27'!F35&lt;&gt;0,"خطأ"," ")</f>
        <v xml:space="preserve"> </v>
      </c>
      <c r="AA10" s="1032"/>
      <c r="AB10" s="1950"/>
      <c r="AC10" s="796"/>
    </row>
    <row r="11" spans="1:29" ht="15" customHeight="1">
      <c r="A11" s="788"/>
      <c r="B11" s="895"/>
      <c r="C11" s="884"/>
      <c r="D11" s="4604"/>
      <c r="E11" s="4604"/>
      <c r="F11" s="4604"/>
      <c r="G11" s="2489" t="s">
        <v>29</v>
      </c>
      <c r="H11" s="4609">
        <v>8</v>
      </c>
      <c r="I11" s="4610"/>
      <c r="J11" s="4609"/>
      <c r="K11" s="4610"/>
      <c r="L11" s="4592">
        <f>H11+J11</f>
        <v>8</v>
      </c>
      <c r="M11" s="4593"/>
      <c r="N11" s="4609"/>
      <c r="O11" s="4610"/>
      <c r="P11" s="4592">
        <f t="shared" ref="P11:P19" si="0">N11+L11</f>
        <v>8</v>
      </c>
      <c r="Q11" s="4593"/>
      <c r="R11" s="4609"/>
      <c r="S11" s="4610"/>
      <c r="T11" s="873"/>
      <c r="U11" s="872"/>
      <c r="V11" s="791"/>
      <c r="W11" s="4588"/>
      <c r="X11" s="4588"/>
      <c r="Y11" s="2764" t="s">
        <v>29</v>
      </c>
      <c r="Z11" s="2765" t="str">
        <f>IF(L11-'الصفحة 27'!F36&lt;&gt;0,"خطأ"," ")</f>
        <v xml:space="preserve"> </v>
      </c>
      <c r="AA11" s="1032"/>
      <c r="AB11" s="1950"/>
      <c r="AC11" s="796"/>
    </row>
    <row r="12" spans="1:29" ht="15" customHeight="1">
      <c r="A12" s="788"/>
      <c r="B12" s="895"/>
      <c r="C12" s="884"/>
      <c r="D12" s="4616" t="s">
        <v>233</v>
      </c>
      <c r="E12" s="4616"/>
      <c r="F12" s="4617"/>
      <c r="G12" s="2492" t="s">
        <v>20</v>
      </c>
      <c r="H12" s="4606">
        <v>7</v>
      </c>
      <c r="I12" s="4607"/>
      <c r="J12" s="4606"/>
      <c r="K12" s="4607"/>
      <c r="L12" s="4590">
        <f>SUM(H12:K12)</f>
        <v>7</v>
      </c>
      <c r="M12" s="4591"/>
      <c r="N12" s="4606"/>
      <c r="O12" s="4607"/>
      <c r="P12" s="4590">
        <f t="shared" si="0"/>
        <v>7</v>
      </c>
      <c r="Q12" s="4591"/>
      <c r="R12" s="4606"/>
      <c r="S12" s="4607"/>
      <c r="T12" s="873"/>
      <c r="U12" s="872"/>
      <c r="V12" s="791"/>
      <c r="W12" s="4608" t="str">
        <f>D12</f>
        <v>أستاذ رئيسي للتعليم المتوسط</v>
      </c>
      <c r="X12" s="4608"/>
      <c r="Y12" s="2766" t="s">
        <v>20</v>
      </c>
      <c r="Z12" s="2767" t="str">
        <f>IF(L12-'الصفحة 27'!G35&lt;&gt;0,"خطأ"," ")</f>
        <v xml:space="preserve"> </v>
      </c>
      <c r="AA12" s="1032"/>
      <c r="AB12" s="1950"/>
      <c r="AC12" s="796"/>
    </row>
    <row r="13" spans="1:29" ht="15" customHeight="1">
      <c r="A13" s="788"/>
      <c r="B13" s="895"/>
      <c r="C13" s="884"/>
      <c r="D13" s="4616"/>
      <c r="E13" s="4616"/>
      <c r="F13" s="4617"/>
      <c r="G13" s="2489" t="s">
        <v>29</v>
      </c>
      <c r="H13" s="4609">
        <v>4</v>
      </c>
      <c r="I13" s="4610"/>
      <c r="J13" s="4609"/>
      <c r="K13" s="4610"/>
      <c r="L13" s="4592">
        <f>H13+J13</f>
        <v>4</v>
      </c>
      <c r="M13" s="4593"/>
      <c r="N13" s="4609"/>
      <c r="O13" s="4610"/>
      <c r="P13" s="4592">
        <f t="shared" si="0"/>
        <v>4</v>
      </c>
      <c r="Q13" s="4593"/>
      <c r="R13" s="4609"/>
      <c r="S13" s="4610"/>
      <c r="T13" s="873"/>
      <c r="U13" s="872"/>
      <c r="V13" s="791"/>
      <c r="W13" s="4608"/>
      <c r="X13" s="4608"/>
      <c r="Y13" s="2766" t="s">
        <v>29</v>
      </c>
      <c r="Z13" s="2767" t="str">
        <f>IF(L13-'الصفحة 27'!G36&lt;&gt;0,"خطأ"," ")</f>
        <v xml:space="preserve"> </v>
      </c>
      <c r="AA13" s="1032"/>
      <c r="AB13" s="1950"/>
      <c r="AC13" s="796"/>
    </row>
    <row r="14" spans="1:29" ht="15" customHeight="1">
      <c r="A14" s="788"/>
      <c r="B14" s="895"/>
      <c r="C14" s="884"/>
      <c r="D14" s="4604" t="s">
        <v>710</v>
      </c>
      <c r="E14" s="4604"/>
      <c r="F14" s="4605"/>
      <c r="G14" s="2492" t="s">
        <v>20</v>
      </c>
      <c r="H14" s="4606"/>
      <c r="I14" s="4607"/>
      <c r="J14" s="4606"/>
      <c r="K14" s="4607"/>
      <c r="L14" s="4590">
        <f>SUM(H14:K14)</f>
        <v>0</v>
      </c>
      <c r="M14" s="4591"/>
      <c r="N14" s="4606"/>
      <c r="O14" s="4607"/>
      <c r="P14" s="4590">
        <f t="shared" si="0"/>
        <v>0</v>
      </c>
      <c r="Q14" s="4591"/>
      <c r="R14" s="4606"/>
      <c r="S14" s="4607"/>
      <c r="T14" s="873"/>
      <c r="U14" s="872"/>
      <c r="V14" s="791"/>
      <c r="W14" s="4588" t="str">
        <f>D14</f>
        <v>أستاذ منسق للتعليم المتوسط</v>
      </c>
      <c r="X14" s="4588"/>
      <c r="Y14" s="2764" t="s">
        <v>20</v>
      </c>
      <c r="Z14" s="2765" t="str">
        <f>IF(L14-'الصفحة 27'!H35&lt;&gt;0,"خطأ"," ")</f>
        <v xml:space="preserve"> </v>
      </c>
      <c r="AA14" s="1032"/>
      <c r="AB14" s="1950"/>
      <c r="AC14" s="796"/>
    </row>
    <row r="15" spans="1:29" ht="15" customHeight="1">
      <c r="A15" s="788"/>
      <c r="B15" s="895"/>
      <c r="C15" s="884"/>
      <c r="D15" s="4604"/>
      <c r="E15" s="4604"/>
      <c r="F15" s="4605"/>
      <c r="G15" s="2489" t="s">
        <v>29</v>
      </c>
      <c r="H15" s="4609"/>
      <c r="I15" s="4610"/>
      <c r="J15" s="4609"/>
      <c r="K15" s="4610"/>
      <c r="L15" s="4592">
        <f>H15+J15</f>
        <v>0</v>
      </c>
      <c r="M15" s="4593"/>
      <c r="N15" s="4609"/>
      <c r="O15" s="4610"/>
      <c r="P15" s="4592">
        <f t="shared" si="0"/>
        <v>0</v>
      </c>
      <c r="Q15" s="4593"/>
      <c r="R15" s="4609"/>
      <c r="S15" s="4610"/>
      <c r="T15" s="873"/>
      <c r="U15" s="872"/>
      <c r="V15" s="791"/>
      <c r="W15" s="4588"/>
      <c r="X15" s="4588"/>
      <c r="Y15" s="2764" t="s">
        <v>29</v>
      </c>
      <c r="Z15" s="2765" t="str">
        <f>IF(L15-'الصفحة 27'!H36&lt;&gt;0,"خطأ"," ")</f>
        <v xml:space="preserve"> </v>
      </c>
      <c r="AA15" s="1032"/>
      <c r="AB15" s="1950"/>
      <c r="AC15" s="796"/>
    </row>
    <row r="16" spans="1:29" ht="15" customHeight="1">
      <c r="A16" s="788"/>
      <c r="B16" s="895"/>
      <c r="C16" s="884"/>
      <c r="D16" s="4618" t="s">
        <v>698</v>
      </c>
      <c r="E16" s="4618"/>
      <c r="F16" s="4618"/>
      <c r="G16" s="2492" t="s">
        <v>20</v>
      </c>
      <c r="H16" s="4606">
        <v>10</v>
      </c>
      <c r="I16" s="4607"/>
      <c r="J16" s="4606"/>
      <c r="K16" s="4607"/>
      <c r="L16" s="4590">
        <f>SUM(H16:K16)</f>
        <v>10</v>
      </c>
      <c r="M16" s="4591"/>
      <c r="N16" s="4606">
        <v>6</v>
      </c>
      <c r="O16" s="4607"/>
      <c r="P16" s="4590">
        <f t="shared" si="0"/>
        <v>16</v>
      </c>
      <c r="Q16" s="4591"/>
      <c r="R16" s="4606"/>
      <c r="S16" s="4607"/>
      <c r="T16" s="873"/>
      <c r="U16" s="872"/>
      <c r="V16" s="791"/>
      <c r="W16" s="4608" t="str">
        <f>D16</f>
        <v xml:space="preserve">أستاذ التعليم المتوسط </v>
      </c>
      <c r="X16" s="4608"/>
      <c r="Y16" s="2766" t="s">
        <v>20</v>
      </c>
      <c r="Z16" s="2767" t="str">
        <f>IF(L16-'الصفحة 27'!I35&lt;&gt;0,"خطأ"," ")</f>
        <v xml:space="preserve"> </v>
      </c>
      <c r="AA16" s="1032"/>
      <c r="AB16" s="1950"/>
      <c r="AC16" s="796"/>
    </row>
    <row r="17" spans="1:29" ht="15" customHeight="1">
      <c r="A17" s="788"/>
      <c r="B17" s="895"/>
      <c r="C17" s="884"/>
      <c r="D17" s="4618"/>
      <c r="E17" s="4618"/>
      <c r="F17" s="4618"/>
      <c r="G17" s="2489" t="s">
        <v>29</v>
      </c>
      <c r="H17" s="4609">
        <v>8</v>
      </c>
      <c r="I17" s="4610"/>
      <c r="J17" s="4609"/>
      <c r="K17" s="4610"/>
      <c r="L17" s="4592">
        <f>H17+J17</f>
        <v>8</v>
      </c>
      <c r="M17" s="4593"/>
      <c r="N17" s="4609">
        <v>6</v>
      </c>
      <c r="O17" s="4610"/>
      <c r="P17" s="4592">
        <f t="shared" si="0"/>
        <v>14</v>
      </c>
      <c r="Q17" s="4593"/>
      <c r="R17" s="4609"/>
      <c r="S17" s="4610"/>
      <c r="T17" s="873"/>
      <c r="U17" s="872"/>
      <c r="V17" s="791"/>
      <c r="W17" s="4608"/>
      <c r="X17" s="4608"/>
      <c r="Y17" s="2766" t="s">
        <v>29</v>
      </c>
      <c r="Z17" s="2767" t="str">
        <f>IF(L17-'الصفحة 27'!I36&lt;&gt;0,"خطأ"," ")</f>
        <v xml:space="preserve"> </v>
      </c>
      <c r="AA17" s="1032"/>
      <c r="AB17" s="1950"/>
      <c r="AC17" s="796"/>
    </row>
    <row r="18" spans="1:29" ht="15" customHeight="1">
      <c r="A18" s="788"/>
      <c r="B18" s="895"/>
      <c r="C18" s="884"/>
      <c r="D18" s="4604" t="s">
        <v>1113</v>
      </c>
      <c r="E18" s="4604"/>
      <c r="F18" s="4604"/>
      <c r="G18" s="2492" t="s">
        <v>20</v>
      </c>
      <c r="H18" s="4606"/>
      <c r="I18" s="4607"/>
      <c r="J18" s="4606"/>
      <c r="K18" s="4607"/>
      <c r="L18" s="4590">
        <f>SUM(H18:K18)</f>
        <v>0</v>
      </c>
      <c r="M18" s="4591"/>
      <c r="N18" s="4606"/>
      <c r="O18" s="4607"/>
      <c r="P18" s="4590">
        <f t="shared" si="0"/>
        <v>0</v>
      </c>
      <c r="Q18" s="4591"/>
      <c r="R18" s="4606"/>
      <c r="S18" s="4607"/>
      <c r="T18" s="873"/>
      <c r="U18" s="872"/>
      <c r="V18" s="791"/>
      <c r="W18" s="4588" t="str">
        <f>D18</f>
        <v>أساتذة المدرسة الابتدائية</v>
      </c>
      <c r="X18" s="4588"/>
      <c r="Y18" s="2764" t="s">
        <v>20</v>
      </c>
      <c r="Z18" s="2765" t="str">
        <f>IF(L18-'الصفحة 27'!J35&lt;&gt;0,"خطأ"," ")</f>
        <v xml:space="preserve"> </v>
      </c>
      <c r="AA18" s="1032"/>
      <c r="AB18" s="1950"/>
      <c r="AC18" s="796"/>
    </row>
    <row r="19" spans="1:29" ht="15" customHeight="1">
      <c r="A19" s="788"/>
      <c r="B19" s="895"/>
      <c r="C19" s="884"/>
      <c r="D19" s="4604"/>
      <c r="E19" s="4604"/>
      <c r="F19" s="4604"/>
      <c r="G19" s="2489" t="s">
        <v>29</v>
      </c>
      <c r="H19" s="4609"/>
      <c r="I19" s="4610"/>
      <c r="J19" s="4609"/>
      <c r="K19" s="4610"/>
      <c r="L19" s="4592">
        <f>H19+J19</f>
        <v>0</v>
      </c>
      <c r="M19" s="4593"/>
      <c r="N19" s="4609"/>
      <c r="O19" s="4610"/>
      <c r="P19" s="4592">
        <f t="shared" si="0"/>
        <v>0</v>
      </c>
      <c r="Q19" s="4593"/>
      <c r="R19" s="4609"/>
      <c r="S19" s="4610"/>
      <c r="T19" s="873"/>
      <c r="U19" s="872"/>
      <c r="V19" s="791"/>
      <c r="W19" s="4588"/>
      <c r="X19" s="4588"/>
      <c r="Y19" s="2764" t="s">
        <v>29</v>
      </c>
      <c r="Z19" s="2765" t="str">
        <f>IF(L19-'الصفحة 27'!J36&lt;&gt;0,"خطأ"," ")</f>
        <v xml:space="preserve"> </v>
      </c>
      <c r="AA19" s="1032"/>
      <c r="AB19" s="1950"/>
      <c r="AC19" s="796"/>
    </row>
    <row r="20" spans="1:29" ht="15" customHeight="1">
      <c r="A20" s="788"/>
      <c r="B20" s="895"/>
      <c r="C20" s="884"/>
      <c r="D20" s="4519" t="s">
        <v>28</v>
      </c>
      <c r="E20" s="4519"/>
      <c r="F20" s="4519"/>
      <c r="G20" s="2493" t="s">
        <v>20</v>
      </c>
      <c r="H20" s="4590">
        <f>H10+H12+H14+H16+H18</f>
        <v>28</v>
      </c>
      <c r="I20" s="4591"/>
      <c r="J20" s="4590">
        <f>J10+J12+J14+J16+J18</f>
        <v>0</v>
      </c>
      <c r="K20" s="4591"/>
      <c r="L20" s="4590">
        <f>L10+L12+L14+L16+L18</f>
        <v>28</v>
      </c>
      <c r="M20" s="4591"/>
      <c r="N20" s="4590">
        <f>N10+N12+N14+N16+N18</f>
        <v>6</v>
      </c>
      <c r="O20" s="4591"/>
      <c r="P20" s="4590">
        <f>P10+P12+P14+P16+P18</f>
        <v>34</v>
      </c>
      <c r="Q20" s="4591"/>
      <c r="R20" s="4590">
        <f>R10+R12+R14+R16+R18</f>
        <v>0</v>
      </c>
      <c r="S20" s="4591"/>
      <c r="T20" s="873"/>
      <c r="U20" s="872"/>
      <c r="V20" s="791"/>
      <c r="W20" s="4290" t="s">
        <v>28</v>
      </c>
      <c r="X20" s="4290"/>
      <c r="Y20" s="2766" t="s">
        <v>20</v>
      </c>
      <c r="Z20" s="2767" t="str">
        <f>IF(L20-'الصفحة 27'!K35&lt;&gt;0,"خطأ"," ")</f>
        <v xml:space="preserve"> </v>
      </c>
      <c r="AA20" s="1032"/>
      <c r="AB20" s="1950"/>
      <c r="AC20" s="796"/>
    </row>
    <row r="21" spans="1:29" ht="15" customHeight="1">
      <c r="A21" s="788"/>
      <c r="B21" s="895"/>
      <c r="C21" s="884"/>
      <c r="D21" s="4519"/>
      <c r="E21" s="4519"/>
      <c r="F21" s="4519"/>
      <c r="G21" s="2494" t="s">
        <v>29</v>
      </c>
      <c r="H21" s="4592">
        <f>H11+H13+H15+H17+H19</f>
        <v>20</v>
      </c>
      <c r="I21" s="4593"/>
      <c r="J21" s="4592">
        <f>J11+J13+J15+J17+J19</f>
        <v>0</v>
      </c>
      <c r="K21" s="4593"/>
      <c r="L21" s="4592">
        <f>L11+L13+L15+L17+L19</f>
        <v>20</v>
      </c>
      <c r="M21" s="4593"/>
      <c r="N21" s="4592">
        <f>N11+N13+N15+N17+N19</f>
        <v>6</v>
      </c>
      <c r="O21" s="4593"/>
      <c r="P21" s="4592">
        <f>P11+P13+P15+P17+P19</f>
        <v>26</v>
      </c>
      <c r="Q21" s="4593"/>
      <c r="R21" s="4592">
        <f>R11+R13+R15+R17+R19</f>
        <v>0</v>
      </c>
      <c r="S21" s="4593"/>
      <c r="T21" s="873"/>
      <c r="U21" s="872"/>
      <c r="V21" s="791"/>
      <c r="W21" s="4290"/>
      <c r="X21" s="4290"/>
      <c r="Y21" s="2768" t="s">
        <v>29</v>
      </c>
      <c r="Z21" s="2769" t="str">
        <f>IF(L21-'الصفحة 27'!K36&lt;&gt;0,"خطأ"," ")</f>
        <v xml:space="preserve"> </v>
      </c>
      <c r="AA21" s="1032"/>
      <c r="AB21" s="1950"/>
      <c r="AC21" s="796"/>
    </row>
    <row r="22" spans="1:29" ht="15" customHeight="1">
      <c r="A22" s="788"/>
      <c r="B22" s="895"/>
      <c r="C22" s="884"/>
      <c r="D22" s="4632" t="s">
        <v>27</v>
      </c>
      <c r="E22" s="4632"/>
      <c r="F22" s="4632"/>
      <c r="G22" s="2492" t="s">
        <v>20</v>
      </c>
      <c r="H22" s="4606"/>
      <c r="I22" s="4607"/>
      <c r="J22" s="4606"/>
      <c r="K22" s="4607"/>
      <c r="L22" s="4590">
        <f>SUM(H22:K22)</f>
        <v>0</v>
      </c>
      <c r="M22" s="4591"/>
      <c r="N22" s="4606"/>
      <c r="O22" s="4607"/>
      <c r="P22" s="4590">
        <f>N22+L22</f>
        <v>0</v>
      </c>
      <c r="Q22" s="4591"/>
      <c r="R22" s="2503" t="str">
        <f>IF(('الصفحة 1'!$Q$14&gt;0),IF((P22&gt;0),IF((P22&lt;&gt;R20),"خطء الأجانب",""),""),"")</f>
        <v/>
      </c>
      <c r="S22" s="1032"/>
      <c r="T22" s="873"/>
      <c r="U22" s="872"/>
      <c r="V22" s="791"/>
      <c r="W22" s="4600"/>
      <c r="X22" s="4600"/>
      <c r="Y22" s="2900"/>
      <c r="Z22" s="2901"/>
      <c r="AA22" s="2761"/>
      <c r="AB22" s="1950"/>
      <c r="AC22" s="796"/>
    </row>
    <row r="23" spans="1:29" ht="14.1" customHeight="1">
      <c r="A23" s="788"/>
      <c r="B23" s="895"/>
      <c r="C23" s="884"/>
      <c r="D23" s="4632"/>
      <c r="E23" s="4632"/>
      <c r="F23" s="4632"/>
      <c r="G23" s="2489" t="s">
        <v>29</v>
      </c>
      <c r="H23" s="4609"/>
      <c r="I23" s="4610"/>
      <c r="J23" s="4609"/>
      <c r="K23" s="4610"/>
      <c r="L23" s="4592">
        <f>H23+J23</f>
        <v>0</v>
      </c>
      <c r="M23" s="4593"/>
      <c r="N23" s="4609"/>
      <c r="O23" s="4610"/>
      <c r="P23" s="4592">
        <f>N23+L23</f>
        <v>0</v>
      </c>
      <c r="Q23" s="4593"/>
      <c r="R23" s="2503" t="str">
        <f>IF(('الصفحة 1'!$Q$14&gt;0),IF((P23&gt;0),IF((P23&lt;&gt;R21),"خطء الأجانب",""),""),"")</f>
        <v/>
      </c>
      <c r="S23" s="1032"/>
      <c r="T23" s="873"/>
      <c r="U23" s="872"/>
      <c r="V23" s="791"/>
      <c r="W23" s="4601"/>
      <c r="X23" s="4601"/>
      <c r="Y23" s="2774"/>
      <c r="Z23" s="2775"/>
      <c r="AA23" s="2772"/>
      <c r="AB23" s="1950"/>
      <c r="AC23" s="796"/>
    </row>
    <row r="24" spans="1:29" ht="14.1" customHeight="1">
      <c r="A24" s="788"/>
      <c r="B24" s="895"/>
      <c r="C24" s="884"/>
      <c r="D24" s="1381"/>
      <c r="E24" s="1381"/>
      <c r="F24" s="1316"/>
      <c r="G24" s="2504"/>
      <c r="H24" s="2502"/>
      <c r="I24" s="2502"/>
      <c r="J24" s="2502"/>
      <c r="K24" s="2502"/>
      <c r="L24" s="2502"/>
      <c r="M24" s="2502"/>
      <c r="N24" s="2502"/>
      <c r="O24" s="2502"/>
      <c r="P24" s="2502"/>
      <c r="Q24" s="2502"/>
      <c r="R24" s="2502"/>
      <c r="S24" s="2502"/>
      <c r="T24" s="873"/>
      <c r="U24" s="872"/>
      <c r="V24" s="791"/>
      <c r="W24" s="4611" t="s">
        <v>1260</v>
      </c>
      <c r="X24" s="4611"/>
      <c r="Y24" s="4611"/>
      <c r="Z24" s="4611"/>
      <c r="AA24" s="4611"/>
      <c r="AB24" s="1950"/>
      <c r="AC24" s="796"/>
    </row>
    <row r="25" spans="1:29" ht="18" customHeight="1">
      <c r="A25" s="788"/>
      <c r="B25" s="894"/>
      <c r="C25" s="954"/>
      <c r="D25" s="2501" t="s">
        <v>1261</v>
      </c>
      <c r="E25" s="2501"/>
      <c r="F25" s="2485"/>
      <c r="G25" s="2362"/>
      <c r="H25" s="2362"/>
      <c r="I25" s="2362"/>
      <c r="J25" s="2363"/>
      <c r="K25" s="2362"/>
      <c r="L25" s="3149" t="s">
        <v>1363</v>
      </c>
      <c r="M25" s="2362"/>
      <c r="N25" s="2363"/>
      <c r="O25" s="2363"/>
      <c r="P25" s="4502" t="s">
        <v>1208</v>
      </c>
      <c r="Q25" s="4502"/>
      <c r="R25" s="2505"/>
      <c r="S25" s="2505"/>
      <c r="T25" s="963"/>
      <c r="U25" s="872"/>
      <c r="V25" s="793"/>
      <c r="W25" s="4611"/>
      <c r="X25" s="4611"/>
      <c r="Y25" s="4611"/>
      <c r="Z25" s="4611"/>
      <c r="AA25" s="4611"/>
      <c r="AB25" s="1950"/>
      <c r="AC25" s="796"/>
    </row>
    <row r="26" spans="1:29" ht="14.1" customHeight="1">
      <c r="A26" s="788"/>
      <c r="B26" s="894"/>
      <c r="C26" s="884"/>
      <c r="D26" s="2506"/>
      <c r="E26" s="2506"/>
      <c r="F26" s="2507"/>
      <c r="G26" s="2508"/>
      <c r="H26" s="2508"/>
      <c r="I26" s="2508"/>
      <c r="J26" s="2509"/>
      <c r="K26" s="2508"/>
      <c r="L26" s="2508"/>
      <c r="M26" s="2508"/>
      <c r="N26" s="2509"/>
      <c r="O26" s="2509"/>
      <c r="P26" s="2509"/>
      <c r="Q26" s="2508"/>
      <c r="R26" s="1397"/>
      <c r="S26" s="1397"/>
      <c r="T26" s="899"/>
      <c r="U26" s="872"/>
      <c r="V26" s="793"/>
      <c r="W26" s="2772"/>
      <c r="X26" s="2772"/>
      <c r="Y26" s="2772"/>
      <c r="Z26" s="2772"/>
      <c r="AA26" s="2772"/>
      <c r="AB26" s="1950"/>
      <c r="AC26" s="796"/>
    </row>
    <row r="27" spans="1:29" ht="24.75" customHeight="1">
      <c r="A27" s="788"/>
      <c r="B27" s="894"/>
      <c r="C27" s="884"/>
      <c r="D27" s="4635" t="s">
        <v>164</v>
      </c>
      <c r="E27" s="4635"/>
      <c r="F27" s="4552"/>
      <c r="G27" s="4594" t="s">
        <v>163</v>
      </c>
      <c r="H27" s="4630" t="s">
        <v>162</v>
      </c>
      <c r="I27" s="4630" t="s">
        <v>161</v>
      </c>
      <c r="J27" s="4630" t="s">
        <v>160</v>
      </c>
      <c r="K27" s="4630" t="s">
        <v>159</v>
      </c>
      <c r="L27" s="4630" t="s">
        <v>158</v>
      </c>
      <c r="M27" s="4630" t="s">
        <v>157</v>
      </c>
      <c r="N27" s="4630" t="s">
        <v>156</v>
      </c>
      <c r="O27" s="4630" t="s">
        <v>155</v>
      </c>
      <c r="P27" s="4630" t="s">
        <v>154</v>
      </c>
      <c r="Q27" s="4624" t="s">
        <v>153</v>
      </c>
      <c r="R27" s="4602" t="s">
        <v>28</v>
      </c>
      <c r="S27" s="1397"/>
      <c r="T27" s="899"/>
      <c r="U27" s="872"/>
      <c r="V27" s="793"/>
      <c r="W27" s="4619" t="s">
        <v>152</v>
      </c>
      <c r="X27" s="4619"/>
      <c r="Y27" s="2761"/>
      <c r="Z27" s="2761"/>
      <c r="AA27" s="2761"/>
      <c r="AB27" s="1950"/>
      <c r="AC27" s="796"/>
    </row>
    <row r="28" spans="1:29" ht="18" customHeight="1">
      <c r="A28" s="788"/>
      <c r="B28" s="894"/>
      <c r="C28" s="884"/>
      <c r="D28" s="4633" t="s">
        <v>151</v>
      </c>
      <c r="E28" s="4633"/>
      <c r="F28" s="4634"/>
      <c r="G28" s="4595"/>
      <c r="H28" s="4631"/>
      <c r="I28" s="4631"/>
      <c r="J28" s="4631"/>
      <c r="K28" s="4631"/>
      <c r="L28" s="4631"/>
      <c r="M28" s="4631"/>
      <c r="N28" s="4631"/>
      <c r="O28" s="4631"/>
      <c r="P28" s="4631"/>
      <c r="Q28" s="4625"/>
      <c r="R28" s="4603"/>
      <c r="S28" s="1397"/>
      <c r="T28" s="899"/>
      <c r="U28" s="872"/>
      <c r="V28" s="793"/>
      <c r="W28" s="4619"/>
      <c r="X28" s="4619"/>
      <c r="Y28" s="2761"/>
      <c r="Z28" s="2761"/>
      <c r="AA28" s="2761"/>
      <c r="AB28" s="1950"/>
      <c r="AC28" s="796"/>
    </row>
    <row r="29" spans="1:29" ht="15" customHeight="1">
      <c r="A29" s="788"/>
      <c r="B29" s="894"/>
      <c r="C29" s="884"/>
      <c r="D29" s="4588" t="s">
        <v>619</v>
      </c>
      <c r="E29" s="4589"/>
      <c r="F29" s="2492" t="s">
        <v>20</v>
      </c>
      <c r="G29" s="2487">
        <f>'الصفحة 15'!$E$12+'الصفحة 16'!$E$12+'الصفحة 17'!$E$12+'الصفحة 18'!$E$12+'الصفحة 19'!$E$12+'الصفحة 20'!$E$12+'الصفحة 21'!$E$12+'الصفحة 22'!$E$12+'الصفحة 23'!$E$12+'الصفحة 24'!$E$12+'الصفحة 25'!$E$12+'الصفحة 26'!$E$12</f>
        <v>0</v>
      </c>
      <c r="H29" s="2488">
        <f>'الصفحة 15'!$F$12+'الصفحة 16'!$F$12+'الصفحة 17'!$F$12+'الصفحة 18'!$F$12+'الصفحة 19'!$F$12+'الصفحة 20'!$F$12+'الصفحة 21'!$F$12+'الصفحة 22'!$F$12+'الصفحة 23'!$F$12+'الصفحة 24'!$F$12+'الصفحة 25'!$F$12+'الصفحة 26'!$F$12</f>
        <v>0</v>
      </c>
      <c r="I29" s="2488">
        <f>'الصفحة 15'!$G$12+'الصفحة 16'!$G$12+'الصفحة 17'!$G$12+'الصفحة 18'!$G$12+'الصفحة 19'!$G$12+'الصفحة 20'!$G$12+'الصفحة 21'!$G$12+'الصفحة 22'!$G$12+'الصفحة 23'!$G$12+'الصفحة 24'!$G$12+'الصفحة 25'!$G$12+'الصفحة 26'!$G$12</f>
        <v>0</v>
      </c>
      <c r="J29" s="2488">
        <f>'الصفحة 15'!$H$12+'الصفحة 16'!$H$12+'الصفحة 17'!$H$12+'الصفحة 18'!$H$12+'الصفحة 19'!$H$12+'الصفحة 20'!$H$12+'الصفحة 21'!$H$12+'الصفحة 22'!$H$12+'الصفحة 23'!$H$12+'الصفحة 24'!$H$12+'الصفحة 25'!$H$12+'الصفحة 26'!$H$12</f>
        <v>2</v>
      </c>
      <c r="K29" s="2488">
        <f>'الصفحة 15'!$I$12+'الصفحة 16'!$I$12+'الصفحة 17'!$I$12+'الصفحة 18'!$I$12+'الصفحة 19'!$I$12+'الصفحة 20'!$I$12+'الصفحة 21'!$I$12+'الصفحة 22'!$I$12+'الصفحة 23'!$I$12+'الصفحة 24'!$I$12+'الصفحة 25'!$I$12+'الصفحة 26'!$I$12</f>
        <v>5</v>
      </c>
      <c r="L29" s="2488">
        <f>'الصفحة 15'!$J$12+'الصفحة 16'!$J$12+'الصفحة 17'!$J$12+'الصفحة 18'!$J$12+'الصفحة 19'!$J$12+'الصفحة 20'!$J$12+'الصفحة 21'!$J$12+'الصفحة 22'!$J$12+'الصفحة 23'!$J$12+'الصفحة 24'!$J$12+'الصفحة 25'!$J$12+'الصفحة 26'!$J$12</f>
        <v>1</v>
      </c>
      <c r="M29" s="2488">
        <f>'الصفحة 15'!$K$12+'الصفحة 16'!$K$12+'الصفحة 17'!$K$12+'الصفحة 18'!$K$12+'الصفحة 19'!$K$12+'الصفحة 20'!$K$12+'الصفحة 21'!$K$12+'الصفحة 22'!$K$12+'الصفحة 23'!$K$12+'الصفحة 24'!$K$12+'الصفحة 25'!$K$12+'الصفحة 26'!$K$12</f>
        <v>1</v>
      </c>
      <c r="N29" s="2488">
        <f>'الصفحة 15'!$L$12+'الصفحة 16'!$L$12+'الصفحة 17'!$L$12+'الصفحة 18'!$L$12+'الصفحة 19'!$L$12+'الصفحة 20'!$L$12+'الصفحة 21'!$L$12+'الصفحة 22'!$L$12+'الصفحة 23'!$L$12+'الصفحة 24'!$L$12+'الصفحة 25'!$L$12+'الصفحة 26'!$L$12</f>
        <v>1</v>
      </c>
      <c r="O29" s="2488">
        <f>'الصفحة 15'!$M$12+'الصفحة 16'!$M$12+'الصفحة 17'!$M$12+'الصفحة 18'!$M$12+'الصفحة 19'!$M$12+'الصفحة 20'!$M$12+'الصفحة 21'!$M$12+'الصفحة 22'!$M$12+'الصفحة 23'!$M$12+'الصفحة 24'!$M$12+'الصفحة 25'!$M$12+'الصفحة 26'!$M$12</f>
        <v>0</v>
      </c>
      <c r="P29" s="2488">
        <f>'الصفحة 15'!$N$12+'الصفحة 16'!$N$12+'الصفحة 17'!$N$12+'الصفحة 18'!$N$12+'الصفحة 19'!$N$12+'الصفحة 20'!$N$12+'الصفحة 21'!$N$12+'الصفحة 22'!$N$12+'الصفحة 23'!$N$12+'الصفحة 24'!$N$12+'الصفحة 25'!$N$12+'الصفحة 26'!$N$12</f>
        <v>0</v>
      </c>
      <c r="Q29" s="2510">
        <f>'الصفحة 15'!$O$12+'الصفحة 16'!$O$12+'الصفحة 17'!$O$12+'الصفحة 18'!$O$12+'الصفحة 19'!$O$12+'الصفحة 20'!$O$12+'الصفحة 21'!$O$12+'الصفحة 22'!$O$12+'الصفحة 23'!$O$12+'الصفحة 24'!$O$12+'الصفحة 25'!$O$12+'الصفحة 26'!$O$12</f>
        <v>1</v>
      </c>
      <c r="R29" s="1394">
        <f>SUM(G29:Q29)</f>
        <v>11</v>
      </c>
      <c r="S29" s="1396" t="str">
        <f>IF(('الصفحة 1'!$Q$14&gt;0),IF((L10&gt;0),IF(((L10)&lt;&gt;(R29)),"خطء",""),""),"")</f>
        <v/>
      </c>
      <c r="T29" s="873"/>
      <c r="U29" s="872"/>
      <c r="V29" s="793"/>
      <c r="W29" s="4588" t="str">
        <f>D29</f>
        <v>الأستاذ المكون في التعليم المتوسط</v>
      </c>
      <c r="X29" s="4588"/>
      <c r="Y29" s="2762" t="s">
        <v>20</v>
      </c>
      <c r="Z29" s="2763" t="str">
        <f t="shared" ref="Z29:Z40" si="1">IF(R29-L10&lt;&gt;0,"خطأ"," ")</f>
        <v xml:space="preserve"> </v>
      </c>
      <c r="AA29" s="1032"/>
      <c r="AB29" s="1950"/>
      <c r="AC29" s="796"/>
    </row>
    <row r="30" spans="1:29" ht="15" customHeight="1">
      <c r="A30" s="788"/>
      <c r="B30" s="894"/>
      <c r="C30" s="884"/>
      <c r="D30" s="4588"/>
      <c r="E30" s="4589"/>
      <c r="F30" s="2489" t="s">
        <v>29</v>
      </c>
      <c r="G30" s="2511">
        <f>'الصفحة 15'!$E$13+'الصفحة 16'!$E$13+'الصفحة 17'!$E$13+'الصفحة 18'!$E$13+'الصفحة 19'!$E$13+'الصفحة 20'!$E$13+'الصفحة 21'!$E$13+'الصفحة 22'!$E$13+'الصفحة 23'!$E$13+'الصفحة 24'!$E$13+'الصفحة 25'!$E$13+'الصفحة 26'!$E$13</f>
        <v>0</v>
      </c>
      <c r="H30" s="2512">
        <f>'الصفحة 15'!$F$13+'الصفحة 16'!$F$13+'الصفحة 17'!$F$13+'الصفحة 18'!$F$13+'الصفحة 19'!$F$13+'الصفحة 20'!$F$13+'الصفحة 21'!$F$13+'الصفحة 22'!$F$13+'الصفحة 23'!$F$13+'الصفحة 24'!$F$13+'الصفحة 25'!$F$13+'الصفحة 26'!$F$13</f>
        <v>0</v>
      </c>
      <c r="I30" s="2512">
        <f>'الصفحة 15'!$G$13+'الصفحة 16'!$G$13+'الصفحة 17'!$G$13+'الصفحة 18'!$G$13+'الصفحة 19'!$G$13+'الصفحة 20'!$G$13+'الصفحة 21'!$G$13+'الصفحة 22'!$G$13+'الصفحة 23'!$G$13+'الصفحة 24'!$G$13+'الصفحة 25'!$G$13+'الصفحة 26'!$G$13</f>
        <v>0</v>
      </c>
      <c r="J30" s="2512">
        <f>'الصفحة 15'!$H$13+'الصفحة 16'!$H$13+'الصفحة 17'!$H$13+'الصفحة 18'!$H$13+'الصفحة 19'!$H$13+'الصفحة 20'!$H$13+'الصفحة 21'!$H$13+'الصفحة 22'!$H$13+'الصفحة 23'!$H$13+'الصفحة 24'!$H$13+'الصفحة 25'!$H$13+'الصفحة 26'!$H$13</f>
        <v>2</v>
      </c>
      <c r="K30" s="2512">
        <f>'الصفحة 15'!$I$13+'الصفحة 16'!$I$13+'الصفحة 17'!$I$13+'الصفحة 18'!$I$13+'الصفحة 19'!$I$13+'الصفحة 20'!$I$13+'الصفحة 21'!$I$13+'الصفحة 22'!$I$13+'الصفحة 23'!$I$13+'الصفحة 24'!$I$13+'الصفحة 25'!$I$13+'الصفحة 26'!$I$13</f>
        <v>3</v>
      </c>
      <c r="L30" s="2512">
        <f>'الصفحة 15'!$J$13+'الصفحة 16'!$J$13+'الصفحة 17'!$J$13+'الصفحة 18'!$J$13+'الصفحة 19'!$J$13+'الصفحة 20'!$J$13+'الصفحة 21'!$J$13+'الصفحة 22'!$J$13+'الصفحة 23'!$J$13+'الصفحة 24'!$J$13+'الصفحة 25'!$J$13+'الصفحة 26'!$J$13</f>
        <v>1</v>
      </c>
      <c r="M30" s="2512">
        <f>'الصفحة 15'!$K$13+'الصفحة 16'!$K$13+'الصفحة 17'!$K$13+'الصفحة 18'!$K$13+'الصفحة 19'!$K$13+'الصفحة 20'!$K$13+'الصفحة 21'!$K$13+'الصفحة 22'!$K$13+'الصفحة 23'!$K$13+'الصفحة 24'!$K$13+'الصفحة 25'!$K$13+'الصفحة 26'!$K$13</f>
        <v>0</v>
      </c>
      <c r="N30" s="2512">
        <f>'الصفحة 15'!$L$13+'الصفحة 16'!$L$13+'الصفحة 17'!$L$13+'الصفحة 18'!$L$13+'الصفحة 19'!$L$13+'الصفحة 20'!$L$13+'الصفحة 21'!$L$13+'الصفحة 22'!$L$13+'الصفحة 23'!$L$13+'الصفحة 24'!$L$13+'الصفحة 25'!$L$13+'الصفحة 26'!$L$13</f>
        <v>1</v>
      </c>
      <c r="O30" s="2512">
        <f>'الصفحة 15'!$M$13+'الصفحة 16'!$M$13+'الصفحة 17'!$M$13+'الصفحة 18'!$M$13+'الصفحة 19'!$M$13+'الصفحة 20'!$M$13+'الصفحة 21'!$M$13+'الصفحة 22'!$M$13+'الصفحة 23'!$M$13+'الصفحة 24'!$M$13+'الصفحة 25'!$M$13+'الصفحة 26'!$M$13</f>
        <v>0</v>
      </c>
      <c r="P30" s="2512">
        <f>'الصفحة 15'!$N$13+'الصفحة 16'!$N$13+'الصفحة 17'!$N$13+'الصفحة 18'!$N$13+'الصفحة 19'!$N$13+'الصفحة 20'!$N$13+'الصفحة 21'!$N$13+'الصفحة 22'!$N$13+'الصفحة 23'!$N$13+'الصفحة 24'!$N$13+'الصفحة 25'!$N$13+'الصفحة 26'!$N$13</f>
        <v>0</v>
      </c>
      <c r="Q30" s="2513">
        <f>'الصفحة 15'!$O$13+'الصفحة 16'!$O$13+'الصفحة 17'!$O$13+'الصفحة 18'!$O$13+'الصفحة 19'!$O$13+'الصفحة 20'!$O$13+'الصفحة 21'!$O$13+'الصفحة 22'!$O$13+'الصفحة 23'!$O$13+'الصفحة 24'!$O$13+'الصفحة 25'!$O$13+'الصفحة 26'!$O$13</f>
        <v>1</v>
      </c>
      <c r="R30" s="1395">
        <f t="shared" ref="R30:R38" si="2">SUM(G30:Q30)</f>
        <v>8</v>
      </c>
      <c r="S30" s="1396" t="str">
        <f>IF(('الصفحة 1'!$Q$14&gt;0),IF((L11&gt;0),IF(((L11)&lt;&gt;(R30)),"خطء",""),""),"")</f>
        <v/>
      </c>
      <c r="T30" s="873"/>
      <c r="U30" s="872"/>
      <c r="V30" s="793"/>
      <c r="W30" s="4588"/>
      <c r="X30" s="4588"/>
      <c r="Y30" s="2764" t="s">
        <v>29</v>
      </c>
      <c r="Z30" s="2765" t="str">
        <f t="shared" si="1"/>
        <v xml:space="preserve"> </v>
      </c>
      <c r="AA30" s="1032"/>
      <c r="AB30" s="1950"/>
      <c r="AC30" s="796"/>
    </row>
    <row r="31" spans="1:29" ht="15" customHeight="1">
      <c r="A31" s="788"/>
      <c r="B31" s="894"/>
      <c r="C31" s="884"/>
      <c r="D31" s="4588" t="s">
        <v>233</v>
      </c>
      <c r="E31" s="4589"/>
      <c r="F31" s="2492" t="s">
        <v>20</v>
      </c>
      <c r="G31" s="2514">
        <f>'الصفحة 15'!$E$15+'الصفحة 16'!$E$15+'الصفحة 17'!$E$15+'الصفحة 18'!$E$15+'الصفحة 19'!$E$15+'الصفحة 20'!$E$15+'الصفحة 21'!$E$15+'الصفحة 22'!$E$15+'الصفحة 23'!$E$15+'الصفحة 24'!$E$15+'الصفحة 25'!$E$15+'الصفحة 26'!$E$15</f>
        <v>1</v>
      </c>
      <c r="H31" s="2515">
        <f>'الصفحة 15'!$F$15+'الصفحة 16'!$F$15+'الصفحة 17'!$F$15+'الصفحة 18'!$F$15+'الصفحة 19'!$F$15+'الصفحة 20'!$F$15+'الصفحة 21'!$F$15+'الصفحة 22'!$F$15+'الصفحة 23'!$F$15+'الصفحة 24'!$F$15+'الصفحة 25'!$F$15+'الصفحة 26'!$F$15</f>
        <v>2</v>
      </c>
      <c r="I31" s="2515">
        <f>'الصفحة 15'!$G$15+'الصفحة 16'!$G$15+'الصفحة 17'!$G$15+'الصفحة 18'!$G$15+'الصفحة 19'!$G$15+'الصفحة 20'!$G$15+'الصفحة 21'!$G$15+'الصفحة 22'!$G$15+'الصفحة 23'!$G$15+'الصفحة 24'!$G$15+'الصفحة 25'!$G$15+'الصفحة 26'!$G$15</f>
        <v>2</v>
      </c>
      <c r="J31" s="2515">
        <f>'الصفحة 15'!$H$15+'الصفحة 16'!$H$15+'الصفحة 17'!$H$15+'الصفحة 18'!$H$15+'الصفحة 19'!$H$15+'الصفحة 20'!$H$15+'الصفحة 21'!$H$15+'الصفحة 22'!$H$15+'الصفحة 23'!$H$15+'الصفحة 24'!$H$15+'الصفحة 25'!$H$15+'الصفحة 26'!$H$15</f>
        <v>2</v>
      </c>
      <c r="K31" s="2515">
        <f>'الصفحة 15'!$I$15+'الصفحة 16'!$I$15+'الصفحة 17'!$I$15+'الصفحة 18'!$I$15+'الصفحة 19'!$I$15+'الصفحة 20'!$I$15+'الصفحة 21'!$I$15+'الصفحة 22'!$I$15+'الصفحة 23'!$I$15+'الصفحة 24'!$I$15+'الصفحة 25'!$I$15+'الصفحة 26'!$I$15</f>
        <v>0</v>
      </c>
      <c r="L31" s="2515">
        <f>'الصفحة 15'!$J$15+'الصفحة 16'!$J$15+'الصفحة 17'!$J$15+'الصفحة 18'!$J$15+'الصفحة 19'!$J$15+'الصفحة 20'!$J$15+'الصفحة 21'!$J$15+'الصفحة 22'!$J$15+'الصفحة 23'!$J$15+'الصفحة 24'!$J$15+'الصفحة 25'!$J$15+'الصفحة 26'!$J$15</f>
        <v>0</v>
      </c>
      <c r="M31" s="2515">
        <f>'الصفحة 15'!$K$15+'الصفحة 16'!$K$15+'الصفحة 17'!$K$15+'الصفحة 18'!$K$15+'الصفحة 19'!$K$15+'الصفحة 20'!$K$15+'الصفحة 21'!$K$15+'الصفحة 22'!$K$15+'الصفحة 23'!$K$15+'الصفحة 24'!$K$15+'الصفحة 25'!$K$15+'الصفحة 26'!$K$15</f>
        <v>0</v>
      </c>
      <c r="N31" s="2515">
        <f>'الصفحة 15'!$L$15+'الصفحة 16'!$L$15+'الصفحة 17'!$L$15+'الصفحة 18'!$L$15+'الصفحة 19'!$L$15+'الصفحة 20'!$L$15+'الصفحة 21'!$L$15+'الصفحة 22'!$L$15+'الصفحة 23'!$L$15+'الصفحة 24'!$L$15+'الصفحة 25'!$L$15+'الصفحة 26'!$L$15</f>
        <v>0</v>
      </c>
      <c r="O31" s="2515">
        <f>'الصفحة 15'!$M$15+'الصفحة 16'!$M$15+'الصفحة 17'!$M$15+'الصفحة 18'!$M$15+'الصفحة 19'!$M$15+'الصفحة 20'!$M$15+'الصفحة 21'!$M$15+'الصفحة 22'!$M$15+'الصفحة 23'!$M$15+'الصفحة 24'!$M$15+'الصفحة 25'!$M$15+'الصفحة 26'!$M$15</f>
        <v>0</v>
      </c>
      <c r="P31" s="2515">
        <f>'الصفحة 15'!$N$15+'الصفحة 16'!$N$15+'الصفحة 17'!$N$15+'الصفحة 18'!$N$15+'الصفحة 19'!$N$15+'الصفحة 20'!$N$15+'الصفحة 21'!$N$15+'الصفحة 22'!$N$15+'الصفحة 23'!$N$15+'الصفحة 24'!$N$15+'الصفحة 25'!$N$15+'الصفحة 26'!$N$15</f>
        <v>0</v>
      </c>
      <c r="Q31" s="2516">
        <f>'الصفحة 15'!$O$15+'الصفحة 16'!$O$15+'الصفحة 17'!$O$15+'الصفحة 18'!$O$15+'الصفحة 19'!$O$15+'الصفحة 20'!$O$15+'الصفحة 21'!$O$15+'الصفحة 22'!$O$15+'الصفحة 23'!$O$15+'الصفحة 24'!$O$15+'الصفحة 25'!$O$15+'الصفحة 26'!$O$15</f>
        <v>0</v>
      </c>
      <c r="R31" s="1394">
        <f t="shared" si="2"/>
        <v>7</v>
      </c>
      <c r="S31" s="1396" t="str">
        <f>IF(('الصفحة 1'!$Q$14&gt;0),IF((L12&gt;0),IF(((L12)&lt;&gt;(R31)),"خطء",""),""),"")</f>
        <v/>
      </c>
      <c r="T31" s="873"/>
      <c r="U31" s="872"/>
      <c r="V31" s="793"/>
      <c r="W31" s="4608" t="str">
        <f>D31</f>
        <v>أستاذ رئيسي للتعليم المتوسط</v>
      </c>
      <c r="X31" s="4608"/>
      <c r="Y31" s="2766" t="s">
        <v>20</v>
      </c>
      <c r="Z31" s="2767" t="str">
        <f t="shared" si="1"/>
        <v xml:space="preserve"> </v>
      </c>
      <c r="AA31" s="1032"/>
      <c r="AB31" s="1950"/>
      <c r="AC31" s="796"/>
    </row>
    <row r="32" spans="1:29" ht="15" customHeight="1">
      <c r="A32" s="788"/>
      <c r="B32" s="894"/>
      <c r="C32" s="884"/>
      <c r="D32" s="4588"/>
      <c r="E32" s="4589"/>
      <c r="F32" s="2489" t="s">
        <v>29</v>
      </c>
      <c r="G32" s="2517">
        <f>'الصفحة 15'!$E$16+'الصفحة 16'!$E$16+'الصفحة 17'!$E$16+'الصفحة 18'!$E$16+'الصفحة 19'!$E$16+'الصفحة 20'!$E$16+'الصفحة 21'!$E$16+'الصفحة 22'!$E$16+'الصفحة 23'!$E$16+'الصفحة 24'!$E$16+'الصفحة 25'!$E$16+'الصفحة 26'!$E$16</f>
        <v>1</v>
      </c>
      <c r="H32" s="2518">
        <f>'الصفحة 15'!$F$16+'الصفحة 16'!$F$16+'الصفحة 17'!$F$16+'الصفحة 18'!$F$16+'الصفحة 19'!$F$16+'الصفحة 20'!$F$16+'الصفحة 21'!$F$16+'الصفحة 22'!$F$16+'الصفحة 23'!$F$16+'الصفحة 24'!$F$16+'الصفحة 25'!$F$16+'الصفحة 26'!$F$16</f>
        <v>1</v>
      </c>
      <c r="I32" s="2518">
        <f>'الصفحة 15'!$G$16+'الصفحة 16'!$G$16+'الصفحة 17'!$G$16+'الصفحة 18'!$G$16+'الصفحة 19'!$G$16+'الصفحة 20'!$G$16+'الصفحة 21'!$G$16+'الصفحة 22'!$G$16+'الصفحة 23'!$G$16+'الصفحة 24'!$G$16+'الصفحة 25'!$G$16+'الصفحة 26'!$G$16</f>
        <v>1</v>
      </c>
      <c r="J32" s="2518">
        <f>'الصفحة 15'!$H$16+'الصفحة 16'!$H$16+'الصفحة 17'!$H$16+'الصفحة 18'!$H$16+'الصفحة 19'!$H$16+'الصفحة 20'!$H$16+'الصفحة 21'!$H$16+'الصفحة 22'!$H$16+'الصفحة 23'!$H$16+'الصفحة 24'!$H$16+'الصفحة 25'!$H$16+'الصفحة 26'!$H$16</f>
        <v>1</v>
      </c>
      <c r="K32" s="2518">
        <f>'الصفحة 15'!$I$16+'الصفحة 16'!$I$16+'الصفحة 17'!$I$16+'الصفحة 18'!$I$16+'الصفحة 19'!$I$16+'الصفحة 20'!$I$16+'الصفحة 21'!$I$16+'الصفحة 22'!$I$16+'الصفحة 23'!$I$16+'الصفحة 24'!$I$16+'الصفحة 25'!$I$16+'الصفحة 26'!$I$16</f>
        <v>0</v>
      </c>
      <c r="L32" s="2518">
        <f>'الصفحة 15'!$J$16+'الصفحة 16'!$J$16+'الصفحة 17'!$J$16+'الصفحة 18'!$J$16+'الصفحة 19'!$J$16+'الصفحة 20'!$J$16+'الصفحة 21'!$J$16+'الصفحة 22'!$J$16+'الصفحة 23'!$J$16+'الصفحة 24'!$J$16+'الصفحة 25'!$J$16+'الصفحة 26'!$J$16</f>
        <v>0</v>
      </c>
      <c r="M32" s="2518">
        <f>'الصفحة 15'!$K$16+'الصفحة 16'!$K$16+'الصفحة 17'!$K$16+'الصفحة 18'!$K$16+'الصفحة 19'!$K$16+'الصفحة 20'!$K$16+'الصفحة 21'!$K$16+'الصفحة 22'!$K$16+'الصفحة 23'!$K$16+'الصفحة 24'!$K$16+'الصفحة 25'!$K$16+'الصفحة 26'!$K$16</f>
        <v>0</v>
      </c>
      <c r="N32" s="2518">
        <f>'الصفحة 15'!$L$16+'الصفحة 16'!$L$16+'الصفحة 17'!$L$16+'الصفحة 18'!$L$16+'الصفحة 19'!$L$16+'الصفحة 20'!$L$16+'الصفحة 21'!$L$16+'الصفحة 22'!$L$16+'الصفحة 23'!$L$16+'الصفحة 24'!$L$16+'الصفحة 25'!$L$16+'الصفحة 26'!$L$16</f>
        <v>0</v>
      </c>
      <c r="O32" s="2518">
        <f>'الصفحة 15'!$M$16+'الصفحة 16'!$M$16+'الصفحة 17'!$M$16+'الصفحة 18'!$M$16+'الصفحة 19'!$M$16+'الصفحة 20'!$M$16+'الصفحة 21'!$M$16+'الصفحة 22'!$M$16+'الصفحة 23'!$M$16+'الصفحة 24'!$M$16+'الصفحة 25'!$M$16+'الصفحة 26'!$M$16</f>
        <v>0</v>
      </c>
      <c r="P32" s="2518">
        <f>'الصفحة 15'!$N$16+'الصفحة 16'!$N$16+'الصفحة 17'!$N$16+'الصفحة 18'!$N$16+'الصفحة 19'!$N$16+'الصفحة 20'!$N$16+'الصفحة 21'!$N$16+'الصفحة 22'!$N$16+'الصفحة 23'!$N$16+'الصفحة 24'!$N$16+'الصفحة 25'!$N$16+'الصفحة 26'!$N$16</f>
        <v>0</v>
      </c>
      <c r="Q32" s="2519">
        <f>'الصفحة 15'!$O$16+'الصفحة 16'!$O$16+'الصفحة 17'!$O$16+'الصفحة 18'!$O$16+'الصفحة 19'!$O$16+'الصفحة 20'!$O$16+'الصفحة 21'!$O$16+'الصفحة 22'!$O$16+'الصفحة 23'!$O$16+'الصفحة 24'!$O$16+'الصفحة 25'!$O$16+'الصفحة 26'!$O$16</f>
        <v>0</v>
      </c>
      <c r="R32" s="1395">
        <f t="shared" si="2"/>
        <v>4</v>
      </c>
      <c r="S32" s="1396" t="str">
        <f>IF(('الصفحة 1'!$Q$14&gt;0),IF((L13&gt;0),IF(((L13)&lt;&gt;(R32)),"خطء",""),""),"")</f>
        <v/>
      </c>
      <c r="T32" s="873"/>
      <c r="U32" s="872"/>
      <c r="V32" s="793"/>
      <c r="W32" s="4608"/>
      <c r="X32" s="4608"/>
      <c r="Y32" s="2766" t="s">
        <v>29</v>
      </c>
      <c r="Z32" s="2767" t="str">
        <f t="shared" si="1"/>
        <v xml:space="preserve"> </v>
      </c>
      <c r="AA32" s="1032"/>
      <c r="AB32" s="1950"/>
      <c r="AC32" s="796"/>
    </row>
    <row r="33" spans="1:29" ht="15" customHeight="1">
      <c r="A33" s="788"/>
      <c r="B33" s="894"/>
      <c r="C33" s="884"/>
      <c r="D33" s="4588" t="s">
        <v>710</v>
      </c>
      <c r="E33" s="4589"/>
      <c r="F33" s="2492" t="s">
        <v>20</v>
      </c>
      <c r="G33" s="2514">
        <f>'الصفحة 15'!$E$18+'الصفحة 16'!$E$18+'الصفحة 17'!$E$18+'الصفحة 18'!$E$18+'الصفحة 19'!$E$18+'الصفحة 20'!$E$18+'الصفحة 21'!$E$18+'الصفحة 22'!$E$18+'الصفحة 23'!$E$18+'الصفحة 24'!$E$18+'الصفحة 25'!$E$18+'الصفحة 26'!$E$18</f>
        <v>0</v>
      </c>
      <c r="H33" s="2515">
        <f>'الصفحة 15'!$F$18+'الصفحة 16'!$F$18+'الصفحة 17'!$F$18+'الصفحة 18'!$F$18+'الصفحة 19'!$F$18+'الصفحة 20'!$F$18+'الصفحة 21'!$F$18+'الصفحة 22'!$F$18+'الصفحة 23'!$F$18+'الصفحة 24'!$F$18+'الصفحة 25'!$F$18+'الصفحة 26'!$F$18</f>
        <v>0</v>
      </c>
      <c r="I33" s="2515">
        <f>'الصفحة 15'!$G$18+'الصفحة 16'!$G$18+'الصفحة 17'!$G$18+'الصفحة 18'!$G$18+'الصفحة 19'!$G$18+'الصفحة 20'!$G$18+'الصفحة 21'!$G$18+'الصفحة 22'!$G$18+'الصفحة 23'!$G$18+'الصفحة 24'!$G$18+'الصفحة 25'!$G$18+'الصفحة 26'!$G$18</f>
        <v>0</v>
      </c>
      <c r="J33" s="2515">
        <f>'الصفحة 15'!$H$18+'الصفحة 16'!$H$18+'الصفحة 17'!$H$18+'الصفحة 18'!$H$18+'الصفحة 19'!$H$18+'الصفحة 20'!$H$18+'الصفحة 21'!$H$18+'الصفحة 22'!$H$18+'الصفحة 23'!$H$18+'الصفحة 24'!$H$18+'الصفحة 25'!$H$18+'الصفحة 26'!$H$18</f>
        <v>0</v>
      </c>
      <c r="K33" s="2515">
        <f>'الصفحة 15'!$I$18+'الصفحة 16'!$I$18+'الصفحة 17'!$I$18+'الصفحة 18'!$I$18+'الصفحة 19'!$I$18+'الصفحة 20'!$I$18+'الصفحة 21'!$I$18+'الصفحة 22'!$I$18+'الصفحة 23'!$I$18+'الصفحة 24'!$I$18+'الصفحة 25'!$I$18+'الصفحة 26'!$I$18</f>
        <v>0</v>
      </c>
      <c r="L33" s="2515">
        <f>'الصفحة 15'!$J$18+'الصفحة 16'!$J$18+'الصفحة 17'!$J$18+'الصفحة 18'!$J$18+'الصفحة 19'!$J$18+'الصفحة 20'!$J$18+'الصفحة 21'!$J$18+'الصفحة 22'!$J$18+'الصفحة 23'!$J$18+'الصفحة 24'!$J$18+'الصفحة 25'!$J$18+'الصفحة 26'!$J$18</f>
        <v>0</v>
      </c>
      <c r="M33" s="2515">
        <f>'الصفحة 15'!$K$18+'الصفحة 16'!$K$18+'الصفحة 17'!$K$18+'الصفحة 18'!$K$18+'الصفحة 19'!$K$18+'الصفحة 20'!$K$18+'الصفحة 21'!$K$18+'الصفحة 22'!$K$18+'الصفحة 23'!$K$18+'الصفحة 24'!$K$18+'الصفحة 25'!$K$18+'الصفحة 26'!$K$18</f>
        <v>0</v>
      </c>
      <c r="N33" s="2515">
        <f>'الصفحة 15'!$L$18+'الصفحة 16'!$L$18+'الصفحة 17'!$L$18+'الصفحة 18'!$L$18+'الصفحة 19'!$L$18+'الصفحة 20'!$L$18+'الصفحة 21'!$L$18+'الصفحة 22'!$L$18+'الصفحة 23'!$L$18+'الصفحة 24'!$L$18+'الصفحة 25'!$L$18+'الصفحة 26'!$L$18</f>
        <v>0</v>
      </c>
      <c r="O33" s="2515">
        <f>'الصفحة 15'!$M$18+'الصفحة 16'!$M$18+'الصفحة 17'!$M$18+'الصفحة 18'!$M$18+'الصفحة 19'!$M$18+'الصفحة 20'!$M$18+'الصفحة 21'!$M$18+'الصفحة 22'!$M$18+'الصفحة 23'!$M$18+'الصفحة 24'!$M$18+'الصفحة 25'!$M$18+'الصفحة 26'!$M$18</f>
        <v>0</v>
      </c>
      <c r="P33" s="2515">
        <f>'الصفحة 15'!$N$18+'الصفحة 16'!$N$18+'الصفحة 17'!$N$18+'الصفحة 18'!$N$18+'الصفحة 19'!$N$18+'الصفحة 20'!$N$18+'الصفحة 21'!$N$18+'الصفحة 22'!$N$18+'الصفحة 23'!$N$18+'الصفحة 24'!$N$18+'الصفحة 25'!$N$18+'الصفحة 26'!$N$18</f>
        <v>0</v>
      </c>
      <c r="Q33" s="2516">
        <f>'الصفحة 15'!$O$18+'الصفحة 16'!$O$18+'الصفحة 17'!$O$18+'الصفحة 18'!$O$18+'الصفحة 19'!$O$18+'الصفحة 20'!$O$18+'الصفحة 21'!$O$18+'الصفحة 22'!$O$18+'الصفحة 23'!$O$18+'الصفحة 24'!$O$18+'الصفحة 25'!$O$18+'الصفحة 26'!$O$18</f>
        <v>0</v>
      </c>
      <c r="R33" s="1394">
        <f t="shared" si="2"/>
        <v>0</v>
      </c>
      <c r="S33" s="1396" t="str">
        <f>IF(('الصفحة 1'!$Q$14&gt;0),IF((L14&gt;0),IF(((L14)&lt;&gt;(R33)),"خطء",""),""),"")</f>
        <v/>
      </c>
      <c r="T33" s="873"/>
      <c r="U33" s="872"/>
      <c r="V33" s="793"/>
      <c r="W33" s="4588" t="str">
        <f>D33</f>
        <v>أستاذ منسق للتعليم المتوسط</v>
      </c>
      <c r="X33" s="4588"/>
      <c r="Y33" s="2764" t="s">
        <v>20</v>
      </c>
      <c r="Z33" s="2765" t="str">
        <f t="shared" si="1"/>
        <v xml:space="preserve"> </v>
      </c>
      <c r="AA33" s="1032"/>
      <c r="AB33" s="1950"/>
      <c r="AC33" s="796"/>
    </row>
    <row r="34" spans="1:29" ht="15" customHeight="1">
      <c r="A34" s="788"/>
      <c r="B34" s="894"/>
      <c r="C34" s="884"/>
      <c r="D34" s="4588"/>
      <c r="E34" s="4589"/>
      <c r="F34" s="2489" t="s">
        <v>29</v>
      </c>
      <c r="G34" s="2517">
        <f>'الصفحة 15'!$E$19+'الصفحة 16'!$E$19+'الصفحة 17'!$E$19+'الصفحة 18'!$E$19+'الصفحة 19'!$E$19+'الصفحة 20'!$E$19+'الصفحة 21'!$E$19+'الصفحة 22'!$E$19+'الصفحة 23'!$E$19+'الصفحة 24'!$E$19+'الصفحة 25'!$E$19+'الصفحة 26'!$E$19</f>
        <v>0</v>
      </c>
      <c r="H34" s="2518">
        <f>'الصفحة 15'!$F$19+'الصفحة 16'!$F$19+'الصفحة 17'!$F$19+'الصفحة 18'!$F$19+'الصفحة 19'!$F$19+'الصفحة 20'!$F$19+'الصفحة 21'!$F$19+'الصفحة 22'!$F$19+'الصفحة 23'!$F$19+'الصفحة 24'!$F$19+'الصفحة 25'!$F$19+'الصفحة 26'!$F$19</f>
        <v>0</v>
      </c>
      <c r="I34" s="2518">
        <f>'الصفحة 15'!$G$19+'الصفحة 16'!$G$19+'الصفحة 17'!$G$19+'الصفحة 18'!$G$19+'الصفحة 19'!$G$19+'الصفحة 20'!$G$19+'الصفحة 21'!$G$19+'الصفحة 22'!$G$19+'الصفحة 23'!$G$19+'الصفحة 24'!$G$19+'الصفحة 25'!$G$19+'الصفحة 26'!$G$19</f>
        <v>0</v>
      </c>
      <c r="J34" s="2518">
        <f>'الصفحة 15'!$H$19+'الصفحة 16'!$H$19+'الصفحة 17'!$H$19+'الصفحة 18'!$H$19+'الصفحة 19'!$H$19+'الصفحة 20'!$H$19+'الصفحة 21'!$H$19+'الصفحة 22'!$H$19+'الصفحة 23'!$H$19+'الصفحة 24'!$H$19+'الصفحة 25'!$H$19+'الصفحة 26'!$H$19</f>
        <v>0</v>
      </c>
      <c r="K34" s="2518">
        <f>'الصفحة 15'!$I$19+'الصفحة 16'!$I$19+'الصفحة 17'!$I$19+'الصفحة 18'!$I$19+'الصفحة 19'!$I$19+'الصفحة 20'!$I$19+'الصفحة 21'!$I$19+'الصفحة 22'!$I$19+'الصفحة 23'!$I$19+'الصفحة 24'!$I$19+'الصفحة 25'!$I$19+'الصفحة 26'!$I$19</f>
        <v>0</v>
      </c>
      <c r="L34" s="2518">
        <f>'الصفحة 15'!$J$19+'الصفحة 16'!$J$19+'الصفحة 17'!$J$19+'الصفحة 18'!$J$19+'الصفحة 19'!$J$19+'الصفحة 20'!$J$19+'الصفحة 21'!$J$19+'الصفحة 22'!$J$19+'الصفحة 23'!$J$19+'الصفحة 24'!$J$19+'الصفحة 25'!$J$19+'الصفحة 26'!$J$19</f>
        <v>0</v>
      </c>
      <c r="M34" s="2518">
        <f>'الصفحة 15'!$K$19+'الصفحة 16'!$K$19+'الصفحة 17'!$K$19+'الصفحة 18'!$K$19+'الصفحة 19'!$K$19+'الصفحة 20'!$K$19+'الصفحة 21'!$K$19+'الصفحة 22'!$K$19+'الصفحة 23'!$K$19+'الصفحة 24'!$K$19+'الصفحة 25'!$K$19+'الصفحة 26'!$K$19</f>
        <v>0</v>
      </c>
      <c r="N34" s="2518">
        <f>'الصفحة 15'!$L$19+'الصفحة 16'!$L$19+'الصفحة 17'!$L$19+'الصفحة 18'!$L$19+'الصفحة 19'!$L$19+'الصفحة 20'!$L$19+'الصفحة 21'!$L$19+'الصفحة 22'!$L$19+'الصفحة 23'!$L$19+'الصفحة 24'!$L$19+'الصفحة 25'!$L$19+'الصفحة 26'!$L$19</f>
        <v>0</v>
      </c>
      <c r="O34" s="2518">
        <f>'الصفحة 15'!$M$19+'الصفحة 16'!$M$19+'الصفحة 17'!$M$19+'الصفحة 18'!$M$19+'الصفحة 19'!$M$19+'الصفحة 20'!$M$19+'الصفحة 21'!$M$19+'الصفحة 22'!$M$19+'الصفحة 23'!$M$19+'الصفحة 24'!$M$19+'الصفحة 25'!$M$19+'الصفحة 26'!$M$19</f>
        <v>0</v>
      </c>
      <c r="P34" s="2518">
        <f>'الصفحة 15'!$N$19+'الصفحة 16'!$N$19+'الصفحة 17'!$N$19+'الصفحة 18'!$N$19+'الصفحة 19'!$N$19+'الصفحة 20'!$N$19+'الصفحة 21'!$N$19+'الصفحة 22'!$N$19+'الصفحة 23'!$N$19+'الصفحة 24'!$N$19+'الصفحة 25'!$N$19+'الصفحة 26'!$N$19</f>
        <v>0</v>
      </c>
      <c r="Q34" s="2519">
        <f>'الصفحة 15'!$O$19+'الصفحة 16'!$O$19+'الصفحة 17'!$O$19+'الصفحة 18'!$O$19+'الصفحة 19'!$O$19+'الصفحة 20'!$O$19+'الصفحة 21'!$O$19+'الصفحة 22'!$O$19+'الصفحة 23'!$O$19+'الصفحة 24'!$O$19+'الصفحة 25'!$O$19+'الصفحة 26'!$O$19</f>
        <v>0</v>
      </c>
      <c r="R34" s="1395">
        <f t="shared" si="2"/>
        <v>0</v>
      </c>
      <c r="S34" s="1396" t="str">
        <f>IF(('الصفحة 1'!$Q$14&gt;0),IF((L15&gt;0),IF(((L15)&lt;&gt;(R34)),"خطء",""),""),"")</f>
        <v/>
      </c>
      <c r="T34" s="873"/>
      <c r="U34" s="872"/>
      <c r="V34" s="793"/>
      <c r="W34" s="4588"/>
      <c r="X34" s="4588"/>
      <c r="Y34" s="2764" t="s">
        <v>29</v>
      </c>
      <c r="Z34" s="2765" t="str">
        <f t="shared" si="1"/>
        <v xml:space="preserve"> </v>
      </c>
      <c r="AA34" s="1032"/>
      <c r="AB34" s="1950"/>
      <c r="AC34" s="796"/>
    </row>
    <row r="35" spans="1:29" ht="15" customHeight="1">
      <c r="A35" s="788"/>
      <c r="B35" s="894"/>
      <c r="C35" s="884"/>
      <c r="D35" s="4588" t="s">
        <v>698</v>
      </c>
      <c r="E35" s="4589"/>
      <c r="F35" s="2492" t="s">
        <v>20</v>
      </c>
      <c r="G35" s="2514">
        <f>'الصفحة 15'!$E$21+'الصفحة 16'!$E$21+'الصفحة 17'!$E$21+'الصفحة 18'!$E$21+'الصفحة 19'!$E$21+'الصفحة 20'!$E$21+'الصفحة 21'!$E$21+'الصفحة 22'!$E$21+'الصفحة 23'!$E$21+'الصفحة 24'!$E$21+'الصفحة 25'!$E$21+'الصفحة 26'!$E$21</f>
        <v>9</v>
      </c>
      <c r="H35" s="2515">
        <f>'الصفحة 15'!$F$21+'الصفحة 16'!$F$21+'الصفحة 17'!$F$21+'الصفحة 18'!$F$21+'الصفحة 19'!$F$21+'الصفحة 20'!$F$21+'الصفحة 21'!$F$21+'الصفحة 22'!$F$21+'الصفحة 23'!$F$21+'الصفحة 24'!$F$21+'الصفحة 25'!$F$21+'الصفحة 26'!$F$21</f>
        <v>1</v>
      </c>
      <c r="I35" s="2515">
        <f>'الصفحة 15'!$G$21+'الصفحة 16'!$G$21+'الصفحة 17'!$G$21+'الصفحة 18'!$G$21+'الصفحة 19'!$G$21+'الصفحة 20'!$G$21+'الصفحة 21'!$G$21+'الصفحة 22'!$G$21+'الصفحة 23'!$G$21+'الصفحة 24'!$G$21+'الصفحة 25'!$G$21+'الصفحة 26'!$G$21</f>
        <v>0</v>
      </c>
      <c r="J35" s="2515">
        <f>'الصفحة 15'!$H$21+'الصفحة 16'!$H$21+'الصفحة 17'!$H$21+'الصفحة 18'!$H$21+'الصفحة 19'!$H$21+'الصفحة 20'!$H$21+'الصفحة 21'!$H$21+'الصفحة 22'!$H$21+'الصفحة 23'!$H$21+'الصفحة 24'!$H$21+'الصفحة 25'!$H$21+'الصفحة 26'!$H$21</f>
        <v>0</v>
      </c>
      <c r="K35" s="2515">
        <f>'الصفحة 15'!$I$21+'الصفحة 16'!$I$21+'الصفحة 17'!$I$21+'الصفحة 18'!$I$21+'الصفحة 19'!$I$21+'الصفحة 20'!$I$21+'الصفحة 21'!$I$21+'الصفحة 22'!$I$21+'الصفحة 23'!$I$21+'الصفحة 24'!$I$21+'الصفحة 25'!$I$21+'الصفحة 26'!$I$21</f>
        <v>0</v>
      </c>
      <c r="L35" s="2515">
        <f>'الصفحة 15'!$J$21+'الصفحة 16'!$J$21+'الصفحة 17'!$J$21+'الصفحة 18'!$J$21+'الصفحة 19'!$J$21+'الصفحة 20'!$J$21+'الصفحة 21'!$J$21+'الصفحة 22'!$J$21+'الصفحة 23'!$J$21+'الصفحة 24'!$J$21+'الصفحة 25'!$J$21+'الصفحة 26'!$J$21</f>
        <v>0</v>
      </c>
      <c r="M35" s="2515">
        <f>'الصفحة 15'!$K$21+'الصفحة 16'!$K$21+'الصفحة 17'!$K$21+'الصفحة 18'!$K$21+'الصفحة 19'!$K$21+'الصفحة 20'!$K$21+'الصفحة 21'!$K$21+'الصفحة 22'!$K$21+'الصفحة 23'!$K$21+'الصفحة 24'!$K$21+'الصفحة 25'!$K$21+'الصفحة 26'!$K$21</f>
        <v>0</v>
      </c>
      <c r="N35" s="2515">
        <f>'الصفحة 15'!$L$21+'الصفحة 16'!$L$21+'الصفحة 17'!$L$21+'الصفحة 18'!$L$21+'الصفحة 19'!$L$21+'الصفحة 20'!$L$21+'الصفحة 21'!$L$21+'الصفحة 22'!$L$21+'الصفحة 23'!$L$21+'الصفحة 24'!$L$21+'الصفحة 25'!$L$21+'الصفحة 26'!$L$21</f>
        <v>0</v>
      </c>
      <c r="O35" s="2515">
        <f>'الصفحة 15'!$M$21+'الصفحة 16'!$M$21+'الصفحة 17'!$M$21+'الصفحة 18'!$M$21+'الصفحة 19'!$M$21+'الصفحة 20'!$M$21+'الصفحة 21'!$M$21+'الصفحة 22'!$M$21+'الصفحة 23'!$M$21+'الصفحة 24'!$M$21+'الصفحة 25'!$M$21+'الصفحة 26'!$M$21</f>
        <v>0</v>
      </c>
      <c r="P35" s="2515">
        <f>'الصفحة 15'!$N$21+'الصفحة 16'!$N$21+'الصفحة 17'!$N$21+'الصفحة 18'!$N$21+'الصفحة 19'!$N$21+'الصفحة 20'!$N$21+'الصفحة 21'!$N$21+'الصفحة 22'!$N$21+'الصفحة 23'!$N$21+'الصفحة 24'!$N$21+'الصفحة 25'!$N$21+'الصفحة 26'!$N$21</f>
        <v>0</v>
      </c>
      <c r="Q35" s="2516">
        <f>'الصفحة 15'!$O$21+'الصفحة 16'!$O$21+'الصفحة 17'!$O$21+'الصفحة 18'!$O$21+'الصفحة 19'!$O$21+'الصفحة 20'!$O$21+'الصفحة 21'!$O$21+'الصفحة 22'!$O$21+'الصفحة 23'!$O$21+'الصفحة 24'!$O$21+'الصفحة 25'!$O$21+'الصفحة 26'!$O$21</f>
        <v>0</v>
      </c>
      <c r="R35" s="1394">
        <f t="shared" si="2"/>
        <v>10</v>
      </c>
      <c r="S35" s="1396" t="str">
        <f>IF(('الصفحة 1'!$Q$14&gt;0),IF((L16&gt;0),IF(((L16)&lt;&gt;(R35)),"خطء",""),""),"")</f>
        <v/>
      </c>
      <c r="T35" s="873"/>
      <c r="U35" s="872"/>
      <c r="V35" s="793"/>
      <c r="W35" s="4608" t="str">
        <f>D35</f>
        <v xml:space="preserve">أستاذ التعليم المتوسط </v>
      </c>
      <c r="X35" s="4608"/>
      <c r="Y35" s="2766" t="s">
        <v>20</v>
      </c>
      <c r="Z35" s="2767" t="str">
        <f t="shared" si="1"/>
        <v xml:space="preserve"> </v>
      </c>
      <c r="AA35" s="1032"/>
      <c r="AB35" s="1950"/>
      <c r="AC35" s="796"/>
    </row>
    <row r="36" spans="1:29" ht="15" customHeight="1">
      <c r="A36" s="788"/>
      <c r="B36" s="894"/>
      <c r="C36" s="884"/>
      <c r="D36" s="4588"/>
      <c r="E36" s="4589"/>
      <c r="F36" s="2489" t="s">
        <v>29</v>
      </c>
      <c r="G36" s="2517">
        <f>'الصفحة 15'!$E$22+'الصفحة 16'!$E$22+'الصفحة 17'!$E$22+'الصفحة 18'!$E$22+'الصفحة 19'!$E$22+'الصفحة 20'!$E$22+'الصفحة 21'!$E$22+'الصفحة 22'!$E$22+'الصفحة 23'!$E$22+'الصفحة 24'!$E$22+'الصفحة 25'!$E$22+'الصفحة 26'!$E$22</f>
        <v>7</v>
      </c>
      <c r="H36" s="2518">
        <f>'الصفحة 15'!$F$22+'الصفحة 16'!$F$22+'الصفحة 17'!$F$22+'الصفحة 18'!$F$22+'الصفحة 19'!$F$22+'الصفحة 20'!$F$22+'الصفحة 21'!$F$22+'الصفحة 22'!$F$22+'الصفحة 23'!$F$22+'الصفحة 24'!$F$22+'الصفحة 25'!$F$22+'الصفحة 26'!$F$22</f>
        <v>1</v>
      </c>
      <c r="I36" s="2518">
        <f>'الصفحة 15'!$G$22+'الصفحة 16'!$G$22+'الصفحة 17'!$G$22+'الصفحة 18'!$G$22+'الصفحة 19'!$G$22+'الصفحة 20'!$G$22+'الصفحة 21'!$G$22+'الصفحة 22'!$G$22+'الصفحة 23'!$G$22+'الصفحة 24'!$G$22+'الصفحة 25'!$G$22+'الصفحة 26'!$G$22</f>
        <v>0</v>
      </c>
      <c r="J36" s="2518">
        <f>'الصفحة 15'!$H$22+'الصفحة 16'!$H$22+'الصفحة 17'!$H$22+'الصفحة 18'!$H$22+'الصفحة 19'!$H$22+'الصفحة 20'!$H$22+'الصفحة 21'!$H$22+'الصفحة 22'!$H$22+'الصفحة 23'!$H$22+'الصفحة 24'!$H$22+'الصفحة 25'!$H$22+'الصفحة 26'!$H$22</f>
        <v>0</v>
      </c>
      <c r="K36" s="2518">
        <f>'الصفحة 15'!$I$22+'الصفحة 16'!$I$22+'الصفحة 17'!$I$22+'الصفحة 18'!$I$22+'الصفحة 19'!$I$22+'الصفحة 20'!$I$22+'الصفحة 21'!$I$22+'الصفحة 22'!$I$22+'الصفحة 23'!$I$22+'الصفحة 24'!$I$22+'الصفحة 25'!$I$22+'الصفحة 26'!$I$22</f>
        <v>0</v>
      </c>
      <c r="L36" s="2518">
        <f>'الصفحة 15'!$J$22+'الصفحة 16'!$J$22+'الصفحة 17'!$J$22+'الصفحة 18'!$J$22+'الصفحة 19'!$J$22+'الصفحة 20'!$J$22+'الصفحة 21'!$J$22+'الصفحة 22'!$J$22+'الصفحة 23'!$J$22+'الصفحة 24'!$J$22+'الصفحة 25'!$J$22+'الصفحة 26'!$J$22</f>
        <v>0</v>
      </c>
      <c r="M36" s="2518">
        <f>'الصفحة 15'!$K$22+'الصفحة 16'!$K$22+'الصفحة 17'!$K$22+'الصفحة 18'!$K$22+'الصفحة 19'!$K$22+'الصفحة 20'!$K$22+'الصفحة 21'!$K$22+'الصفحة 22'!$K$22+'الصفحة 23'!$K$22+'الصفحة 24'!$K$22+'الصفحة 25'!$K$22+'الصفحة 26'!$K$22</f>
        <v>0</v>
      </c>
      <c r="N36" s="2518">
        <f>'الصفحة 15'!$L$22+'الصفحة 16'!$L$22+'الصفحة 17'!$L$22+'الصفحة 18'!$L$22+'الصفحة 19'!$L$22+'الصفحة 20'!$L$22+'الصفحة 21'!$L$22+'الصفحة 22'!$L$22+'الصفحة 23'!$L$22+'الصفحة 24'!$L$22+'الصفحة 25'!$L$22+'الصفحة 26'!$L$22</f>
        <v>0</v>
      </c>
      <c r="O36" s="2518">
        <f>'الصفحة 15'!$M$22+'الصفحة 16'!$M$22+'الصفحة 17'!$M$22+'الصفحة 18'!$M$22+'الصفحة 19'!$M$22+'الصفحة 20'!$M$22+'الصفحة 21'!$M$22+'الصفحة 22'!$M$22+'الصفحة 23'!$M$22+'الصفحة 24'!$M$22+'الصفحة 25'!$M$22+'الصفحة 26'!$M$22</f>
        <v>0</v>
      </c>
      <c r="P36" s="2518">
        <f>'الصفحة 15'!$N$22+'الصفحة 16'!$N$22+'الصفحة 17'!$N$22+'الصفحة 18'!$N$22+'الصفحة 19'!$N$22+'الصفحة 20'!$N$22+'الصفحة 21'!$N$22+'الصفحة 22'!$N$22+'الصفحة 23'!$N$22+'الصفحة 24'!$N$22+'الصفحة 25'!$N$22+'الصفحة 26'!$N$22</f>
        <v>0</v>
      </c>
      <c r="Q36" s="2519">
        <f>'الصفحة 15'!$O$22+'الصفحة 16'!$O$22+'الصفحة 17'!$O$22+'الصفحة 18'!$O$22+'الصفحة 19'!$O$22+'الصفحة 20'!$O$22+'الصفحة 21'!$O$22+'الصفحة 22'!$O$22+'الصفحة 23'!$O$22+'الصفحة 24'!$O$22+'الصفحة 25'!$O$22+'الصفحة 26'!$O$22</f>
        <v>0</v>
      </c>
      <c r="R36" s="1395">
        <f t="shared" si="2"/>
        <v>8</v>
      </c>
      <c r="S36" s="1396" t="str">
        <f>IF(('الصفحة 1'!$Q$14&gt;0),IF((L17&gt;0),IF(((L17)&lt;&gt;(R36)),"خطء",""),""),"")</f>
        <v/>
      </c>
      <c r="T36" s="873"/>
      <c r="U36" s="872"/>
      <c r="V36" s="793"/>
      <c r="W36" s="4608"/>
      <c r="X36" s="4608"/>
      <c r="Y36" s="2766" t="s">
        <v>29</v>
      </c>
      <c r="Z36" s="2767" t="str">
        <f t="shared" si="1"/>
        <v xml:space="preserve"> </v>
      </c>
      <c r="AA36" s="1032"/>
      <c r="AB36" s="1950"/>
      <c r="AC36" s="796"/>
    </row>
    <row r="37" spans="1:29" ht="15" customHeight="1">
      <c r="A37" s="788"/>
      <c r="B37" s="894"/>
      <c r="C37" s="884"/>
      <c r="D37" s="4588" t="s">
        <v>1113</v>
      </c>
      <c r="E37" s="4589"/>
      <c r="F37" s="2492" t="s">
        <v>20</v>
      </c>
      <c r="G37" s="2514">
        <f>'الصفحة 15'!$E$24+'الصفحة 16'!$E$24+'الصفحة 17'!$E$24+'الصفحة 18'!$E$24+'الصفحة 19'!$E$24+'الصفحة 20'!$E$24+'الصفحة 21'!$E$24+'الصفحة 22'!$E$24+'الصفحة 23'!$E$24+'الصفحة 24'!$E$24+'الصفحة 25'!$E$24+'الصفحة 26'!$E$24</f>
        <v>0</v>
      </c>
      <c r="H37" s="2515">
        <f>'الصفحة 15'!$F$24+'الصفحة 16'!$F$24+'الصفحة 17'!$F$24+'الصفحة 18'!$F$24+'الصفحة 19'!$F$24+'الصفحة 20'!$F$24+'الصفحة 21'!$F$24+'الصفحة 22'!$F$24+'الصفحة 23'!$F$24+'الصفحة 24'!$F$24+'الصفحة 25'!$F$24+'الصفحة 26'!$F$24</f>
        <v>0</v>
      </c>
      <c r="I37" s="2515">
        <f>'الصفحة 15'!$G$24+'الصفحة 16'!$G$24+'الصفحة 17'!$G$24+'الصفحة 18'!$G$24+'الصفحة 19'!$G$24+'الصفحة 20'!$G$24+'الصفحة 21'!$G$24+'الصفحة 22'!$G$24+'الصفحة 23'!$G$24+'الصفحة 24'!$G$24+'الصفحة 25'!$G$24+'الصفحة 26'!$G$24</f>
        <v>0</v>
      </c>
      <c r="J37" s="2515">
        <f>'الصفحة 15'!$H$24+'الصفحة 16'!$H$24+'الصفحة 17'!$H$24+'الصفحة 18'!$H$24+'الصفحة 19'!$H$24+'الصفحة 20'!$H$24+'الصفحة 21'!$H$24+'الصفحة 22'!$H$24+'الصفحة 23'!$H$24+'الصفحة 24'!$H$24+'الصفحة 25'!$H$24+'الصفحة 26'!$H$24</f>
        <v>0</v>
      </c>
      <c r="K37" s="2515">
        <f>'الصفحة 15'!$I$24+'الصفحة 16'!$I$24+'الصفحة 17'!$I$24+'الصفحة 18'!$I$24+'الصفحة 19'!$I$24+'الصفحة 20'!$I$24+'الصفحة 21'!$I$24+'الصفحة 22'!$I$24+'الصفحة 23'!$I$24+'الصفحة 24'!$I$24+'الصفحة 25'!$I$24+'الصفحة 26'!$I$24</f>
        <v>0</v>
      </c>
      <c r="L37" s="2515">
        <f>'الصفحة 15'!$J$24+'الصفحة 16'!$J$24+'الصفحة 17'!$J$24+'الصفحة 18'!$J$24+'الصفحة 19'!$J$24+'الصفحة 20'!$J$24+'الصفحة 21'!$J$24+'الصفحة 22'!$J$24+'الصفحة 23'!$J$24+'الصفحة 24'!$J$24+'الصفحة 25'!$J$24+'الصفحة 26'!$J$24</f>
        <v>0</v>
      </c>
      <c r="M37" s="2515">
        <f>'الصفحة 15'!$K$24+'الصفحة 16'!$K$24+'الصفحة 17'!$K$24+'الصفحة 18'!$K$24+'الصفحة 19'!$K$24+'الصفحة 20'!$K$24+'الصفحة 21'!$K$24+'الصفحة 22'!$K$24+'الصفحة 23'!$K$24+'الصفحة 24'!$K$24+'الصفحة 25'!$K$24+'الصفحة 26'!$K$24</f>
        <v>0</v>
      </c>
      <c r="N37" s="2515">
        <f>'الصفحة 15'!$L$24+'الصفحة 16'!$L$24+'الصفحة 17'!$L$24+'الصفحة 18'!$L$24+'الصفحة 19'!$L$24+'الصفحة 20'!$L$24+'الصفحة 21'!$L$24+'الصفحة 22'!$L$24+'الصفحة 23'!$L$24+'الصفحة 24'!$L$24+'الصفحة 25'!$L$24+'الصفحة 26'!$L$24</f>
        <v>0</v>
      </c>
      <c r="O37" s="2515">
        <f>'الصفحة 15'!$M$24+'الصفحة 16'!$M$24+'الصفحة 17'!$M$24+'الصفحة 18'!$M$24+'الصفحة 19'!$M$24+'الصفحة 20'!$M$24+'الصفحة 21'!$M$24+'الصفحة 22'!$M$24+'الصفحة 23'!$M$24+'الصفحة 24'!$M$24+'الصفحة 25'!$M$24+'الصفحة 26'!$M$24</f>
        <v>0</v>
      </c>
      <c r="P37" s="2515">
        <f>'الصفحة 15'!$N$24+'الصفحة 16'!$N$24+'الصفحة 17'!$N$24+'الصفحة 18'!$N$24+'الصفحة 19'!$N$24+'الصفحة 20'!$N$24+'الصفحة 21'!$N$24+'الصفحة 22'!$N$24+'الصفحة 23'!$N$24+'الصفحة 24'!$N$24+'الصفحة 25'!$N$24+'الصفحة 26'!$N$24</f>
        <v>0</v>
      </c>
      <c r="Q37" s="2516">
        <f>'الصفحة 15'!$O$24+'الصفحة 16'!$O$24+'الصفحة 17'!$O$24+'الصفحة 18'!$O$24+'الصفحة 19'!$O$24+'الصفحة 20'!$O$24+'الصفحة 21'!$O$24+'الصفحة 22'!$O$24+'الصفحة 23'!$O$24+'الصفحة 24'!$O$24+'الصفحة 25'!$O$24+'الصفحة 26'!$O$24</f>
        <v>0</v>
      </c>
      <c r="R37" s="1394">
        <f t="shared" si="2"/>
        <v>0</v>
      </c>
      <c r="S37" s="1396" t="str">
        <f>IF(('الصفحة 1'!$Q$14&gt;0),IF((L18&gt;0),IF(((L18)&lt;&gt;(R37)),"خطء",""),""),"")</f>
        <v/>
      </c>
      <c r="T37" s="873"/>
      <c r="U37" s="872"/>
      <c r="V37" s="793"/>
      <c r="W37" s="4588" t="str">
        <f>D37</f>
        <v>أساتذة المدرسة الابتدائية</v>
      </c>
      <c r="X37" s="4588"/>
      <c r="Y37" s="2764" t="s">
        <v>20</v>
      </c>
      <c r="Z37" s="2765" t="str">
        <f t="shared" si="1"/>
        <v xml:space="preserve"> </v>
      </c>
      <c r="AA37" s="1032"/>
      <c r="AB37" s="1950"/>
      <c r="AC37" s="796"/>
    </row>
    <row r="38" spans="1:29" ht="15" customHeight="1">
      <c r="A38" s="788"/>
      <c r="B38" s="894"/>
      <c r="C38" s="884"/>
      <c r="D38" s="4588"/>
      <c r="E38" s="4589"/>
      <c r="F38" s="2489" t="s">
        <v>29</v>
      </c>
      <c r="G38" s="2517">
        <f>'الصفحة 15'!$E$25+'الصفحة 16'!$E$25+'الصفحة 17'!$E$25+'الصفحة 18'!$E$25+'الصفحة 19'!$E$25+'الصفحة 20'!$E$25+'الصفحة 21'!$E$25+'الصفحة 22'!$E$25+'الصفحة 23'!$E$25+'الصفحة 24'!$E$25+'الصفحة 25'!$E$25+'الصفحة 26'!$E$25</f>
        <v>0</v>
      </c>
      <c r="H38" s="2518">
        <f>'الصفحة 15'!$F$25+'الصفحة 16'!$F$25+'الصفحة 17'!$F$25+'الصفحة 18'!$F$25+'الصفحة 19'!$F$25+'الصفحة 20'!$F$25+'الصفحة 21'!$F$25+'الصفحة 22'!$F$25+'الصفحة 23'!$F$25+'الصفحة 24'!$F$25+'الصفحة 25'!$F$25+'الصفحة 26'!$F$25</f>
        <v>0</v>
      </c>
      <c r="I38" s="2518">
        <f>'الصفحة 15'!$G$25+'الصفحة 16'!$G$25+'الصفحة 17'!$G$25+'الصفحة 18'!$G$25+'الصفحة 19'!$G$25+'الصفحة 20'!$G$25+'الصفحة 21'!$G$25+'الصفحة 22'!$G$25+'الصفحة 23'!$G$25+'الصفحة 24'!$G$25+'الصفحة 25'!$G$25+'الصفحة 26'!$G$25</f>
        <v>0</v>
      </c>
      <c r="J38" s="2518">
        <f>'الصفحة 15'!$H$25+'الصفحة 16'!$H$25+'الصفحة 17'!$H$25+'الصفحة 18'!$H$25+'الصفحة 19'!$H$25+'الصفحة 20'!$H$25+'الصفحة 21'!$H$25+'الصفحة 22'!$H$25+'الصفحة 23'!$H$25+'الصفحة 24'!$H$25+'الصفحة 25'!$H$25+'الصفحة 26'!$H$25</f>
        <v>0</v>
      </c>
      <c r="K38" s="2518">
        <f>'الصفحة 15'!$I$25+'الصفحة 16'!$I$25+'الصفحة 17'!$I$25+'الصفحة 18'!$I$25+'الصفحة 19'!$I$25+'الصفحة 20'!$I$25+'الصفحة 21'!$I$25+'الصفحة 22'!$I$25+'الصفحة 23'!$I$25+'الصفحة 24'!$I$25+'الصفحة 25'!$I$25+'الصفحة 26'!$I$25</f>
        <v>0</v>
      </c>
      <c r="L38" s="2518">
        <f>'الصفحة 15'!$J$25+'الصفحة 16'!$J$25+'الصفحة 17'!$J$25+'الصفحة 18'!$J$25+'الصفحة 19'!$J$25+'الصفحة 20'!$J$25+'الصفحة 21'!$J$25+'الصفحة 22'!$J$25+'الصفحة 23'!$J$25+'الصفحة 24'!$J$25+'الصفحة 25'!$J$25+'الصفحة 26'!$J$25</f>
        <v>0</v>
      </c>
      <c r="M38" s="2518">
        <f>'الصفحة 15'!$K$25+'الصفحة 16'!$K$25+'الصفحة 17'!$K$25+'الصفحة 18'!$K$25+'الصفحة 19'!$K$25+'الصفحة 20'!$K$25+'الصفحة 21'!$K$25+'الصفحة 22'!$K$25+'الصفحة 23'!$K$25+'الصفحة 24'!$K$25+'الصفحة 25'!$K$25+'الصفحة 26'!$K$25</f>
        <v>0</v>
      </c>
      <c r="N38" s="2518">
        <f>'الصفحة 15'!$L$25+'الصفحة 16'!$L$25+'الصفحة 17'!$L$25+'الصفحة 18'!$L$25+'الصفحة 19'!$L$25+'الصفحة 20'!$L$25+'الصفحة 21'!$L$25+'الصفحة 22'!$L$25+'الصفحة 23'!$L$25+'الصفحة 24'!$L$25+'الصفحة 25'!$L$25+'الصفحة 26'!$L$25</f>
        <v>0</v>
      </c>
      <c r="O38" s="2518">
        <f>'الصفحة 15'!$M$25+'الصفحة 16'!$M$25+'الصفحة 17'!$M$25+'الصفحة 18'!$M$25+'الصفحة 19'!$M$25+'الصفحة 20'!$M$25+'الصفحة 21'!$M$25+'الصفحة 22'!$M$25+'الصفحة 23'!$M$25+'الصفحة 24'!$M$25+'الصفحة 25'!$M$25+'الصفحة 26'!$M$25</f>
        <v>0</v>
      </c>
      <c r="P38" s="2518">
        <f>'الصفحة 15'!$N$25+'الصفحة 16'!$N$25+'الصفحة 17'!$N$25+'الصفحة 18'!$N$25+'الصفحة 19'!$N$25+'الصفحة 20'!$N$25+'الصفحة 21'!$N$25+'الصفحة 22'!$N$25+'الصفحة 23'!$N$25+'الصفحة 24'!$N$25+'الصفحة 25'!$N$25+'الصفحة 26'!$N$25</f>
        <v>0</v>
      </c>
      <c r="Q38" s="2519">
        <f>'الصفحة 15'!$O$25+'الصفحة 16'!$O$25+'الصفحة 17'!$O$25+'الصفحة 18'!$O$25+'الصفحة 19'!$O$25+'الصفحة 20'!$O$25+'الصفحة 21'!$O$25+'الصفحة 22'!$O$25+'الصفحة 23'!$O$25+'الصفحة 24'!$O$25+'الصفحة 25'!$O$25+'الصفحة 26'!$O$25</f>
        <v>0</v>
      </c>
      <c r="R38" s="1395">
        <f t="shared" si="2"/>
        <v>0</v>
      </c>
      <c r="S38" s="1396" t="str">
        <f>IF(('الصفحة 1'!$Q$14&gt;0),IF((L19&gt;0),IF(((L19)&lt;&gt;(R38)),"خطء",""),""),"")</f>
        <v/>
      </c>
      <c r="T38" s="873"/>
      <c r="U38" s="872"/>
      <c r="V38" s="793"/>
      <c r="W38" s="4588"/>
      <c r="X38" s="4588"/>
      <c r="Y38" s="2764" t="s">
        <v>29</v>
      </c>
      <c r="Z38" s="2765" t="str">
        <f t="shared" si="1"/>
        <v xml:space="preserve"> </v>
      </c>
      <c r="AA38" s="1032"/>
      <c r="AB38" s="1950"/>
      <c r="AC38" s="796"/>
    </row>
    <row r="39" spans="1:29" ht="15" customHeight="1">
      <c r="A39" s="788"/>
      <c r="B39" s="894"/>
      <c r="C39" s="884"/>
      <c r="D39" s="4626" t="s">
        <v>28</v>
      </c>
      <c r="E39" s="4627"/>
      <c r="F39" s="2493" t="s">
        <v>20</v>
      </c>
      <c r="G39" s="2520">
        <f>G29+G31+G33+G35+G37</f>
        <v>10</v>
      </c>
      <c r="H39" s="2521">
        <f t="shared" ref="H39:R39" si="3">H29+H31+H33+H35+H37</f>
        <v>3</v>
      </c>
      <c r="I39" s="2521">
        <f t="shared" si="3"/>
        <v>2</v>
      </c>
      <c r="J39" s="2521">
        <f t="shared" si="3"/>
        <v>4</v>
      </c>
      <c r="K39" s="2521">
        <f t="shared" si="3"/>
        <v>5</v>
      </c>
      <c r="L39" s="2521">
        <f t="shared" si="3"/>
        <v>1</v>
      </c>
      <c r="M39" s="2521">
        <f t="shared" si="3"/>
        <v>1</v>
      </c>
      <c r="N39" s="2521">
        <f t="shared" si="3"/>
        <v>1</v>
      </c>
      <c r="O39" s="2521">
        <f t="shared" si="3"/>
        <v>0</v>
      </c>
      <c r="P39" s="2521">
        <f t="shared" si="3"/>
        <v>0</v>
      </c>
      <c r="Q39" s="2522">
        <f t="shared" si="3"/>
        <v>1</v>
      </c>
      <c r="R39" s="1394">
        <f t="shared" si="3"/>
        <v>28</v>
      </c>
      <c r="S39" s="1396" t="str">
        <f>IF(('الصفحة 1'!$Q$14&gt;0),IF((L20&gt;0),IF(((L20)&lt;&gt;(R39)),"خطء",""),""),"")</f>
        <v/>
      </c>
      <c r="T39" s="873"/>
      <c r="U39" s="872"/>
      <c r="V39" s="793"/>
      <c r="W39" s="4290" t="s">
        <v>28</v>
      </c>
      <c r="X39" s="4290"/>
      <c r="Y39" s="2766" t="s">
        <v>20</v>
      </c>
      <c r="Z39" s="2767" t="str">
        <f t="shared" si="1"/>
        <v xml:space="preserve"> </v>
      </c>
      <c r="AA39" s="1032"/>
      <c r="AB39" s="1950"/>
      <c r="AC39" s="796"/>
    </row>
    <row r="40" spans="1:29" ht="15" customHeight="1">
      <c r="A40" s="788"/>
      <c r="B40" s="894"/>
      <c r="C40" s="884"/>
      <c r="D40" s="4626"/>
      <c r="E40" s="4627"/>
      <c r="F40" s="2494" t="s">
        <v>29</v>
      </c>
      <c r="G40" s="2523">
        <f t="shared" ref="G40:R40" si="4">G30+G32+G34+G36+G38</f>
        <v>8</v>
      </c>
      <c r="H40" s="2524">
        <f t="shared" si="4"/>
        <v>2</v>
      </c>
      <c r="I40" s="2524">
        <f t="shared" si="4"/>
        <v>1</v>
      </c>
      <c r="J40" s="2524">
        <f t="shared" si="4"/>
        <v>3</v>
      </c>
      <c r="K40" s="2524">
        <f t="shared" si="4"/>
        <v>3</v>
      </c>
      <c r="L40" s="2524">
        <f t="shared" si="4"/>
        <v>1</v>
      </c>
      <c r="M40" s="2524">
        <f t="shared" si="4"/>
        <v>0</v>
      </c>
      <c r="N40" s="2524">
        <f t="shared" si="4"/>
        <v>1</v>
      </c>
      <c r="O40" s="2524">
        <f t="shared" si="4"/>
        <v>0</v>
      </c>
      <c r="P40" s="2524">
        <f t="shared" si="4"/>
        <v>0</v>
      </c>
      <c r="Q40" s="2525">
        <f t="shared" si="4"/>
        <v>1</v>
      </c>
      <c r="R40" s="1395">
        <f t="shared" si="4"/>
        <v>20</v>
      </c>
      <c r="S40" s="1396" t="str">
        <f>IF(('الصفحة 1'!$Q$14&gt;0),IF((L21&gt;0),IF(((L21)&lt;&gt;(R40)),"خطء",""),""),"")</f>
        <v/>
      </c>
      <c r="T40" s="873"/>
      <c r="U40" s="872"/>
      <c r="V40" s="793"/>
      <c r="W40" s="4290"/>
      <c r="X40" s="4290"/>
      <c r="Y40" s="2768" t="s">
        <v>29</v>
      </c>
      <c r="Z40" s="2769" t="str">
        <f t="shared" si="1"/>
        <v xml:space="preserve"> </v>
      </c>
      <c r="AA40" s="1032"/>
      <c r="AB40" s="1950"/>
      <c r="AC40" s="796"/>
    </row>
    <row r="41" spans="1:29" ht="15" customHeight="1">
      <c r="A41" s="788"/>
      <c r="B41" s="894"/>
      <c r="C41" s="884"/>
      <c r="D41" s="4628" t="s">
        <v>27</v>
      </c>
      <c r="E41" s="4629"/>
      <c r="F41" s="2492" t="s">
        <v>20</v>
      </c>
      <c r="G41" s="2487">
        <f>'الصفحة 15'!$E$30+'الصفحة 16'!$E$30+'الصفحة 17'!$E$30+'الصفحة 18'!$E$30+'الصفحة 19'!$E$30+'الصفحة 20'!$E$30+'الصفحة 21'!$E$30+'الصفحة 22'!$E$30+'الصفحة 23'!$E$30+'الصفحة 24'!$E$30+'الصفحة 25'!$E$30+'الصفحة 26'!$E$30</f>
        <v>0</v>
      </c>
      <c r="H41" s="2488">
        <f>'الصفحة 15'!$F$30+'الصفحة 16'!$F$30+'الصفحة 17'!$F$30+'الصفحة 18'!$F$30+'الصفحة 19'!$F$30+'الصفحة 20'!$F$30+'الصفحة 21'!$F$30+'الصفحة 22'!$F$30+'الصفحة 23'!$F$30+'الصفحة 24'!$F$30+'الصفحة 25'!$F$30+'الصفحة 26'!$F$30</f>
        <v>0</v>
      </c>
      <c r="I41" s="2488">
        <f>'الصفحة 15'!$G$30+'الصفحة 16'!$G$30+'الصفحة 17'!$G$30+'الصفحة 18'!$G$30+'الصفحة 19'!$G$30+'الصفحة 20'!$G$30+'الصفحة 21'!$G$30+'الصفحة 22'!$G$30+'الصفحة 23'!$G$30+'الصفحة 24'!$G$30+'الصفحة 25'!$G$30+'الصفحة 26'!$G$30</f>
        <v>0</v>
      </c>
      <c r="J41" s="2488">
        <f>'الصفحة 15'!$H$30+'الصفحة 16'!$H$30+'الصفحة 17'!$H$30+'الصفحة 18'!$H$30+'الصفحة 19'!$H$30+'الصفحة 20'!$H$30+'الصفحة 21'!$H$30+'الصفحة 22'!$H$30+'الصفحة 23'!$H$30+'الصفحة 24'!$H$30+'الصفحة 25'!$H$30+'الصفحة 26'!$H$30</f>
        <v>0</v>
      </c>
      <c r="K41" s="2488">
        <f>'الصفحة 15'!$I$30+'الصفحة 16'!$I$30+'الصفحة 17'!$I$30+'الصفحة 18'!$I$30+'الصفحة 19'!$I$30+'الصفحة 20'!$I$30+'الصفحة 21'!$I$30+'الصفحة 22'!$I$30+'الصفحة 23'!$I$30+'الصفحة 24'!$I$30+'الصفحة 25'!$I$30+'الصفحة 26'!$I$30</f>
        <v>0</v>
      </c>
      <c r="L41" s="2488">
        <f>'الصفحة 15'!$J$30+'الصفحة 16'!$J$30+'الصفحة 17'!$J$30+'الصفحة 18'!$J$30+'الصفحة 19'!$J$30+'الصفحة 20'!$J$30+'الصفحة 21'!$J$30+'الصفحة 22'!$J$30+'الصفحة 23'!$J$30+'الصفحة 24'!$J$30+'الصفحة 25'!$J$30+'الصفحة 26'!$J$30</f>
        <v>0</v>
      </c>
      <c r="M41" s="2488">
        <f>'الصفحة 15'!$K$30+'الصفحة 16'!$K$30+'الصفحة 17'!$K$30+'الصفحة 18'!$K$30+'الصفحة 19'!$K$30+'الصفحة 20'!$K$30+'الصفحة 21'!$K$30+'الصفحة 22'!$K$30+'الصفحة 23'!$K$30+'الصفحة 24'!$K$30+'الصفحة 25'!$K$30+'الصفحة 26'!$K$30</f>
        <v>0</v>
      </c>
      <c r="N41" s="2488">
        <f>'الصفحة 15'!$L$30+'الصفحة 16'!$L$30+'الصفحة 17'!$L$30+'الصفحة 18'!$L$30+'الصفحة 19'!$L$30+'الصفحة 20'!$L$30+'الصفحة 21'!$L$30+'الصفحة 22'!$L$30+'الصفحة 23'!$L$30+'الصفحة 24'!$L$30+'الصفحة 25'!$L$30+'الصفحة 26'!$L$30</f>
        <v>0</v>
      </c>
      <c r="O41" s="2488">
        <f>'الصفحة 15'!$M$30+'الصفحة 16'!$M$30+'الصفحة 17'!$M$30+'الصفحة 18'!$M$30+'الصفحة 19'!$M$30+'الصفحة 20'!$M$30+'الصفحة 21'!$M$30+'الصفحة 22'!$M$30+'الصفحة 23'!$M$30+'الصفحة 24'!$M$30+'الصفحة 25'!$M$30+'الصفحة 26'!$M$30</f>
        <v>0</v>
      </c>
      <c r="P41" s="2488">
        <f>'الصفحة 15'!$N$30+'الصفحة 16'!$N$30+'الصفحة 17'!$N$30+'الصفحة 18'!$N$30+'الصفحة 19'!$N$30+'الصفحة 20'!$N$30+'الصفحة 21'!$N$30+'الصفحة 22'!$N$30+'الصفحة 23'!$N$30+'الصفحة 24'!$N$30+'الصفحة 25'!$N$30+'الصفحة 26'!$N$30</f>
        <v>0</v>
      </c>
      <c r="Q41" s="2510">
        <f>'الصفحة 15'!$O$30+'الصفحة 16'!$O$30+'الصفحة 17'!$O$30+'الصفحة 18'!$O$30+'الصفحة 19'!$O$30+'الصفحة 20'!$O$30+'الصفحة 21'!$O$30+'الصفحة 22'!$O$30+'الصفحة 23'!$O$30+'الصفحة 24'!$O$30+'الصفحة 25'!$O$30+'الصفحة 26'!$O$30</f>
        <v>0</v>
      </c>
      <c r="R41" s="1394">
        <f>SUM(G41:Q41)</f>
        <v>0</v>
      </c>
      <c r="S41" s="1396" t="str">
        <f>IF(('الصفحة 1'!$Q$14&gt;0),IF((L22&gt;0),IF(((L22)&lt;&gt;(R41)),"خطء",""),""),"")</f>
        <v/>
      </c>
      <c r="T41" s="873"/>
      <c r="U41" s="872"/>
      <c r="V41" s="793"/>
      <c r="W41" s="4611" t="s">
        <v>1446</v>
      </c>
      <c r="X41" s="4611"/>
      <c r="Y41" s="4611"/>
      <c r="Z41" s="4611"/>
      <c r="AA41" s="4611"/>
      <c r="AB41" s="1950"/>
      <c r="AC41" s="796"/>
    </row>
    <row r="42" spans="1:29" ht="15" customHeight="1">
      <c r="A42" s="788"/>
      <c r="B42" s="894"/>
      <c r="C42" s="884"/>
      <c r="D42" s="4628"/>
      <c r="E42" s="4629"/>
      <c r="F42" s="2489" t="s">
        <v>29</v>
      </c>
      <c r="G42" s="2490">
        <f>'الصفحة 15'!$E$31+'الصفحة 16'!$E$31+'الصفحة 17'!$E$31+'الصفحة 18'!$E$31+'الصفحة 19'!$E$31+'الصفحة 20'!$E$31+'الصفحة 21'!$E$31+'الصفحة 22'!$E$31+'الصفحة 23'!$E$31+'الصفحة 24'!$E$31+'الصفحة 25'!$E$31+'الصفحة 26'!$E$31</f>
        <v>0</v>
      </c>
      <c r="H42" s="2491">
        <f>'الصفحة 15'!$F$31+'الصفحة 16'!$F$31+'الصفحة 17'!$F$31+'الصفحة 18'!$F$31+'الصفحة 19'!$F$31+'الصفحة 20'!$F$31+'الصفحة 21'!$F$31+'الصفحة 22'!$F$31+'الصفحة 23'!$F$31+'الصفحة 24'!$F$31+'الصفحة 25'!$F$31+'الصفحة 26'!$F$31</f>
        <v>0</v>
      </c>
      <c r="I42" s="2491">
        <f>'الصفحة 15'!$G$31+'الصفحة 16'!$G$31+'الصفحة 17'!$G$31+'الصفحة 18'!$G$31+'الصفحة 19'!$G$31+'الصفحة 20'!$G$31+'الصفحة 21'!$G$31+'الصفحة 22'!$G$31+'الصفحة 23'!$G$31+'الصفحة 24'!$G$31+'الصفحة 25'!$G$31+'الصفحة 26'!$G$31</f>
        <v>0</v>
      </c>
      <c r="J42" s="2491">
        <f>'الصفحة 15'!$H$31+'الصفحة 16'!$H$31+'الصفحة 17'!$H$31+'الصفحة 18'!$H$31+'الصفحة 19'!$H$31+'الصفحة 20'!$H$31+'الصفحة 21'!$H$31+'الصفحة 22'!$H$31+'الصفحة 23'!$H$31+'الصفحة 24'!$H$31+'الصفحة 25'!$H$31+'الصفحة 26'!$H$31</f>
        <v>0</v>
      </c>
      <c r="K42" s="2491">
        <f>'الصفحة 15'!$I$31+'الصفحة 16'!$I$31+'الصفحة 17'!$I$31+'الصفحة 18'!$I$31+'الصفحة 19'!$I$31+'الصفحة 20'!$I$31+'الصفحة 21'!$I$31+'الصفحة 22'!$I$31+'الصفحة 23'!$I$31+'الصفحة 24'!$I$31+'الصفحة 25'!$I$31+'الصفحة 26'!$I$31</f>
        <v>0</v>
      </c>
      <c r="L42" s="2491">
        <f>'الصفحة 15'!$J$31+'الصفحة 16'!$J$31+'الصفحة 17'!$J$31+'الصفحة 18'!$J$31+'الصفحة 19'!$J$31+'الصفحة 20'!$J$31+'الصفحة 21'!$J$31+'الصفحة 22'!$J$31+'الصفحة 23'!$J$31+'الصفحة 24'!$J$31+'الصفحة 25'!$J$31+'الصفحة 26'!$J$31</f>
        <v>0</v>
      </c>
      <c r="M42" s="2491">
        <f>'الصفحة 15'!$K$31+'الصفحة 16'!$K$31+'الصفحة 17'!$K$31+'الصفحة 18'!$K$31+'الصفحة 19'!$K$31+'الصفحة 20'!$K$31+'الصفحة 21'!$K$31+'الصفحة 22'!$K$31+'الصفحة 23'!$K$31+'الصفحة 24'!$K$31+'الصفحة 25'!$K$31+'الصفحة 26'!$K$31</f>
        <v>0</v>
      </c>
      <c r="N42" s="2491">
        <f>'الصفحة 15'!$L$31+'الصفحة 16'!$L$31+'الصفحة 17'!$L$31+'الصفحة 18'!$L$31+'الصفحة 19'!$L$31+'الصفحة 20'!$L$31+'الصفحة 21'!$L$31+'الصفحة 22'!$L$31+'الصفحة 23'!$L$31+'الصفحة 24'!$L$31+'الصفحة 25'!$L$31+'الصفحة 26'!$L$31</f>
        <v>0</v>
      </c>
      <c r="O42" s="2491">
        <f>'الصفحة 15'!$M$31+'الصفحة 16'!$M$31+'الصفحة 17'!$M$31+'الصفحة 18'!$M$31+'الصفحة 19'!$M$31+'الصفحة 20'!$M$31+'الصفحة 21'!$M$31+'الصفحة 22'!$M$31+'الصفحة 23'!$M$31+'الصفحة 24'!$M$31+'الصفحة 25'!$M$31+'الصفحة 26'!$M$31</f>
        <v>0</v>
      </c>
      <c r="P42" s="2491">
        <f>'الصفحة 15'!$N$31+'الصفحة 16'!$N$31+'الصفحة 17'!$N$31+'الصفحة 18'!$N$31+'الصفحة 19'!$N$31+'الصفحة 20'!$N$31+'الصفحة 21'!$N$31+'الصفحة 22'!$N$31+'الصفحة 23'!$N$31+'الصفحة 24'!$N$31+'الصفحة 25'!$N$31+'الصفحة 26'!$N$31</f>
        <v>0</v>
      </c>
      <c r="Q42" s="2526">
        <f>'الصفحة 15'!$O$31+'الصفحة 16'!$O$31+'الصفحة 17'!$O$31+'الصفحة 18'!$O$31+'الصفحة 19'!$O$31+'الصفحة 20'!$O$31+'الصفحة 21'!$O$31+'الصفحة 22'!$O$31+'الصفحة 23'!$O$31+'الصفحة 24'!$O$31+'الصفحة 25'!$O$31+'الصفحة 26'!$O$31</f>
        <v>0</v>
      </c>
      <c r="R42" s="1395">
        <f>SUM(G42:Q42)</f>
        <v>0</v>
      </c>
      <c r="S42" s="1396" t="str">
        <f>IF(('الصفحة 1'!$Q$14&gt;0),IF((L23&gt;0),IF(((L23)&lt;&gt;(R42)),"خطء",""),""),"")</f>
        <v/>
      </c>
      <c r="T42" s="873"/>
      <c r="U42" s="872"/>
      <c r="V42" s="793"/>
      <c r="W42" s="4611"/>
      <c r="X42" s="4611"/>
      <c r="Y42" s="4611"/>
      <c r="Z42" s="4611"/>
      <c r="AA42" s="4611"/>
      <c r="AB42" s="1950"/>
      <c r="AC42" s="796"/>
    </row>
    <row r="43" spans="1:29" ht="14.1" customHeight="1">
      <c r="A43" s="788"/>
      <c r="B43" s="894"/>
      <c r="C43" s="884"/>
      <c r="D43" s="1381"/>
      <c r="E43" s="1381"/>
      <c r="F43" s="2527"/>
      <c r="G43" s="1387"/>
      <c r="H43" s="1038"/>
      <c r="I43" s="1038"/>
      <c r="J43" s="1038"/>
      <c r="K43" s="1038"/>
      <c r="L43" s="1038"/>
      <c r="M43" s="1038"/>
      <c r="N43" s="1038"/>
      <c r="O43" s="1038"/>
      <c r="P43" s="1038"/>
      <c r="Q43" s="1038"/>
      <c r="R43" s="2528" t="str">
        <f>IF(('الصفحة 1'!$Q$14&gt;0),IF((P22&gt;0),IF((P22&lt;&gt;R41),"خطء الأجانب",""),""),"")</f>
        <v/>
      </c>
      <c r="S43" s="2529"/>
      <c r="T43" s="873"/>
      <c r="U43" s="872"/>
      <c r="V43" s="793"/>
      <c r="W43" s="4596" t="s">
        <v>121</v>
      </c>
      <c r="X43" s="4636"/>
      <c r="Y43" s="2762" t="s">
        <v>20</v>
      </c>
      <c r="Z43" s="2763" t="str">
        <f>IF(H20-('الصفحة 27'!G58)&lt;&gt;0,"خطأ"," ")</f>
        <v xml:space="preserve"> </v>
      </c>
      <c r="AA43" s="1032"/>
      <c r="AB43" s="1950"/>
      <c r="AC43" s="796"/>
    </row>
    <row r="44" spans="1:29" ht="14.1" customHeight="1">
      <c r="A44" s="788"/>
      <c r="B44" s="894"/>
      <c r="C44" s="1066"/>
      <c r="D44" s="2530"/>
      <c r="E44" s="2531"/>
      <c r="F44" s="2531"/>
      <c r="G44" s="1393"/>
      <c r="H44" s="2531"/>
      <c r="I44" s="2531"/>
      <c r="J44" s="2532"/>
      <c r="K44" s="2531"/>
      <c r="L44" s="2531"/>
      <c r="M44" s="2531"/>
      <c r="N44" s="2531"/>
      <c r="O44" s="2531"/>
      <c r="P44" s="2531"/>
      <c r="Q44" s="2531"/>
      <c r="R44" s="2529" t="str">
        <f>IF(('الصفحة 1'!$Q$14&gt;0),IF((P23&gt;0),IF((P23&lt;&gt;R42),"خطء الأجانب",""),""),"")</f>
        <v/>
      </c>
      <c r="S44" s="2529"/>
      <c r="T44" s="1067"/>
      <c r="U44" s="872"/>
      <c r="V44" s="793"/>
      <c r="W44" s="4598"/>
      <c r="X44" s="4637"/>
      <c r="Y44" s="2770" t="s">
        <v>29</v>
      </c>
      <c r="Z44" s="2771" t="str">
        <f>IF(H21-('الصفحة 27'!H58)&lt;&gt;0,"خطأ"," ")</f>
        <v xml:space="preserve"> </v>
      </c>
      <c r="AA44" s="1032"/>
      <c r="AB44" s="1950"/>
      <c r="AC44" s="796"/>
    </row>
    <row r="45" spans="1:29" ht="14.1" customHeight="1">
      <c r="A45" s="788"/>
      <c r="B45" s="894"/>
      <c r="C45" s="1389"/>
      <c r="D45" s="1717"/>
      <c r="E45" s="2533"/>
      <c r="F45" s="2533"/>
      <c r="G45" s="1391"/>
      <c r="H45" s="2533"/>
      <c r="I45" s="2533"/>
      <c r="J45" s="2533"/>
      <c r="K45" s="2533"/>
      <c r="L45" s="2533"/>
      <c r="M45" s="2533"/>
      <c r="N45" s="2533"/>
      <c r="O45" s="2533"/>
      <c r="P45" s="2533"/>
      <c r="Q45" s="2533"/>
      <c r="R45" s="2533"/>
      <c r="S45" s="2533"/>
      <c r="T45" s="1392"/>
      <c r="U45" s="872"/>
      <c r="V45" s="793"/>
      <c r="W45" s="4638" t="s">
        <v>167</v>
      </c>
      <c r="X45" s="4639"/>
      <c r="Y45" s="2762" t="s">
        <v>20</v>
      </c>
      <c r="Z45" s="2763" t="str">
        <f>IF(J20-('الصفحة 27'!I58)&lt;&gt;0,"خطأ"," ")</f>
        <v xml:space="preserve"> </v>
      </c>
      <c r="AA45" s="1032"/>
      <c r="AB45" s="1950"/>
      <c r="AC45" s="796"/>
    </row>
    <row r="46" spans="1:29" ht="14.1" customHeight="1">
      <c r="A46" s="788"/>
      <c r="B46" s="894"/>
      <c r="C46" s="884"/>
      <c r="D46" s="1381"/>
      <c r="E46" s="1316"/>
      <c r="F46" s="1316"/>
      <c r="G46" s="1393"/>
      <c r="H46" s="1316"/>
      <c r="I46" s="1316"/>
      <c r="J46" s="1316"/>
      <c r="K46" s="1316"/>
      <c r="L46" s="1316"/>
      <c r="M46" s="1316"/>
      <c r="N46" s="1316"/>
      <c r="O46" s="1316"/>
      <c r="P46" s="1316"/>
      <c r="Q46" s="1316"/>
      <c r="R46" s="1316"/>
      <c r="S46" s="1316"/>
      <c r="T46" s="873"/>
      <c r="U46" s="872"/>
      <c r="V46" s="793"/>
      <c r="W46" s="4640"/>
      <c r="X46" s="4641"/>
      <c r="Y46" s="2770" t="s">
        <v>29</v>
      </c>
      <c r="Z46" s="2771" t="str">
        <f>IF(J21-('الصفحة 27'!J58)&lt;&gt;0,"خطأ"," ")</f>
        <v xml:space="preserve"> </v>
      </c>
      <c r="AA46" s="1032"/>
      <c r="AB46" s="1950"/>
      <c r="AC46" s="796"/>
    </row>
    <row r="47" spans="1:29" ht="14.1" customHeight="1">
      <c r="A47" s="788"/>
      <c r="B47" s="894"/>
      <c r="C47" s="1389"/>
      <c r="D47" s="1717"/>
      <c r="E47" s="2533"/>
      <c r="F47" s="2533"/>
      <c r="G47" s="2533"/>
      <c r="H47" s="2533"/>
      <c r="I47" s="2533"/>
      <c r="J47" s="2533"/>
      <c r="K47" s="2533"/>
      <c r="L47" s="2533"/>
      <c r="M47" s="2533"/>
      <c r="N47" s="2533"/>
      <c r="O47" s="2533"/>
      <c r="P47" s="2533"/>
      <c r="Q47" s="2533"/>
      <c r="R47" s="2533"/>
      <c r="S47" s="2533"/>
      <c r="T47" s="1392"/>
      <c r="U47" s="872"/>
      <c r="V47" s="793"/>
      <c r="W47" s="4596" t="s">
        <v>119</v>
      </c>
      <c r="X47" s="4597"/>
      <c r="Y47" s="2762" t="s">
        <v>20</v>
      </c>
      <c r="Z47" s="2763" t="str">
        <f>IF(N20-('الصفحة 27'!K58)&lt;&gt;0,"خطأ"," ")</f>
        <v xml:space="preserve"> </v>
      </c>
      <c r="AA47" s="1032"/>
      <c r="AB47" s="1950"/>
      <c r="AC47" s="796"/>
    </row>
    <row r="48" spans="1:29" ht="14.1" customHeight="1">
      <c r="A48" s="788"/>
      <c r="B48" s="894"/>
      <c r="C48" s="884"/>
      <c r="D48" s="1381"/>
      <c r="E48" s="1316"/>
      <c r="F48" s="1316"/>
      <c r="G48" s="1316"/>
      <c r="H48" s="1316"/>
      <c r="I48" s="1316"/>
      <c r="J48" s="1316"/>
      <c r="K48" s="1316"/>
      <c r="L48" s="1316"/>
      <c r="M48" s="1316"/>
      <c r="N48" s="1316"/>
      <c r="O48" s="1316"/>
      <c r="P48" s="1316"/>
      <c r="Q48" s="1316"/>
      <c r="R48" s="1316"/>
      <c r="S48" s="1316"/>
      <c r="T48" s="873"/>
      <c r="U48" s="872"/>
      <c r="V48" s="793"/>
      <c r="W48" s="4598"/>
      <c r="X48" s="4599"/>
      <c r="Y48" s="2770" t="s">
        <v>29</v>
      </c>
      <c r="Z48" s="2771" t="str">
        <f>IF(N21-('الصفحة 27'!L58)&lt;&gt;0,"خطأ"," ")</f>
        <v xml:space="preserve"> </v>
      </c>
      <c r="AA48" s="1032"/>
      <c r="AB48" s="1950"/>
      <c r="AC48" s="796"/>
    </row>
    <row r="49" spans="1:29" ht="14.1" customHeight="1">
      <c r="A49" s="788"/>
      <c r="B49" s="894"/>
      <c r="C49" s="884"/>
      <c r="D49" s="1381"/>
      <c r="E49" s="1316"/>
      <c r="F49" s="1316"/>
      <c r="G49" s="1316"/>
      <c r="H49" s="1316"/>
      <c r="I49" s="1316"/>
      <c r="J49" s="1316"/>
      <c r="K49" s="1316"/>
      <c r="L49" s="1316"/>
      <c r="M49" s="1316"/>
      <c r="N49" s="1316"/>
      <c r="O49" s="1316"/>
      <c r="P49" s="1316"/>
      <c r="Q49" s="1316"/>
      <c r="R49" s="1316"/>
      <c r="S49" s="1316"/>
      <c r="T49" s="873"/>
      <c r="U49" s="872"/>
      <c r="V49" s="793"/>
      <c r="W49" s="4596" t="s">
        <v>297</v>
      </c>
      <c r="X49" s="4597"/>
      <c r="Y49" s="2762" t="s">
        <v>20</v>
      </c>
      <c r="Z49" s="2763" t="str">
        <f>IF(N22-('الصفحة 27'!N35)&lt;&gt;0,"خطأ"," ")</f>
        <v xml:space="preserve"> </v>
      </c>
      <c r="AA49" s="2772"/>
      <c r="AB49" s="1950"/>
      <c r="AC49" s="796"/>
    </row>
    <row r="50" spans="1:29" ht="14.1" customHeight="1">
      <c r="A50" s="788"/>
      <c r="B50" s="894"/>
      <c r="C50" s="884"/>
      <c r="D50" s="1381"/>
      <c r="E50" s="1316"/>
      <c r="F50" s="1316"/>
      <c r="G50" s="1316"/>
      <c r="H50" s="1316"/>
      <c r="I50" s="1316"/>
      <c r="J50" s="1316"/>
      <c r="K50" s="1316"/>
      <c r="L50" s="1316"/>
      <c r="M50" s="1316"/>
      <c r="N50" s="1316"/>
      <c r="O50" s="1316"/>
      <c r="P50" s="1316"/>
      <c r="Q50" s="1316"/>
      <c r="R50" s="1316"/>
      <c r="S50" s="1316"/>
      <c r="T50" s="873"/>
      <c r="U50" s="872"/>
      <c r="V50" s="793"/>
      <c r="W50" s="4598"/>
      <c r="X50" s="4599"/>
      <c r="Y50" s="2770" t="s">
        <v>29</v>
      </c>
      <c r="Z50" s="2771" t="str">
        <f>IF(N23-('الصفحة 27'!N36)&lt;&gt;0,"خطأ"," ")</f>
        <v xml:space="preserve"> </v>
      </c>
      <c r="AA50" s="2772"/>
      <c r="AB50" s="1950"/>
      <c r="AC50" s="796"/>
    </row>
    <row r="51" spans="1:29" ht="14.1" customHeight="1">
      <c r="A51" s="788"/>
      <c r="B51" s="894"/>
      <c r="C51" s="884"/>
      <c r="D51" s="1381"/>
      <c r="E51" s="1316"/>
      <c r="F51" s="1316"/>
      <c r="G51" s="1316"/>
      <c r="H51" s="1316"/>
      <c r="I51" s="1316"/>
      <c r="J51" s="1316"/>
      <c r="K51" s="1316"/>
      <c r="L51" s="1316"/>
      <c r="M51" s="1316"/>
      <c r="N51" s="1316"/>
      <c r="O51" s="1316"/>
      <c r="P51" s="1316"/>
      <c r="Q51" s="1316"/>
      <c r="R51" s="1316"/>
      <c r="S51" s="1316"/>
      <c r="T51" s="873"/>
      <c r="U51" s="872"/>
      <c r="V51" s="793"/>
      <c r="W51" s="2773"/>
      <c r="X51" s="2773"/>
      <c r="Y51" s="2774"/>
      <c r="Z51" s="2775"/>
      <c r="AA51" s="2772"/>
      <c r="AB51" s="1950"/>
      <c r="AC51" s="796"/>
    </row>
    <row r="52" spans="1:29" ht="14.1" customHeight="1">
      <c r="A52" s="788"/>
      <c r="B52" s="894"/>
      <c r="C52" s="884"/>
      <c r="D52" s="1381"/>
      <c r="E52" s="1316"/>
      <c r="F52" s="1316"/>
      <c r="G52" s="1316"/>
      <c r="H52" s="1316"/>
      <c r="I52" s="1316"/>
      <c r="J52" s="1316"/>
      <c r="K52" s="1316"/>
      <c r="L52" s="1316"/>
      <c r="M52" s="1316"/>
      <c r="N52" s="1316"/>
      <c r="O52" s="1316"/>
      <c r="P52" s="1316"/>
      <c r="Q52" s="1316"/>
      <c r="R52" s="1316"/>
      <c r="S52" s="1316"/>
      <c r="T52" s="873"/>
      <c r="U52" s="872"/>
      <c r="V52" s="793"/>
      <c r="W52" s="2773"/>
      <c r="X52" s="2773"/>
      <c r="Y52" s="2774"/>
      <c r="Z52" s="2775"/>
      <c r="AA52" s="2772"/>
      <c r="AB52" s="1950"/>
      <c r="AC52" s="796"/>
    </row>
    <row r="53" spans="1:29" ht="14.1" customHeight="1">
      <c r="A53" s="788"/>
      <c r="B53" s="894"/>
      <c r="C53" s="884"/>
      <c r="D53" s="1381"/>
      <c r="E53" s="1316"/>
      <c r="F53" s="1316"/>
      <c r="G53" s="1316"/>
      <c r="H53" s="1316"/>
      <c r="I53" s="1316"/>
      <c r="J53" s="1316"/>
      <c r="K53" s="1316"/>
      <c r="L53" s="1316"/>
      <c r="M53" s="1316"/>
      <c r="N53" s="1316"/>
      <c r="O53" s="1316"/>
      <c r="P53" s="1316"/>
      <c r="Q53" s="1316"/>
      <c r="R53" s="1316"/>
      <c r="S53" s="1316"/>
      <c r="T53" s="873"/>
      <c r="U53" s="872"/>
      <c r="V53" s="793"/>
      <c r="W53" s="2773"/>
      <c r="X53" s="2773"/>
      <c r="Y53" s="2774"/>
      <c r="Z53" s="2775"/>
      <c r="AA53" s="2772"/>
      <c r="AB53" s="1950"/>
      <c r="AC53" s="796"/>
    </row>
    <row r="54" spans="1:29" ht="14.1" customHeight="1">
      <c r="A54" s="788"/>
      <c r="B54" s="894"/>
      <c r="C54" s="884"/>
      <c r="D54" s="1381"/>
      <c r="E54" s="1316"/>
      <c r="F54" s="1316"/>
      <c r="G54" s="1316"/>
      <c r="H54" s="1316"/>
      <c r="I54" s="1316"/>
      <c r="J54" s="1316"/>
      <c r="K54" s="1316"/>
      <c r="L54" s="1316"/>
      <c r="M54" s="1316"/>
      <c r="N54" s="1316"/>
      <c r="O54" s="1316"/>
      <c r="P54" s="1316"/>
      <c r="Q54" s="1316"/>
      <c r="R54" s="1316"/>
      <c r="S54" s="1316"/>
      <c r="T54" s="873"/>
      <c r="U54" s="872"/>
      <c r="V54" s="793"/>
      <c r="W54" s="2773"/>
      <c r="X54" s="2773"/>
      <c r="Y54" s="2774"/>
      <c r="Z54" s="2775"/>
      <c r="AA54" s="2772"/>
      <c r="AB54" s="1950"/>
      <c r="AC54" s="796"/>
    </row>
    <row r="55" spans="1:29" ht="3" customHeight="1">
      <c r="A55" s="788"/>
      <c r="B55" s="894"/>
      <c r="C55" s="884"/>
      <c r="D55" s="1381"/>
      <c r="E55" s="1316"/>
      <c r="F55" s="1316"/>
      <c r="G55" s="1316"/>
      <c r="H55" s="1316"/>
      <c r="I55" s="1316"/>
      <c r="J55" s="1316"/>
      <c r="K55" s="1316"/>
      <c r="L55" s="1316"/>
      <c r="M55" s="1316"/>
      <c r="N55" s="1316"/>
      <c r="O55" s="1316"/>
      <c r="P55" s="1316"/>
      <c r="Q55" s="1316"/>
      <c r="R55" s="1316"/>
      <c r="S55" s="1316"/>
      <c r="T55" s="873"/>
      <c r="U55" s="872"/>
      <c r="V55" s="793"/>
      <c r="W55" s="2772"/>
      <c r="X55" s="2772"/>
      <c r="Y55" s="2772"/>
      <c r="Z55" s="2772"/>
      <c r="AA55" s="2772"/>
      <c r="AB55" s="1950"/>
      <c r="AC55" s="796"/>
    </row>
    <row r="56" spans="1:29" ht="3" customHeight="1">
      <c r="A56" s="788"/>
      <c r="B56" s="894"/>
      <c r="C56" s="884"/>
      <c r="D56" s="1381"/>
      <c r="E56" s="1316"/>
      <c r="F56" s="1316"/>
      <c r="G56" s="1316"/>
      <c r="H56" s="1316"/>
      <c r="I56" s="1316"/>
      <c r="J56" s="1316"/>
      <c r="K56" s="1316"/>
      <c r="L56" s="1316"/>
      <c r="M56" s="1316"/>
      <c r="N56" s="1316"/>
      <c r="O56" s="1316"/>
      <c r="P56" s="1316"/>
      <c r="Q56" s="1316"/>
      <c r="R56" s="1316"/>
      <c r="S56" s="1316"/>
      <c r="T56" s="873"/>
      <c r="U56" s="872"/>
      <c r="V56" s="793"/>
      <c r="W56" s="2772"/>
      <c r="X56" s="2772"/>
      <c r="Y56" s="2772"/>
      <c r="Z56" s="2772"/>
      <c r="AA56" s="2772"/>
      <c r="AB56" s="1950"/>
      <c r="AC56" s="796"/>
    </row>
    <row r="57" spans="1:29" ht="3" customHeight="1">
      <c r="A57" s="788"/>
      <c r="B57" s="894"/>
      <c r="C57" s="884"/>
      <c r="D57" s="1381"/>
      <c r="E57" s="1316"/>
      <c r="F57" s="1316"/>
      <c r="G57" s="1316"/>
      <c r="H57" s="1316"/>
      <c r="I57" s="1316"/>
      <c r="J57" s="1316"/>
      <c r="K57" s="1316"/>
      <c r="L57" s="1316"/>
      <c r="M57" s="1316"/>
      <c r="N57" s="1316"/>
      <c r="O57" s="1316"/>
      <c r="P57" s="1316"/>
      <c r="Q57" s="1316"/>
      <c r="R57" s="1316"/>
      <c r="S57" s="1316"/>
      <c r="T57" s="873"/>
      <c r="U57" s="872"/>
      <c r="V57" s="793"/>
      <c r="W57" s="2772"/>
      <c r="X57" s="2772"/>
      <c r="Y57" s="2772"/>
      <c r="Z57" s="2772"/>
      <c r="AA57" s="2772"/>
      <c r="AB57" s="1950"/>
      <c r="AC57" s="796"/>
    </row>
    <row r="58" spans="1:29" ht="3" customHeight="1" thickBot="1">
      <c r="A58" s="788"/>
      <c r="B58" s="894"/>
      <c r="C58" s="885"/>
      <c r="D58" s="886"/>
      <c r="E58" s="886"/>
      <c r="F58" s="887"/>
      <c r="G58" s="888"/>
      <c r="H58" s="888"/>
      <c r="I58" s="888"/>
      <c r="J58" s="888"/>
      <c r="K58" s="888"/>
      <c r="L58" s="888"/>
      <c r="M58" s="888"/>
      <c r="N58" s="888"/>
      <c r="O58" s="888"/>
      <c r="P58" s="888"/>
      <c r="Q58" s="888"/>
      <c r="R58" s="888"/>
      <c r="S58" s="888"/>
      <c r="T58" s="889"/>
      <c r="U58" s="872"/>
      <c r="V58" s="793"/>
      <c r="W58" s="2772"/>
      <c r="X58" s="2772"/>
      <c r="Y58" s="2772"/>
      <c r="Z58" s="2772"/>
      <c r="AA58" s="2772"/>
      <c r="AB58" s="1950"/>
      <c r="AC58" s="796"/>
    </row>
    <row r="59" spans="1:29" ht="14.1" customHeight="1" thickBot="1">
      <c r="A59" s="788"/>
      <c r="B59" s="896"/>
      <c r="C59" s="4399">
        <v>29</v>
      </c>
      <c r="D59" s="4399"/>
      <c r="E59" s="4399"/>
      <c r="F59" s="4399"/>
      <c r="G59" s="4399"/>
      <c r="H59" s="4399"/>
      <c r="I59" s="4399"/>
      <c r="J59" s="4399"/>
      <c r="K59" s="4399"/>
      <c r="L59" s="4399"/>
      <c r="M59" s="4399"/>
      <c r="N59" s="4399"/>
      <c r="O59" s="4399"/>
      <c r="P59" s="4399"/>
      <c r="Q59" s="4399"/>
      <c r="R59" s="4399"/>
      <c r="S59" s="4399"/>
      <c r="T59" s="4399"/>
      <c r="U59" s="1039">
        <v>1</v>
      </c>
      <c r="V59" s="793"/>
      <c r="W59" s="2772"/>
      <c r="X59" s="2772"/>
      <c r="Y59" s="2772"/>
      <c r="Z59" s="2772"/>
      <c r="AA59" s="2772"/>
      <c r="AB59" s="1950"/>
      <c r="AC59" s="796"/>
    </row>
    <row r="60" spans="1:29" ht="14.1" customHeight="1">
      <c r="A60" s="788"/>
      <c r="B60" s="3143" t="str">
        <f>'صفحة الدفتـر'!$B$68</f>
        <v>السنة الدراسية  2022 - 2023</v>
      </c>
      <c r="C60" s="789"/>
      <c r="D60" s="3146"/>
      <c r="E60" s="789"/>
      <c r="F60" s="789"/>
      <c r="G60" s="789"/>
      <c r="H60" s="789"/>
      <c r="I60" s="789"/>
      <c r="J60" s="789"/>
      <c r="K60" s="789"/>
      <c r="L60" s="789"/>
      <c r="M60" s="789"/>
      <c r="N60" s="789"/>
      <c r="O60" s="789"/>
      <c r="P60" s="789"/>
      <c r="Q60" s="789"/>
      <c r="R60" s="789"/>
      <c r="S60" s="789"/>
      <c r="T60" s="789"/>
      <c r="U60" s="789"/>
      <c r="V60" s="789"/>
      <c r="W60" s="789"/>
      <c r="X60" s="789"/>
      <c r="Y60" s="789"/>
      <c r="Z60" s="789"/>
      <c r="AA60" s="789"/>
      <c r="AB60" s="796"/>
      <c r="AC60" s="796"/>
    </row>
    <row r="61" spans="1:29" hidden="1"/>
    <row r="62" spans="1:29" hidden="1"/>
    <row r="63" spans="1:29" hidden="1"/>
    <row r="64" spans="1:29" hidden="1"/>
    <row r="65" hidden="1"/>
    <row r="66" hidden="1"/>
    <row r="67" hidden="1"/>
    <row r="68" hidden="1"/>
    <row r="69" hidden="1"/>
    <row r="70" hidden="1"/>
    <row r="71" hidden="1"/>
    <row r="72" hidden="1"/>
  </sheetData>
  <sheetProtection password="D8D3" sheet="1" objects="1" scenarios="1"/>
  <mergeCells count="143">
    <mergeCell ref="W2:AB4"/>
    <mergeCell ref="W43:X44"/>
    <mergeCell ref="W45:X46"/>
    <mergeCell ref="W47:X48"/>
    <mergeCell ref="W41:AA42"/>
    <mergeCell ref="K27:K28"/>
    <mergeCell ref="P20:Q20"/>
    <mergeCell ref="N20:O20"/>
    <mergeCell ref="W39:X40"/>
    <mergeCell ref="P23:Q23"/>
    <mergeCell ref="N22:O22"/>
    <mergeCell ref="J22:K22"/>
    <mergeCell ref="W37:X38"/>
    <mergeCell ref="W29:X30"/>
    <mergeCell ref="W33:X34"/>
    <mergeCell ref="W31:X32"/>
    <mergeCell ref="W27:X28"/>
    <mergeCell ref="W20:X21"/>
    <mergeCell ref="J11:K11"/>
    <mergeCell ref="N11:O11"/>
    <mergeCell ref="N16:O16"/>
    <mergeCell ref="L20:M20"/>
    <mergeCell ref="J20:K20"/>
    <mergeCell ref="R16:S16"/>
    <mergeCell ref="C59:T59"/>
    <mergeCell ref="D39:E40"/>
    <mergeCell ref="D41:E42"/>
    <mergeCell ref="H22:I22"/>
    <mergeCell ref="H23:I23"/>
    <mergeCell ref="N27:N28"/>
    <mergeCell ref="J27:J28"/>
    <mergeCell ref="I27:I28"/>
    <mergeCell ref="D35:E36"/>
    <mergeCell ref="D31:E32"/>
    <mergeCell ref="D22:F23"/>
    <mergeCell ref="D29:E30"/>
    <mergeCell ref="D28:F28"/>
    <mergeCell ref="D27:F27"/>
    <mergeCell ref="L27:L28"/>
    <mergeCell ref="L22:M22"/>
    <mergeCell ref="J23:K23"/>
    <mergeCell ref="H27:H28"/>
    <mergeCell ref="P22:Q22"/>
    <mergeCell ref="O27:O28"/>
    <mergeCell ref="P27:P28"/>
    <mergeCell ref="L23:M23"/>
    <mergeCell ref="M27:M28"/>
    <mergeCell ref="D33:E34"/>
    <mergeCell ref="P12:Q12"/>
    <mergeCell ref="P16:Q16"/>
    <mergeCell ref="H21:I21"/>
    <mergeCell ref="P14:Q14"/>
    <mergeCell ref="P13:Q13"/>
    <mergeCell ref="P19:Q19"/>
    <mergeCell ref="L19:M19"/>
    <mergeCell ref="Q27:Q28"/>
    <mergeCell ref="N23:O23"/>
    <mergeCell ref="N21:O21"/>
    <mergeCell ref="N13:O13"/>
    <mergeCell ref="N12:O12"/>
    <mergeCell ref="N15:O15"/>
    <mergeCell ref="L17:M17"/>
    <mergeCell ref="N19:O19"/>
    <mergeCell ref="L12:M12"/>
    <mergeCell ref="L14:M14"/>
    <mergeCell ref="H15:I15"/>
    <mergeCell ref="J15:K15"/>
    <mergeCell ref="L16:M16"/>
    <mergeCell ref="H12:I12"/>
    <mergeCell ref="H13:I13"/>
    <mergeCell ref="P25:Q25"/>
    <mergeCell ref="N8:O9"/>
    <mergeCell ref="P17:Q17"/>
    <mergeCell ref="P10:Q10"/>
    <mergeCell ref="N14:O14"/>
    <mergeCell ref="N10:O10"/>
    <mergeCell ref="H8:I9"/>
    <mergeCell ref="L21:M21"/>
    <mergeCell ref="R17:S17"/>
    <mergeCell ref="W5:AA6"/>
    <mergeCell ref="W16:X17"/>
    <mergeCell ref="W14:X15"/>
    <mergeCell ref="W10:X11"/>
    <mergeCell ref="W8:X9"/>
    <mergeCell ref="W12:X13"/>
    <mergeCell ref="P15:Q15"/>
    <mergeCell ref="P11:Q11"/>
    <mergeCell ref="P8:Q9"/>
    <mergeCell ref="R8:S9"/>
    <mergeCell ref="R10:S10"/>
    <mergeCell ref="R11:S11"/>
    <mergeCell ref="R12:S12"/>
    <mergeCell ref="R13:S13"/>
    <mergeCell ref="R14:S14"/>
    <mergeCell ref="R15:S15"/>
    <mergeCell ref="D8:G8"/>
    <mergeCell ref="H16:I16"/>
    <mergeCell ref="D10:F11"/>
    <mergeCell ref="H11:I11"/>
    <mergeCell ref="H10:I10"/>
    <mergeCell ref="L10:M10"/>
    <mergeCell ref="J8:K9"/>
    <mergeCell ref="D9:G9"/>
    <mergeCell ref="J19:K19"/>
    <mergeCell ref="J12:K12"/>
    <mergeCell ref="J13:K13"/>
    <mergeCell ref="J16:K16"/>
    <mergeCell ref="J14:K14"/>
    <mergeCell ref="H19:I19"/>
    <mergeCell ref="L8:M9"/>
    <mergeCell ref="L11:M11"/>
    <mergeCell ref="D12:F13"/>
    <mergeCell ref="D16:F17"/>
    <mergeCell ref="D18:F19"/>
    <mergeCell ref="J18:K18"/>
    <mergeCell ref="L15:M15"/>
    <mergeCell ref="J10:K10"/>
    <mergeCell ref="J17:K17"/>
    <mergeCell ref="L13:M13"/>
    <mergeCell ref="D14:F15"/>
    <mergeCell ref="H14:I14"/>
    <mergeCell ref="W18:X19"/>
    <mergeCell ref="W35:X36"/>
    <mergeCell ref="R18:S18"/>
    <mergeCell ref="R19:S19"/>
    <mergeCell ref="P21:Q21"/>
    <mergeCell ref="W24:AA25"/>
    <mergeCell ref="P18:Q18"/>
    <mergeCell ref="H17:I17"/>
    <mergeCell ref="H18:I18"/>
    <mergeCell ref="L18:M18"/>
    <mergeCell ref="N18:O18"/>
    <mergeCell ref="N17:O17"/>
    <mergeCell ref="D37:E38"/>
    <mergeCell ref="R20:S20"/>
    <mergeCell ref="R21:S21"/>
    <mergeCell ref="J21:K21"/>
    <mergeCell ref="G27:G28"/>
    <mergeCell ref="H20:I20"/>
    <mergeCell ref="W49:X50"/>
    <mergeCell ref="W22:X23"/>
    <mergeCell ref="R27:R28"/>
    <mergeCell ref="D20:F21"/>
  </mergeCells>
  <conditionalFormatting sqref="R43:S43 G41:Q41 H22:K22 N22:O22 G29:Q29 G31:Q31 G33:Q33 G35:Q35 G37:Q37 H10:K10 N10:O10 H12:K12 N12:O12 H14:K14 N14:O14 H16:K16 N16:O16 H18:K18 N18:O18 R10:S10 R12:S12 R14:S14 R16:S16 R18:S18 S29:S39">
    <cfRule type="cellIs" dxfId="1479" priority="339" stopIfTrue="1" operator="equal">
      <formula>0</formula>
    </cfRule>
  </conditionalFormatting>
  <conditionalFormatting sqref="H11:I11">
    <cfRule type="cellIs" dxfId="1478" priority="337" stopIfTrue="1" operator="greaterThan">
      <formula>H10</formula>
    </cfRule>
    <cfRule type="cellIs" dxfId="1477" priority="338" stopIfTrue="1" operator="equal">
      <formula>0</formula>
    </cfRule>
  </conditionalFormatting>
  <conditionalFormatting sqref="G39:S39 R41 L22:M22 P22:Q22 R29 R31 R33 R35 R37 H20:S20 L10:M10 P10:Q10 L12:M12 P12:Q12 L14:M14 P14:Q14 L16:M16 P16:Q16 L18:M18 P18:Q18">
    <cfRule type="cellIs" dxfId="1476" priority="334" stopIfTrue="1" operator="equal">
      <formula>0</formula>
    </cfRule>
  </conditionalFormatting>
  <conditionalFormatting sqref="L11:M11">
    <cfRule type="cellIs" dxfId="1475" priority="331" stopIfTrue="1" operator="greaterThan">
      <formula>L10</formula>
    </cfRule>
    <cfRule type="cellIs" dxfId="1474" priority="333" stopIfTrue="1" operator="equal">
      <formula>0</formula>
    </cfRule>
  </conditionalFormatting>
  <conditionalFormatting sqref="P11:Q11">
    <cfRule type="cellIs" dxfId="1473" priority="326" stopIfTrue="1" operator="greaterThan">
      <formula>P10</formula>
    </cfRule>
    <cfRule type="cellIs" dxfId="1472" priority="327" stopIfTrue="1" operator="equal">
      <formula>0</formula>
    </cfRule>
  </conditionalFormatting>
  <conditionalFormatting sqref="J11:K11">
    <cfRule type="cellIs" dxfId="1471" priority="322" stopIfTrue="1" operator="greaterThan">
      <formula>J10</formula>
    </cfRule>
    <cfRule type="cellIs" dxfId="1470" priority="323" stopIfTrue="1" operator="equal">
      <formula>0</formula>
    </cfRule>
  </conditionalFormatting>
  <conditionalFormatting sqref="N11:O11">
    <cfRule type="cellIs" dxfId="1469" priority="320" stopIfTrue="1" operator="greaterThan">
      <formula>N10</formula>
    </cfRule>
    <cfRule type="cellIs" dxfId="1468" priority="321" stopIfTrue="1" operator="equal">
      <formula>0</formula>
    </cfRule>
  </conditionalFormatting>
  <conditionalFormatting sqref="R11:S11">
    <cfRule type="cellIs" dxfId="1467" priority="318" stopIfTrue="1" operator="greaterThan">
      <formula>R10</formula>
    </cfRule>
    <cfRule type="cellIs" dxfId="1466" priority="319" stopIfTrue="1" operator="equal">
      <formula>0</formula>
    </cfRule>
  </conditionalFormatting>
  <conditionalFormatting sqref="H13:I13">
    <cfRule type="cellIs" dxfId="1465" priority="314" stopIfTrue="1" operator="greaterThan">
      <formula>H12</formula>
    </cfRule>
    <cfRule type="cellIs" dxfId="1464" priority="315" stopIfTrue="1" operator="equal">
      <formula>0</formula>
    </cfRule>
  </conditionalFormatting>
  <conditionalFormatting sqref="L13:M13">
    <cfRule type="cellIs" dxfId="1463" priority="310" stopIfTrue="1" operator="greaterThan">
      <formula>L12</formula>
    </cfRule>
    <cfRule type="cellIs" dxfId="1462" priority="311" stopIfTrue="1" operator="equal">
      <formula>0</formula>
    </cfRule>
  </conditionalFormatting>
  <conditionalFormatting sqref="P13:Q13">
    <cfRule type="cellIs" dxfId="1461" priority="305" stopIfTrue="1" operator="greaterThan">
      <formula>P12</formula>
    </cfRule>
    <cfRule type="cellIs" dxfId="1460" priority="306" stopIfTrue="1" operator="equal">
      <formula>0</formula>
    </cfRule>
  </conditionalFormatting>
  <conditionalFormatting sqref="J13:K13">
    <cfRule type="cellIs" dxfId="1459" priority="301" stopIfTrue="1" operator="greaterThan">
      <formula>J12</formula>
    </cfRule>
    <cfRule type="cellIs" dxfId="1458" priority="302" stopIfTrue="1" operator="equal">
      <formula>0</formula>
    </cfRule>
  </conditionalFormatting>
  <conditionalFormatting sqref="N13:O13">
    <cfRule type="cellIs" dxfId="1457" priority="299" stopIfTrue="1" operator="greaterThan">
      <formula>N12</formula>
    </cfRule>
    <cfRule type="cellIs" dxfId="1456" priority="300" stopIfTrue="1" operator="equal">
      <formula>0</formula>
    </cfRule>
  </conditionalFormatting>
  <conditionalFormatting sqref="R13:S13">
    <cfRule type="cellIs" dxfId="1455" priority="297" stopIfTrue="1" operator="greaterThan">
      <formula>R12</formula>
    </cfRule>
    <cfRule type="cellIs" dxfId="1454" priority="298" stopIfTrue="1" operator="equal">
      <formula>0</formula>
    </cfRule>
  </conditionalFormatting>
  <conditionalFormatting sqref="H15:I15">
    <cfRule type="cellIs" dxfId="1453" priority="294" stopIfTrue="1" operator="greaterThan">
      <formula>H14</formula>
    </cfRule>
    <cfRule type="cellIs" dxfId="1452" priority="295" stopIfTrue="1" operator="equal">
      <formula>0</formula>
    </cfRule>
  </conditionalFormatting>
  <conditionalFormatting sqref="L15:M15">
    <cfRule type="cellIs" dxfId="1451" priority="290" stopIfTrue="1" operator="greaterThan">
      <formula>L14</formula>
    </cfRule>
    <cfRule type="cellIs" dxfId="1450" priority="291" stopIfTrue="1" operator="equal">
      <formula>0</formula>
    </cfRule>
  </conditionalFormatting>
  <conditionalFormatting sqref="P15:Q15">
    <cfRule type="cellIs" dxfId="1449" priority="285" stopIfTrue="1" operator="greaterThan">
      <formula>P14</formula>
    </cfRule>
    <cfRule type="cellIs" dxfId="1448" priority="286" stopIfTrue="1" operator="equal">
      <formula>0</formula>
    </cfRule>
  </conditionalFormatting>
  <conditionalFormatting sqref="J15:K15">
    <cfRule type="cellIs" dxfId="1447" priority="281" stopIfTrue="1" operator="greaterThan">
      <formula>J14</formula>
    </cfRule>
    <cfRule type="cellIs" dxfId="1446" priority="282" stopIfTrue="1" operator="equal">
      <formula>0</formula>
    </cfRule>
  </conditionalFormatting>
  <conditionalFormatting sqref="N15:O15">
    <cfRule type="cellIs" dxfId="1445" priority="279" stopIfTrue="1" operator="greaterThan">
      <formula>N14</formula>
    </cfRule>
    <cfRule type="cellIs" dxfId="1444" priority="280" stopIfTrue="1" operator="equal">
      <formula>0</formula>
    </cfRule>
  </conditionalFormatting>
  <conditionalFormatting sqref="R15:S15">
    <cfRule type="cellIs" dxfId="1443" priority="277" stopIfTrue="1" operator="greaterThan">
      <formula>R14</formula>
    </cfRule>
    <cfRule type="cellIs" dxfId="1442" priority="278" stopIfTrue="1" operator="equal">
      <formula>0</formula>
    </cfRule>
  </conditionalFormatting>
  <conditionalFormatting sqref="H17:I17">
    <cfRule type="cellIs" dxfId="1441" priority="274" stopIfTrue="1" operator="greaterThan">
      <formula>H16</formula>
    </cfRule>
    <cfRule type="cellIs" dxfId="1440" priority="275" stopIfTrue="1" operator="equal">
      <formula>0</formula>
    </cfRule>
  </conditionalFormatting>
  <conditionalFormatting sqref="L17:M17">
    <cfRule type="cellIs" dxfId="1439" priority="270" stopIfTrue="1" operator="greaterThan">
      <formula>L16</formula>
    </cfRule>
    <cfRule type="cellIs" dxfId="1438" priority="271" stopIfTrue="1" operator="equal">
      <formula>0</formula>
    </cfRule>
  </conditionalFormatting>
  <conditionalFormatting sqref="P17:Q17">
    <cfRule type="cellIs" dxfId="1437" priority="265" stopIfTrue="1" operator="greaterThan">
      <formula>P16</formula>
    </cfRule>
    <cfRule type="cellIs" dxfId="1436" priority="266" stopIfTrue="1" operator="equal">
      <formula>0</formula>
    </cfRule>
  </conditionalFormatting>
  <conditionalFormatting sqref="J17:K17">
    <cfRule type="cellIs" dxfId="1435" priority="261" stopIfTrue="1" operator="greaterThan">
      <formula>J16</formula>
    </cfRule>
    <cfRule type="cellIs" dxfId="1434" priority="262" stopIfTrue="1" operator="equal">
      <formula>0</formula>
    </cfRule>
  </conditionalFormatting>
  <conditionalFormatting sqref="N17:O17">
    <cfRule type="cellIs" dxfId="1433" priority="259" stopIfTrue="1" operator="greaterThan">
      <formula>N16</formula>
    </cfRule>
    <cfRule type="cellIs" dxfId="1432" priority="260" stopIfTrue="1" operator="equal">
      <formula>0</formula>
    </cfRule>
  </conditionalFormatting>
  <conditionalFormatting sqref="R17:S17">
    <cfRule type="cellIs" dxfId="1431" priority="257" stopIfTrue="1" operator="greaterThan">
      <formula>R16</formula>
    </cfRule>
    <cfRule type="cellIs" dxfId="1430" priority="258" stopIfTrue="1" operator="equal">
      <formula>0</formula>
    </cfRule>
  </conditionalFormatting>
  <conditionalFormatting sqref="H19:I19">
    <cfRule type="cellIs" dxfId="1429" priority="254" stopIfTrue="1" operator="greaterThan">
      <formula>H18</formula>
    </cfRule>
    <cfRule type="cellIs" dxfId="1428" priority="255" stopIfTrue="1" operator="equal">
      <formula>0</formula>
    </cfRule>
  </conditionalFormatting>
  <conditionalFormatting sqref="L19:M19">
    <cfRule type="cellIs" dxfId="1427" priority="250" stopIfTrue="1" operator="greaterThan">
      <formula>L18</formula>
    </cfRule>
    <cfRule type="cellIs" dxfId="1426" priority="251" stopIfTrue="1" operator="equal">
      <formula>0</formula>
    </cfRule>
  </conditionalFormatting>
  <conditionalFormatting sqref="P19:Q19">
    <cfRule type="cellIs" dxfId="1425" priority="245" stopIfTrue="1" operator="greaterThan">
      <formula>P18</formula>
    </cfRule>
    <cfRule type="cellIs" dxfId="1424" priority="246" stopIfTrue="1" operator="equal">
      <formula>0</formula>
    </cfRule>
  </conditionalFormatting>
  <conditionalFormatting sqref="J19:K19">
    <cfRule type="cellIs" dxfId="1423" priority="241" stopIfTrue="1" operator="greaterThan">
      <formula>J18</formula>
    </cfRule>
    <cfRule type="cellIs" dxfId="1422" priority="242" stopIfTrue="1" operator="equal">
      <formula>0</formula>
    </cfRule>
  </conditionalFormatting>
  <conditionalFormatting sqref="N19:O19">
    <cfRule type="cellIs" dxfId="1421" priority="239" stopIfTrue="1" operator="greaterThan">
      <formula>N18</formula>
    </cfRule>
    <cfRule type="cellIs" dxfId="1420" priority="240" stopIfTrue="1" operator="equal">
      <formula>0</formula>
    </cfRule>
  </conditionalFormatting>
  <conditionalFormatting sqref="R19:S19">
    <cfRule type="cellIs" dxfId="1419" priority="237" stopIfTrue="1" operator="greaterThan">
      <formula>R18</formula>
    </cfRule>
    <cfRule type="cellIs" dxfId="1418" priority="238" stopIfTrue="1" operator="equal">
      <formula>0</formula>
    </cfRule>
  </conditionalFormatting>
  <conditionalFormatting sqref="H21:S21">
    <cfRule type="cellIs" dxfId="1417" priority="194" stopIfTrue="1" operator="greaterThan">
      <formula>H20</formula>
    </cfRule>
    <cfRule type="cellIs" dxfId="1416" priority="195" stopIfTrue="1" operator="equal">
      <formula>0</formula>
    </cfRule>
  </conditionalFormatting>
  <conditionalFormatting sqref="H23:I23">
    <cfRule type="cellIs" dxfId="1415" priority="191" stopIfTrue="1" operator="greaterThan">
      <formula>H22</formula>
    </cfRule>
    <cfRule type="cellIs" dxfId="1414" priority="192" stopIfTrue="1" operator="equal">
      <formula>0</formula>
    </cfRule>
  </conditionalFormatting>
  <conditionalFormatting sqref="L23:M23">
    <cfRule type="cellIs" dxfId="1413" priority="187" stopIfTrue="1" operator="greaterThan">
      <formula>L22</formula>
    </cfRule>
    <cfRule type="cellIs" dxfId="1412" priority="188" stopIfTrue="1" operator="equal">
      <formula>0</formula>
    </cfRule>
  </conditionalFormatting>
  <conditionalFormatting sqref="P23:Q23">
    <cfRule type="cellIs" dxfId="1411" priority="182" stopIfTrue="1" operator="greaterThan">
      <formula>P22</formula>
    </cfRule>
    <cfRule type="cellIs" dxfId="1410" priority="183" stopIfTrue="1" operator="equal">
      <formula>0</formula>
    </cfRule>
  </conditionalFormatting>
  <conditionalFormatting sqref="J23:K23">
    <cfRule type="cellIs" dxfId="1409" priority="180" stopIfTrue="1" operator="greaterThan">
      <formula>J22</formula>
    </cfRule>
    <cfRule type="cellIs" dxfId="1408" priority="181" stopIfTrue="1" operator="equal">
      <formula>0</formula>
    </cfRule>
  </conditionalFormatting>
  <conditionalFormatting sqref="N23:O23">
    <cfRule type="cellIs" dxfId="1407" priority="178" stopIfTrue="1" operator="greaterThan">
      <formula>N22</formula>
    </cfRule>
    <cfRule type="cellIs" dxfId="1406" priority="179" stopIfTrue="1" operator="equal">
      <formula>0</formula>
    </cfRule>
  </conditionalFormatting>
  <conditionalFormatting sqref="O30:Q30">
    <cfRule type="cellIs" dxfId="1405" priority="174" stopIfTrue="1" operator="greaterThan">
      <formula>O29</formula>
    </cfRule>
    <cfRule type="cellIs" dxfId="1404" priority="175" stopIfTrue="1" operator="equal">
      <formula>0</formula>
    </cfRule>
  </conditionalFormatting>
  <conditionalFormatting sqref="R30">
    <cfRule type="cellIs" dxfId="1403" priority="172" stopIfTrue="1" operator="greaterThan">
      <formula>R29</formula>
    </cfRule>
    <cfRule type="cellIs" dxfId="1402" priority="173" stopIfTrue="1" operator="equal">
      <formula>0</formula>
    </cfRule>
  </conditionalFormatting>
  <conditionalFormatting sqref="S30 S32 S34 S36 S38 S40">
    <cfRule type="cellIs" dxfId="1401" priority="169" stopIfTrue="1" operator="greaterThan">
      <formula>S29</formula>
    </cfRule>
    <cfRule type="cellIs" dxfId="1400" priority="170" stopIfTrue="1" operator="equal">
      <formula>0</formula>
    </cfRule>
  </conditionalFormatting>
  <conditionalFormatting sqref="O32:Q32">
    <cfRule type="cellIs" dxfId="1399" priority="165" stopIfTrue="1" operator="greaterThan">
      <formula>O31</formula>
    </cfRule>
    <cfRule type="cellIs" dxfId="1398" priority="166" stopIfTrue="1" operator="equal">
      <formula>0</formula>
    </cfRule>
  </conditionalFormatting>
  <conditionalFormatting sqref="R32">
    <cfRule type="cellIs" dxfId="1397" priority="163" stopIfTrue="1" operator="greaterThan">
      <formula>R31</formula>
    </cfRule>
    <cfRule type="cellIs" dxfId="1396" priority="164" stopIfTrue="1" operator="equal">
      <formula>0</formula>
    </cfRule>
  </conditionalFormatting>
  <conditionalFormatting sqref="S32">
    <cfRule type="cellIs" dxfId="1395" priority="160" stopIfTrue="1" operator="greaterThan">
      <formula>S31</formula>
    </cfRule>
    <cfRule type="cellIs" dxfId="1394" priority="161" stopIfTrue="1" operator="equal">
      <formula>0</formula>
    </cfRule>
  </conditionalFormatting>
  <conditionalFormatting sqref="O34:Q34">
    <cfRule type="cellIs" dxfId="1393" priority="156" stopIfTrue="1" operator="greaterThan">
      <formula>O33</formula>
    </cfRule>
    <cfRule type="cellIs" dxfId="1392" priority="157" stopIfTrue="1" operator="equal">
      <formula>0</formula>
    </cfRule>
  </conditionalFormatting>
  <conditionalFormatting sqref="R34">
    <cfRule type="cellIs" dxfId="1391" priority="154" stopIfTrue="1" operator="greaterThan">
      <formula>R33</formula>
    </cfRule>
    <cfRule type="cellIs" dxfId="1390" priority="155" stopIfTrue="1" operator="equal">
      <formula>0</formula>
    </cfRule>
  </conditionalFormatting>
  <conditionalFormatting sqref="S34">
    <cfRule type="cellIs" dxfId="1389" priority="151" stopIfTrue="1" operator="greaterThan">
      <formula>S33</formula>
    </cfRule>
    <cfRule type="cellIs" dxfId="1388" priority="152" stopIfTrue="1" operator="equal">
      <formula>0</formula>
    </cfRule>
  </conditionalFormatting>
  <conditionalFormatting sqref="O36:Q36">
    <cfRule type="cellIs" dxfId="1387" priority="148" stopIfTrue="1" operator="greaterThan">
      <formula>O35</formula>
    </cfRule>
    <cfRule type="cellIs" dxfId="1386" priority="149" stopIfTrue="1" operator="equal">
      <formula>0</formula>
    </cfRule>
  </conditionalFormatting>
  <conditionalFormatting sqref="S36">
    <cfRule type="cellIs" dxfId="1385" priority="145" stopIfTrue="1" operator="greaterThan">
      <formula>S35</formula>
    </cfRule>
    <cfRule type="cellIs" dxfId="1384" priority="146" stopIfTrue="1" operator="equal">
      <formula>0</formula>
    </cfRule>
  </conditionalFormatting>
  <conditionalFormatting sqref="O38:Q38">
    <cfRule type="cellIs" dxfId="1383" priority="142" stopIfTrue="1" operator="greaterThan">
      <formula>O37</formula>
    </cfRule>
    <cfRule type="cellIs" dxfId="1382" priority="143" stopIfTrue="1" operator="equal">
      <formula>0</formula>
    </cfRule>
  </conditionalFormatting>
  <conditionalFormatting sqref="S38">
    <cfRule type="cellIs" dxfId="1381" priority="139" stopIfTrue="1" operator="greaterThan">
      <formula>S37</formula>
    </cfRule>
    <cfRule type="cellIs" dxfId="1380" priority="140" stopIfTrue="1" operator="equal">
      <formula>0</formula>
    </cfRule>
  </conditionalFormatting>
  <conditionalFormatting sqref="R36 O40:S40">
    <cfRule type="cellIs" dxfId="1379" priority="124" stopIfTrue="1" operator="greaterThan">
      <formula>O35</formula>
    </cfRule>
    <cfRule type="cellIs" dxfId="1378" priority="125" stopIfTrue="1" operator="equal">
      <formula>0</formula>
    </cfRule>
  </conditionalFormatting>
  <conditionalFormatting sqref="R38">
    <cfRule type="cellIs" dxfId="1377" priority="121" stopIfTrue="1" operator="greaterThan">
      <formula>R37</formula>
    </cfRule>
    <cfRule type="cellIs" dxfId="1376" priority="122" stopIfTrue="1" operator="equal">
      <formula>0</formula>
    </cfRule>
  </conditionalFormatting>
  <conditionalFormatting sqref="L30:N30">
    <cfRule type="cellIs" dxfId="1375" priority="118" stopIfTrue="1" operator="greaterThan">
      <formula>L29</formula>
    </cfRule>
    <cfRule type="cellIs" dxfId="1374" priority="119" stopIfTrue="1" operator="equal">
      <formula>0</formula>
    </cfRule>
  </conditionalFormatting>
  <conditionalFormatting sqref="L32:N32">
    <cfRule type="cellIs" dxfId="1373" priority="115" stopIfTrue="1" operator="greaterThan">
      <formula>L31</formula>
    </cfRule>
    <cfRule type="cellIs" dxfId="1372" priority="116" stopIfTrue="1" operator="equal">
      <formula>0</formula>
    </cfRule>
  </conditionalFormatting>
  <conditionalFormatting sqref="L34:N34">
    <cfRule type="cellIs" dxfId="1371" priority="112" stopIfTrue="1" operator="greaterThan">
      <formula>L33</formula>
    </cfRule>
    <cfRule type="cellIs" dxfId="1370" priority="113" stopIfTrue="1" operator="equal">
      <formula>0</formula>
    </cfRule>
  </conditionalFormatting>
  <conditionalFormatting sqref="L36:N36">
    <cfRule type="cellIs" dxfId="1369" priority="109" stopIfTrue="1" operator="greaterThan">
      <formula>L35</formula>
    </cfRule>
    <cfRule type="cellIs" dxfId="1368" priority="110" stopIfTrue="1" operator="equal">
      <formula>0</formula>
    </cfRule>
  </conditionalFormatting>
  <conditionalFormatting sqref="L38:N38">
    <cfRule type="cellIs" dxfId="1367" priority="106" stopIfTrue="1" operator="greaterThan">
      <formula>L37</formula>
    </cfRule>
    <cfRule type="cellIs" dxfId="1366" priority="107" stopIfTrue="1" operator="equal">
      <formula>0</formula>
    </cfRule>
  </conditionalFormatting>
  <conditionalFormatting sqref="I30:K30">
    <cfRule type="cellIs" dxfId="1365" priority="97" stopIfTrue="1" operator="greaterThan">
      <formula>I29</formula>
    </cfRule>
    <cfRule type="cellIs" dxfId="1364" priority="98" stopIfTrue="1" operator="equal">
      <formula>0</formula>
    </cfRule>
  </conditionalFormatting>
  <conditionalFormatting sqref="I32:K32">
    <cfRule type="cellIs" dxfId="1363" priority="94" stopIfTrue="1" operator="greaterThan">
      <formula>I31</formula>
    </cfRule>
    <cfRule type="cellIs" dxfId="1362" priority="95" stopIfTrue="1" operator="equal">
      <formula>0</formula>
    </cfRule>
  </conditionalFormatting>
  <conditionalFormatting sqref="I34:K34">
    <cfRule type="cellIs" dxfId="1361" priority="91" stopIfTrue="1" operator="greaterThan">
      <formula>I33</formula>
    </cfRule>
    <cfRule type="cellIs" dxfId="1360" priority="92" stopIfTrue="1" operator="equal">
      <formula>0</formula>
    </cfRule>
  </conditionalFormatting>
  <conditionalFormatting sqref="I36:K36">
    <cfRule type="cellIs" dxfId="1359" priority="88" stopIfTrue="1" operator="greaterThan">
      <formula>I35</formula>
    </cfRule>
    <cfRule type="cellIs" dxfId="1358" priority="89" stopIfTrue="1" operator="equal">
      <formula>0</formula>
    </cfRule>
  </conditionalFormatting>
  <conditionalFormatting sqref="I38:K38">
    <cfRule type="cellIs" dxfId="1357" priority="85" stopIfTrue="1" operator="greaterThan">
      <formula>I37</formula>
    </cfRule>
    <cfRule type="cellIs" dxfId="1356" priority="86" stopIfTrue="1" operator="equal">
      <formula>0</formula>
    </cfRule>
  </conditionalFormatting>
  <conditionalFormatting sqref="G30:I30">
    <cfRule type="cellIs" dxfId="1355" priority="76" stopIfTrue="1" operator="greaterThan">
      <formula>G29</formula>
    </cfRule>
    <cfRule type="cellIs" dxfId="1354" priority="77" stopIfTrue="1" operator="equal">
      <formula>0</formula>
    </cfRule>
  </conditionalFormatting>
  <conditionalFormatting sqref="G32:I32">
    <cfRule type="cellIs" dxfId="1353" priority="73" stopIfTrue="1" operator="greaterThan">
      <formula>G31</formula>
    </cfRule>
    <cfRule type="cellIs" dxfId="1352" priority="74" stopIfTrue="1" operator="equal">
      <formula>0</formula>
    </cfRule>
  </conditionalFormatting>
  <conditionalFormatting sqref="G34:I34">
    <cfRule type="cellIs" dxfId="1351" priority="70" stopIfTrue="1" operator="greaterThan">
      <formula>G33</formula>
    </cfRule>
    <cfRule type="cellIs" dxfId="1350" priority="71" stopIfTrue="1" operator="equal">
      <formula>0</formula>
    </cfRule>
  </conditionalFormatting>
  <conditionalFormatting sqref="G36:I36">
    <cfRule type="cellIs" dxfId="1349" priority="67" stopIfTrue="1" operator="greaterThan">
      <formula>G35</formula>
    </cfRule>
    <cfRule type="cellIs" dxfId="1348" priority="68" stopIfTrue="1" operator="equal">
      <formula>0</formula>
    </cfRule>
  </conditionalFormatting>
  <conditionalFormatting sqref="G38:I38">
    <cfRule type="cellIs" dxfId="1347" priority="64" stopIfTrue="1" operator="greaterThan">
      <formula>G37</formula>
    </cfRule>
    <cfRule type="cellIs" dxfId="1346" priority="65" stopIfTrue="1" operator="equal">
      <formula>0</formula>
    </cfRule>
  </conditionalFormatting>
  <conditionalFormatting sqref="G40:N40">
    <cfRule type="cellIs" dxfId="1345" priority="55" stopIfTrue="1" operator="greaterThan">
      <formula>G39</formula>
    </cfRule>
    <cfRule type="cellIs" dxfId="1344" priority="56" stopIfTrue="1" operator="equal">
      <formula>0</formula>
    </cfRule>
  </conditionalFormatting>
  <conditionalFormatting sqref="O42:Q42">
    <cfRule type="cellIs" dxfId="1343" priority="52" stopIfTrue="1" operator="greaterThan">
      <formula>O41</formula>
    </cfRule>
    <cfRule type="cellIs" dxfId="1342" priority="53" stopIfTrue="1" operator="equal">
      <formula>0</formula>
    </cfRule>
  </conditionalFormatting>
  <conditionalFormatting sqref="R42">
    <cfRule type="cellIs" dxfId="1341" priority="49" stopIfTrue="1" operator="greaterThan">
      <formula>R41</formula>
    </cfRule>
    <cfRule type="cellIs" dxfId="1340" priority="50" stopIfTrue="1" operator="equal">
      <formula>0</formula>
    </cfRule>
  </conditionalFormatting>
  <conditionalFormatting sqref="L42:N42">
    <cfRule type="cellIs" dxfId="1339" priority="46" stopIfTrue="1" operator="greaterThan">
      <formula>L41</formula>
    </cfRule>
    <cfRule type="cellIs" dxfId="1338" priority="47" stopIfTrue="1" operator="equal">
      <formula>0</formula>
    </cfRule>
  </conditionalFormatting>
  <conditionalFormatting sqref="I42:K42">
    <cfRule type="cellIs" dxfId="1337" priority="43" stopIfTrue="1" operator="greaterThan">
      <formula>I41</formula>
    </cfRule>
    <cfRule type="cellIs" dxfId="1336" priority="44" stopIfTrue="1" operator="equal">
      <formula>0</formula>
    </cfRule>
  </conditionalFormatting>
  <conditionalFormatting sqref="G42:I42">
    <cfRule type="cellIs" dxfId="1335" priority="40" stopIfTrue="1" operator="greaterThan">
      <formula>G41</formula>
    </cfRule>
    <cfRule type="cellIs" dxfId="1334" priority="41" stopIfTrue="1" operator="equal">
      <formula>0</formula>
    </cfRule>
  </conditionalFormatting>
  <conditionalFormatting sqref="R11:S11">
    <cfRule type="cellIs" dxfId="1333" priority="38" stopIfTrue="1" operator="greaterThan">
      <formula>R10</formula>
    </cfRule>
    <cfRule type="cellIs" dxfId="1332" priority="39" stopIfTrue="1" operator="equal">
      <formula>0</formula>
    </cfRule>
  </conditionalFormatting>
  <conditionalFormatting sqref="R13:S13">
    <cfRule type="cellIs" dxfId="1331" priority="36" stopIfTrue="1" operator="greaterThan">
      <formula>R12</formula>
    </cfRule>
    <cfRule type="cellIs" dxfId="1330" priority="37" stopIfTrue="1" operator="equal">
      <formula>0</formula>
    </cfRule>
  </conditionalFormatting>
  <conditionalFormatting sqref="R15:S15">
    <cfRule type="cellIs" dxfId="1329" priority="34" stopIfTrue="1" operator="greaterThan">
      <formula>R14</formula>
    </cfRule>
    <cfRule type="cellIs" dxfId="1328" priority="35" stopIfTrue="1" operator="equal">
      <formula>0</formula>
    </cfRule>
  </conditionalFormatting>
  <conditionalFormatting sqref="R17:S17">
    <cfRule type="cellIs" dxfId="1327" priority="32" stopIfTrue="1" operator="greaterThan">
      <formula>R16</formula>
    </cfRule>
    <cfRule type="cellIs" dxfId="1326" priority="33" stopIfTrue="1" operator="equal">
      <formula>0</formula>
    </cfRule>
  </conditionalFormatting>
  <conditionalFormatting sqref="R19:S19">
    <cfRule type="cellIs" dxfId="1325" priority="30" stopIfTrue="1" operator="greaterThan">
      <formula>R18</formula>
    </cfRule>
    <cfRule type="cellIs" dxfId="1324" priority="31" stopIfTrue="1" operator="equal">
      <formula>0</formula>
    </cfRule>
  </conditionalFormatting>
  <conditionalFormatting sqref="R44:S44">
    <cfRule type="cellIs" dxfId="1323" priority="24" stopIfTrue="1" operator="greaterThan">
      <formula>R43</formula>
    </cfRule>
    <cfRule type="cellIs" dxfId="1322" priority="25" stopIfTrue="1" operator="equal">
      <formula>0</formula>
    </cfRule>
  </conditionalFormatting>
  <conditionalFormatting sqref="R44:S44">
    <cfRule type="cellIs" dxfId="1321" priority="23" stopIfTrue="1" operator="equal">
      <formula>0</formula>
    </cfRule>
  </conditionalFormatting>
  <conditionalFormatting sqref="G43 G45">
    <cfRule type="cellIs" dxfId="1320" priority="22" stopIfTrue="1" operator="equal">
      <formula>0</formula>
    </cfRule>
  </conditionalFormatting>
  <conditionalFormatting sqref="G44">
    <cfRule type="cellIs" dxfId="1319" priority="20" stopIfTrue="1" operator="greaterThan">
      <formula>G43</formula>
    </cfRule>
    <cfRule type="cellIs" dxfId="1318" priority="21" stopIfTrue="1" operator="equal">
      <formula>0</formula>
    </cfRule>
  </conditionalFormatting>
  <conditionalFormatting sqref="G46">
    <cfRule type="cellIs" dxfId="1317" priority="18" stopIfTrue="1" operator="greaterThan">
      <formula>G45</formula>
    </cfRule>
    <cfRule type="cellIs" dxfId="1316" priority="19" stopIfTrue="1" operator="equal">
      <formula>0</formula>
    </cfRule>
  </conditionalFormatting>
  <conditionalFormatting sqref="G43">
    <cfRule type="cellIs" dxfId="1315" priority="17" stopIfTrue="1" operator="equal">
      <formula>0</formula>
    </cfRule>
  </conditionalFormatting>
  <conditionalFormatting sqref="G46">
    <cfRule type="cellIs" dxfId="1314" priority="15" stopIfTrue="1" operator="greaterThan">
      <formula>G45</formula>
    </cfRule>
    <cfRule type="cellIs" dxfId="1313" priority="16" stopIfTrue="1" operator="equal">
      <formula>0</formula>
    </cfRule>
  </conditionalFormatting>
  <conditionalFormatting sqref="G45">
    <cfRule type="cellIs" dxfId="1312" priority="14" stopIfTrue="1" operator="equal">
      <formula>0</formula>
    </cfRule>
  </conditionalFormatting>
  <conditionalFormatting sqref="S29 S31 S33 S35 S37">
    <cfRule type="cellIs" dxfId="1311" priority="12" stopIfTrue="1" operator="greaterThan">
      <formula>S28</formula>
    </cfRule>
    <cfRule type="cellIs" dxfId="1310" priority="13" stopIfTrue="1" operator="equal">
      <formula>0</formula>
    </cfRule>
  </conditionalFormatting>
  <conditionalFormatting sqref="S40">
    <cfRule type="cellIs" dxfId="1309" priority="11" stopIfTrue="1" operator="equal">
      <formula>0</formula>
    </cfRule>
  </conditionalFormatting>
  <conditionalFormatting sqref="S30 S32 S34 S36 S38 S40">
    <cfRule type="cellIs" dxfId="1308" priority="9" stopIfTrue="1" operator="greaterThan">
      <formula>S29</formula>
    </cfRule>
    <cfRule type="cellIs" dxfId="1307" priority="10" stopIfTrue="1" operator="equal">
      <formula>0</formula>
    </cfRule>
  </conditionalFormatting>
  <conditionalFormatting sqref="S41">
    <cfRule type="cellIs" dxfId="1306" priority="8" stopIfTrue="1" operator="equal">
      <formula>0</formula>
    </cfRule>
  </conditionalFormatting>
  <conditionalFormatting sqref="S42">
    <cfRule type="cellIs" dxfId="1305" priority="6" stopIfTrue="1" operator="greaterThan">
      <formula>S41</formula>
    </cfRule>
    <cfRule type="cellIs" dxfId="1304" priority="7" stopIfTrue="1" operator="equal">
      <formula>0</formula>
    </cfRule>
  </conditionalFormatting>
  <conditionalFormatting sqref="S41">
    <cfRule type="cellIs" dxfId="1303" priority="4" stopIfTrue="1" operator="greaterThan">
      <formula>S40</formula>
    </cfRule>
    <cfRule type="cellIs" dxfId="1302" priority="5" stopIfTrue="1" operator="equal">
      <formula>0</formula>
    </cfRule>
  </conditionalFormatting>
  <conditionalFormatting sqref="S42">
    <cfRule type="cellIs" dxfId="1301" priority="3" stopIfTrue="1" operator="equal">
      <formula>0</formula>
    </cfRule>
  </conditionalFormatting>
  <conditionalFormatting sqref="S42">
    <cfRule type="cellIs" dxfId="1300" priority="1" stopIfTrue="1" operator="greaterThan">
      <formula>S41</formula>
    </cfRule>
    <cfRule type="cellIs" dxfId="1299" priority="2" stopIfTrue="1" operator="equal">
      <formula>0</formula>
    </cfRule>
  </conditionalFormatting>
  <conditionalFormatting sqref="S39">
    <cfRule type="cellIs" dxfId="1298" priority="385" stopIfTrue="1" operator="greaterThan">
      <formula>#REF!</formula>
    </cfRule>
    <cfRule type="cellIs" dxfId="1297" priority="386" stopIfTrue="1" operator="equal">
      <formula>0</formula>
    </cfRule>
  </conditionalFormatting>
  <dataValidations count="5">
    <dataValidation operator="greaterThanOrEqual" allowBlank="1" showInputMessage="1" showErrorMessage="1" errorTitle="الأساتذة  و الوضعية الإدارية" error="ضع العدد المناسب مع مراعاة التطابق حسب الإطار المهني و الوضعية الإدارية لكافة الأساتذة" sqref="R43:S44"/>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G44 G46 S29:S42"/>
    <dataValidation operator="greaterThanOrEqual" allowBlank="1" showInputMessage="1" showErrorMessage="1" errorTitle="الأساتذة و الإطار المهني" error="ضع العدد المناسب الأساتذة حسب الإطار المهني و مادة التدريس" sqref="G43 G45"/>
    <dataValidation type="whole" operator="greaterThanOrEqual" allowBlank="1" showInputMessage="1" showErrorMessage="1" errorTitle="الأساتذة و السن" error="ضع العدد المناسب مع مراعاة التطابق حسب الإطار المهني و السن لكافة الأساتذة" sqref="G29:R42">
      <formula1>0</formula1>
    </dataValidation>
    <dataValidation type="whole" operator="greaterThanOrEqual" allowBlank="1" showInputMessage="1" showErrorMessage="1" errorTitle="الأساتذة  و الوضعية الإدارية" error="ضع العدد المناسب مع مراعاة التطابق حسب الإطار المهني و الوضعية الإدارية لكافة الأساتذة" sqref="H10:H23 L10:L23 R10:R21 S12:S21 R7:S7 J10:J23 N10:N23 O12:O23 P10:P23 Q12:Q23">
      <formula1>0</formula1>
    </dataValidation>
  </dataValidations>
  <printOptions horizontalCentered="1" verticalCentered="1"/>
  <pageMargins left="0.19685039370078741" right="0.19685039370078741" top="0.19685039370078741" bottom="0.19685039370078741" header="0" footer="0.35433070866141736"/>
  <pageSetup paperSize="9" orientation="portrait" r:id="rId1"/>
  <headerFooter>
    <oddFooter xml:space="preserve">&amp;R&amp;"-,Gras"&amp;8&amp;K00-030Echamil V.08    &amp;F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FF33CC"/>
  </sheetPr>
  <dimension ref="A1:AM46"/>
  <sheetViews>
    <sheetView showGridLines="0" rightToLeft="1" topLeftCell="A22" workbookViewId="0">
      <selection activeCell="F10" sqref="F10"/>
    </sheetView>
  </sheetViews>
  <sheetFormatPr baseColWidth="10" defaultColWidth="0" defaultRowHeight="14.4" zeroHeight="1"/>
  <cols>
    <col min="1" max="1" width="2.6640625" customWidth="1"/>
    <col min="2" max="2" width="1.109375" customWidth="1"/>
    <col min="3" max="3" width="0.88671875" customWidth="1"/>
    <col min="4" max="4" width="14.44140625" customWidth="1"/>
    <col min="5" max="7" width="5.44140625" customWidth="1"/>
    <col min="8" max="8" width="4.88671875" customWidth="1"/>
    <col min="9" max="9" width="5.44140625" customWidth="1"/>
    <col min="10" max="10" width="4.88671875" customWidth="1"/>
    <col min="11" max="11" width="5.44140625" customWidth="1"/>
    <col min="12" max="12" width="4.88671875" customWidth="1"/>
    <col min="13" max="13" width="5.44140625" customWidth="1"/>
    <col min="14" max="14" width="4.88671875" customWidth="1"/>
    <col min="15" max="15" width="5.44140625" customWidth="1"/>
    <col min="16" max="16" width="4.88671875" customWidth="1"/>
    <col min="17" max="17" width="5.44140625" customWidth="1"/>
    <col min="18" max="18" width="4.88671875" customWidth="1"/>
    <col min="19" max="19" width="5.44140625" customWidth="1"/>
    <col min="20" max="20" width="4.88671875" customWidth="1"/>
    <col min="21" max="21" width="5.44140625" customWidth="1"/>
    <col min="22" max="22" width="4.88671875" customWidth="1"/>
    <col min="23" max="23" width="5.44140625" customWidth="1"/>
    <col min="24" max="24" width="4.88671875" customWidth="1"/>
    <col min="25" max="25" width="5.44140625" customWidth="1"/>
    <col min="26" max="26" width="4.88671875" customWidth="1"/>
    <col min="27" max="27" width="5.5546875" customWidth="1"/>
    <col min="28" max="28" width="5.33203125" customWidth="1"/>
    <col min="29" max="29" width="1.44140625" customWidth="1"/>
    <col min="30" max="30" width="0.6640625" customWidth="1"/>
    <col min="31" max="31" width="1.109375" customWidth="1"/>
    <col min="32" max="32" width="2" customWidth="1"/>
    <col min="33" max="33" width="14.5546875" customWidth="1"/>
    <col min="34" max="34" width="4.6640625" customWidth="1"/>
    <col min="35" max="36" width="6.6640625" customWidth="1"/>
    <col min="37" max="37" width="1.6640625" customWidth="1"/>
    <col min="38" max="38" width="1" customWidth="1"/>
    <col min="39" max="39" width="2.5546875" customWidth="1"/>
  </cols>
  <sheetData>
    <row r="1" spans="1:39" ht="14.1" customHeight="1" thickBot="1">
      <c r="A1" s="788"/>
      <c r="B1" s="789"/>
      <c r="C1" s="789"/>
      <c r="D1" s="789"/>
      <c r="E1" s="789"/>
      <c r="F1" s="789"/>
      <c r="G1" s="789"/>
      <c r="H1" s="789"/>
      <c r="I1" s="789"/>
      <c r="J1" s="789"/>
      <c r="K1" s="789"/>
      <c r="L1" s="789"/>
      <c r="M1" s="789"/>
      <c r="N1" s="789"/>
      <c r="O1" s="789"/>
      <c r="P1" s="789"/>
      <c r="Q1" s="789"/>
      <c r="R1" s="789"/>
      <c r="S1" s="789"/>
      <c r="T1" s="789"/>
      <c r="U1" s="789"/>
      <c r="V1" s="789"/>
      <c r="W1" s="789"/>
      <c r="X1" s="789"/>
      <c r="Y1" s="789"/>
      <c r="Z1" s="789"/>
      <c r="AA1" s="789"/>
      <c r="AB1" s="789"/>
      <c r="AC1" s="789"/>
      <c r="AD1" s="789"/>
      <c r="AE1" s="789"/>
      <c r="AF1" s="789"/>
      <c r="AG1" s="788"/>
      <c r="AH1" s="788"/>
      <c r="AI1" s="788"/>
      <c r="AJ1" s="788"/>
      <c r="AK1" s="788"/>
      <c r="AL1" s="796"/>
      <c r="AM1" s="796"/>
    </row>
    <row r="2" spans="1:39" ht="14.1" customHeight="1" thickBot="1">
      <c r="A2" s="788"/>
      <c r="B2" s="816"/>
      <c r="C2" s="891"/>
      <c r="D2" s="891"/>
      <c r="E2" s="891"/>
      <c r="F2" s="891"/>
      <c r="G2" s="891"/>
      <c r="H2" s="891"/>
      <c r="I2" s="891"/>
      <c r="J2" s="891"/>
      <c r="K2" s="891"/>
      <c r="L2" s="891"/>
      <c r="M2" s="891"/>
      <c r="N2" s="891"/>
      <c r="O2" s="891"/>
      <c r="P2" s="891"/>
      <c r="Q2" s="891"/>
      <c r="R2" s="891"/>
      <c r="S2" s="891"/>
      <c r="T2" s="891"/>
      <c r="U2" s="891"/>
      <c r="V2" s="891"/>
      <c r="W2" s="891"/>
      <c r="X2" s="891"/>
      <c r="Y2" s="891"/>
      <c r="Z2" s="891"/>
      <c r="AA2" s="891"/>
      <c r="AB2" s="891"/>
      <c r="AC2" s="891"/>
      <c r="AD2" s="891"/>
      <c r="AE2" s="892"/>
      <c r="AF2" s="803"/>
      <c r="AG2" s="4053" t="s">
        <v>603</v>
      </c>
      <c r="AH2" s="4053"/>
      <c r="AI2" s="4053"/>
      <c r="AJ2" s="4053"/>
      <c r="AK2" s="4053"/>
      <c r="AL2" s="4053"/>
      <c r="AM2" s="796"/>
    </row>
    <row r="3" spans="1:39" ht="6" customHeight="1">
      <c r="A3" s="788"/>
      <c r="B3" s="819"/>
      <c r="C3" s="876"/>
      <c r="D3" s="878"/>
      <c r="E3" s="878"/>
      <c r="F3" s="878"/>
      <c r="G3" s="878"/>
      <c r="H3" s="878"/>
      <c r="I3" s="878"/>
      <c r="J3" s="878"/>
      <c r="K3" s="878"/>
      <c r="L3" s="878"/>
      <c r="M3" s="878"/>
      <c r="N3" s="878"/>
      <c r="O3" s="878"/>
      <c r="P3" s="878"/>
      <c r="Q3" s="878"/>
      <c r="R3" s="878"/>
      <c r="S3" s="878"/>
      <c r="T3" s="878"/>
      <c r="U3" s="878"/>
      <c r="V3" s="878"/>
      <c r="W3" s="878"/>
      <c r="X3" s="878"/>
      <c r="Y3" s="878"/>
      <c r="Z3" s="878"/>
      <c r="AA3" s="879"/>
      <c r="AB3" s="878"/>
      <c r="AC3" s="878"/>
      <c r="AD3" s="880"/>
      <c r="AE3" s="872"/>
      <c r="AF3" s="804"/>
      <c r="AG3" s="4053"/>
      <c r="AH3" s="4053"/>
      <c r="AI3" s="4053"/>
      <c r="AJ3" s="4053"/>
      <c r="AK3" s="4053"/>
      <c r="AL3" s="4053"/>
      <c r="AM3" s="796"/>
    </row>
    <row r="4" spans="1:39" ht="15.9" customHeight="1">
      <c r="A4" s="788"/>
      <c r="B4" s="819"/>
      <c r="C4" s="881"/>
      <c r="D4" s="2534" t="s">
        <v>1465</v>
      </c>
      <c r="E4" s="659"/>
      <c r="F4" s="659"/>
      <c r="G4" s="650"/>
      <c r="H4" s="650"/>
      <c r="I4" s="651"/>
      <c r="J4" s="649"/>
      <c r="K4" s="652"/>
      <c r="L4" s="652"/>
      <c r="M4" s="652"/>
      <c r="N4" s="652"/>
      <c r="O4" s="652"/>
      <c r="P4" s="652"/>
      <c r="Q4" s="652"/>
      <c r="R4" s="652"/>
      <c r="S4" s="652"/>
      <c r="T4" s="652"/>
      <c r="U4" s="652"/>
      <c r="V4" s="649"/>
      <c r="W4" s="649"/>
      <c r="X4" s="649"/>
      <c r="Y4" s="649"/>
      <c r="Z4" s="660"/>
      <c r="AA4" s="660"/>
      <c r="AB4" s="660"/>
      <c r="AC4" s="2535" t="s">
        <v>1464</v>
      </c>
      <c r="AD4" s="882"/>
      <c r="AE4" s="872"/>
      <c r="AF4" s="804"/>
      <c r="AG4" s="4053"/>
      <c r="AH4" s="4053"/>
      <c r="AI4" s="4053"/>
      <c r="AJ4" s="4053"/>
      <c r="AK4" s="4053"/>
      <c r="AL4" s="4053"/>
      <c r="AM4" s="796"/>
    </row>
    <row r="5" spans="1:39" ht="6" customHeight="1">
      <c r="A5" s="788"/>
      <c r="B5" s="819"/>
      <c r="C5" s="884"/>
      <c r="D5" s="659"/>
      <c r="E5" s="659"/>
      <c r="F5" s="659"/>
      <c r="G5" s="659"/>
      <c r="H5" s="649"/>
      <c r="I5" s="649"/>
      <c r="J5" s="652"/>
      <c r="K5" s="652"/>
      <c r="L5" s="660"/>
      <c r="M5" s="660"/>
      <c r="N5" s="660"/>
      <c r="O5" s="660"/>
      <c r="P5" s="660"/>
      <c r="Q5" s="660"/>
      <c r="R5" s="660"/>
      <c r="S5" s="660"/>
      <c r="T5" s="660"/>
      <c r="U5" s="660"/>
      <c r="V5" s="660"/>
      <c r="W5" s="660"/>
      <c r="X5" s="660"/>
      <c r="Y5" s="660"/>
      <c r="Z5" s="660"/>
      <c r="AA5" s="660"/>
      <c r="AB5" s="660"/>
      <c r="AC5" s="660"/>
      <c r="AD5" s="873"/>
      <c r="AE5" s="872"/>
      <c r="AF5" s="804"/>
      <c r="AG5" s="2760"/>
      <c r="AH5" s="2760"/>
      <c r="AI5" s="2760"/>
      <c r="AJ5" s="2760"/>
      <c r="AK5" s="2760"/>
      <c r="AL5" s="1950"/>
      <c r="AM5" s="796"/>
    </row>
    <row r="6" spans="1:39" ht="18" customHeight="1">
      <c r="A6" s="788"/>
      <c r="B6" s="819"/>
      <c r="C6" s="954"/>
      <c r="D6" s="979" t="s">
        <v>1407</v>
      </c>
      <c r="E6" s="955"/>
      <c r="F6" s="955"/>
      <c r="G6" s="955"/>
      <c r="H6" s="955"/>
      <c r="I6" s="955"/>
      <c r="J6" s="776"/>
      <c r="K6" s="955"/>
      <c r="L6" s="955"/>
      <c r="M6" s="955"/>
      <c r="N6" s="955"/>
      <c r="O6" s="955"/>
      <c r="P6" s="955"/>
      <c r="Q6" s="955"/>
      <c r="R6" s="955"/>
      <c r="S6" s="955"/>
      <c r="T6" s="955"/>
      <c r="U6" s="955"/>
      <c r="V6" s="955"/>
      <c r="W6" s="955"/>
      <c r="X6" s="955"/>
      <c r="Y6" s="4642" t="s">
        <v>1208</v>
      </c>
      <c r="Z6" s="4642"/>
      <c r="AA6" s="955"/>
      <c r="AB6" s="955"/>
      <c r="AC6" s="955"/>
      <c r="AD6" s="963"/>
      <c r="AE6" s="872"/>
      <c r="AF6" s="804"/>
      <c r="AG6" s="4611" t="s">
        <v>1265</v>
      </c>
      <c r="AH6" s="4611"/>
      <c r="AI6" s="4611"/>
      <c r="AJ6" s="4611"/>
      <c r="AK6" s="4611"/>
      <c r="AL6" s="1950"/>
      <c r="AM6" s="796"/>
    </row>
    <row r="7" spans="1:39" ht="6" customHeight="1">
      <c r="A7" s="788"/>
      <c r="B7" s="819"/>
      <c r="C7" s="884"/>
      <c r="D7" s="2267"/>
      <c r="E7" s="661"/>
      <c r="F7" s="661"/>
      <c r="G7" s="661"/>
      <c r="H7" s="661"/>
      <c r="I7" s="661"/>
      <c r="J7" s="661"/>
      <c r="K7" s="661"/>
      <c r="L7" s="661"/>
      <c r="M7" s="661"/>
      <c r="N7" s="661"/>
      <c r="O7" s="661"/>
      <c r="P7" s="661"/>
      <c r="Q7" s="661"/>
      <c r="R7" s="661"/>
      <c r="S7" s="661"/>
      <c r="T7" s="661"/>
      <c r="U7" s="661"/>
      <c r="V7" s="661"/>
      <c r="W7" s="661"/>
      <c r="X7" s="661"/>
      <c r="Y7" s="661"/>
      <c r="Z7" s="661"/>
      <c r="AA7" s="661"/>
      <c r="AB7" s="661"/>
      <c r="AC7" s="661"/>
      <c r="AD7" s="873"/>
      <c r="AE7" s="872"/>
      <c r="AF7" s="804"/>
      <c r="AG7" s="4611"/>
      <c r="AH7" s="4611"/>
      <c r="AI7" s="4611"/>
      <c r="AJ7" s="4611"/>
      <c r="AK7" s="4611"/>
      <c r="AL7" s="1950"/>
      <c r="AM7" s="796"/>
    </row>
    <row r="8" spans="1:39" ht="24.75" customHeight="1">
      <c r="A8" s="788"/>
      <c r="B8" s="819"/>
      <c r="C8" s="884"/>
      <c r="D8" s="2269" t="s">
        <v>170</v>
      </c>
      <c r="E8" s="4238" t="s">
        <v>163</v>
      </c>
      <c r="F8" s="4239"/>
      <c r="G8" s="4240" t="s">
        <v>162</v>
      </c>
      <c r="H8" s="4241"/>
      <c r="I8" s="4238" t="s">
        <v>161</v>
      </c>
      <c r="J8" s="4239"/>
      <c r="K8" s="4240" t="s">
        <v>160</v>
      </c>
      <c r="L8" s="4241"/>
      <c r="M8" s="4238" t="s">
        <v>159</v>
      </c>
      <c r="N8" s="4239"/>
      <c r="O8" s="4240" t="s">
        <v>158</v>
      </c>
      <c r="P8" s="4241"/>
      <c r="Q8" s="4238" t="s">
        <v>157</v>
      </c>
      <c r="R8" s="4239"/>
      <c r="S8" s="4240" t="s">
        <v>156</v>
      </c>
      <c r="T8" s="4241"/>
      <c r="U8" s="4238" t="s">
        <v>155</v>
      </c>
      <c r="V8" s="4239"/>
      <c r="W8" s="4240" t="s">
        <v>154</v>
      </c>
      <c r="X8" s="4241"/>
      <c r="Y8" s="4238" t="s">
        <v>153</v>
      </c>
      <c r="Z8" s="4239"/>
      <c r="AA8" s="4645" t="s">
        <v>28</v>
      </c>
      <c r="AB8" s="4646"/>
      <c r="AC8" s="661"/>
      <c r="AD8" s="873"/>
      <c r="AE8" s="872"/>
      <c r="AF8" s="804"/>
      <c r="AG8" s="2760"/>
      <c r="AH8" s="2760"/>
      <c r="AI8" s="2760"/>
      <c r="AJ8" s="2760"/>
      <c r="AK8" s="2760"/>
      <c r="AL8" s="1950"/>
      <c r="AM8" s="796"/>
    </row>
    <row r="9" spans="1:39" ht="14.1" customHeight="1">
      <c r="A9" s="788"/>
      <c r="B9" s="819"/>
      <c r="C9" s="884"/>
      <c r="D9" s="1328" t="s">
        <v>169</v>
      </c>
      <c r="E9" s="642" t="s">
        <v>20</v>
      </c>
      <c r="F9" s="643" t="s">
        <v>672</v>
      </c>
      <c r="G9" s="1324" t="s">
        <v>20</v>
      </c>
      <c r="H9" s="1325" t="s">
        <v>29</v>
      </c>
      <c r="I9" s="642" t="s">
        <v>20</v>
      </c>
      <c r="J9" s="643" t="s">
        <v>29</v>
      </c>
      <c r="K9" s="1324" t="s">
        <v>20</v>
      </c>
      <c r="L9" s="1325" t="s">
        <v>29</v>
      </c>
      <c r="M9" s="642" t="s">
        <v>20</v>
      </c>
      <c r="N9" s="643" t="s">
        <v>29</v>
      </c>
      <c r="O9" s="1324" t="s">
        <v>20</v>
      </c>
      <c r="P9" s="1325" t="s">
        <v>29</v>
      </c>
      <c r="Q9" s="642" t="s">
        <v>20</v>
      </c>
      <c r="R9" s="643" t="s">
        <v>29</v>
      </c>
      <c r="S9" s="1324" t="s">
        <v>20</v>
      </c>
      <c r="T9" s="1325" t="s">
        <v>29</v>
      </c>
      <c r="U9" s="642" t="s">
        <v>20</v>
      </c>
      <c r="V9" s="643" t="s">
        <v>29</v>
      </c>
      <c r="W9" s="1324" t="s">
        <v>20</v>
      </c>
      <c r="X9" s="1325" t="s">
        <v>29</v>
      </c>
      <c r="Y9" s="642" t="s">
        <v>20</v>
      </c>
      <c r="Z9" s="643" t="s">
        <v>29</v>
      </c>
      <c r="AA9" s="964" t="s">
        <v>20</v>
      </c>
      <c r="AB9" s="990" t="s">
        <v>29</v>
      </c>
      <c r="AC9" s="661"/>
      <c r="AD9" s="873"/>
      <c r="AE9" s="872"/>
      <c r="AF9" s="804"/>
      <c r="AG9" s="2538" t="s">
        <v>145</v>
      </c>
      <c r="AH9" s="1032"/>
      <c r="AI9" s="2776" t="s">
        <v>20</v>
      </c>
      <c r="AJ9" s="2777" t="s">
        <v>29</v>
      </c>
      <c r="AK9" s="1032"/>
      <c r="AL9" s="1950"/>
      <c r="AM9" s="796"/>
    </row>
    <row r="10" spans="1:39" ht="14.1" customHeight="1">
      <c r="A10" s="788"/>
      <c r="B10" s="819"/>
      <c r="C10" s="884"/>
      <c r="D10" s="655" t="s">
        <v>47</v>
      </c>
      <c r="E10" s="1281">
        <f>'الصفحة 15'!$E$27</f>
        <v>3</v>
      </c>
      <c r="F10" s="1282">
        <f>'الصفحة 15'!$E$28</f>
        <v>2</v>
      </c>
      <c r="G10" s="1281">
        <f>'الصفحة 15'!$F$27</f>
        <v>1</v>
      </c>
      <c r="H10" s="1282">
        <f>'الصفحة 15'!$F$28</f>
        <v>1</v>
      </c>
      <c r="I10" s="1281">
        <f>'الصفحة 15'!$G$27</f>
        <v>1</v>
      </c>
      <c r="J10" s="1282">
        <f>'الصفحة 15'!$G$28</f>
        <v>1</v>
      </c>
      <c r="K10" s="1281">
        <f>'الصفحة 15'!$H$27</f>
        <v>0</v>
      </c>
      <c r="L10" s="1282">
        <f>'الصفحة 15'!$H$28</f>
        <v>0</v>
      </c>
      <c r="M10" s="1281">
        <f>'الصفحة 15'!$I$27</f>
        <v>0</v>
      </c>
      <c r="N10" s="1282">
        <f>'الصفحة 15'!$I$28</f>
        <v>0</v>
      </c>
      <c r="O10" s="1281">
        <f>'الصفحة 15'!$J$27</f>
        <v>0</v>
      </c>
      <c r="P10" s="1282">
        <f>'الصفحة 15'!$J$28</f>
        <v>0</v>
      </c>
      <c r="Q10" s="1281">
        <f>'الصفحة 15'!$K$27</f>
        <v>0</v>
      </c>
      <c r="R10" s="1282">
        <f>'الصفحة 15'!$K$28</f>
        <v>0</v>
      </c>
      <c r="S10" s="1281">
        <f>'الصفحة 15'!$L$27</f>
        <v>0</v>
      </c>
      <c r="T10" s="1282">
        <f>'الصفحة 15'!$L$28</f>
        <v>0</v>
      </c>
      <c r="U10" s="1281">
        <f>'الصفحة 15'!$M$27</f>
        <v>0</v>
      </c>
      <c r="V10" s="1282">
        <f>'الصفحة 15'!$M$28</f>
        <v>0</v>
      </c>
      <c r="W10" s="1281">
        <f>'الصفحة 15'!$N$27</f>
        <v>0</v>
      </c>
      <c r="X10" s="1282">
        <f>'الصفحة 15'!$N$28</f>
        <v>0</v>
      </c>
      <c r="Y10" s="1281">
        <f>'الصفحة 15'!$O$27</f>
        <v>0</v>
      </c>
      <c r="Z10" s="1282">
        <f>'الصفحة 15'!$O$28</f>
        <v>0</v>
      </c>
      <c r="AA10" s="766">
        <f>E10+G10+I10+K10+M10+O10+Q10+S10+U10+W10+Y10</f>
        <v>5</v>
      </c>
      <c r="AB10" s="767">
        <f t="shared" ref="AB10:AB20" si="0">F10+H10+J10+L10+N10+P10+R10+T10+V10+X10+Z10</f>
        <v>4</v>
      </c>
      <c r="AC10" s="1388" t="str">
        <f>IF(('الصفحة 1'!$Q$14&gt;0),IF((AA10&gt;0),IF(((AA10)&lt;&gt;('الصفحة 27'!G46+'الصفحة 27'!I46)),"خطء",""),""),"")</f>
        <v/>
      </c>
      <c r="AD10" s="873"/>
      <c r="AE10" s="872"/>
      <c r="AF10" s="804"/>
      <c r="AG10" s="2753" t="s">
        <v>47</v>
      </c>
      <c r="AH10" s="1032"/>
      <c r="AI10" s="2778" t="str">
        <f>IF(('الصفحة 27'!G46+'الصفحة 27'!I46)-AA10&lt;&gt;0,"خطأ"," ")</f>
        <v xml:space="preserve"> </v>
      </c>
      <c r="AJ10" s="2779" t="str">
        <f>IF(('الصفحة 27'!H46+'الصفحة 27'!J46)-AB10&lt;&gt;0,"خطأ"," ")</f>
        <v xml:space="preserve"> </v>
      </c>
      <c r="AK10" s="1032"/>
      <c r="AL10" s="1950"/>
      <c r="AM10" s="796"/>
    </row>
    <row r="11" spans="1:39" ht="14.1" customHeight="1">
      <c r="A11" s="788"/>
      <c r="B11" s="819"/>
      <c r="C11" s="884"/>
      <c r="D11" s="1329" t="s">
        <v>46</v>
      </c>
      <c r="E11" s="1283">
        <f>'الصفحة 16'!$E$27</f>
        <v>0</v>
      </c>
      <c r="F11" s="1284">
        <f>'الصفحة 16'!$E$28</f>
        <v>0</v>
      </c>
      <c r="G11" s="1283">
        <f>'الصفحة 16'!$F$27</f>
        <v>0</v>
      </c>
      <c r="H11" s="1284">
        <f>'الصفحة 16'!$F$28</f>
        <v>0</v>
      </c>
      <c r="I11" s="1283">
        <f>'الصفحة 16'!$G$27</f>
        <v>0</v>
      </c>
      <c r="J11" s="1284">
        <f>'الصفحة 16'!$G$28</f>
        <v>0</v>
      </c>
      <c r="K11" s="1283">
        <f>'الصفحة 16'!$H$27</f>
        <v>0</v>
      </c>
      <c r="L11" s="1284">
        <f>'الصفحة 16'!$H$28</f>
        <v>0</v>
      </c>
      <c r="M11" s="1283">
        <f>'الصفحة 16'!$I$27</f>
        <v>0</v>
      </c>
      <c r="N11" s="1284">
        <f>'الصفحة 16'!$I$28</f>
        <v>0</v>
      </c>
      <c r="O11" s="1283">
        <f>'الصفحة 16'!$J$27</f>
        <v>0</v>
      </c>
      <c r="P11" s="1284">
        <f>'الصفحة 16'!$J$28</f>
        <v>0</v>
      </c>
      <c r="Q11" s="1283">
        <f>'الصفحة 16'!$K$27</f>
        <v>0</v>
      </c>
      <c r="R11" s="1284">
        <f>'الصفحة 16'!$K$28</f>
        <v>0</v>
      </c>
      <c r="S11" s="1283">
        <f>'الصفحة 16'!$L$27</f>
        <v>0</v>
      </c>
      <c r="T11" s="1284">
        <f>'الصفحة 16'!$L$28</f>
        <v>0</v>
      </c>
      <c r="U11" s="1283">
        <f>'الصفحة 16'!$M$27</f>
        <v>0</v>
      </c>
      <c r="V11" s="1284">
        <f>'الصفحة 16'!$M$28</f>
        <v>0</v>
      </c>
      <c r="W11" s="1283">
        <f>'الصفحة 16'!$N$27</f>
        <v>0</v>
      </c>
      <c r="X11" s="1284">
        <f>'الصفحة 16'!$N$28</f>
        <v>0</v>
      </c>
      <c r="Y11" s="1283">
        <f>'الصفحة 16'!$O$27</f>
        <v>0</v>
      </c>
      <c r="Z11" s="1284">
        <f>'الصفحة 16'!$O$28</f>
        <v>0</v>
      </c>
      <c r="AA11" s="768">
        <f t="shared" ref="AA11:AA20" si="1">E11+G11+I11+K11+M11+O11+Q11+S11+U11+W11+Y11</f>
        <v>0</v>
      </c>
      <c r="AB11" s="769">
        <f t="shared" si="0"/>
        <v>0</v>
      </c>
      <c r="AC11" s="1388" t="str">
        <f>IF(('الصفحة 1'!$Q$14&gt;0),IF((AA11&gt;0),IF(((AA11)&lt;&gt;('الصفحة 27'!G47+'الصفحة 27'!I47)),"خطء",""),""),"")</f>
        <v/>
      </c>
      <c r="AD11" s="873"/>
      <c r="AE11" s="872"/>
      <c r="AF11" s="804"/>
      <c r="AG11" s="2754" t="s">
        <v>46</v>
      </c>
      <c r="AH11" s="1032"/>
      <c r="AI11" s="2780" t="str">
        <f>IF(('الصفحة 27'!G47+'الصفحة 27'!I47)-AA11&lt;&gt;0,"خطأ"," ")</f>
        <v xml:space="preserve"> </v>
      </c>
      <c r="AJ11" s="2781" t="str">
        <f>IF(('الصفحة 27'!H47+'الصفحة 27'!J47)-AB11&lt;&gt;0,"خطأ"," ")</f>
        <v xml:space="preserve"> </v>
      </c>
      <c r="AK11" s="1032"/>
      <c r="AL11" s="1950"/>
      <c r="AM11" s="796"/>
    </row>
    <row r="12" spans="1:39" ht="14.1" customHeight="1">
      <c r="A12" s="788"/>
      <c r="B12" s="819"/>
      <c r="C12" s="884"/>
      <c r="D12" s="655" t="s">
        <v>45</v>
      </c>
      <c r="E12" s="1283">
        <f>'الصفحة 17'!$E$27</f>
        <v>0</v>
      </c>
      <c r="F12" s="1284">
        <f>'الصفحة 17'!$E$28</f>
        <v>0</v>
      </c>
      <c r="G12" s="1283">
        <f>'الصفحة 17'!$F$27</f>
        <v>0</v>
      </c>
      <c r="H12" s="1284">
        <f>'الصفحة 17'!$F$28</f>
        <v>0</v>
      </c>
      <c r="I12" s="1283">
        <f>'الصفحة 17'!$G$27</f>
        <v>0</v>
      </c>
      <c r="J12" s="1284">
        <f>'الصفحة 17'!$G$28</f>
        <v>0</v>
      </c>
      <c r="K12" s="1283">
        <f>'الصفحة 17'!$H$27</f>
        <v>2</v>
      </c>
      <c r="L12" s="1284">
        <f>'الصفحة 17'!$H$28</f>
        <v>1</v>
      </c>
      <c r="M12" s="1283">
        <f>'الصفحة 17'!$I$27</f>
        <v>1</v>
      </c>
      <c r="N12" s="1284">
        <f>'الصفحة 17'!$I$28</f>
        <v>1</v>
      </c>
      <c r="O12" s="1283">
        <f>'الصفحة 17'!$J$27</f>
        <v>0</v>
      </c>
      <c r="P12" s="1284">
        <f>'الصفحة 17'!$J$28</f>
        <v>0</v>
      </c>
      <c r="Q12" s="1283">
        <f>'الصفحة 17'!$K$27</f>
        <v>0</v>
      </c>
      <c r="R12" s="1284">
        <f>'الصفحة 17'!$K$28</f>
        <v>0</v>
      </c>
      <c r="S12" s="1283">
        <f>'الصفحة 17'!$L$27</f>
        <v>0</v>
      </c>
      <c r="T12" s="1284">
        <f>'الصفحة 17'!$L$28</f>
        <v>0</v>
      </c>
      <c r="U12" s="1283">
        <f>'الصفحة 17'!$M$27</f>
        <v>0</v>
      </c>
      <c r="V12" s="1284">
        <f>'الصفحة 17'!$M$28</f>
        <v>0</v>
      </c>
      <c r="W12" s="1283">
        <f>'الصفحة 17'!$N$27</f>
        <v>0</v>
      </c>
      <c r="X12" s="1284">
        <f>'الصفحة 17'!$N$28</f>
        <v>0</v>
      </c>
      <c r="Y12" s="1283">
        <f>'الصفحة 17'!$O$27</f>
        <v>0</v>
      </c>
      <c r="Z12" s="1284">
        <f>'الصفحة 17'!$O$28</f>
        <v>0</v>
      </c>
      <c r="AA12" s="768">
        <f t="shared" si="1"/>
        <v>3</v>
      </c>
      <c r="AB12" s="769">
        <f t="shared" si="0"/>
        <v>2</v>
      </c>
      <c r="AC12" s="1388" t="str">
        <f>IF(('الصفحة 1'!$Q$14&gt;0),IF((AA12&gt;0),IF(((AA12)&lt;&gt;('الصفحة 27'!G48+'الصفحة 27'!I48)),"خطء",""),""),"")</f>
        <v/>
      </c>
      <c r="AD12" s="873"/>
      <c r="AE12" s="872"/>
      <c r="AF12" s="804"/>
      <c r="AG12" s="2753" t="s">
        <v>45</v>
      </c>
      <c r="AH12" s="1032"/>
      <c r="AI12" s="2782" t="str">
        <f>IF(('الصفحة 27'!G48+'الصفحة 27'!I48)-AA12&lt;&gt;0,"خطأ"," ")</f>
        <v xml:space="preserve"> </v>
      </c>
      <c r="AJ12" s="2783" t="str">
        <f>IF(('الصفحة 27'!H48+'الصفحة 27'!J48)-AB12&lt;&gt;0,"خطأ"," ")</f>
        <v xml:space="preserve"> </v>
      </c>
      <c r="AK12" s="1032"/>
      <c r="AL12" s="1950"/>
      <c r="AM12" s="796"/>
    </row>
    <row r="13" spans="1:39" ht="14.1" customHeight="1">
      <c r="A13" s="788"/>
      <c r="B13" s="819"/>
      <c r="C13" s="884"/>
      <c r="D13" s="1329" t="s">
        <v>44</v>
      </c>
      <c r="E13" s="1283">
        <f>'الصفحة 18'!$E$27</f>
        <v>1</v>
      </c>
      <c r="F13" s="1284">
        <f>'الصفحة 18'!$E$28</f>
        <v>1</v>
      </c>
      <c r="G13" s="1283">
        <f>'الصفحة 18'!$F$27</f>
        <v>0</v>
      </c>
      <c r="H13" s="1284">
        <f>'الصفحة 18'!$F$28</f>
        <v>0</v>
      </c>
      <c r="I13" s="1283">
        <f>'الصفحة 18'!$G$27</f>
        <v>0</v>
      </c>
      <c r="J13" s="1284">
        <f>'الصفحة 18'!$G$28</f>
        <v>0</v>
      </c>
      <c r="K13" s="1283">
        <f>'الصفحة 18'!$H$27</f>
        <v>2</v>
      </c>
      <c r="L13" s="1284">
        <f>'الصفحة 18'!$H$28</f>
        <v>2</v>
      </c>
      <c r="M13" s="1283">
        <f>'الصفحة 18'!$I$27</f>
        <v>1</v>
      </c>
      <c r="N13" s="1284">
        <f>'الصفحة 18'!$I$28</f>
        <v>1</v>
      </c>
      <c r="O13" s="1283">
        <f>'الصفحة 18'!$J$27</f>
        <v>0</v>
      </c>
      <c r="P13" s="1284">
        <f>'الصفحة 18'!$J$28</f>
        <v>0</v>
      </c>
      <c r="Q13" s="1283">
        <f>'الصفحة 18'!$K$27</f>
        <v>0</v>
      </c>
      <c r="R13" s="1284">
        <f>'الصفحة 18'!$K$28</f>
        <v>0</v>
      </c>
      <c r="S13" s="1283">
        <f>'الصفحة 18'!$L$27</f>
        <v>0</v>
      </c>
      <c r="T13" s="1284">
        <f>'الصفحة 18'!$L$28</f>
        <v>0</v>
      </c>
      <c r="U13" s="1283">
        <f>'الصفحة 18'!$M$27</f>
        <v>0</v>
      </c>
      <c r="V13" s="1284">
        <f>'الصفحة 18'!$M$28</f>
        <v>0</v>
      </c>
      <c r="W13" s="1283">
        <f>'الصفحة 18'!$N$27</f>
        <v>0</v>
      </c>
      <c r="X13" s="1284">
        <f>'الصفحة 18'!$N$28</f>
        <v>0</v>
      </c>
      <c r="Y13" s="1283">
        <f>'الصفحة 18'!$O$27</f>
        <v>0</v>
      </c>
      <c r="Z13" s="1284">
        <f>'الصفحة 18'!$O$28</f>
        <v>0</v>
      </c>
      <c r="AA13" s="768">
        <f t="shared" si="1"/>
        <v>4</v>
      </c>
      <c r="AB13" s="769">
        <f t="shared" si="0"/>
        <v>4</v>
      </c>
      <c r="AC13" s="1388" t="str">
        <f>IF(('الصفحة 1'!$Q$14&gt;0),IF((AA13&gt;0),IF(((AA13)&lt;&gt;('الصفحة 27'!G49+'الصفحة 27'!I49)),"خطء",""),""),"")</f>
        <v/>
      </c>
      <c r="AD13" s="873"/>
      <c r="AE13" s="872"/>
      <c r="AF13" s="804"/>
      <c r="AG13" s="2754" t="s">
        <v>44</v>
      </c>
      <c r="AH13" s="1032"/>
      <c r="AI13" s="2780" t="str">
        <f>IF(('الصفحة 27'!G49+'الصفحة 27'!I49)-AA13&lt;&gt;0,"خطأ"," ")</f>
        <v xml:space="preserve"> </v>
      </c>
      <c r="AJ13" s="2781" t="str">
        <f>IF(('الصفحة 27'!H49+'الصفحة 27'!J49)-AB13&lt;&gt;0,"خطأ"," ")</f>
        <v xml:space="preserve"> </v>
      </c>
      <c r="AK13" s="1032"/>
      <c r="AL13" s="1950"/>
      <c r="AM13" s="796"/>
    </row>
    <row r="14" spans="1:39" ht="14.1" customHeight="1">
      <c r="A14" s="788"/>
      <c r="B14" s="819"/>
      <c r="C14" s="884"/>
      <c r="D14" s="655" t="s">
        <v>43</v>
      </c>
      <c r="E14" s="1283">
        <f>'الصفحة 19'!$E$27</f>
        <v>3</v>
      </c>
      <c r="F14" s="1284">
        <f>'الصفحة 19'!$E$28</f>
        <v>2</v>
      </c>
      <c r="G14" s="1283">
        <f>'الصفحة 19'!$F$27</f>
        <v>0</v>
      </c>
      <c r="H14" s="1284">
        <f>'الصفحة 19'!$F$28</f>
        <v>0</v>
      </c>
      <c r="I14" s="1283">
        <f>'الصفحة 19'!$G$27</f>
        <v>0</v>
      </c>
      <c r="J14" s="1284">
        <f>'الصفحة 19'!$G$28</f>
        <v>0</v>
      </c>
      <c r="K14" s="1283">
        <f>'الصفحة 19'!$H$27</f>
        <v>0</v>
      </c>
      <c r="L14" s="1284">
        <f>'الصفحة 19'!$H$28</f>
        <v>0</v>
      </c>
      <c r="M14" s="1283">
        <f>'الصفحة 19'!$I$27</f>
        <v>0</v>
      </c>
      <c r="N14" s="1284">
        <f>'الصفحة 19'!$I$28</f>
        <v>0</v>
      </c>
      <c r="O14" s="1283">
        <f>'الصفحة 19'!$J$27</f>
        <v>0</v>
      </c>
      <c r="P14" s="1284">
        <f>'الصفحة 19'!$J$28</f>
        <v>0</v>
      </c>
      <c r="Q14" s="1283">
        <f>'الصفحة 19'!$K$27</f>
        <v>0</v>
      </c>
      <c r="R14" s="1284">
        <f>'الصفحة 19'!$K$28</f>
        <v>0</v>
      </c>
      <c r="S14" s="1283">
        <f>'الصفحة 19'!$L$27</f>
        <v>0</v>
      </c>
      <c r="T14" s="1284">
        <f>'الصفحة 19'!$L$28</f>
        <v>0</v>
      </c>
      <c r="U14" s="1283">
        <f>'الصفحة 19'!$M$27</f>
        <v>0</v>
      </c>
      <c r="V14" s="1284">
        <f>'الصفحة 19'!$M$28</f>
        <v>0</v>
      </c>
      <c r="W14" s="1283">
        <f>'الصفحة 19'!$N$27</f>
        <v>0</v>
      </c>
      <c r="X14" s="1284">
        <f>'الصفحة 19'!$N$28</f>
        <v>0</v>
      </c>
      <c r="Y14" s="1283">
        <f>'الصفحة 19'!$O$27</f>
        <v>0</v>
      </c>
      <c r="Z14" s="1284">
        <f>'الصفحة 19'!$O$28</f>
        <v>0</v>
      </c>
      <c r="AA14" s="768">
        <f t="shared" si="1"/>
        <v>3</v>
      </c>
      <c r="AB14" s="769">
        <f t="shared" si="0"/>
        <v>2</v>
      </c>
      <c r="AC14" s="1388" t="str">
        <f>IF(('الصفحة 1'!$Q$14&gt;0),IF((AA14&gt;0),IF(((AA14)&lt;&gt;('الصفحة 27'!G50+'الصفحة 27'!I50)),"خطء",""),""),"")</f>
        <v/>
      </c>
      <c r="AD14" s="873"/>
      <c r="AE14" s="872"/>
      <c r="AF14" s="804"/>
      <c r="AG14" s="2753" t="s">
        <v>43</v>
      </c>
      <c r="AH14" s="1032"/>
      <c r="AI14" s="2782" t="str">
        <f>IF(('الصفحة 27'!G50+'الصفحة 27'!I50)-AA14&lt;&gt;0,"خطأ"," ")</f>
        <v xml:space="preserve"> </v>
      </c>
      <c r="AJ14" s="2783" t="str">
        <f>IF(('الصفحة 27'!H50+'الصفحة 27'!J50)-AB14&lt;&gt;0,"خطأ"," ")</f>
        <v xml:space="preserve"> </v>
      </c>
      <c r="AK14" s="1032"/>
      <c r="AL14" s="1950"/>
      <c r="AM14" s="796"/>
    </row>
    <row r="15" spans="1:39" ht="14.1" customHeight="1">
      <c r="A15" s="788"/>
      <c r="B15" s="819"/>
      <c r="C15" s="884"/>
      <c r="D15" s="1330" t="s">
        <v>42</v>
      </c>
      <c r="E15" s="1283">
        <f>'الصفحة 20'!$E$27</f>
        <v>2</v>
      </c>
      <c r="F15" s="1284">
        <f>'الصفحة 20'!$E$28</f>
        <v>2</v>
      </c>
      <c r="G15" s="1283">
        <f>'الصفحة 20'!$F$27</f>
        <v>1</v>
      </c>
      <c r="H15" s="1284">
        <f>'الصفحة 20'!$F$28</f>
        <v>1</v>
      </c>
      <c r="I15" s="1283">
        <f>'الصفحة 20'!$G$27</f>
        <v>0</v>
      </c>
      <c r="J15" s="1284">
        <f>'الصفحة 20'!$G$28</f>
        <v>0</v>
      </c>
      <c r="K15" s="1283">
        <f>'الصفحة 20'!$H$27</f>
        <v>0</v>
      </c>
      <c r="L15" s="1284">
        <f>'الصفحة 20'!$H$28</f>
        <v>0</v>
      </c>
      <c r="M15" s="1283">
        <f>'الصفحة 20'!$I$27</f>
        <v>1</v>
      </c>
      <c r="N15" s="1284">
        <f>'الصفحة 20'!$I$28</f>
        <v>0</v>
      </c>
      <c r="O15" s="1283">
        <f>'الصفحة 20'!$J$27</f>
        <v>0</v>
      </c>
      <c r="P15" s="1284">
        <f>'الصفحة 20'!$J$28</f>
        <v>0</v>
      </c>
      <c r="Q15" s="1283">
        <f>'الصفحة 20'!$K$27</f>
        <v>1</v>
      </c>
      <c r="R15" s="1284">
        <f>'الصفحة 20'!$K$28</f>
        <v>0</v>
      </c>
      <c r="S15" s="1283">
        <f>'الصفحة 20'!$L$27</f>
        <v>0</v>
      </c>
      <c r="T15" s="1284">
        <f>'الصفحة 20'!$L$28</f>
        <v>0</v>
      </c>
      <c r="U15" s="1283">
        <f>'الصفحة 20'!$M$27</f>
        <v>0</v>
      </c>
      <c r="V15" s="1284">
        <f>'الصفحة 20'!$M$28</f>
        <v>0</v>
      </c>
      <c r="W15" s="1283">
        <f>'الصفحة 20'!$N$27</f>
        <v>0</v>
      </c>
      <c r="X15" s="1284">
        <f>'الصفحة 20'!$N$28</f>
        <v>0</v>
      </c>
      <c r="Y15" s="1283">
        <f>'الصفحة 20'!$O$27</f>
        <v>0</v>
      </c>
      <c r="Z15" s="1284">
        <f>'الصفحة 20'!$O$28</f>
        <v>0</v>
      </c>
      <c r="AA15" s="768">
        <f t="shared" si="1"/>
        <v>5</v>
      </c>
      <c r="AB15" s="769">
        <f t="shared" si="0"/>
        <v>3</v>
      </c>
      <c r="AC15" s="1388" t="str">
        <f>IF(('الصفحة 1'!$Q$14&gt;0),IF((AA15&gt;0),IF(((AA15)&lt;&gt;('الصفحة 27'!G51+'الصفحة 27'!I51)),"خطء",""),""),"")</f>
        <v/>
      </c>
      <c r="AD15" s="873"/>
      <c r="AE15" s="872"/>
      <c r="AF15" s="804"/>
      <c r="AG15" s="2755" t="s">
        <v>42</v>
      </c>
      <c r="AH15" s="1032"/>
      <c r="AI15" s="2780" t="str">
        <f>IF(('الصفحة 27'!G51+'الصفحة 27'!I51)-AA15&lt;&gt;0,"خطأ"," ")</f>
        <v xml:space="preserve"> </v>
      </c>
      <c r="AJ15" s="2781" t="str">
        <f>IF(('الصفحة 27'!H51+'الصفحة 27'!J51)-AB15&lt;&gt;0,"خطأ"," ")</f>
        <v xml:space="preserve"> </v>
      </c>
      <c r="AK15" s="1032"/>
      <c r="AL15" s="1950"/>
      <c r="AM15" s="796"/>
    </row>
    <row r="16" spans="1:39" ht="14.1" customHeight="1">
      <c r="A16" s="788"/>
      <c r="B16" s="819"/>
      <c r="C16" s="884"/>
      <c r="D16" s="655" t="s">
        <v>1210</v>
      </c>
      <c r="E16" s="1283">
        <f>'الصفحة 21'!$E$27</f>
        <v>1</v>
      </c>
      <c r="F16" s="1284">
        <f>'الصفحة 21'!$E$28</f>
        <v>1</v>
      </c>
      <c r="G16" s="1283">
        <f>'الصفحة 21'!$F$27</f>
        <v>0</v>
      </c>
      <c r="H16" s="1284">
        <f>'الصفحة 21'!$F$28</f>
        <v>0</v>
      </c>
      <c r="I16" s="1283">
        <f>'الصفحة 21'!$G$27</f>
        <v>1</v>
      </c>
      <c r="J16" s="1284">
        <f>'الصفحة 21'!$G$28</f>
        <v>0</v>
      </c>
      <c r="K16" s="1283">
        <f>'الصفحة 21'!$H$27</f>
        <v>0</v>
      </c>
      <c r="L16" s="1284">
        <f>'الصفحة 21'!$H$28</f>
        <v>0</v>
      </c>
      <c r="M16" s="1283">
        <f>'الصفحة 21'!$I$27</f>
        <v>0</v>
      </c>
      <c r="N16" s="1284">
        <f>'الصفحة 21'!$I$28</f>
        <v>0</v>
      </c>
      <c r="O16" s="1283">
        <f>'الصفحة 21'!$J$27</f>
        <v>1</v>
      </c>
      <c r="P16" s="1284">
        <f>'الصفحة 21'!$J$28</f>
        <v>1</v>
      </c>
      <c r="Q16" s="1283">
        <f>'الصفحة 21'!$K$27</f>
        <v>0</v>
      </c>
      <c r="R16" s="1284">
        <f>'الصفحة 21'!$K$28</f>
        <v>0</v>
      </c>
      <c r="S16" s="1283">
        <f>'الصفحة 21'!$L$27</f>
        <v>0</v>
      </c>
      <c r="T16" s="1284">
        <f>'الصفحة 21'!$L$28</f>
        <v>0</v>
      </c>
      <c r="U16" s="1283">
        <f>'الصفحة 21'!$M$27</f>
        <v>0</v>
      </c>
      <c r="V16" s="1284">
        <f>'الصفحة 21'!$M$28</f>
        <v>0</v>
      </c>
      <c r="W16" s="1283">
        <f>'الصفحة 21'!$N$27</f>
        <v>0</v>
      </c>
      <c r="X16" s="1284">
        <f>'الصفحة 21'!$N$28</f>
        <v>0</v>
      </c>
      <c r="Y16" s="1283">
        <f>'الصفحة 21'!$O$27</f>
        <v>0</v>
      </c>
      <c r="Z16" s="1284">
        <f>'الصفحة 21'!$O$28</f>
        <v>0</v>
      </c>
      <c r="AA16" s="768">
        <f t="shared" si="1"/>
        <v>3</v>
      </c>
      <c r="AB16" s="769">
        <f t="shared" si="0"/>
        <v>2</v>
      </c>
      <c r="AC16" s="1388" t="str">
        <f>IF(('الصفحة 1'!$Q$14&gt;0),IF((AA16&gt;0),IF(((AA16)&lt;&gt;('الصفحة 27'!G52+'الصفحة 27'!I52)),"خطء",""),""),"")</f>
        <v/>
      </c>
      <c r="AD16" s="873"/>
      <c r="AE16" s="872"/>
      <c r="AF16" s="804"/>
      <c r="AG16" s="2753" t="s">
        <v>1111</v>
      </c>
      <c r="AH16" s="1032"/>
      <c r="AI16" s="2782" t="str">
        <f>IF(('الصفحة 27'!G52+'الصفحة 27'!I52)-AA16&lt;&gt;0,"خطأ"," ")</f>
        <v xml:space="preserve"> </v>
      </c>
      <c r="AJ16" s="2783" t="str">
        <f>IF(('الصفحة 27'!H52+'الصفحة 27'!J52)-AB16&lt;&gt;0,"خطأ"," ")</f>
        <v xml:space="preserve"> </v>
      </c>
      <c r="AK16" s="1032"/>
      <c r="AL16" s="1950"/>
      <c r="AM16" s="796"/>
    </row>
    <row r="17" spans="1:39" ht="14.1" customHeight="1">
      <c r="A17" s="788"/>
      <c r="B17" s="819"/>
      <c r="C17" s="884"/>
      <c r="D17" s="1330" t="s">
        <v>40</v>
      </c>
      <c r="E17" s="1283">
        <f>'الصفحة 22'!$E$27</f>
        <v>0</v>
      </c>
      <c r="F17" s="1284">
        <f>'الصفحة 22'!$E$28</f>
        <v>0</v>
      </c>
      <c r="G17" s="1283">
        <f>'الصفحة 22'!$F$27</f>
        <v>0</v>
      </c>
      <c r="H17" s="1284">
        <f>'الصفحة 22'!$F$28</f>
        <v>0</v>
      </c>
      <c r="I17" s="1283">
        <f>'الصفحة 22'!$G$27</f>
        <v>0</v>
      </c>
      <c r="J17" s="1284">
        <f>'الصفحة 22'!$G$28</f>
        <v>0</v>
      </c>
      <c r="K17" s="1283">
        <f>'الصفحة 22'!$H$27</f>
        <v>0</v>
      </c>
      <c r="L17" s="1284">
        <f>'الصفحة 22'!$H$28</f>
        <v>0</v>
      </c>
      <c r="M17" s="1283">
        <f>'الصفحة 22'!$I$27</f>
        <v>1</v>
      </c>
      <c r="N17" s="1284">
        <f>'الصفحة 22'!$I$28</f>
        <v>1</v>
      </c>
      <c r="O17" s="1283">
        <f>'الصفحة 22'!$J$27</f>
        <v>0</v>
      </c>
      <c r="P17" s="1284">
        <f>'الصفحة 22'!$J$28</f>
        <v>0</v>
      </c>
      <c r="Q17" s="1283">
        <f>'الصفحة 22'!$K$27</f>
        <v>0</v>
      </c>
      <c r="R17" s="1284">
        <f>'الصفحة 22'!$K$28</f>
        <v>0</v>
      </c>
      <c r="S17" s="1283">
        <f>'الصفحة 22'!$L$27</f>
        <v>1</v>
      </c>
      <c r="T17" s="1284">
        <f>'الصفحة 22'!$L$28</f>
        <v>1</v>
      </c>
      <c r="U17" s="1283">
        <f>'الصفحة 22'!$M$27</f>
        <v>0</v>
      </c>
      <c r="V17" s="1284">
        <f>'الصفحة 22'!$M$28</f>
        <v>0</v>
      </c>
      <c r="W17" s="1283">
        <f>'الصفحة 22'!$N$27</f>
        <v>0</v>
      </c>
      <c r="X17" s="1284">
        <f>'الصفحة 22'!$N$28</f>
        <v>0</v>
      </c>
      <c r="Y17" s="1283">
        <f>'الصفحة 22'!$O$27</f>
        <v>1</v>
      </c>
      <c r="Z17" s="1284">
        <f>'الصفحة 22'!$O$28</f>
        <v>1</v>
      </c>
      <c r="AA17" s="768">
        <f t="shared" si="1"/>
        <v>3</v>
      </c>
      <c r="AB17" s="769">
        <f t="shared" si="0"/>
        <v>3</v>
      </c>
      <c r="AC17" s="1388" t="str">
        <f>IF(('الصفحة 1'!$Q$14&gt;0),IF((AA17&gt;0),IF(((AA17)&lt;&gt;('الصفحة 27'!G53+'الصفحة 27'!I53)),"خطء",""),""),"")</f>
        <v/>
      </c>
      <c r="AD17" s="873"/>
      <c r="AE17" s="872"/>
      <c r="AF17" s="804"/>
      <c r="AG17" s="2755" t="s">
        <v>40</v>
      </c>
      <c r="AH17" s="1032"/>
      <c r="AI17" s="2780" t="str">
        <f>IF(('الصفحة 27'!G53+'الصفحة 27'!I53)-AA17&lt;&gt;0,"خطأ"," ")</f>
        <v xml:space="preserve"> </v>
      </c>
      <c r="AJ17" s="2781" t="str">
        <f>IF(('الصفحة 27'!H53+'الصفحة 27'!J53)-AB17&lt;&gt;0,"خطأ"," ")</f>
        <v xml:space="preserve"> </v>
      </c>
      <c r="AK17" s="1032"/>
      <c r="AL17" s="1950"/>
      <c r="AM17" s="796"/>
    </row>
    <row r="18" spans="1:39" ht="14.1" customHeight="1">
      <c r="A18" s="788"/>
      <c r="B18" s="819"/>
      <c r="C18" s="884"/>
      <c r="D18" s="655" t="s">
        <v>39</v>
      </c>
      <c r="E18" s="1283">
        <f>'الصفحة 23'!$E$27</f>
        <v>0</v>
      </c>
      <c r="F18" s="1284">
        <f>'الصفحة 23'!$E$28</f>
        <v>0</v>
      </c>
      <c r="G18" s="1283">
        <f>'الصفحة 23'!$F$27</f>
        <v>0</v>
      </c>
      <c r="H18" s="1284">
        <f>'الصفحة 23'!$F$28</f>
        <v>0</v>
      </c>
      <c r="I18" s="1283">
        <f>'الصفحة 23'!$G$27</f>
        <v>0</v>
      </c>
      <c r="J18" s="1284">
        <f>'الصفحة 23'!$G$28</f>
        <v>0</v>
      </c>
      <c r="K18" s="1283">
        <f>'الصفحة 23'!$H$27</f>
        <v>0</v>
      </c>
      <c r="L18" s="1284">
        <f>'الصفحة 23'!$H$28</f>
        <v>0</v>
      </c>
      <c r="M18" s="1283">
        <f>'الصفحة 23'!$I$27</f>
        <v>0</v>
      </c>
      <c r="N18" s="1284">
        <f>'الصفحة 23'!$I$28</f>
        <v>0</v>
      </c>
      <c r="O18" s="1283">
        <f>'الصفحة 23'!$J$27</f>
        <v>0</v>
      </c>
      <c r="P18" s="1284">
        <f>'الصفحة 23'!$J$28</f>
        <v>0</v>
      </c>
      <c r="Q18" s="1283">
        <f>'الصفحة 23'!$K$27</f>
        <v>0</v>
      </c>
      <c r="R18" s="1284">
        <f>'الصفحة 23'!$K$28</f>
        <v>0</v>
      </c>
      <c r="S18" s="1283">
        <f>'الصفحة 23'!$L$27</f>
        <v>0</v>
      </c>
      <c r="T18" s="1284">
        <f>'الصفحة 23'!$L$28</f>
        <v>0</v>
      </c>
      <c r="U18" s="1283">
        <f>'الصفحة 23'!$M$27</f>
        <v>0</v>
      </c>
      <c r="V18" s="1284">
        <f>'الصفحة 23'!$M$28</f>
        <v>0</v>
      </c>
      <c r="W18" s="1283">
        <f>'الصفحة 23'!$N$27</f>
        <v>0</v>
      </c>
      <c r="X18" s="1284">
        <f>'الصفحة 23'!$N$28</f>
        <v>0</v>
      </c>
      <c r="Y18" s="1283">
        <f>'الصفحة 23'!$O$27</f>
        <v>0</v>
      </c>
      <c r="Z18" s="1284">
        <f>'الصفحة 23'!$O$28</f>
        <v>0</v>
      </c>
      <c r="AA18" s="768">
        <f t="shared" si="1"/>
        <v>0</v>
      </c>
      <c r="AB18" s="769">
        <f t="shared" si="0"/>
        <v>0</v>
      </c>
      <c r="AC18" s="1388" t="str">
        <f>IF(('الصفحة 1'!$Q$14&gt;0),IF((AA18&gt;0),IF(((AA18)&lt;&gt;('الصفحة 27'!G54+'الصفحة 27'!I54)),"خطء",""),""),"")</f>
        <v/>
      </c>
      <c r="AD18" s="873"/>
      <c r="AE18" s="872"/>
      <c r="AF18" s="804"/>
      <c r="AG18" s="2753" t="s">
        <v>39</v>
      </c>
      <c r="AH18" s="1032"/>
      <c r="AI18" s="2782" t="str">
        <f>IF(('الصفحة 27'!G54+'الصفحة 27'!I54)-AA18&lt;&gt;0,"خطأ"," ")</f>
        <v xml:space="preserve"> </v>
      </c>
      <c r="AJ18" s="2783" t="str">
        <f>IF(('الصفحة 27'!H54+'الصفحة 27'!J54)-AB18&lt;&gt;0,"خطأ"," ")</f>
        <v xml:space="preserve"> </v>
      </c>
      <c r="AK18" s="1032"/>
      <c r="AL18" s="1950"/>
      <c r="AM18" s="796"/>
    </row>
    <row r="19" spans="1:39" ht="14.1" customHeight="1">
      <c r="A19" s="788"/>
      <c r="B19" s="819"/>
      <c r="C19" s="884"/>
      <c r="D19" s="1330" t="s">
        <v>38</v>
      </c>
      <c r="E19" s="1283">
        <f>'الصفحة 24'!$E$27</f>
        <v>0</v>
      </c>
      <c r="F19" s="1284">
        <f>'الصفحة 24'!$E$28</f>
        <v>0</v>
      </c>
      <c r="G19" s="1283">
        <f>'الصفحة 24'!$F$27</f>
        <v>0</v>
      </c>
      <c r="H19" s="1284">
        <f>'الصفحة 24'!$F$28</f>
        <v>0</v>
      </c>
      <c r="I19" s="1283">
        <f>'الصفحة 24'!$G$27</f>
        <v>0</v>
      </c>
      <c r="J19" s="1284">
        <f>'الصفحة 24'!$G$28</f>
        <v>0</v>
      </c>
      <c r="K19" s="1283">
        <f>'الصفحة 24'!$H$27</f>
        <v>0</v>
      </c>
      <c r="L19" s="1284">
        <f>'الصفحة 24'!$H$28</f>
        <v>0</v>
      </c>
      <c r="M19" s="1283">
        <f>'الصفحة 24'!$I$27</f>
        <v>0</v>
      </c>
      <c r="N19" s="1284">
        <f>'الصفحة 24'!$I$28</f>
        <v>0</v>
      </c>
      <c r="O19" s="1283">
        <f>'الصفحة 24'!$J$27</f>
        <v>0</v>
      </c>
      <c r="P19" s="1284">
        <f>'الصفحة 24'!$J$28</f>
        <v>0</v>
      </c>
      <c r="Q19" s="1283">
        <f>'الصفحة 24'!$K$27</f>
        <v>0</v>
      </c>
      <c r="R19" s="1284">
        <f>'الصفحة 24'!$K$28</f>
        <v>0</v>
      </c>
      <c r="S19" s="1283">
        <f>'الصفحة 24'!$L$27</f>
        <v>0</v>
      </c>
      <c r="T19" s="1284">
        <f>'الصفحة 24'!$L$28</f>
        <v>0</v>
      </c>
      <c r="U19" s="1283">
        <f>'الصفحة 24'!$M$27</f>
        <v>0</v>
      </c>
      <c r="V19" s="1284">
        <f>'الصفحة 24'!$M$28</f>
        <v>0</v>
      </c>
      <c r="W19" s="1283">
        <f>'الصفحة 24'!$N$27</f>
        <v>0</v>
      </c>
      <c r="X19" s="1284">
        <f>'الصفحة 24'!$N$28</f>
        <v>0</v>
      </c>
      <c r="Y19" s="1283">
        <f>'الصفحة 24'!$O$27</f>
        <v>0</v>
      </c>
      <c r="Z19" s="1284">
        <f>'الصفحة 24'!$O$28</f>
        <v>0</v>
      </c>
      <c r="AA19" s="768">
        <f t="shared" si="1"/>
        <v>0</v>
      </c>
      <c r="AB19" s="769">
        <f t="shared" si="0"/>
        <v>0</v>
      </c>
      <c r="AC19" s="1388" t="str">
        <f>IF(('الصفحة 1'!$Q$14&gt;0),IF((AA19&gt;0),IF(((AA19)&lt;&gt;('الصفحة 27'!G55+'الصفحة 27'!I55)),"خطء",""),""),"")</f>
        <v/>
      </c>
      <c r="AD19" s="873"/>
      <c r="AE19" s="872"/>
      <c r="AF19" s="804"/>
      <c r="AG19" s="2755" t="s">
        <v>38</v>
      </c>
      <c r="AH19" s="1032"/>
      <c r="AI19" s="2780" t="str">
        <f>IF(('الصفحة 27'!G55+'الصفحة 27'!I55)-AA19&lt;&gt;0,"خطأ"," ")</f>
        <v xml:space="preserve"> </v>
      </c>
      <c r="AJ19" s="2781" t="str">
        <f>IF(('الصفحة 27'!H55+'الصفحة 27'!J55)-AB19&lt;&gt;0,"خطأ"," ")</f>
        <v xml:space="preserve"> </v>
      </c>
      <c r="AK19" s="1032"/>
      <c r="AL19" s="1950"/>
      <c r="AM19" s="796"/>
    </row>
    <row r="20" spans="1:39" ht="14.1" customHeight="1">
      <c r="A20" s="788"/>
      <c r="B20" s="819"/>
      <c r="C20" s="884"/>
      <c r="D20" s="655" t="s">
        <v>37</v>
      </c>
      <c r="E20" s="1283">
        <f>'الصفحة 25'!$E$27</f>
        <v>0</v>
      </c>
      <c r="F20" s="1284">
        <f>'الصفحة 25'!$E$28</f>
        <v>0</v>
      </c>
      <c r="G20" s="1283">
        <f>'الصفحة 25'!$F$27</f>
        <v>1</v>
      </c>
      <c r="H20" s="1284">
        <f>'الصفحة 25'!$F$28</f>
        <v>0</v>
      </c>
      <c r="I20" s="1283">
        <f>'الصفحة 25'!$G$27</f>
        <v>0</v>
      </c>
      <c r="J20" s="1284">
        <f>'الصفحة 25'!$G$28</f>
        <v>0</v>
      </c>
      <c r="K20" s="1283">
        <f>'الصفحة 25'!$H$27</f>
        <v>0</v>
      </c>
      <c r="L20" s="1284">
        <f>'الصفحة 25'!$H$28</f>
        <v>0</v>
      </c>
      <c r="M20" s="1283">
        <f>'الصفحة 25'!$I$27</f>
        <v>1</v>
      </c>
      <c r="N20" s="1284">
        <f>'الصفحة 25'!$I$28</f>
        <v>0</v>
      </c>
      <c r="O20" s="1283">
        <f>'الصفحة 25'!$J$27</f>
        <v>0</v>
      </c>
      <c r="P20" s="1284">
        <f>'الصفحة 25'!$J$28</f>
        <v>0</v>
      </c>
      <c r="Q20" s="1283">
        <f>'الصفحة 25'!$K$27</f>
        <v>0</v>
      </c>
      <c r="R20" s="1284">
        <f>'الصفحة 25'!$K$28</f>
        <v>0</v>
      </c>
      <c r="S20" s="1283">
        <f>'الصفحة 25'!$L$27</f>
        <v>0</v>
      </c>
      <c r="T20" s="1284">
        <f>'الصفحة 25'!$L$28</f>
        <v>0</v>
      </c>
      <c r="U20" s="1283">
        <f>'الصفحة 25'!$M$27</f>
        <v>0</v>
      </c>
      <c r="V20" s="1284">
        <f>'الصفحة 25'!$M$28</f>
        <v>0</v>
      </c>
      <c r="W20" s="1283">
        <f>'الصفحة 25'!$N$27</f>
        <v>0</v>
      </c>
      <c r="X20" s="1284">
        <f>'الصفحة 25'!$N$28</f>
        <v>0</v>
      </c>
      <c r="Y20" s="1283">
        <f>'الصفحة 25'!$O$27</f>
        <v>0</v>
      </c>
      <c r="Z20" s="1284">
        <f>'الصفحة 25'!$O$28</f>
        <v>0</v>
      </c>
      <c r="AA20" s="768">
        <f t="shared" si="1"/>
        <v>2</v>
      </c>
      <c r="AB20" s="769">
        <f t="shared" si="0"/>
        <v>0</v>
      </c>
      <c r="AC20" s="1388" t="str">
        <f>IF(('الصفحة 1'!$Q$14&gt;0),IF((AA20&gt;0),IF(((AA20)&lt;&gt;('الصفحة 27'!G56+'الصفحة 27'!I56)),"خطء",""),""),"")</f>
        <v/>
      </c>
      <c r="AD20" s="873"/>
      <c r="AE20" s="872"/>
      <c r="AF20" s="804"/>
      <c r="AG20" s="2753" t="s">
        <v>37</v>
      </c>
      <c r="AH20" s="1032"/>
      <c r="AI20" s="2782" t="str">
        <f>IF(('الصفحة 27'!G56+'الصفحة 27'!I56)-AA20&lt;&gt;0,"خطأ"," ")</f>
        <v xml:space="preserve"> </v>
      </c>
      <c r="AJ20" s="2783" t="str">
        <f>IF(('الصفحة 27'!H56+'الصفحة 27'!J56)-AB20&lt;&gt;0,"خطأ"," ")</f>
        <v xml:space="preserve"> </v>
      </c>
      <c r="AK20" s="1032"/>
      <c r="AL20" s="1950"/>
      <c r="AM20" s="796"/>
    </row>
    <row r="21" spans="1:39" ht="14.1" customHeight="1">
      <c r="A21" s="788"/>
      <c r="B21" s="819"/>
      <c r="C21" s="884"/>
      <c r="D21" s="1330" t="s">
        <v>48</v>
      </c>
      <c r="E21" s="1283">
        <f>'الصفحة 26'!$E$27</f>
        <v>0</v>
      </c>
      <c r="F21" s="1284">
        <f>'الصفحة 26'!$E$28</f>
        <v>0</v>
      </c>
      <c r="G21" s="1283">
        <f>'الصفحة 26'!$F$27</f>
        <v>0</v>
      </c>
      <c r="H21" s="1284">
        <f>'الصفحة 26'!$F$28</f>
        <v>0</v>
      </c>
      <c r="I21" s="1283">
        <f>'الصفحة 26'!$G$27</f>
        <v>0</v>
      </c>
      <c r="J21" s="1284">
        <f>'الصفحة 26'!$G$28</f>
        <v>0</v>
      </c>
      <c r="K21" s="1283">
        <f>'الصفحة 26'!$H$27</f>
        <v>0</v>
      </c>
      <c r="L21" s="1284">
        <f>'الصفحة 26'!$H$28</f>
        <v>0</v>
      </c>
      <c r="M21" s="1283">
        <f>'الصفحة 26'!$I$27</f>
        <v>0</v>
      </c>
      <c r="N21" s="1284">
        <f>'الصفحة 26'!$I$28</f>
        <v>0</v>
      </c>
      <c r="O21" s="1283">
        <f>'الصفحة 26'!$J$27</f>
        <v>0</v>
      </c>
      <c r="P21" s="1284">
        <f>'الصفحة 26'!$J$28</f>
        <v>0</v>
      </c>
      <c r="Q21" s="1283">
        <f>'الصفحة 26'!$K$27</f>
        <v>0</v>
      </c>
      <c r="R21" s="1284">
        <f>'الصفحة 26'!$K$28</f>
        <v>0</v>
      </c>
      <c r="S21" s="1283">
        <f>'الصفحة 26'!$L$27</f>
        <v>0</v>
      </c>
      <c r="T21" s="1284">
        <f>'الصفحة 26'!$L$28</f>
        <v>0</v>
      </c>
      <c r="U21" s="1283">
        <f>'الصفحة 26'!$M$27</f>
        <v>0</v>
      </c>
      <c r="V21" s="1284">
        <f>'الصفحة 26'!$M$28</f>
        <v>0</v>
      </c>
      <c r="W21" s="1283">
        <f>'الصفحة 26'!$N$27</f>
        <v>0</v>
      </c>
      <c r="X21" s="1284">
        <f>'الصفحة 26'!$N$28</f>
        <v>0</v>
      </c>
      <c r="Y21" s="1283">
        <f>'الصفحة 26'!$O$27</f>
        <v>0</v>
      </c>
      <c r="Z21" s="1284">
        <f>'الصفحة 26'!$O$28</f>
        <v>0</v>
      </c>
      <c r="AA21" s="770">
        <f>E21+G21+I21+K21+M21+O21+Q21+S21+U21+W21+Y21</f>
        <v>0</v>
      </c>
      <c r="AB21" s="771">
        <f>F21+H21+J21+L21+N21+P21+R21+T21+V21+X21+Z21</f>
        <v>0</v>
      </c>
      <c r="AC21" s="1388" t="str">
        <f>IF(('الصفحة 1'!$Q$14&gt;0),IF((AA21&gt;0),IF(((AA21)&lt;&gt;('الصفحة 27'!G57+'الصفحة 27'!I57)),"خطء",""),""),"")</f>
        <v/>
      </c>
      <c r="AD21" s="873"/>
      <c r="AE21" s="872"/>
      <c r="AF21" s="804"/>
      <c r="AG21" s="2755" t="s">
        <v>48</v>
      </c>
      <c r="AH21" s="1032"/>
      <c r="AI21" s="2784" t="str">
        <f>IF(('الصفحة 27'!G57+'الصفحة 27'!I57)-AA21&lt;&gt;0,"خطأ"," ")</f>
        <v xml:space="preserve"> </v>
      </c>
      <c r="AJ21" s="2785" t="str">
        <f>IF(('الصفحة 27'!H57+'الصفحة 27'!J57)-AB21&lt;&gt;0,"خطأ"," ")</f>
        <v xml:space="preserve"> </v>
      </c>
      <c r="AK21" s="1032"/>
      <c r="AL21" s="1950"/>
      <c r="AM21" s="796"/>
    </row>
    <row r="22" spans="1:39" ht="14.1" customHeight="1">
      <c r="A22" s="788"/>
      <c r="B22" s="819"/>
      <c r="C22" s="884"/>
      <c r="D22" s="2266" t="s">
        <v>28</v>
      </c>
      <c r="E22" s="772">
        <f>SUM(E10:E21)</f>
        <v>10</v>
      </c>
      <c r="F22" s="773">
        <f t="shared" ref="F22:AB22" si="2">SUM(F10:F21)</f>
        <v>8</v>
      </c>
      <c r="G22" s="772">
        <f t="shared" si="2"/>
        <v>3</v>
      </c>
      <c r="H22" s="773">
        <f t="shared" si="2"/>
        <v>2</v>
      </c>
      <c r="I22" s="772">
        <f t="shared" si="2"/>
        <v>2</v>
      </c>
      <c r="J22" s="773">
        <f t="shared" si="2"/>
        <v>1</v>
      </c>
      <c r="K22" s="772">
        <f t="shared" si="2"/>
        <v>4</v>
      </c>
      <c r="L22" s="773">
        <f t="shared" si="2"/>
        <v>3</v>
      </c>
      <c r="M22" s="772">
        <f t="shared" si="2"/>
        <v>5</v>
      </c>
      <c r="N22" s="773">
        <f t="shared" si="2"/>
        <v>3</v>
      </c>
      <c r="O22" s="772">
        <f t="shared" si="2"/>
        <v>1</v>
      </c>
      <c r="P22" s="773">
        <f t="shared" si="2"/>
        <v>1</v>
      </c>
      <c r="Q22" s="772">
        <f t="shared" si="2"/>
        <v>1</v>
      </c>
      <c r="R22" s="773">
        <f t="shared" si="2"/>
        <v>0</v>
      </c>
      <c r="S22" s="772">
        <f t="shared" si="2"/>
        <v>1</v>
      </c>
      <c r="T22" s="773">
        <f t="shared" si="2"/>
        <v>1</v>
      </c>
      <c r="U22" s="772">
        <f t="shared" si="2"/>
        <v>0</v>
      </c>
      <c r="V22" s="773">
        <f t="shared" si="2"/>
        <v>0</v>
      </c>
      <c r="W22" s="772">
        <f t="shared" si="2"/>
        <v>0</v>
      </c>
      <c r="X22" s="773">
        <f t="shared" si="2"/>
        <v>0</v>
      </c>
      <c r="Y22" s="772">
        <f t="shared" si="2"/>
        <v>1</v>
      </c>
      <c r="Z22" s="773">
        <f t="shared" si="2"/>
        <v>1</v>
      </c>
      <c r="AA22" s="772">
        <f t="shared" si="2"/>
        <v>28</v>
      </c>
      <c r="AB22" s="773">
        <f t="shared" si="2"/>
        <v>20</v>
      </c>
      <c r="AC22" s="1388" t="str">
        <f>IF(('الصفحة 1'!$Q$14&gt;0),IF((AA22&gt;0),IF(((AA22)&lt;&gt;('الصفحة 27'!G58+'الصفحة 27'!I58)),"خطء",""),""),"")</f>
        <v/>
      </c>
      <c r="AD22" s="873"/>
      <c r="AE22" s="872"/>
      <c r="AF22" s="804"/>
      <c r="AG22" s="4647" t="s">
        <v>297</v>
      </c>
      <c r="AH22" s="2786" t="s">
        <v>20</v>
      </c>
      <c r="AI22" s="4643" t="str">
        <f>IF(('الصفحة 1'!$Q$14&gt;0),IF((AA23&gt;0),IF((AA23&lt;&gt;('الصفحة 27'!N35)),"خطء الأجانب",""),""),"")</f>
        <v/>
      </c>
      <c r="AJ22" s="4644"/>
      <c r="AK22" s="2760"/>
      <c r="AL22" s="1950"/>
      <c r="AM22" s="796"/>
    </row>
    <row r="23" spans="1:39" ht="14.1" customHeight="1">
      <c r="A23" s="788"/>
      <c r="B23" s="819"/>
      <c r="C23" s="884"/>
      <c r="D23" s="3148" t="s">
        <v>27</v>
      </c>
      <c r="E23" s="2058">
        <f>'الصفحة 15'!$E$31+'الصفحة 16'!$E$31+'الصفحة 17'!$E$31+'الصفحة 18'!$E$31+'الصفحة 19'!$E$31+'الصفحة 20'!$E$31+'الصفحة 21'!$E$31+'الصفحة 22'!$E$31+'الصفحة 23'!$E$31+'الصفحة 24'!$E$31+'الصفحة 25'!$E$31+'الصفحة 26'!$E$31</f>
        <v>0</v>
      </c>
      <c r="F23" s="2059">
        <f>'الصفحة 15'!$E$31+'الصفحة 16'!$E$31+'الصفحة 17'!$E$31+'الصفحة 18'!$E$31+'الصفحة 19'!$E$31+'الصفحة 20'!$E$31+'الصفحة 21'!$E$31+'الصفحة 22'!$E$31+'الصفحة 23'!$E$31+'الصفحة 24'!$E$31+'الصفحة 25'!$E$31+'الصفحة 26'!$E$31</f>
        <v>0</v>
      </c>
      <c r="G23" s="2058">
        <f>'الصفحة 15'!$F$31+'الصفحة 16'!$F$31+'الصفحة 17'!$F$31+'الصفحة 18'!$F$31+'الصفحة 19'!$F$31+'الصفحة 20'!$F$31+'الصفحة 21'!$F$31+'الصفحة 22'!$F$31+'الصفحة 23'!$F$31+'الصفحة 24'!$F$31+'الصفحة 25'!$F$31+'الصفحة 26'!$F$31</f>
        <v>0</v>
      </c>
      <c r="H23" s="2059">
        <f>'الصفحة 15'!$F$31+'الصفحة 16'!$F$31+'الصفحة 17'!$F$31+'الصفحة 18'!$F$31+'الصفحة 19'!$F$31+'الصفحة 20'!$F$31+'الصفحة 21'!$F$31+'الصفحة 22'!$F$31+'الصفحة 23'!$F$31+'الصفحة 24'!$F$31+'الصفحة 25'!$F$31+'الصفحة 26'!$F$31</f>
        <v>0</v>
      </c>
      <c r="I23" s="2058">
        <f>'الصفحة 15'!$G$31+'الصفحة 16'!$G$31+'الصفحة 17'!$G$31+'الصفحة 18'!$G$31+'الصفحة 19'!$G$31+'الصفحة 20'!$G$31+'الصفحة 21'!$G$31+'الصفحة 22'!$G$31+'الصفحة 23'!$G$31+'الصفحة 24'!$G$31+'الصفحة 25'!$G$31+'الصفحة 26'!$G$31</f>
        <v>0</v>
      </c>
      <c r="J23" s="2059">
        <f>'الصفحة 15'!$G$31+'الصفحة 16'!$G$31+'الصفحة 17'!$G$31+'الصفحة 18'!$G$31+'الصفحة 19'!$G$31+'الصفحة 20'!$G$31+'الصفحة 21'!$G$31+'الصفحة 22'!$G$31+'الصفحة 23'!$G$31+'الصفحة 24'!$G$31+'الصفحة 25'!$G$31+'الصفحة 26'!$G$31</f>
        <v>0</v>
      </c>
      <c r="K23" s="2058">
        <f>'الصفحة 15'!$H$31+'الصفحة 16'!$H$31+'الصفحة 17'!$H$31+'الصفحة 18'!$H$31+'الصفحة 19'!$H$31+'الصفحة 20'!$H$31+'الصفحة 21'!$H$31+'الصفحة 22'!$H$31+'الصفحة 23'!$H$31+'الصفحة 24'!$H$31+'الصفحة 25'!$H$31+'الصفحة 26'!$H$31</f>
        <v>0</v>
      </c>
      <c r="L23" s="2059">
        <f>'الصفحة 15'!$H$31+'الصفحة 16'!$H$31+'الصفحة 17'!$H$31+'الصفحة 18'!$H$31+'الصفحة 19'!$H$31+'الصفحة 20'!$H$31+'الصفحة 21'!$H$31+'الصفحة 22'!$H$31+'الصفحة 23'!$H$31+'الصفحة 24'!$H$31+'الصفحة 25'!$H$31+'الصفحة 26'!$H$31</f>
        <v>0</v>
      </c>
      <c r="M23" s="2058">
        <f>'الصفحة 15'!$I$31+'الصفحة 16'!$I$31+'الصفحة 17'!$I$31+'الصفحة 18'!$I$31+'الصفحة 19'!$I$31+'الصفحة 20'!$I$31+'الصفحة 21'!$I$31+'الصفحة 22'!$I$31+'الصفحة 23'!$I$31+'الصفحة 24'!$I$31+'الصفحة 25'!$I$31+'الصفحة 26'!$I$31</f>
        <v>0</v>
      </c>
      <c r="N23" s="2059">
        <f>'الصفحة 15'!$I$31+'الصفحة 16'!$I$31+'الصفحة 17'!$I$31+'الصفحة 18'!$I$31+'الصفحة 19'!$I$31+'الصفحة 20'!$I$31+'الصفحة 21'!$I$31+'الصفحة 22'!$I$31+'الصفحة 23'!$I$31+'الصفحة 24'!$I$31+'الصفحة 25'!$I$31+'الصفحة 26'!$I$31</f>
        <v>0</v>
      </c>
      <c r="O23" s="2058">
        <f>'الصفحة 15'!$J$31+'الصفحة 16'!$J$31+'الصفحة 17'!$J$31+'الصفحة 18'!$J$31+'الصفحة 19'!$J$31+'الصفحة 20'!$J$31+'الصفحة 21'!$J$31+'الصفحة 22'!$J$31+'الصفحة 23'!$J$31+'الصفحة 24'!$J$31+'الصفحة 25'!$J$31+'الصفحة 26'!$J$31</f>
        <v>0</v>
      </c>
      <c r="P23" s="2059">
        <f>'الصفحة 15'!$J$31+'الصفحة 16'!$J$31+'الصفحة 17'!$J$31+'الصفحة 18'!$J$31+'الصفحة 19'!$J$31+'الصفحة 20'!$J$31+'الصفحة 21'!$J$31+'الصفحة 22'!$J$31+'الصفحة 23'!$J$31+'الصفحة 24'!$J$31+'الصفحة 25'!$J$31+'الصفحة 26'!$J$31</f>
        <v>0</v>
      </c>
      <c r="Q23" s="2058">
        <f>'الصفحة 15'!$K$31+'الصفحة 16'!$K$31+'الصفحة 17'!$K$31+'الصفحة 18'!$K$31+'الصفحة 19'!$K$31+'الصفحة 20'!$K$31+'الصفحة 21'!$K$31+'الصفحة 22'!$K$31+'الصفحة 23'!$K$31+'الصفحة 24'!$K$31+'الصفحة 25'!$K$31+'الصفحة 26'!$K$31</f>
        <v>0</v>
      </c>
      <c r="R23" s="2059">
        <f>'الصفحة 15'!$K$31+'الصفحة 16'!$K$31+'الصفحة 17'!$K$31+'الصفحة 18'!$K$31+'الصفحة 19'!$K$31+'الصفحة 20'!$K$31+'الصفحة 21'!$K$31+'الصفحة 22'!$K$31+'الصفحة 23'!$K$31+'الصفحة 24'!$K$31+'الصفحة 25'!$K$31+'الصفحة 26'!$K$31</f>
        <v>0</v>
      </c>
      <c r="S23" s="2058">
        <f>'الصفحة 15'!$L$31+'الصفحة 16'!$L$31+'الصفحة 17'!$L$31+'الصفحة 18'!$L$31+'الصفحة 19'!$L$31+'الصفحة 20'!$L$31+'الصفحة 21'!$L$31+'الصفحة 22'!$L$31+'الصفحة 23'!$L$31+'الصفحة 24'!$L$31+'الصفحة 25'!$L$31+'الصفحة 26'!$L$31</f>
        <v>0</v>
      </c>
      <c r="T23" s="2059">
        <f>'الصفحة 15'!$L$31+'الصفحة 16'!$L$31+'الصفحة 17'!$L$31+'الصفحة 18'!$L$31+'الصفحة 19'!$L$31+'الصفحة 20'!$L$31+'الصفحة 21'!$L$31+'الصفحة 22'!$L$31+'الصفحة 23'!$L$31+'الصفحة 24'!$L$31+'الصفحة 25'!$L$31+'الصفحة 26'!$L$31</f>
        <v>0</v>
      </c>
      <c r="U23" s="2058">
        <f>'الصفحة 15'!$M$31+'الصفحة 16'!$M$31+'الصفحة 17'!$M$31+'الصفحة 18'!$M$31+'الصفحة 19'!$M$31+'الصفحة 20'!$M$31+'الصفحة 21'!$M$31+'الصفحة 22'!$M$31+'الصفحة 23'!$M$31+'الصفحة 24'!$M$31+'الصفحة 25'!$M$31+'الصفحة 26'!$M$31</f>
        <v>0</v>
      </c>
      <c r="V23" s="2059">
        <f>'الصفحة 15'!$M$31+'الصفحة 16'!$M$31+'الصفحة 17'!$M$31+'الصفحة 18'!$M$31+'الصفحة 19'!$M$31+'الصفحة 20'!$M$31+'الصفحة 21'!$M$31+'الصفحة 22'!$M$31+'الصفحة 23'!$M$31+'الصفحة 24'!$M$31+'الصفحة 25'!$M$31+'الصفحة 26'!$M$31</f>
        <v>0</v>
      </c>
      <c r="W23" s="2058">
        <f>'الصفحة 15'!$N$31+'الصفحة 16'!$N$31+'الصفحة 17'!$N$31+'الصفحة 18'!$N$31+'الصفحة 19'!$N$31+'الصفحة 20'!$N$31+'الصفحة 21'!$N$31+'الصفحة 22'!$N$31+'الصفحة 23'!$N$31+'الصفحة 24'!$N$31+'الصفحة 25'!$N$31+'الصفحة 26'!$N$31</f>
        <v>0</v>
      </c>
      <c r="X23" s="2059">
        <f>'الصفحة 15'!$N$31+'الصفحة 16'!$N$31+'الصفحة 17'!$N$31+'الصفحة 18'!$N$31+'الصفحة 19'!$N$31+'الصفحة 20'!$N$31+'الصفحة 21'!$N$31+'الصفحة 22'!$N$31+'الصفحة 23'!$N$31+'الصفحة 24'!$N$31+'الصفحة 25'!$N$31+'الصفحة 26'!$N$31</f>
        <v>0</v>
      </c>
      <c r="Y23" s="2058">
        <f>'الصفحة 15'!$O$31+'الصفحة 16'!$O$31+'الصفحة 17'!$O$31+'الصفحة 18'!$O$31+'الصفحة 19'!$O$31+'الصفحة 20'!$O$31+'الصفحة 21'!$O$31+'الصفحة 22'!$O$31+'الصفحة 23'!$O$31+'الصفحة 24'!$O$31+'الصفحة 25'!$O$31+'الصفحة 26'!$O$31</f>
        <v>0</v>
      </c>
      <c r="Z23" s="2059">
        <f>'الصفحة 15'!$O$31+'الصفحة 16'!$O$31+'الصفحة 17'!$O$31+'الصفحة 18'!$O$31+'الصفحة 19'!$O$31+'الصفحة 20'!$O$31+'الصفحة 21'!$O$31+'الصفحة 22'!$O$31+'الصفحة 23'!$O$31+'الصفحة 24'!$O$31+'الصفحة 25'!$O$31+'الصفحة 26'!$O$31</f>
        <v>0</v>
      </c>
      <c r="AA23" s="772">
        <f>E23+G23+I23+K23+M23+O23+Q23+S23+U23+W23+Y23</f>
        <v>0</v>
      </c>
      <c r="AB23" s="773">
        <f>F23+H23+J23+L23+N23+P23+R23+T23+V23+X23+Z23</f>
        <v>0</v>
      </c>
      <c r="AC23" s="1388"/>
      <c r="AD23" s="873"/>
      <c r="AE23" s="872"/>
      <c r="AF23" s="804"/>
      <c r="AG23" s="4648"/>
      <c r="AH23" s="2787" t="s">
        <v>29</v>
      </c>
      <c r="AI23" s="4643" t="str">
        <f>IF(('الصفحة 1'!$Q$14&gt;0),IF((AB23&gt;0),IF((AB23&lt;&gt;('الصفحة 27'!N36)),"خطء الأجانب",""),""),"")</f>
        <v/>
      </c>
      <c r="AJ23" s="4644"/>
      <c r="AK23" s="2772"/>
      <c r="AL23" s="1950"/>
      <c r="AM23" s="796"/>
    </row>
    <row r="24" spans="1:39" ht="14.1" customHeight="1">
      <c r="A24" s="788"/>
      <c r="B24" s="819"/>
      <c r="C24" s="884"/>
      <c r="D24" s="658"/>
      <c r="E24" s="2536" t="str">
        <f>IF(('الصفحة 1'!$Q$14&gt;0),IF((E22&gt;0),IF(((E22+E41)&lt;&gt;('الصفحة 29'!G39)),"خطء عدد",""),""),"")</f>
        <v>خطء عدد</v>
      </c>
      <c r="F24" s="2536" t="str">
        <f>IF(('الصفحة 1'!$Q$14&gt;0),IF((F22&gt;0),IF(((F22+F41)&lt;&gt;('الصفحة 29'!G40)),"خطء عدد",""),""),"")</f>
        <v>خطء عدد</v>
      </c>
      <c r="G24" s="2536" t="str">
        <f>IF(('الصفحة 1'!$Q$14&gt;0),IF((G22&gt;0),IF(((G22+G41)&lt;&gt;('الصفحة 29'!H39)),"خطء عدد",""),""),"")</f>
        <v>خطء عدد</v>
      </c>
      <c r="H24" s="2536" t="str">
        <f>IF(('الصفحة 1'!$Q$14&gt;0),IF((H22&gt;0),IF(((H22+H41)&lt;&gt;('الصفحة 29'!H40)),"خطء عدد",""),""),"")</f>
        <v>خطء عدد</v>
      </c>
      <c r="I24" s="2536" t="str">
        <f>IF(('الصفحة 1'!$Q$14&gt;0),IF((I22&gt;0),IF(((I22+I41)&lt;&gt;('الصفحة 29'!I39)),"خطء عدد",""),""),"")</f>
        <v/>
      </c>
      <c r="J24" s="2536" t="str">
        <f>IF(('الصفحة 1'!$Q$14&gt;0),IF((J22&gt;0),IF(((J22+J41)&lt;&gt;('الصفحة 29'!I40)),"خطء عدد",""),""),"")</f>
        <v/>
      </c>
      <c r="K24" s="2536" t="str">
        <f>IF(('الصفحة 1'!$Q$14&gt;0),IF((K22&gt;0),IF(((K22+K41)&lt;&gt;('الصفحة 29'!J39)),"خطء عدد",""),""),"")</f>
        <v/>
      </c>
      <c r="L24" s="2536" t="str">
        <f>IF(('الصفحة 1'!$Q$14&gt;0),IF((L22&gt;0),IF(((L22+L41)&lt;&gt;('الصفحة 29'!J40)),"خطء عدد",""),""),"")</f>
        <v/>
      </c>
      <c r="M24" s="2536" t="str">
        <f>IF(('الصفحة 1'!$Q$14&gt;0),IF((M22&gt;0),IF(((M22+M41)&lt;&gt;('الصفحة 29'!K39)),"خطء عدد",""),""),"")</f>
        <v/>
      </c>
      <c r="N24" s="2536" t="str">
        <f>IF(('الصفحة 1'!$Q$14&gt;0),IF((N22&gt;0),IF(((N22+N41)&lt;&gt;('الصفحة 29'!K40)),"خطء عدد",""),""),"")</f>
        <v/>
      </c>
      <c r="O24" s="2536" t="str">
        <f>IF(('الصفحة 1'!$Q$14&gt;0),IF((O22&gt;0),IF(((O22+O41)&lt;&gt;('الصفحة 29'!L39)),"خطء عدد",""),""),"")</f>
        <v/>
      </c>
      <c r="P24" s="2536" t="str">
        <f>IF(('الصفحة 1'!$Q$14&gt;0),IF((P22&gt;0),IF(((P22+P41)&lt;&gt;('الصفحة 29'!L40)),"خطء عدد",""),""),"")</f>
        <v/>
      </c>
      <c r="Q24" s="2536" t="str">
        <f>IF(('الصفحة 1'!$Q$14&gt;0),IF((Q22&gt;0),IF(((Q22+Q41)&lt;&gt;('الصفحة 29'!M39)),"خطء عدد",""),""),"")</f>
        <v/>
      </c>
      <c r="R24" s="2536" t="str">
        <f>IF(('الصفحة 1'!$Q$14&gt;0),IF((R22&gt;0),IF(((R22+R41)&lt;&gt;('الصفحة 29'!M40)),"خطء عدد",""),""),"")</f>
        <v/>
      </c>
      <c r="S24" s="2536" t="str">
        <f>IF(('الصفحة 1'!$Q$14&gt;0),IF((S22&gt;0),IF(((S22+S41)&lt;&gt;('الصفحة 29'!N39)),"خطء عدد",""),""),"")</f>
        <v/>
      </c>
      <c r="T24" s="2536" t="str">
        <f>IF(('الصفحة 1'!$Q$14&gt;0),IF((T22&gt;0),IF(((T22+T41)&lt;&gt;('الصفحة 29'!N40)),"خطء عدد",""),""),"")</f>
        <v/>
      </c>
      <c r="U24" s="2536" t="str">
        <f>IF(('الصفحة 1'!$Q$14&gt;0),IF((U22&gt;0),IF(((U22+U41)&lt;&gt;('الصفحة 29'!O39)),"خطء عدد",""),""),"")</f>
        <v/>
      </c>
      <c r="V24" s="2536" t="str">
        <f>IF(('الصفحة 1'!$Q$14&gt;0),IF((V22&gt;0),IF(((V22+V41)&lt;&gt;('الصفحة 29'!O40)),"خطء عدد",""),""),"")</f>
        <v/>
      </c>
      <c r="W24" s="2536" t="str">
        <f>IF(('الصفحة 1'!$Q$14&gt;0),IF((W22&gt;0),IF(((W22+W41)&lt;&gt;('الصفحة 29'!P39)),"خطء عدد",""),""),"")</f>
        <v/>
      </c>
      <c r="X24" s="2536" t="str">
        <f>IF(('الصفحة 1'!$Q$14&gt;0),IF((X22&gt;0),IF(((X22+X41)&lt;&gt;('الصفحة 29'!P40)),"خطء عدد",""),""),"")</f>
        <v/>
      </c>
      <c r="Y24" s="2536" t="str">
        <f>IF(('الصفحة 1'!$Q$14&gt;0),IF((Y22&gt;0),IF(((Y22+Y41)&lt;&gt;('الصفحة 29'!Q39)),"خطء عدد",""),""),"")</f>
        <v/>
      </c>
      <c r="Z24" s="2536" t="str">
        <f>IF(('الصفحة 1'!$Q$14&gt;0),IF((Z22&gt;0),IF(((Z22+Z41)&lt;&gt;('الصفحة 29'!Q40)),"خطء عدد",""),""),"")</f>
        <v/>
      </c>
      <c r="AA24" s="2536" t="str">
        <f>IF(('الصفحة 1'!$Q$14&gt;0),IF((AA22&gt;0),IF(((AA22+AA41)&lt;&gt;('الصفحة 29'!R39)),"خطء عدد",""),""),"")</f>
        <v>خطء عدد</v>
      </c>
      <c r="AB24" s="2536" t="str">
        <f>IF(('الصفحة 1'!$Q$14&gt;0),IF((AB22&gt;0),IF(((AB22+AB41)&lt;&gt;('الصفحة 29'!R40)),"خطء عدد",""),""),"")</f>
        <v>خطء عدد</v>
      </c>
      <c r="AC24" s="658"/>
      <c r="AD24" s="873"/>
      <c r="AE24" s="872"/>
      <c r="AF24" s="804"/>
      <c r="AG24" s="2760"/>
      <c r="AH24" s="2760"/>
      <c r="AI24" s="2760"/>
      <c r="AJ24" s="2760"/>
      <c r="AK24" s="2760"/>
      <c r="AL24" s="1950"/>
      <c r="AM24" s="796"/>
    </row>
    <row r="25" spans="1:39" ht="18" customHeight="1">
      <c r="A25" s="788"/>
      <c r="B25" s="819"/>
      <c r="C25" s="954"/>
      <c r="D25" s="979" t="s">
        <v>1408</v>
      </c>
      <c r="E25" s="955"/>
      <c r="F25" s="955"/>
      <c r="G25" s="955"/>
      <c r="H25" s="955"/>
      <c r="I25" s="955"/>
      <c r="J25" s="776"/>
      <c r="K25" s="955"/>
      <c r="L25" s="955"/>
      <c r="M25" s="955"/>
      <c r="N25" s="955"/>
      <c r="O25" s="955"/>
      <c r="P25" s="955"/>
      <c r="Q25" s="955"/>
      <c r="R25" s="955"/>
      <c r="S25" s="955"/>
      <c r="T25" s="955"/>
      <c r="U25" s="955"/>
      <c r="V25" s="955"/>
      <c r="W25" s="955"/>
      <c r="X25" s="955"/>
      <c r="Y25" s="4642" t="s">
        <v>1208</v>
      </c>
      <c r="Z25" s="4642"/>
      <c r="AA25" s="955"/>
      <c r="AB25" s="955"/>
      <c r="AC25" s="999"/>
      <c r="AD25" s="963"/>
      <c r="AE25" s="872"/>
      <c r="AF25" s="804"/>
      <c r="AG25" s="1032"/>
      <c r="AH25" s="1032"/>
      <c r="AI25" s="4643" t="str">
        <f>IF(('الصفحة 1'!$Q$14&gt;0),IF((AA23&gt;0),IF(((AA23+AA42)&lt;&gt;('الصفحة 27'!N35)),"خطء الأجانب",""),""),"")</f>
        <v/>
      </c>
      <c r="AJ25" s="4644"/>
      <c r="AK25" s="1032"/>
      <c r="AL25" s="1950"/>
      <c r="AM25" s="796"/>
    </row>
    <row r="26" spans="1:39" ht="6" customHeight="1">
      <c r="A26" s="788"/>
      <c r="B26" s="819"/>
      <c r="C26" s="884"/>
      <c r="D26" s="2267"/>
      <c r="E26" s="661"/>
      <c r="F26" s="661"/>
      <c r="G26" s="661"/>
      <c r="H26" s="661"/>
      <c r="I26" s="661"/>
      <c r="J26" s="661"/>
      <c r="K26" s="661"/>
      <c r="L26" s="661"/>
      <c r="M26" s="661"/>
      <c r="N26" s="661"/>
      <c r="O26" s="661"/>
      <c r="P26" s="661"/>
      <c r="Q26" s="661"/>
      <c r="R26" s="661"/>
      <c r="S26" s="661"/>
      <c r="T26" s="661"/>
      <c r="U26" s="661"/>
      <c r="V26" s="661"/>
      <c r="W26" s="661"/>
      <c r="X26" s="661"/>
      <c r="Y26" s="661"/>
      <c r="Z26" s="661"/>
      <c r="AA26" s="661"/>
      <c r="AB26" s="661"/>
      <c r="AC26" s="661"/>
      <c r="AD26" s="873"/>
      <c r="AE26" s="872"/>
      <c r="AF26" s="804"/>
      <c r="AG26" s="1032"/>
      <c r="AH26" s="1032"/>
      <c r="AI26" s="1032"/>
      <c r="AJ26" s="1032"/>
      <c r="AK26" s="1032"/>
      <c r="AL26" s="1950"/>
      <c r="AM26" s="796"/>
    </row>
    <row r="27" spans="1:39" ht="30" customHeight="1">
      <c r="A27" s="788"/>
      <c r="B27" s="819"/>
      <c r="C27" s="884"/>
      <c r="D27" s="2269" t="s">
        <v>170</v>
      </c>
      <c r="E27" s="4238" t="s">
        <v>163</v>
      </c>
      <c r="F27" s="4239"/>
      <c r="G27" s="4240" t="s">
        <v>162</v>
      </c>
      <c r="H27" s="4241"/>
      <c r="I27" s="4238" t="s">
        <v>161</v>
      </c>
      <c r="J27" s="4239"/>
      <c r="K27" s="4240" t="s">
        <v>160</v>
      </c>
      <c r="L27" s="4241"/>
      <c r="M27" s="4238" t="s">
        <v>159</v>
      </c>
      <c r="N27" s="4239"/>
      <c r="O27" s="4240" t="s">
        <v>158</v>
      </c>
      <c r="P27" s="4241"/>
      <c r="Q27" s="4238" t="s">
        <v>157</v>
      </c>
      <c r="R27" s="4239"/>
      <c r="S27" s="4240" t="s">
        <v>156</v>
      </c>
      <c r="T27" s="4241"/>
      <c r="U27" s="4238" t="s">
        <v>155</v>
      </c>
      <c r="V27" s="4239"/>
      <c r="W27" s="4240" t="s">
        <v>154</v>
      </c>
      <c r="X27" s="4241"/>
      <c r="Y27" s="4238" t="s">
        <v>153</v>
      </c>
      <c r="Z27" s="4239"/>
      <c r="AA27" s="4645" t="s">
        <v>28</v>
      </c>
      <c r="AB27" s="4646"/>
      <c r="AC27" s="661"/>
      <c r="AD27" s="873"/>
      <c r="AE27" s="872"/>
      <c r="AF27" s="804"/>
      <c r="AG27" s="4649" t="s">
        <v>1264</v>
      </c>
      <c r="AH27" s="4649"/>
      <c r="AI27" s="4649"/>
      <c r="AJ27" s="4649"/>
      <c r="AK27" s="3147"/>
      <c r="AL27" s="1950"/>
      <c r="AM27" s="796"/>
    </row>
    <row r="28" spans="1:39" ht="14.1" customHeight="1">
      <c r="A28" s="788"/>
      <c r="B28" s="819"/>
      <c r="C28" s="884"/>
      <c r="D28" s="1328" t="s">
        <v>169</v>
      </c>
      <c r="E28" s="642" t="s">
        <v>20</v>
      </c>
      <c r="F28" s="643" t="s">
        <v>29</v>
      </c>
      <c r="G28" s="1324" t="s">
        <v>20</v>
      </c>
      <c r="H28" s="1325" t="s">
        <v>29</v>
      </c>
      <c r="I28" s="642" t="s">
        <v>20</v>
      </c>
      <c r="J28" s="643" t="s">
        <v>29</v>
      </c>
      <c r="K28" s="1324" t="s">
        <v>20</v>
      </c>
      <c r="L28" s="1325" t="s">
        <v>29</v>
      </c>
      <c r="M28" s="642" t="s">
        <v>20</v>
      </c>
      <c r="N28" s="643" t="s">
        <v>29</v>
      </c>
      <c r="O28" s="1324" t="s">
        <v>20</v>
      </c>
      <c r="P28" s="1325" t="s">
        <v>29</v>
      </c>
      <c r="Q28" s="642" t="s">
        <v>20</v>
      </c>
      <c r="R28" s="643" t="s">
        <v>29</v>
      </c>
      <c r="S28" s="1324" t="s">
        <v>20</v>
      </c>
      <c r="T28" s="1325" t="s">
        <v>29</v>
      </c>
      <c r="U28" s="642" t="s">
        <v>20</v>
      </c>
      <c r="V28" s="643" t="s">
        <v>29</v>
      </c>
      <c r="W28" s="1324" t="s">
        <v>20</v>
      </c>
      <c r="X28" s="1325" t="s">
        <v>29</v>
      </c>
      <c r="Y28" s="642" t="s">
        <v>20</v>
      </c>
      <c r="Z28" s="643" t="s">
        <v>29</v>
      </c>
      <c r="AA28" s="964" t="s">
        <v>20</v>
      </c>
      <c r="AB28" s="990" t="s">
        <v>29</v>
      </c>
      <c r="AC28" s="661"/>
      <c r="AD28" s="873"/>
      <c r="AE28" s="872"/>
      <c r="AF28" s="804"/>
      <c r="AG28" s="2538" t="s">
        <v>145</v>
      </c>
      <c r="AH28" s="1032"/>
      <c r="AI28" s="2776" t="s">
        <v>20</v>
      </c>
      <c r="AJ28" s="2777" t="s">
        <v>29</v>
      </c>
      <c r="AK28" s="2788"/>
      <c r="AL28" s="1950"/>
      <c r="AM28" s="796"/>
    </row>
    <row r="29" spans="1:39" ht="14.1" customHeight="1">
      <c r="A29" s="788"/>
      <c r="B29" s="819"/>
      <c r="C29" s="884"/>
      <c r="D29" s="655" t="s">
        <v>47</v>
      </c>
      <c r="E29" s="1281">
        <f>'الصفحة 15'!$E$33</f>
        <v>1</v>
      </c>
      <c r="F29" s="1282">
        <f>'الصفحة 15'!$E$34</f>
        <v>1</v>
      </c>
      <c r="G29" s="1281">
        <f>'الصفحة 15'!$F$33</f>
        <v>1</v>
      </c>
      <c r="H29" s="1282">
        <f>'الصفحة 15'!$F$34</f>
        <v>1</v>
      </c>
      <c r="I29" s="1281">
        <f>'الصفحة 15'!$G$33</f>
        <v>0</v>
      </c>
      <c r="J29" s="1282">
        <f>'الصفحة 15'!$G$34</f>
        <v>0</v>
      </c>
      <c r="K29" s="1281">
        <f>'الصفحة 15'!$H$33</f>
        <v>0</v>
      </c>
      <c r="L29" s="1282">
        <f>'الصفحة 15'!$H$34</f>
        <v>0</v>
      </c>
      <c r="M29" s="1281">
        <f>'الصفحة 15'!$I$33</f>
        <v>0</v>
      </c>
      <c r="N29" s="2060">
        <f>'الصفحة 15'!$I$34</f>
        <v>0</v>
      </c>
      <c r="O29" s="1281">
        <f>'الصفحة 15'!$J$33</f>
        <v>0</v>
      </c>
      <c r="P29" s="1282">
        <f>'الصفحة 15'!$J$34</f>
        <v>0</v>
      </c>
      <c r="Q29" s="2061">
        <f>'الصفحة 15'!$K$33</f>
        <v>0</v>
      </c>
      <c r="R29" s="1282">
        <f>'الصفحة 15'!$K$34</f>
        <v>0</v>
      </c>
      <c r="S29" s="1281">
        <f>'الصفحة 15'!$L$33</f>
        <v>0</v>
      </c>
      <c r="T29" s="1282">
        <f>'الصفحة 15'!$L$34</f>
        <v>0</v>
      </c>
      <c r="U29" s="1281">
        <f>'الصفحة 15'!$M$33</f>
        <v>0</v>
      </c>
      <c r="V29" s="1282">
        <f>'الصفحة 15'!$M$34</f>
        <v>0</v>
      </c>
      <c r="W29" s="1281">
        <f>'الصفحة 15'!$N$33</f>
        <v>0</v>
      </c>
      <c r="X29" s="1282">
        <f>'الصفحة 15'!$N$34</f>
        <v>0</v>
      </c>
      <c r="Y29" s="1281">
        <f>'الصفحة 15'!$O$33</f>
        <v>0</v>
      </c>
      <c r="Z29" s="1282">
        <f>'الصفحة 15'!$O$34</f>
        <v>0</v>
      </c>
      <c r="AA29" s="766">
        <f t="shared" ref="AA29:AA39" si="3">E29+G29+I29+K29+M29+O29+Q29+S29+U29+W29+Y29</f>
        <v>2</v>
      </c>
      <c r="AB29" s="767">
        <f t="shared" ref="AB29:AB39" si="4">F29+H29+J29+L29+N29+P29+R29+T29+V29+X29+Z29</f>
        <v>2</v>
      </c>
      <c r="AC29" s="1388" t="str">
        <f>IF(('الصفحة 1'!$Q$14&gt;0),IF((AA29&gt;0),IF(((AA29)&lt;&gt;('الصفحة 27'!K46)),"خطء",""),""),"")</f>
        <v/>
      </c>
      <c r="AD29" s="873"/>
      <c r="AE29" s="872"/>
      <c r="AF29" s="804"/>
      <c r="AG29" s="2753" t="s">
        <v>47</v>
      </c>
      <c r="AH29" s="1032"/>
      <c r="AI29" s="2778" t="str">
        <f>IF('الصفحة 27'!K46-AA29&lt;&gt;0,"خطأ"," ")</f>
        <v xml:space="preserve"> </v>
      </c>
      <c r="AJ29" s="2779" t="str">
        <f>IF('الصفحة 27'!L46-AB29&lt;&gt;0,"خطأ"," ")</f>
        <v xml:space="preserve"> </v>
      </c>
      <c r="AK29" s="1032"/>
      <c r="AL29" s="1950"/>
      <c r="AM29" s="796"/>
    </row>
    <row r="30" spans="1:39" ht="14.1" customHeight="1">
      <c r="A30" s="788"/>
      <c r="B30" s="819"/>
      <c r="C30" s="884"/>
      <c r="D30" s="1329" t="s">
        <v>46</v>
      </c>
      <c r="E30" s="1283">
        <f>'الصفحة 16'!$E$33</f>
        <v>0</v>
      </c>
      <c r="F30" s="1284">
        <f>'الصفحة 16'!$E$34</f>
        <v>0</v>
      </c>
      <c r="G30" s="1283">
        <f>'الصفحة 16'!$F$33</f>
        <v>0</v>
      </c>
      <c r="H30" s="1284">
        <f>'الصفحة 16'!$F$34</f>
        <v>0</v>
      </c>
      <c r="I30" s="1283">
        <f>'الصفحة 16'!$G$33</f>
        <v>0</v>
      </c>
      <c r="J30" s="1284">
        <f>'الصفحة 16'!$G$34</f>
        <v>0</v>
      </c>
      <c r="K30" s="1283">
        <f>'الصفحة 16'!$H$33</f>
        <v>0</v>
      </c>
      <c r="L30" s="1284">
        <f>'الصفحة 16'!$H$34</f>
        <v>0</v>
      </c>
      <c r="M30" s="1283">
        <f>'الصفحة 16'!$I$33</f>
        <v>0</v>
      </c>
      <c r="N30" s="2062">
        <f>'الصفحة 16'!$I$34</f>
        <v>0</v>
      </c>
      <c r="O30" s="1283">
        <f>'الصفحة 16'!$J$33</f>
        <v>0</v>
      </c>
      <c r="P30" s="1284">
        <f>'الصفحة 16'!$J$34</f>
        <v>0</v>
      </c>
      <c r="Q30" s="2063">
        <f>'الصفحة 16'!$K$33</f>
        <v>0</v>
      </c>
      <c r="R30" s="1284">
        <f>'الصفحة 16'!$K$34</f>
        <v>0</v>
      </c>
      <c r="S30" s="1283">
        <f>'الصفحة 16'!$L$33</f>
        <v>0</v>
      </c>
      <c r="T30" s="1284">
        <f>'الصفحة 16'!$L$34</f>
        <v>0</v>
      </c>
      <c r="U30" s="1283">
        <f>'الصفحة 16'!$M$33</f>
        <v>0</v>
      </c>
      <c r="V30" s="1284">
        <f>'الصفحة 16'!$M$34</f>
        <v>0</v>
      </c>
      <c r="W30" s="1283">
        <f>'الصفحة 16'!$N$33</f>
        <v>0</v>
      </c>
      <c r="X30" s="1284">
        <f>'الصفحة 16'!$N$34</f>
        <v>0</v>
      </c>
      <c r="Y30" s="1283">
        <f>'الصفحة 16'!$O$33</f>
        <v>0</v>
      </c>
      <c r="Z30" s="1284">
        <f>'الصفحة 16'!$O$34</f>
        <v>0</v>
      </c>
      <c r="AA30" s="768">
        <f t="shared" si="3"/>
        <v>0</v>
      </c>
      <c r="AB30" s="769">
        <f t="shared" si="4"/>
        <v>0</v>
      </c>
      <c r="AC30" s="1388" t="str">
        <f>IF(('الصفحة 1'!$Q$14&gt;0),IF((AA30&gt;0),IF(((AA30)&lt;&gt;('الصفحة 27'!K47)),"خطء",""),""),"")</f>
        <v/>
      </c>
      <c r="AD30" s="873"/>
      <c r="AE30" s="872"/>
      <c r="AF30" s="804"/>
      <c r="AG30" s="2754" t="s">
        <v>46</v>
      </c>
      <c r="AH30" s="1032"/>
      <c r="AI30" s="2780" t="str">
        <f>IF('الصفحة 27'!K47-AA30&lt;&gt;0,"خطأ"," ")</f>
        <v xml:space="preserve"> </v>
      </c>
      <c r="AJ30" s="2781" t="str">
        <f>IF('الصفحة 27'!L47-AB30&lt;&gt;0,"خطأ"," ")</f>
        <v xml:space="preserve"> </v>
      </c>
      <c r="AK30" s="1032"/>
      <c r="AL30" s="1950"/>
      <c r="AM30" s="796"/>
    </row>
    <row r="31" spans="1:39" ht="14.1" customHeight="1">
      <c r="A31" s="788"/>
      <c r="B31" s="819"/>
      <c r="C31" s="884"/>
      <c r="D31" s="655" t="s">
        <v>45</v>
      </c>
      <c r="E31" s="1283">
        <f>'الصفحة 17'!$E$33</f>
        <v>0</v>
      </c>
      <c r="F31" s="1284">
        <f>'الصفحة 17'!$E$34</f>
        <v>0</v>
      </c>
      <c r="G31" s="1283">
        <f>'الصفحة 17'!$F$33</f>
        <v>0</v>
      </c>
      <c r="H31" s="1284">
        <f>'الصفحة 17'!$F$34</f>
        <v>0</v>
      </c>
      <c r="I31" s="1283">
        <f>'الصفحة 17'!$G$33</f>
        <v>0</v>
      </c>
      <c r="J31" s="1284">
        <f>'الصفحة 17'!$G$34</f>
        <v>0</v>
      </c>
      <c r="K31" s="1283">
        <f>'الصفحة 17'!$H$33</f>
        <v>0</v>
      </c>
      <c r="L31" s="1284">
        <f>'الصفحة 17'!$H$34</f>
        <v>0</v>
      </c>
      <c r="M31" s="1283">
        <f>'الصفحة 17'!$I$33</f>
        <v>0</v>
      </c>
      <c r="N31" s="2062">
        <f>'الصفحة 17'!$I$34</f>
        <v>0</v>
      </c>
      <c r="O31" s="1283">
        <f>'الصفحة 17'!$J$33</f>
        <v>0</v>
      </c>
      <c r="P31" s="1284">
        <f>'الصفحة 17'!$J$34</f>
        <v>0</v>
      </c>
      <c r="Q31" s="2063">
        <f>'الصفحة 17'!$K$33</f>
        <v>0</v>
      </c>
      <c r="R31" s="1284">
        <f>'الصفحة 17'!$K$34</f>
        <v>0</v>
      </c>
      <c r="S31" s="1283">
        <f>'الصفحة 17'!$L$33</f>
        <v>0</v>
      </c>
      <c r="T31" s="1284">
        <f>'الصفحة 17'!$L$34</f>
        <v>0</v>
      </c>
      <c r="U31" s="1283">
        <f>'الصفحة 17'!$M$33</f>
        <v>0</v>
      </c>
      <c r="V31" s="1284">
        <f>'الصفحة 17'!$M$34</f>
        <v>0</v>
      </c>
      <c r="W31" s="1283">
        <f>'الصفحة 17'!$N$33</f>
        <v>0</v>
      </c>
      <c r="X31" s="1284">
        <f>'الصفحة 17'!$N$34</f>
        <v>0</v>
      </c>
      <c r="Y31" s="1283">
        <f>'الصفحة 17'!$O$33</f>
        <v>0</v>
      </c>
      <c r="Z31" s="1284">
        <f>'الصفحة 17'!$O$34</f>
        <v>0</v>
      </c>
      <c r="AA31" s="768">
        <f t="shared" si="3"/>
        <v>0</v>
      </c>
      <c r="AB31" s="769">
        <f t="shared" si="4"/>
        <v>0</v>
      </c>
      <c r="AC31" s="1388" t="str">
        <f>IF(('الصفحة 1'!$Q$14&gt;0),IF((AA31&gt;0),IF(((AA31)&lt;&gt;('الصفحة 27'!K48)),"خطء",""),""),"")</f>
        <v/>
      </c>
      <c r="AD31" s="873"/>
      <c r="AE31" s="872"/>
      <c r="AF31" s="804"/>
      <c r="AG31" s="2753" t="s">
        <v>45</v>
      </c>
      <c r="AH31" s="1032"/>
      <c r="AI31" s="2782" t="str">
        <f>IF('الصفحة 27'!K48-AA31&lt;&gt;0,"خطأ"," ")</f>
        <v xml:space="preserve"> </v>
      </c>
      <c r="AJ31" s="2783" t="str">
        <f>IF('الصفحة 27'!L48-AB31&lt;&gt;0,"خطأ"," ")</f>
        <v xml:space="preserve"> </v>
      </c>
      <c r="AK31" s="1032"/>
      <c r="AL31" s="1950"/>
      <c r="AM31" s="796"/>
    </row>
    <row r="32" spans="1:39" ht="14.1" customHeight="1">
      <c r="A32" s="788"/>
      <c r="B32" s="819"/>
      <c r="C32" s="884"/>
      <c r="D32" s="1329" t="s">
        <v>44</v>
      </c>
      <c r="E32" s="1283">
        <f>'الصفحة 18'!$E$33</f>
        <v>2</v>
      </c>
      <c r="F32" s="1284">
        <f>'الصفحة 18'!$E$34</f>
        <v>2</v>
      </c>
      <c r="G32" s="1283">
        <f>'الصفحة 18'!$F$33</f>
        <v>0</v>
      </c>
      <c r="H32" s="1284">
        <f>'الصفحة 18'!$F$34</f>
        <v>0</v>
      </c>
      <c r="I32" s="1283">
        <f>'الصفحة 18'!$G$33</f>
        <v>0</v>
      </c>
      <c r="J32" s="1284">
        <f>'الصفحة 18'!$G$34</f>
        <v>0</v>
      </c>
      <c r="K32" s="1283">
        <f>'الصفحة 18'!$H$33</f>
        <v>0</v>
      </c>
      <c r="L32" s="1284">
        <f>'الصفحة 18'!$H$34</f>
        <v>0</v>
      </c>
      <c r="M32" s="1283">
        <f>'الصفحة 18'!$I$33</f>
        <v>0</v>
      </c>
      <c r="N32" s="2062">
        <f>'الصفحة 18'!$I$34</f>
        <v>0</v>
      </c>
      <c r="O32" s="1283">
        <f>'الصفحة 18'!$J$33</f>
        <v>0</v>
      </c>
      <c r="P32" s="1284">
        <f>'الصفحة 18'!$J$34</f>
        <v>0</v>
      </c>
      <c r="Q32" s="2063">
        <f>'الصفحة 18'!$K$33</f>
        <v>0</v>
      </c>
      <c r="R32" s="1284">
        <f>'الصفحة 18'!$K$34</f>
        <v>0</v>
      </c>
      <c r="S32" s="1283">
        <f>'الصفحة 18'!$L$33</f>
        <v>0</v>
      </c>
      <c r="T32" s="1284">
        <f>'الصفحة 18'!$L$34</f>
        <v>0</v>
      </c>
      <c r="U32" s="1283">
        <f>'الصفحة 18'!$M$33</f>
        <v>0</v>
      </c>
      <c r="V32" s="1284">
        <f>'الصفحة 18'!$M$34</f>
        <v>0</v>
      </c>
      <c r="W32" s="1283">
        <f>'الصفحة 18'!$N$33</f>
        <v>0</v>
      </c>
      <c r="X32" s="1284">
        <f>'الصفحة 18'!$N$34</f>
        <v>0</v>
      </c>
      <c r="Y32" s="1283">
        <f>'الصفحة 18'!$O$33</f>
        <v>0</v>
      </c>
      <c r="Z32" s="1284">
        <f>'الصفحة 18'!$O$34</f>
        <v>0</v>
      </c>
      <c r="AA32" s="768">
        <f t="shared" si="3"/>
        <v>2</v>
      </c>
      <c r="AB32" s="769">
        <f t="shared" si="4"/>
        <v>2</v>
      </c>
      <c r="AC32" s="1388" t="str">
        <f>IF(('الصفحة 1'!$Q$14&gt;0),IF((AA32&gt;0),IF(((AA32)&lt;&gt;('الصفحة 27'!K49)),"خطء",""),""),"")</f>
        <v/>
      </c>
      <c r="AD32" s="873"/>
      <c r="AE32" s="872"/>
      <c r="AF32" s="804"/>
      <c r="AG32" s="2754" t="s">
        <v>44</v>
      </c>
      <c r="AH32" s="1032"/>
      <c r="AI32" s="2780" t="str">
        <f>IF('الصفحة 27'!K49-AA32&lt;&gt;0,"خطأ"," ")</f>
        <v xml:space="preserve"> </v>
      </c>
      <c r="AJ32" s="2781" t="str">
        <f>IF('الصفحة 27'!L49-AB32&lt;&gt;0,"خطأ"," ")</f>
        <v xml:space="preserve"> </v>
      </c>
      <c r="AK32" s="1032"/>
      <c r="AL32" s="1950"/>
      <c r="AM32" s="796"/>
    </row>
    <row r="33" spans="1:39" ht="14.1" customHeight="1">
      <c r="A33" s="788"/>
      <c r="B33" s="819"/>
      <c r="C33" s="884"/>
      <c r="D33" s="655" t="s">
        <v>43</v>
      </c>
      <c r="E33" s="1283">
        <f>'الصفحة 19'!$E$33</f>
        <v>1</v>
      </c>
      <c r="F33" s="1284">
        <f>'الصفحة 19'!$E$34</f>
        <v>1</v>
      </c>
      <c r="G33" s="1283">
        <f>'الصفحة 19'!$F$33</f>
        <v>0</v>
      </c>
      <c r="H33" s="1284">
        <f>'الصفحة 19'!$F$34</f>
        <v>0</v>
      </c>
      <c r="I33" s="1283">
        <f>'الصفحة 19'!$G$33</f>
        <v>0</v>
      </c>
      <c r="J33" s="1284">
        <f>'الصفحة 19'!$G$34</f>
        <v>0</v>
      </c>
      <c r="K33" s="1283">
        <f>'الصفحة 19'!$H$33</f>
        <v>0</v>
      </c>
      <c r="L33" s="1284">
        <f>'الصفحة 19'!$H$34</f>
        <v>0</v>
      </c>
      <c r="M33" s="1283">
        <f>'الصفحة 19'!$I$33</f>
        <v>0</v>
      </c>
      <c r="N33" s="2062">
        <f>'الصفحة 19'!$I$34</f>
        <v>0</v>
      </c>
      <c r="O33" s="1283">
        <f>'الصفحة 19'!$J$33</f>
        <v>0</v>
      </c>
      <c r="P33" s="1284">
        <f>'الصفحة 19'!$J$34</f>
        <v>0</v>
      </c>
      <c r="Q33" s="2063">
        <f>'الصفحة 19'!$K$33</f>
        <v>0</v>
      </c>
      <c r="R33" s="1284">
        <f>'الصفحة 19'!$K$34</f>
        <v>0</v>
      </c>
      <c r="S33" s="1283">
        <f>'الصفحة 19'!$L$33</f>
        <v>0</v>
      </c>
      <c r="T33" s="1284">
        <f>'الصفحة 19'!$L$34</f>
        <v>0</v>
      </c>
      <c r="U33" s="1283">
        <f>'الصفحة 19'!$M$33</f>
        <v>0</v>
      </c>
      <c r="V33" s="1284">
        <f>'الصفحة 19'!$M$34</f>
        <v>0</v>
      </c>
      <c r="W33" s="1283">
        <f>'الصفحة 19'!$N$33</f>
        <v>0</v>
      </c>
      <c r="X33" s="1284">
        <f>'الصفحة 19'!$N$34</f>
        <v>0</v>
      </c>
      <c r="Y33" s="1283">
        <f>'الصفحة 19'!$O$33</f>
        <v>0</v>
      </c>
      <c r="Z33" s="1284">
        <f>'الصفحة 19'!$O$34</f>
        <v>0</v>
      </c>
      <c r="AA33" s="768">
        <f t="shared" si="3"/>
        <v>1</v>
      </c>
      <c r="AB33" s="769">
        <f t="shared" si="4"/>
        <v>1</v>
      </c>
      <c r="AC33" s="1388" t="str">
        <f>IF(('الصفحة 1'!$Q$14&gt;0),IF((AA33&gt;0),IF(((AA33)&lt;&gt;('الصفحة 27'!K50)),"خطء",""),""),"")</f>
        <v/>
      </c>
      <c r="AD33" s="873"/>
      <c r="AE33" s="872"/>
      <c r="AF33" s="804"/>
      <c r="AG33" s="2753" t="s">
        <v>43</v>
      </c>
      <c r="AH33" s="1032"/>
      <c r="AI33" s="2782" t="str">
        <f>IF('الصفحة 27'!K50-AA33&lt;&gt;0,"خطأ"," ")</f>
        <v xml:space="preserve"> </v>
      </c>
      <c r="AJ33" s="2783" t="str">
        <f>IF('الصفحة 27'!L50-AB33&lt;&gt;0,"خطأ"," ")</f>
        <v xml:space="preserve"> </v>
      </c>
      <c r="AK33" s="1032"/>
      <c r="AL33" s="1950"/>
      <c r="AM33" s="796"/>
    </row>
    <row r="34" spans="1:39" ht="14.1" customHeight="1">
      <c r="A34" s="788"/>
      <c r="B34" s="819"/>
      <c r="C34" s="884"/>
      <c r="D34" s="1330" t="s">
        <v>42</v>
      </c>
      <c r="E34" s="1283">
        <f>'الصفحة 20'!$E$33</f>
        <v>1</v>
      </c>
      <c r="F34" s="1284">
        <f>'الصفحة 20'!$E$34</f>
        <v>1</v>
      </c>
      <c r="G34" s="1283">
        <f>'الصفحة 20'!$F$33</f>
        <v>0</v>
      </c>
      <c r="H34" s="1284">
        <f>'الصفحة 20'!$F$34</f>
        <v>0</v>
      </c>
      <c r="I34" s="1283">
        <f>'الصفحة 20'!$G$33</f>
        <v>0</v>
      </c>
      <c r="J34" s="1284">
        <f>'الصفحة 20'!$G$34</f>
        <v>0</v>
      </c>
      <c r="K34" s="1283">
        <f>'الصفحة 20'!$H$33</f>
        <v>0</v>
      </c>
      <c r="L34" s="1284">
        <f>'الصفحة 20'!$H$34</f>
        <v>0</v>
      </c>
      <c r="M34" s="1283">
        <f>'الصفحة 20'!$I$33</f>
        <v>0</v>
      </c>
      <c r="N34" s="2062">
        <f>'الصفحة 20'!$I$34</f>
        <v>0</v>
      </c>
      <c r="O34" s="1283">
        <f>'الصفحة 20'!$J$33</f>
        <v>0</v>
      </c>
      <c r="P34" s="1284">
        <f>'الصفحة 20'!$J$34</f>
        <v>0</v>
      </c>
      <c r="Q34" s="2063">
        <f>'الصفحة 20'!$K$33</f>
        <v>0</v>
      </c>
      <c r="R34" s="1284">
        <f>'الصفحة 20'!$K$34</f>
        <v>0</v>
      </c>
      <c r="S34" s="1283">
        <f>'الصفحة 20'!$L$33</f>
        <v>0</v>
      </c>
      <c r="T34" s="1284">
        <f>'الصفحة 20'!$L$34</f>
        <v>0</v>
      </c>
      <c r="U34" s="1283">
        <f>'الصفحة 20'!$M$33</f>
        <v>0</v>
      </c>
      <c r="V34" s="1284">
        <f>'الصفحة 20'!$M$34</f>
        <v>0</v>
      </c>
      <c r="W34" s="1283">
        <f>'الصفحة 20'!$N$33</f>
        <v>0</v>
      </c>
      <c r="X34" s="1284">
        <f>'الصفحة 20'!$N$34</f>
        <v>0</v>
      </c>
      <c r="Y34" s="1283">
        <f>'الصفحة 20'!$O$33</f>
        <v>0</v>
      </c>
      <c r="Z34" s="1284">
        <f>'الصفحة 20'!$O$34</f>
        <v>0</v>
      </c>
      <c r="AA34" s="768">
        <f t="shared" si="3"/>
        <v>1</v>
      </c>
      <c r="AB34" s="769">
        <f t="shared" si="4"/>
        <v>1</v>
      </c>
      <c r="AC34" s="1388" t="str">
        <f>IF(('الصفحة 1'!$Q$14&gt;0),IF((AA34&gt;0),IF(((AA34)&lt;&gt;('الصفحة 27'!K51)),"خطء",""),""),"")</f>
        <v/>
      </c>
      <c r="AD34" s="873"/>
      <c r="AE34" s="872"/>
      <c r="AF34" s="804"/>
      <c r="AG34" s="2755" t="s">
        <v>42</v>
      </c>
      <c r="AH34" s="1032"/>
      <c r="AI34" s="2780" t="str">
        <f>IF('الصفحة 27'!K51-AA34&lt;&gt;0,"خطأ"," ")</f>
        <v xml:space="preserve"> </v>
      </c>
      <c r="AJ34" s="2781" t="str">
        <f>IF('الصفحة 27'!L51-AB34&lt;&gt;0,"خطأ"," ")</f>
        <v xml:space="preserve"> </v>
      </c>
      <c r="AK34" s="1032"/>
      <c r="AL34" s="1950"/>
      <c r="AM34" s="796"/>
    </row>
    <row r="35" spans="1:39" ht="14.1" customHeight="1">
      <c r="A35" s="788"/>
      <c r="B35" s="819"/>
      <c r="C35" s="884"/>
      <c r="D35" s="655" t="s">
        <v>1210</v>
      </c>
      <c r="E35" s="1283">
        <f>'الصفحة 21'!$E$33</f>
        <v>0</v>
      </c>
      <c r="F35" s="1284">
        <f>'الصفحة 21'!$E$34</f>
        <v>0</v>
      </c>
      <c r="G35" s="1283">
        <f>'الصفحة 21'!$F$33</f>
        <v>0</v>
      </c>
      <c r="H35" s="1284">
        <f>'الصفحة 21'!$F$34</f>
        <v>0</v>
      </c>
      <c r="I35" s="1283">
        <f>'الصفحة 21'!$G$33</f>
        <v>0</v>
      </c>
      <c r="J35" s="1284">
        <f>'الصفحة 21'!$G$34</f>
        <v>0</v>
      </c>
      <c r="K35" s="1283">
        <f>'الصفحة 21'!$H$33</f>
        <v>0</v>
      </c>
      <c r="L35" s="1284">
        <f>'الصفحة 21'!$H$34</f>
        <v>0</v>
      </c>
      <c r="M35" s="1283">
        <f>'الصفحة 21'!$I$33</f>
        <v>0</v>
      </c>
      <c r="N35" s="2062">
        <f>'الصفحة 21'!$I$34</f>
        <v>0</v>
      </c>
      <c r="O35" s="1283">
        <f>'الصفحة 21'!$J$33</f>
        <v>0</v>
      </c>
      <c r="P35" s="1284">
        <f>'الصفحة 21'!$J$34</f>
        <v>0</v>
      </c>
      <c r="Q35" s="2063">
        <f>'الصفحة 21'!$K$33</f>
        <v>0</v>
      </c>
      <c r="R35" s="1284">
        <f>'الصفحة 21'!$K$34</f>
        <v>0</v>
      </c>
      <c r="S35" s="1283">
        <f>'الصفحة 21'!$L$33</f>
        <v>0</v>
      </c>
      <c r="T35" s="1284">
        <f>'الصفحة 21'!$L$34</f>
        <v>0</v>
      </c>
      <c r="U35" s="1283">
        <f>'الصفحة 21'!$M$33</f>
        <v>0</v>
      </c>
      <c r="V35" s="1284">
        <f>'الصفحة 21'!$M$34</f>
        <v>0</v>
      </c>
      <c r="W35" s="1283">
        <f>'الصفحة 21'!$N$33</f>
        <v>0</v>
      </c>
      <c r="X35" s="1284">
        <f>'الصفحة 21'!$N$34</f>
        <v>0</v>
      </c>
      <c r="Y35" s="1283">
        <f>'الصفحة 21'!$O$33</f>
        <v>0</v>
      </c>
      <c r="Z35" s="1284">
        <f>'الصفحة 21'!$O$34</f>
        <v>0</v>
      </c>
      <c r="AA35" s="768">
        <f t="shared" si="3"/>
        <v>0</v>
      </c>
      <c r="AB35" s="769">
        <f t="shared" si="4"/>
        <v>0</v>
      </c>
      <c r="AC35" s="1388" t="str">
        <f>IF(('الصفحة 1'!$Q$14&gt;0),IF((AA35&gt;0),IF(((AA35)&lt;&gt;('الصفحة 27'!K52)),"خطء",""),""),"")</f>
        <v/>
      </c>
      <c r="AD35" s="873"/>
      <c r="AE35" s="872"/>
      <c r="AF35" s="804"/>
      <c r="AG35" s="2753" t="s">
        <v>1111</v>
      </c>
      <c r="AH35" s="1032"/>
      <c r="AI35" s="2782" t="str">
        <f>IF('الصفحة 27'!K52-AA35&lt;&gt;0,"خطأ"," ")</f>
        <v xml:space="preserve"> </v>
      </c>
      <c r="AJ35" s="2783" t="str">
        <f>IF('الصفحة 27'!L52-AB35&lt;&gt;0,"خطأ"," ")</f>
        <v xml:space="preserve"> </v>
      </c>
      <c r="AK35" s="1032"/>
      <c r="AL35" s="1950"/>
      <c r="AM35" s="796"/>
    </row>
    <row r="36" spans="1:39" ht="14.1" customHeight="1">
      <c r="A36" s="788"/>
      <c r="B36" s="819"/>
      <c r="C36" s="884"/>
      <c r="D36" s="1330" t="s">
        <v>40</v>
      </c>
      <c r="E36" s="1283">
        <f>'الصفحة 22'!$E$33</f>
        <v>0</v>
      </c>
      <c r="F36" s="1284">
        <f>'الصفحة 22'!$E$34</f>
        <v>0</v>
      </c>
      <c r="G36" s="1283">
        <f>'الصفحة 22'!$F$33</f>
        <v>0</v>
      </c>
      <c r="H36" s="1284">
        <f>'الصفحة 22'!$F$34</f>
        <v>0</v>
      </c>
      <c r="I36" s="1283">
        <f>'الصفحة 22'!$G$33</f>
        <v>0</v>
      </c>
      <c r="J36" s="1284">
        <f>'الصفحة 22'!$G$34</f>
        <v>0</v>
      </c>
      <c r="K36" s="1283">
        <f>'الصفحة 22'!$H$33</f>
        <v>0</v>
      </c>
      <c r="L36" s="1284">
        <f>'الصفحة 22'!$H$34</f>
        <v>0</v>
      </c>
      <c r="M36" s="1283">
        <f>'الصفحة 22'!$I$33</f>
        <v>0</v>
      </c>
      <c r="N36" s="2062">
        <f>'الصفحة 22'!$I$34</f>
        <v>0</v>
      </c>
      <c r="O36" s="1283">
        <f>'الصفحة 22'!$J$33</f>
        <v>0</v>
      </c>
      <c r="P36" s="1284">
        <f>'الصفحة 22'!$J$34</f>
        <v>0</v>
      </c>
      <c r="Q36" s="2063">
        <f>'الصفحة 22'!$K$33</f>
        <v>0</v>
      </c>
      <c r="R36" s="1284">
        <f>'الصفحة 22'!$K$34</f>
        <v>0</v>
      </c>
      <c r="S36" s="1283">
        <f>'الصفحة 22'!$L$33</f>
        <v>0</v>
      </c>
      <c r="T36" s="1284">
        <f>'الصفحة 22'!$L$34</f>
        <v>0</v>
      </c>
      <c r="U36" s="1283">
        <f>'الصفحة 22'!$M$33</f>
        <v>0</v>
      </c>
      <c r="V36" s="1284">
        <f>'الصفحة 22'!$M$34</f>
        <v>0</v>
      </c>
      <c r="W36" s="1283">
        <f>'الصفحة 22'!$N$33</f>
        <v>0</v>
      </c>
      <c r="X36" s="1284">
        <f>'الصفحة 22'!$N$34</f>
        <v>0</v>
      </c>
      <c r="Y36" s="1283">
        <f>'الصفحة 22'!$O$33</f>
        <v>0</v>
      </c>
      <c r="Z36" s="1284">
        <f>'الصفحة 22'!$O$34</f>
        <v>0</v>
      </c>
      <c r="AA36" s="768">
        <f t="shared" si="3"/>
        <v>0</v>
      </c>
      <c r="AB36" s="769">
        <f t="shared" si="4"/>
        <v>0</v>
      </c>
      <c r="AC36" s="1388" t="str">
        <f>IF(('الصفحة 1'!$Q$14&gt;0),IF((AA36&gt;0),IF(((AA36)&lt;&gt;('الصفحة 27'!K53)),"خطء",""),""),"")</f>
        <v/>
      </c>
      <c r="AD36" s="873"/>
      <c r="AE36" s="872"/>
      <c r="AF36" s="804"/>
      <c r="AG36" s="2755" t="s">
        <v>40</v>
      </c>
      <c r="AH36" s="1032"/>
      <c r="AI36" s="2780" t="str">
        <f>IF('الصفحة 27'!K53-AA36&lt;&gt;0,"خطأ"," ")</f>
        <v xml:space="preserve"> </v>
      </c>
      <c r="AJ36" s="2781" t="str">
        <f>IF('الصفحة 27'!L53-AB36&lt;&gt;0,"خطأ"," ")</f>
        <v xml:space="preserve"> </v>
      </c>
      <c r="AK36" s="1032"/>
      <c r="AL36" s="1950"/>
      <c r="AM36" s="796"/>
    </row>
    <row r="37" spans="1:39" ht="14.1" customHeight="1">
      <c r="A37" s="788"/>
      <c r="B37" s="819"/>
      <c r="C37" s="884"/>
      <c r="D37" s="655" t="s">
        <v>39</v>
      </c>
      <c r="E37" s="1283">
        <f>'الصفحة 23'!$E$33</f>
        <v>0</v>
      </c>
      <c r="F37" s="1284">
        <f>'الصفحة 23'!$E$34</f>
        <v>0</v>
      </c>
      <c r="G37" s="1283">
        <f>'الصفحة 23'!$F$33</f>
        <v>0</v>
      </c>
      <c r="H37" s="1284">
        <f>'الصفحة 23'!$F$34</f>
        <v>0</v>
      </c>
      <c r="I37" s="1283">
        <f>'الصفحة 23'!$G$33</f>
        <v>0</v>
      </c>
      <c r="J37" s="1284">
        <f>'الصفحة 23'!$G$34</f>
        <v>0</v>
      </c>
      <c r="K37" s="1283">
        <f>'الصفحة 23'!$H$33</f>
        <v>0</v>
      </c>
      <c r="L37" s="1284">
        <f>'الصفحة 23'!$H$34</f>
        <v>0</v>
      </c>
      <c r="M37" s="1283">
        <f>'الصفحة 23'!$I$33</f>
        <v>0</v>
      </c>
      <c r="N37" s="2062">
        <f>'الصفحة 23'!$I$34</f>
        <v>0</v>
      </c>
      <c r="O37" s="1283">
        <f>'الصفحة 23'!$J$33</f>
        <v>0</v>
      </c>
      <c r="P37" s="1284">
        <f>'الصفحة 23'!$J$34</f>
        <v>0</v>
      </c>
      <c r="Q37" s="2063">
        <f>'الصفحة 23'!$K$33</f>
        <v>0</v>
      </c>
      <c r="R37" s="1284">
        <f>'الصفحة 23'!$K$34</f>
        <v>0</v>
      </c>
      <c r="S37" s="1283">
        <f>'الصفحة 23'!$L$33</f>
        <v>0</v>
      </c>
      <c r="T37" s="1284">
        <f>'الصفحة 23'!$L$34</f>
        <v>0</v>
      </c>
      <c r="U37" s="1283">
        <f>'الصفحة 23'!$M$33</f>
        <v>0</v>
      </c>
      <c r="V37" s="1284">
        <f>'الصفحة 23'!$M$34</f>
        <v>0</v>
      </c>
      <c r="W37" s="1283">
        <f>'الصفحة 23'!$N$33</f>
        <v>0</v>
      </c>
      <c r="X37" s="1284">
        <f>'الصفحة 23'!$N$34</f>
        <v>0</v>
      </c>
      <c r="Y37" s="1283">
        <f>'الصفحة 23'!$O$33</f>
        <v>0</v>
      </c>
      <c r="Z37" s="1284">
        <f>'الصفحة 23'!$O$34</f>
        <v>0</v>
      </c>
      <c r="AA37" s="768">
        <f t="shared" si="3"/>
        <v>0</v>
      </c>
      <c r="AB37" s="769">
        <f t="shared" si="4"/>
        <v>0</v>
      </c>
      <c r="AC37" s="1388" t="str">
        <f>IF(('الصفحة 1'!$Q$14&gt;0),IF((AA37&gt;0),IF(((AA37)&lt;&gt;('الصفحة 27'!K54)),"خطء",""),""),"")</f>
        <v/>
      </c>
      <c r="AD37" s="873"/>
      <c r="AE37" s="872"/>
      <c r="AF37" s="804"/>
      <c r="AG37" s="2753" t="s">
        <v>39</v>
      </c>
      <c r="AH37" s="1032"/>
      <c r="AI37" s="2782" t="str">
        <f>IF('الصفحة 27'!K54-AA37&lt;&gt;0,"خطأ"," ")</f>
        <v xml:space="preserve"> </v>
      </c>
      <c r="AJ37" s="2783" t="str">
        <f>IF('الصفحة 27'!L54-AB37&lt;&gt;0,"خطأ"," ")</f>
        <v xml:space="preserve"> </v>
      </c>
      <c r="AK37" s="1032"/>
      <c r="AL37" s="1950"/>
      <c r="AM37" s="796"/>
    </row>
    <row r="38" spans="1:39" ht="14.1" customHeight="1">
      <c r="A38" s="788"/>
      <c r="B38" s="819"/>
      <c r="C38" s="884"/>
      <c r="D38" s="1330" t="s">
        <v>38</v>
      </c>
      <c r="E38" s="1283">
        <f>'الصفحة 24'!$E$33</f>
        <v>0</v>
      </c>
      <c r="F38" s="1284">
        <f>'الصفحة 24'!$E$34</f>
        <v>0</v>
      </c>
      <c r="G38" s="1283">
        <f>'الصفحة 24'!$F$33</f>
        <v>0</v>
      </c>
      <c r="H38" s="1284">
        <f>'الصفحة 24'!$F$34</f>
        <v>0</v>
      </c>
      <c r="I38" s="1283">
        <f>'الصفحة 24'!$G$33</f>
        <v>0</v>
      </c>
      <c r="J38" s="1284">
        <f>'الصفحة 24'!$G$34</f>
        <v>0</v>
      </c>
      <c r="K38" s="1283">
        <f>'الصفحة 24'!$H$33</f>
        <v>0</v>
      </c>
      <c r="L38" s="1284">
        <f>'الصفحة 24'!$H$34</f>
        <v>0</v>
      </c>
      <c r="M38" s="1283">
        <f>'الصفحة 24'!$I$33</f>
        <v>0</v>
      </c>
      <c r="N38" s="2062">
        <f>'الصفحة 24'!$I$34</f>
        <v>0</v>
      </c>
      <c r="O38" s="1283">
        <f>'الصفحة 24'!$J$33</f>
        <v>0</v>
      </c>
      <c r="P38" s="1284">
        <f>'الصفحة 24'!$J$34</f>
        <v>0</v>
      </c>
      <c r="Q38" s="2063">
        <f>'الصفحة 24'!$K$33</f>
        <v>0</v>
      </c>
      <c r="R38" s="1284">
        <f>'الصفحة 24'!$K$34</f>
        <v>0</v>
      </c>
      <c r="S38" s="1283">
        <f>'الصفحة 24'!$L$33</f>
        <v>0</v>
      </c>
      <c r="T38" s="1284">
        <f>'الصفحة 24'!$L$34</f>
        <v>0</v>
      </c>
      <c r="U38" s="1283">
        <f>'الصفحة 24'!$M$33</f>
        <v>0</v>
      </c>
      <c r="V38" s="1284">
        <f>'الصفحة 24'!$M$34</f>
        <v>0</v>
      </c>
      <c r="W38" s="1283">
        <f>'الصفحة 24'!$N$33</f>
        <v>0</v>
      </c>
      <c r="X38" s="1284">
        <f>'الصفحة 24'!$N$34</f>
        <v>0</v>
      </c>
      <c r="Y38" s="1283">
        <f>'الصفحة 24'!$O$33</f>
        <v>0</v>
      </c>
      <c r="Z38" s="1284">
        <f>'الصفحة 24'!$O$34</f>
        <v>0</v>
      </c>
      <c r="AA38" s="768">
        <f t="shared" si="3"/>
        <v>0</v>
      </c>
      <c r="AB38" s="769">
        <f t="shared" si="4"/>
        <v>0</v>
      </c>
      <c r="AC38" s="1388" t="str">
        <f>IF(('الصفحة 1'!$Q$14&gt;0),IF((AA38&gt;0),IF(((AA38)&lt;&gt;('الصفحة 27'!K55)),"خطء",""),""),"")</f>
        <v/>
      </c>
      <c r="AD38" s="873"/>
      <c r="AE38" s="872"/>
      <c r="AF38" s="804"/>
      <c r="AG38" s="2755" t="s">
        <v>38</v>
      </c>
      <c r="AH38" s="1032"/>
      <c r="AI38" s="2780" t="str">
        <f>IF('الصفحة 27'!K55-AA38&lt;&gt;0,"خطأ"," ")</f>
        <v xml:space="preserve"> </v>
      </c>
      <c r="AJ38" s="2781" t="str">
        <f>IF('الصفحة 27'!L55-AB38&lt;&gt;0,"خطأ"," ")</f>
        <v xml:space="preserve"> </v>
      </c>
      <c r="AK38" s="1032"/>
      <c r="AL38" s="1950"/>
      <c r="AM38" s="796"/>
    </row>
    <row r="39" spans="1:39" ht="14.1" customHeight="1">
      <c r="A39" s="788"/>
      <c r="B39" s="819"/>
      <c r="C39" s="884"/>
      <c r="D39" s="655" t="s">
        <v>37</v>
      </c>
      <c r="E39" s="1283">
        <f>'الصفحة 25'!$E$33</f>
        <v>0</v>
      </c>
      <c r="F39" s="1284">
        <f>'الصفحة 25'!$E$34</f>
        <v>0</v>
      </c>
      <c r="G39" s="1283">
        <f>'الصفحة 25'!$F$33</f>
        <v>0</v>
      </c>
      <c r="H39" s="1284">
        <f>'الصفحة 25'!$F$34</f>
        <v>0</v>
      </c>
      <c r="I39" s="1283">
        <f>'الصفحة 25'!$G$33</f>
        <v>0</v>
      </c>
      <c r="J39" s="1284">
        <f>'الصفحة 25'!$G$34</f>
        <v>0</v>
      </c>
      <c r="K39" s="1283">
        <f>'الصفحة 25'!$H$33</f>
        <v>0</v>
      </c>
      <c r="L39" s="1284">
        <f>'الصفحة 25'!$H$34</f>
        <v>0</v>
      </c>
      <c r="M39" s="1283">
        <f>'الصفحة 25'!$I$33</f>
        <v>0</v>
      </c>
      <c r="N39" s="2062">
        <f>'الصفحة 25'!$I$34</f>
        <v>0</v>
      </c>
      <c r="O39" s="1283">
        <f>'الصفحة 25'!$J$33</f>
        <v>0</v>
      </c>
      <c r="P39" s="1284">
        <f>'الصفحة 25'!$J$34</f>
        <v>0</v>
      </c>
      <c r="Q39" s="2063">
        <f>'الصفحة 25'!$K$33</f>
        <v>0</v>
      </c>
      <c r="R39" s="1284">
        <f>'الصفحة 25'!$K$34</f>
        <v>0</v>
      </c>
      <c r="S39" s="1283">
        <f>'الصفحة 25'!$L$33</f>
        <v>0</v>
      </c>
      <c r="T39" s="1284">
        <f>'الصفحة 25'!$L$34</f>
        <v>0</v>
      </c>
      <c r="U39" s="1283">
        <f>'الصفحة 25'!$M$33</f>
        <v>0</v>
      </c>
      <c r="V39" s="1284">
        <f>'الصفحة 25'!$M$34</f>
        <v>0</v>
      </c>
      <c r="W39" s="1283">
        <f>'الصفحة 25'!$N$33</f>
        <v>0</v>
      </c>
      <c r="X39" s="1284">
        <f>'الصفحة 25'!$N$34</f>
        <v>0</v>
      </c>
      <c r="Y39" s="1283">
        <f>'الصفحة 25'!$O$33</f>
        <v>0</v>
      </c>
      <c r="Z39" s="1284">
        <f>'الصفحة 25'!$O$34</f>
        <v>0</v>
      </c>
      <c r="AA39" s="768">
        <f t="shared" si="3"/>
        <v>0</v>
      </c>
      <c r="AB39" s="769">
        <f t="shared" si="4"/>
        <v>0</v>
      </c>
      <c r="AC39" s="1388" t="str">
        <f>IF(('الصفحة 1'!$Q$14&gt;0),IF((AA39&gt;0),IF(((AA39)&lt;&gt;('الصفحة 27'!K56)),"خطء",""),""),"")</f>
        <v/>
      </c>
      <c r="AD39" s="873"/>
      <c r="AE39" s="872"/>
      <c r="AF39" s="804"/>
      <c r="AG39" s="2753" t="s">
        <v>37</v>
      </c>
      <c r="AH39" s="1032"/>
      <c r="AI39" s="2782" t="str">
        <f>IF('الصفحة 27'!K56-AA39&lt;&gt;0,"خطأ"," ")</f>
        <v xml:space="preserve"> </v>
      </c>
      <c r="AJ39" s="2783" t="str">
        <f>IF('الصفحة 27'!L56-AB39&lt;&gt;0,"خطأ"," ")</f>
        <v xml:space="preserve"> </v>
      </c>
      <c r="AK39" s="1032"/>
      <c r="AL39" s="1950"/>
      <c r="AM39" s="796"/>
    </row>
    <row r="40" spans="1:39" ht="14.1" customHeight="1">
      <c r="A40" s="788"/>
      <c r="B40" s="819"/>
      <c r="C40" s="884"/>
      <c r="D40" s="1330" t="s">
        <v>48</v>
      </c>
      <c r="E40" s="1283">
        <f>'الصفحة 26'!$E$33</f>
        <v>0</v>
      </c>
      <c r="F40" s="1284">
        <f>'الصفحة 26'!$E$34</f>
        <v>0</v>
      </c>
      <c r="G40" s="1283">
        <f>'الصفحة 26'!$F$33</f>
        <v>0</v>
      </c>
      <c r="H40" s="1284">
        <f>'الصفحة 26'!$F$34</f>
        <v>0</v>
      </c>
      <c r="I40" s="1283">
        <f>'الصفحة 26'!$G$33</f>
        <v>0</v>
      </c>
      <c r="J40" s="1284">
        <f>'الصفحة 26'!$G$34</f>
        <v>0</v>
      </c>
      <c r="K40" s="1283">
        <f>'الصفحة 26'!$H$33</f>
        <v>0</v>
      </c>
      <c r="L40" s="1284">
        <f>'الصفحة 26'!$H$34</f>
        <v>0</v>
      </c>
      <c r="M40" s="1283">
        <f>'الصفحة 26'!$I$33</f>
        <v>0</v>
      </c>
      <c r="N40" s="2062">
        <f>'الصفحة 26'!$I$34</f>
        <v>0</v>
      </c>
      <c r="O40" s="1283">
        <f>'الصفحة 26'!$J$33</f>
        <v>0</v>
      </c>
      <c r="P40" s="1284">
        <f>'الصفحة 26'!$J$34</f>
        <v>0</v>
      </c>
      <c r="Q40" s="2063">
        <f>'الصفحة 26'!$K$33</f>
        <v>0</v>
      </c>
      <c r="R40" s="1284">
        <f>'الصفحة 26'!$K$34</f>
        <v>0</v>
      </c>
      <c r="S40" s="1283">
        <f>'الصفحة 26'!$L$33</f>
        <v>0</v>
      </c>
      <c r="T40" s="1284">
        <f>'الصفحة 26'!$L$34</f>
        <v>0</v>
      </c>
      <c r="U40" s="1283">
        <f>'الصفحة 26'!$M$33</f>
        <v>0</v>
      </c>
      <c r="V40" s="1284">
        <f>'الصفحة 26'!$M$34</f>
        <v>0</v>
      </c>
      <c r="W40" s="1283">
        <f>'الصفحة 26'!$N$33</f>
        <v>0</v>
      </c>
      <c r="X40" s="1284">
        <f>'الصفحة 26'!$N$34</f>
        <v>0</v>
      </c>
      <c r="Y40" s="1283">
        <f>'الصفحة 26'!$O$33</f>
        <v>0</v>
      </c>
      <c r="Z40" s="1284">
        <f>'الصفحة 26'!$O$34</f>
        <v>0</v>
      </c>
      <c r="AA40" s="770">
        <f>E40+G40+I40+K40+M40+O40+Q40+S40+U40+W40+Y40</f>
        <v>0</v>
      </c>
      <c r="AB40" s="771">
        <f>F40+H40+J40+L40+N40+P40+R40+T40+V40+X40+Z40</f>
        <v>0</v>
      </c>
      <c r="AC40" s="1388" t="str">
        <f>IF(('الصفحة 1'!$Q$14&gt;0),IF((AA40&gt;0),IF(((AA40)&lt;&gt;('الصفحة 27'!K57)),"خطء",""),""),"")</f>
        <v/>
      </c>
      <c r="AD40" s="873"/>
      <c r="AE40" s="872"/>
      <c r="AF40" s="804"/>
      <c r="AG40" s="2755" t="s">
        <v>48</v>
      </c>
      <c r="AH40" s="1032"/>
      <c r="AI40" s="2784" t="str">
        <f>IF('الصفحة 27'!K57-AA40&lt;&gt;0,"خطأ"," ")</f>
        <v xml:space="preserve"> </v>
      </c>
      <c r="AJ40" s="2785" t="str">
        <f>IF('الصفحة 27'!L57-AB40&lt;&gt;0,"خطأ"," ")</f>
        <v xml:space="preserve"> </v>
      </c>
      <c r="AK40" s="1032"/>
      <c r="AL40" s="1950"/>
      <c r="AM40" s="796"/>
    </row>
    <row r="41" spans="1:39" ht="14.1" customHeight="1">
      <c r="A41" s="788"/>
      <c r="B41" s="819"/>
      <c r="C41" s="884"/>
      <c r="D41" s="2266" t="s">
        <v>28</v>
      </c>
      <c r="E41" s="772">
        <f>SUM(E29:E40)</f>
        <v>5</v>
      </c>
      <c r="F41" s="773">
        <f t="shared" ref="F41:AB41" si="5">SUM(F29:F40)</f>
        <v>5</v>
      </c>
      <c r="G41" s="772">
        <f t="shared" si="5"/>
        <v>1</v>
      </c>
      <c r="H41" s="773">
        <f t="shared" si="5"/>
        <v>1</v>
      </c>
      <c r="I41" s="772">
        <f t="shared" si="5"/>
        <v>0</v>
      </c>
      <c r="J41" s="773">
        <f t="shared" si="5"/>
        <v>0</v>
      </c>
      <c r="K41" s="772">
        <f t="shared" si="5"/>
        <v>0</v>
      </c>
      <c r="L41" s="773">
        <f t="shared" si="5"/>
        <v>0</v>
      </c>
      <c r="M41" s="772">
        <f t="shared" si="5"/>
        <v>0</v>
      </c>
      <c r="N41" s="1000">
        <f t="shared" si="5"/>
        <v>0</v>
      </c>
      <c r="O41" s="772">
        <f t="shared" si="5"/>
        <v>0</v>
      </c>
      <c r="P41" s="773">
        <f t="shared" si="5"/>
        <v>0</v>
      </c>
      <c r="Q41" s="1001">
        <f t="shared" si="5"/>
        <v>0</v>
      </c>
      <c r="R41" s="773">
        <f t="shared" si="5"/>
        <v>0</v>
      </c>
      <c r="S41" s="772">
        <f t="shared" si="5"/>
        <v>0</v>
      </c>
      <c r="T41" s="773">
        <f t="shared" si="5"/>
        <v>0</v>
      </c>
      <c r="U41" s="772">
        <f t="shared" si="5"/>
        <v>0</v>
      </c>
      <c r="V41" s="773">
        <f t="shared" si="5"/>
        <v>0</v>
      </c>
      <c r="W41" s="772">
        <f t="shared" si="5"/>
        <v>0</v>
      </c>
      <c r="X41" s="773">
        <f t="shared" si="5"/>
        <v>0</v>
      </c>
      <c r="Y41" s="772">
        <f t="shared" si="5"/>
        <v>0</v>
      </c>
      <c r="Z41" s="773">
        <f t="shared" si="5"/>
        <v>0</v>
      </c>
      <c r="AA41" s="772">
        <f t="shared" si="5"/>
        <v>6</v>
      </c>
      <c r="AB41" s="773">
        <f t="shared" si="5"/>
        <v>6</v>
      </c>
      <c r="AC41" s="1388" t="str">
        <f>IF(('الصفحة 1'!$Q$14&gt;0),IF((AA41&gt;0),IF(((AA41)&lt;&gt;('الصفحة 27'!K58)),"خطء",""),""),"")</f>
        <v/>
      </c>
      <c r="AD41" s="873"/>
      <c r="AE41" s="872"/>
      <c r="AF41" s="804"/>
      <c r="AG41" s="1032"/>
      <c r="AH41" s="1032"/>
      <c r="AI41" s="1032"/>
      <c r="AJ41" s="1032"/>
      <c r="AK41" s="2772"/>
      <c r="AL41" s="1950"/>
      <c r="AM41" s="796"/>
    </row>
    <row r="42" spans="1:39" ht="14.1" customHeight="1">
      <c r="A42" s="788"/>
      <c r="B42" s="819"/>
      <c r="C42" s="884"/>
      <c r="D42" s="2056"/>
      <c r="E42" s="2057"/>
      <c r="F42" s="2057"/>
      <c r="G42" s="2057"/>
      <c r="H42" s="2057"/>
      <c r="I42" s="2057"/>
      <c r="J42" s="2057"/>
      <c r="K42" s="2057"/>
      <c r="L42" s="2057"/>
      <c r="M42" s="2057"/>
      <c r="N42" s="2057"/>
      <c r="O42" s="2057"/>
      <c r="P42" s="2057"/>
      <c r="Q42" s="2057"/>
      <c r="R42" s="2057"/>
      <c r="S42" s="2057"/>
      <c r="T42" s="2057"/>
      <c r="U42" s="2057"/>
      <c r="V42" s="2057"/>
      <c r="W42" s="2057"/>
      <c r="X42" s="2057"/>
      <c r="Y42" s="2057"/>
      <c r="Z42" s="2057"/>
      <c r="AA42" s="2057"/>
      <c r="AB42" s="2057"/>
      <c r="AC42" s="661"/>
      <c r="AD42" s="873"/>
      <c r="AE42" s="872"/>
      <c r="AF42" s="804"/>
      <c r="AG42" s="1032"/>
      <c r="AH42" s="1032"/>
      <c r="AI42" s="1032"/>
      <c r="AJ42" s="1032"/>
      <c r="AK42" s="2772"/>
      <c r="AL42" s="1950"/>
      <c r="AM42" s="796"/>
    </row>
    <row r="43" spans="1:39" ht="2.1" customHeight="1">
      <c r="A43" s="788"/>
      <c r="B43" s="819"/>
      <c r="C43" s="884"/>
      <c r="D43" s="2056"/>
      <c r="E43" s="1922"/>
      <c r="F43" s="1922"/>
      <c r="G43" s="1922"/>
      <c r="H43" s="1922"/>
      <c r="I43" s="1922"/>
      <c r="J43" s="1922"/>
      <c r="K43" s="1922"/>
      <c r="L43" s="1922"/>
      <c r="M43" s="1922"/>
      <c r="N43" s="1922"/>
      <c r="O43" s="1922"/>
      <c r="P43" s="1922"/>
      <c r="Q43" s="1922"/>
      <c r="R43" s="1922"/>
      <c r="S43" s="1922"/>
      <c r="T43" s="1922"/>
      <c r="U43" s="1922"/>
      <c r="V43" s="1922"/>
      <c r="W43" s="1922"/>
      <c r="X43" s="1922"/>
      <c r="Y43" s="1922"/>
      <c r="Z43" s="1922"/>
      <c r="AA43" s="1922"/>
      <c r="AB43" s="1922"/>
      <c r="AC43" s="661"/>
      <c r="AD43" s="873"/>
      <c r="AE43" s="872"/>
      <c r="AF43" s="804"/>
      <c r="AG43" s="1032"/>
      <c r="AH43" s="1032"/>
      <c r="AI43" s="1032"/>
      <c r="AJ43" s="1032"/>
      <c r="AK43" s="2772"/>
      <c r="AL43" s="1950"/>
      <c r="AM43" s="796"/>
    </row>
    <row r="44" spans="1:39" ht="8.1" customHeight="1" thickBot="1">
      <c r="A44" s="788"/>
      <c r="B44" s="819"/>
      <c r="C44" s="885"/>
      <c r="D44" s="888"/>
      <c r="E44" s="888"/>
      <c r="F44" s="888"/>
      <c r="G44" s="888"/>
      <c r="H44" s="888"/>
      <c r="I44" s="888"/>
      <c r="J44" s="888"/>
      <c r="K44" s="888"/>
      <c r="L44" s="888"/>
      <c r="M44" s="888"/>
      <c r="N44" s="888"/>
      <c r="O44" s="888"/>
      <c r="P44" s="888"/>
      <c r="Q44" s="888"/>
      <c r="R44" s="888"/>
      <c r="S44" s="888"/>
      <c r="T44" s="888"/>
      <c r="U44" s="888"/>
      <c r="V44" s="888"/>
      <c r="W44" s="888"/>
      <c r="X44" s="888"/>
      <c r="Y44" s="888"/>
      <c r="Z44" s="888"/>
      <c r="AA44" s="888"/>
      <c r="AB44" s="888"/>
      <c r="AC44" s="888"/>
      <c r="AD44" s="889"/>
      <c r="AE44" s="872"/>
      <c r="AF44" s="804"/>
      <c r="AG44" s="1032"/>
      <c r="AH44" s="1032"/>
      <c r="AI44" s="1032"/>
      <c r="AJ44" s="1032"/>
      <c r="AK44" s="2772"/>
      <c r="AL44" s="1950"/>
      <c r="AM44" s="796"/>
    </row>
    <row r="45" spans="1:39" ht="14.1" customHeight="1" thickBot="1">
      <c r="A45" s="788"/>
      <c r="B45" s="823"/>
      <c r="C45" s="4399">
        <v>30</v>
      </c>
      <c r="D45" s="4399"/>
      <c r="E45" s="4399"/>
      <c r="F45" s="4399"/>
      <c r="G45" s="4399"/>
      <c r="H45" s="4399"/>
      <c r="I45" s="4399"/>
      <c r="J45" s="4399"/>
      <c r="K45" s="4399"/>
      <c r="L45" s="4399"/>
      <c r="M45" s="4399"/>
      <c r="N45" s="4399"/>
      <c r="O45" s="4399"/>
      <c r="P45" s="4399"/>
      <c r="Q45" s="4399"/>
      <c r="R45" s="4399"/>
      <c r="S45" s="4399"/>
      <c r="T45" s="4399"/>
      <c r="U45" s="4399"/>
      <c r="V45" s="4399"/>
      <c r="W45" s="4399"/>
      <c r="X45" s="4399"/>
      <c r="Y45" s="4399"/>
      <c r="Z45" s="4399"/>
      <c r="AA45" s="4399"/>
      <c r="AB45" s="4399"/>
      <c r="AC45" s="4399"/>
      <c r="AD45" s="4399"/>
      <c r="AE45" s="875"/>
      <c r="AF45" s="789"/>
      <c r="AG45" s="2772"/>
      <c r="AH45" s="2772"/>
      <c r="AI45" s="2772"/>
      <c r="AJ45" s="2772"/>
      <c r="AK45" s="2772"/>
      <c r="AL45" s="1950"/>
      <c r="AM45" s="796"/>
    </row>
    <row r="46" spans="1:39" ht="14.1" customHeight="1">
      <c r="A46" s="788"/>
      <c r="B46" s="1027" t="str">
        <f>'صفحة الدفتـر'!$B$68</f>
        <v>السنة الدراسية  2022 - 2023</v>
      </c>
      <c r="C46" s="789"/>
      <c r="D46" s="789"/>
      <c r="E46" s="789"/>
      <c r="F46" s="789"/>
      <c r="G46" s="789"/>
      <c r="H46" s="789"/>
      <c r="I46" s="789"/>
      <c r="J46" s="789"/>
      <c r="K46" s="789"/>
      <c r="L46" s="789"/>
      <c r="M46" s="789"/>
      <c r="N46" s="789"/>
      <c r="O46" s="789"/>
      <c r="P46" s="789"/>
      <c r="Q46" s="789"/>
      <c r="R46" s="789"/>
      <c r="S46" s="789"/>
      <c r="T46" s="789"/>
      <c r="U46" s="789"/>
      <c r="V46" s="789"/>
      <c r="W46" s="789"/>
      <c r="X46" s="789"/>
      <c r="Y46" s="789"/>
      <c r="Z46" s="789"/>
      <c r="AA46" s="789"/>
      <c r="AB46" s="789"/>
      <c r="AC46" s="789"/>
      <c r="AD46" s="789"/>
      <c r="AE46" s="789"/>
      <c r="AF46" s="789"/>
      <c r="AG46" s="789"/>
      <c r="AH46" s="789"/>
      <c r="AI46" s="789"/>
      <c r="AJ46" s="789"/>
      <c r="AK46" s="789"/>
      <c r="AL46" s="796"/>
      <c r="AM46" s="796"/>
    </row>
  </sheetData>
  <sheetProtection password="D8D3" sheet="1" objects="1" scenarios="1"/>
  <mergeCells count="34">
    <mergeCell ref="AG27:AJ27"/>
    <mergeCell ref="S8:T8"/>
    <mergeCell ref="M8:N8"/>
    <mergeCell ref="M27:N27"/>
    <mergeCell ref="S27:T27"/>
    <mergeCell ref="W8:X8"/>
    <mergeCell ref="AI25:AJ25"/>
    <mergeCell ref="U8:V8"/>
    <mergeCell ref="E8:F8"/>
    <mergeCell ref="G8:H8"/>
    <mergeCell ref="E27:F27"/>
    <mergeCell ref="I8:J8"/>
    <mergeCell ref="O27:P27"/>
    <mergeCell ref="G27:H27"/>
    <mergeCell ref="K8:L8"/>
    <mergeCell ref="I27:J27"/>
    <mergeCell ref="K27:L27"/>
    <mergeCell ref="C45:AD45"/>
    <mergeCell ref="U27:V27"/>
    <mergeCell ref="W27:X27"/>
    <mergeCell ref="Y27:Z27"/>
    <mergeCell ref="Q27:R27"/>
    <mergeCell ref="AA27:AB27"/>
    <mergeCell ref="Y6:Z6"/>
    <mergeCell ref="Y25:Z25"/>
    <mergeCell ref="AG6:AK7"/>
    <mergeCell ref="O8:P8"/>
    <mergeCell ref="AG2:AL4"/>
    <mergeCell ref="AI22:AJ22"/>
    <mergeCell ref="AA8:AB8"/>
    <mergeCell ref="AG22:AG23"/>
    <mergeCell ref="Q8:R8"/>
    <mergeCell ref="AI23:AJ23"/>
    <mergeCell ref="Y8:Z8"/>
  </mergeCells>
  <conditionalFormatting sqref="Y10:Y21 Y23 W10:W21 W23 U10:U21 U23 S10:S21 S23 Q10:Q21 Q23 O10:O21 O23 M10:M21 M23 K10:K21 K23 I10:I21 I23 G10:G21 G23 E10:E21 E23 Y29:Y40 Y42:Y43 W29:W40 W42:W43 U29:U40 U42:U43 S29:S40 S42:S43 Q29:Q40 Q42:Q43 O29:O40 O42:O43 M29:M40 M42:M43 K29:K40 K42:K43 I29:I40 I42:I43 G29:G40 G42:G43 E29:E40 E42:E43">
    <cfRule type="cellIs" dxfId="1296" priority="510" stopIfTrue="1" operator="equal">
      <formula>0</formula>
    </cfRule>
  </conditionalFormatting>
  <conditionalFormatting sqref="X29:X37">
    <cfRule type="cellIs" dxfId="1295" priority="508" stopIfTrue="1" operator="greaterThan">
      <formula>W29</formula>
    </cfRule>
    <cfRule type="cellIs" dxfId="1294" priority="509" stopIfTrue="1" operator="equal">
      <formula>0</formula>
    </cfRule>
  </conditionalFormatting>
  <conditionalFormatting sqref="Z29:Z37">
    <cfRule type="cellIs" dxfId="1293" priority="505" stopIfTrue="1" operator="greaterThan">
      <formula>Y29</formula>
    </cfRule>
    <cfRule type="cellIs" dxfId="1292" priority="506" stopIfTrue="1" operator="equal">
      <formula>0</formula>
    </cfRule>
  </conditionalFormatting>
  <conditionalFormatting sqref="X38:X40">
    <cfRule type="cellIs" dxfId="1291" priority="500" stopIfTrue="1" operator="greaterThan">
      <formula>W38</formula>
    </cfRule>
    <cfRule type="cellIs" dxfId="1290" priority="501" stopIfTrue="1" operator="equal">
      <formula>0</formula>
    </cfRule>
  </conditionalFormatting>
  <conditionalFormatting sqref="Z38:Z40">
    <cfRule type="cellIs" dxfId="1289" priority="497" stopIfTrue="1" operator="greaterThan">
      <formula>Y38</formula>
    </cfRule>
    <cfRule type="cellIs" dxfId="1288" priority="498" stopIfTrue="1" operator="equal">
      <formula>0</formula>
    </cfRule>
  </conditionalFormatting>
  <conditionalFormatting sqref="Z41">
    <cfRule type="cellIs" dxfId="1287" priority="490" stopIfTrue="1" operator="greaterThan">
      <formula>Y41</formula>
    </cfRule>
    <cfRule type="cellIs" dxfId="1286" priority="491" stopIfTrue="1" operator="equal">
      <formula>0</formula>
    </cfRule>
  </conditionalFormatting>
  <conditionalFormatting sqref="Z42:Z43">
    <cfRule type="cellIs" dxfId="1285" priority="487" stopIfTrue="1" operator="greaterThan">
      <formula>Y42</formula>
    </cfRule>
    <cfRule type="cellIs" dxfId="1284" priority="488" stopIfTrue="1" operator="equal">
      <formula>0</formula>
    </cfRule>
  </conditionalFormatting>
  <conditionalFormatting sqref="X29:X37">
    <cfRule type="cellIs" dxfId="1283" priority="482" stopIfTrue="1" operator="greaterThan">
      <formula>W29</formula>
    </cfRule>
    <cfRule type="cellIs" dxfId="1282" priority="483" stopIfTrue="1" operator="equal">
      <formula>0</formula>
    </cfRule>
  </conditionalFormatting>
  <conditionalFormatting sqref="X38:X40">
    <cfRule type="cellIs" dxfId="1281" priority="479" stopIfTrue="1" operator="greaterThan">
      <formula>W38</formula>
    </cfRule>
    <cfRule type="cellIs" dxfId="1280" priority="480" stopIfTrue="1" operator="equal">
      <formula>0</formula>
    </cfRule>
  </conditionalFormatting>
  <conditionalFormatting sqref="W41 U41 S41 Q41 O41 M41 K41 I41 G41 E41">
    <cfRule type="cellIs" dxfId="1279" priority="478" stopIfTrue="1" operator="equal">
      <formula>0</formula>
    </cfRule>
  </conditionalFormatting>
  <conditionalFormatting sqref="X41">
    <cfRule type="cellIs" dxfId="1278" priority="476" stopIfTrue="1" operator="greaterThan">
      <formula>W41</formula>
    </cfRule>
    <cfRule type="cellIs" dxfId="1277" priority="477" stopIfTrue="1" operator="equal">
      <formula>0</formula>
    </cfRule>
  </conditionalFormatting>
  <conditionalFormatting sqref="X42:X43">
    <cfRule type="cellIs" dxfId="1276" priority="473" stopIfTrue="1" operator="greaterThan">
      <formula>W42</formula>
    </cfRule>
    <cfRule type="cellIs" dxfId="1275" priority="474" stopIfTrue="1" operator="equal">
      <formula>0</formula>
    </cfRule>
  </conditionalFormatting>
  <conditionalFormatting sqref="V29:V37">
    <cfRule type="cellIs" dxfId="1274" priority="470" stopIfTrue="1" operator="greaterThan">
      <formula>U29</formula>
    </cfRule>
    <cfRule type="cellIs" dxfId="1273" priority="471" stopIfTrue="1" operator="equal">
      <formula>0</formula>
    </cfRule>
  </conditionalFormatting>
  <conditionalFormatting sqref="V38:V40">
    <cfRule type="cellIs" dxfId="1272" priority="467" stopIfTrue="1" operator="greaterThan">
      <formula>U38</formula>
    </cfRule>
    <cfRule type="cellIs" dxfId="1271" priority="468" stopIfTrue="1" operator="equal">
      <formula>0</formula>
    </cfRule>
  </conditionalFormatting>
  <conditionalFormatting sqref="V41">
    <cfRule type="cellIs" dxfId="1270" priority="464" stopIfTrue="1" operator="greaterThan">
      <formula>U41</formula>
    </cfRule>
    <cfRule type="cellIs" dxfId="1269" priority="465" stopIfTrue="1" operator="equal">
      <formula>0</formula>
    </cfRule>
  </conditionalFormatting>
  <conditionalFormatting sqref="V42:V43">
    <cfRule type="cellIs" dxfId="1268" priority="461" stopIfTrue="1" operator="greaterThan">
      <formula>U42</formula>
    </cfRule>
    <cfRule type="cellIs" dxfId="1267" priority="462" stopIfTrue="1" operator="equal">
      <formula>0</formula>
    </cfRule>
  </conditionalFormatting>
  <conditionalFormatting sqref="T29:T37">
    <cfRule type="cellIs" dxfId="1266" priority="458" stopIfTrue="1" operator="greaterThan">
      <formula>S29</formula>
    </cfRule>
    <cfRule type="cellIs" dxfId="1265" priority="459" stopIfTrue="1" operator="equal">
      <formula>0</formula>
    </cfRule>
  </conditionalFormatting>
  <conditionalFormatting sqref="T38:T40">
    <cfRule type="cellIs" dxfId="1264" priority="455" stopIfTrue="1" operator="greaterThan">
      <formula>S38</formula>
    </cfRule>
    <cfRule type="cellIs" dxfId="1263" priority="456" stopIfTrue="1" operator="equal">
      <formula>0</formula>
    </cfRule>
  </conditionalFormatting>
  <conditionalFormatting sqref="T41">
    <cfRule type="cellIs" dxfId="1262" priority="452" stopIfTrue="1" operator="greaterThan">
      <formula>S41</formula>
    </cfRule>
    <cfRule type="cellIs" dxfId="1261" priority="453" stopIfTrue="1" operator="equal">
      <formula>0</formula>
    </cfRule>
  </conditionalFormatting>
  <conditionalFormatting sqref="T42:T43">
    <cfRule type="cellIs" dxfId="1260" priority="449" stopIfTrue="1" operator="greaterThan">
      <formula>S42</formula>
    </cfRule>
    <cfRule type="cellIs" dxfId="1259" priority="450" stopIfTrue="1" operator="equal">
      <formula>0</formula>
    </cfRule>
  </conditionalFormatting>
  <conditionalFormatting sqref="P29:P37">
    <cfRule type="cellIs" dxfId="1258" priority="446" stopIfTrue="1" operator="greaterThan">
      <formula>O29</formula>
    </cfRule>
    <cfRule type="cellIs" dxfId="1257" priority="447" stopIfTrue="1" operator="equal">
      <formula>0</formula>
    </cfRule>
  </conditionalFormatting>
  <conditionalFormatting sqref="R29:R37">
    <cfRule type="cellIs" dxfId="1256" priority="443" stopIfTrue="1" operator="greaterThan">
      <formula>Q29</formula>
    </cfRule>
    <cfRule type="cellIs" dxfId="1255" priority="444" stopIfTrue="1" operator="equal">
      <formula>0</formula>
    </cfRule>
  </conditionalFormatting>
  <conditionalFormatting sqref="P38:P40">
    <cfRule type="cellIs" dxfId="1254" priority="440" stopIfTrue="1" operator="greaterThan">
      <formula>O38</formula>
    </cfRule>
    <cfRule type="cellIs" dxfId="1253" priority="441" stopIfTrue="1" operator="equal">
      <formula>0</formula>
    </cfRule>
  </conditionalFormatting>
  <conditionalFormatting sqref="R38:R40">
    <cfRule type="cellIs" dxfId="1252" priority="437" stopIfTrue="1" operator="greaterThan">
      <formula>Q38</formula>
    </cfRule>
    <cfRule type="cellIs" dxfId="1251" priority="438" stopIfTrue="1" operator="equal">
      <formula>0</formula>
    </cfRule>
  </conditionalFormatting>
  <conditionalFormatting sqref="R41">
    <cfRule type="cellIs" dxfId="1250" priority="434" stopIfTrue="1" operator="greaterThan">
      <formula>Q41</formula>
    </cfRule>
    <cfRule type="cellIs" dxfId="1249" priority="435" stopIfTrue="1" operator="equal">
      <formula>0</formula>
    </cfRule>
  </conditionalFormatting>
  <conditionalFormatting sqref="R42:R43">
    <cfRule type="cellIs" dxfId="1248" priority="431" stopIfTrue="1" operator="greaterThan">
      <formula>Q42</formula>
    </cfRule>
    <cfRule type="cellIs" dxfId="1247" priority="432" stopIfTrue="1" operator="equal">
      <formula>0</formula>
    </cfRule>
  </conditionalFormatting>
  <conditionalFormatting sqref="P29:P37">
    <cfRule type="cellIs" dxfId="1246" priority="428" stopIfTrue="1" operator="greaterThan">
      <formula>O29</formula>
    </cfRule>
    <cfRule type="cellIs" dxfId="1245" priority="429" stopIfTrue="1" operator="equal">
      <formula>0</formula>
    </cfRule>
  </conditionalFormatting>
  <conditionalFormatting sqref="P38:P40">
    <cfRule type="cellIs" dxfId="1244" priority="425" stopIfTrue="1" operator="greaterThan">
      <formula>O38</formula>
    </cfRule>
    <cfRule type="cellIs" dxfId="1243" priority="426" stopIfTrue="1" operator="equal">
      <formula>0</formula>
    </cfRule>
  </conditionalFormatting>
  <conditionalFormatting sqref="P41">
    <cfRule type="cellIs" dxfId="1242" priority="422" stopIfTrue="1" operator="greaterThan">
      <formula>O41</formula>
    </cfRule>
    <cfRule type="cellIs" dxfId="1241" priority="423" stopIfTrue="1" operator="equal">
      <formula>0</formula>
    </cfRule>
  </conditionalFormatting>
  <conditionalFormatting sqref="P42:P43">
    <cfRule type="cellIs" dxfId="1240" priority="419" stopIfTrue="1" operator="greaterThan">
      <formula>O42</formula>
    </cfRule>
    <cfRule type="cellIs" dxfId="1239" priority="420" stopIfTrue="1" operator="equal">
      <formula>0</formula>
    </cfRule>
  </conditionalFormatting>
  <conditionalFormatting sqref="N29:N37">
    <cfRule type="cellIs" dxfId="1238" priority="416" stopIfTrue="1" operator="greaterThan">
      <formula>M29</formula>
    </cfRule>
    <cfRule type="cellIs" dxfId="1237" priority="417" stopIfTrue="1" operator="equal">
      <formula>0</formula>
    </cfRule>
  </conditionalFormatting>
  <conditionalFormatting sqref="N38:N40">
    <cfRule type="cellIs" dxfId="1236" priority="413" stopIfTrue="1" operator="greaterThan">
      <formula>M38</formula>
    </cfRule>
    <cfRule type="cellIs" dxfId="1235" priority="414" stopIfTrue="1" operator="equal">
      <formula>0</formula>
    </cfRule>
  </conditionalFormatting>
  <conditionalFormatting sqref="N41">
    <cfRule type="cellIs" dxfId="1234" priority="410" stopIfTrue="1" operator="greaterThan">
      <formula>M41</formula>
    </cfRule>
    <cfRule type="cellIs" dxfId="1233" priority="411" stopIfTrue="1" operator="equal">
      <formula>0</formula>
    </cfRule>
  </conditionalFormatting>
  <conditionalFormatting sqref="N42:N43">
    <cfRule type="cellIs" dxfId="1232" priority="407" stopIfTrue="1" operator="greaterThan">
      <formula>M42</formula>
    </cfRule>
    <cfRule type="cellIs" dxfId="1231" priority="408" stopIfTrue="1" operator="equal">
      <formula>0</formula>
    </cfRule>
  </conditionalFormatting>
  <conditionalFormatting sqref="L29:L37">
    <cfRule type="cellIs" dxfId="1230" priority="404" stopIfTrue="1" operator="greaterThan">
      <formula>K29</formula>
    </cfRule>
    <cfRule type="cellIs" dxfId="1229" priority="405" stopIfTrue="1" operator="equal">
      <formula>0</formula>
    </cfRule>
  </conditionalFormatting>
  <conditionalFormatting sqref="L38:L40">
    <cfRule type="cellIs" dxfId="1228" priority="401" stopIfTrue="1" operator="greaterThan">
      <formula>K38</formula>
    </cfRule>
    <cfRule type="cellIs" dxfId="1227" priority="402" stopIfTrue="1" operator="equal">
      <formula>0</formula>
    </cfRule>
  </conditionalFormatting>
  <conditionalFormatting sqref="L41">
    <cfRule type="cellIs" dxfId="1226" priority="398" stopIfTrue="1" operator="greaterThan">
      <formula>K41</formula>
    </cfRule>
    <cfRule type="cellIs" dxfId="1225" priority="399" stopIfTrue="1" operator="equal">
      <formula>0</formula>
    </cfRule>
  </conditionalFormatting>
  <conditionalFormatting sqref="L42:L43">
    <cfRule type="cellIs" dxfId="1224" priority="395" stopIfTrue="1" operator="greaterThan">
      <formula>K42</formula>
    </cfRule>
    <cfRule type="cellIs" dxfId="1223" priority="396" stopIfTrue="1" operator="equal">
      <formula>0</formula>
    </cfRule>
  </conditionalFormatting>
  <conditionalFormatting sqref="J29:J37">
    <cfRule type="cellIs" dxfId="1222" priority="392" stopIfTrue="1" operator="greaterThan">
      <formula>I29</formula>
    </cfRule>
    <cfRule type="cellIs" dxfId="1221" priority="393" stopIfTrue="1" operator="equal">
      <formula>0</formula>
    </cfRule>
  </conditionalFormatting>
  <conditionalFormatting sqref="L29:L37">
    <cfRule type="cellIs" dxfId="1220" priority="389" stopIfTrue="1" operator="greaterThan">
      <formula>K29</formula>
    </cfRule>
    <cfRule type="cellIs" dxfId="1219" priority="390" stopIfTrue="1" operator="equal">
      <formula>0</formula>
    </cfRule>
  </conditionalFormatting>
  <conditionalFormatting sqref="J38:J40">
    <cfRule type="cellIs" dxfId="1218" priority="386" stopIfTrue="1" operator="greaterThan">
      <formula>I38</formula>
    </cfRule>
    <cfRule type="cellIs" dxfId="1217" priority="387" stopIfTrue="1" operator="equal">
      <formula>0</formula>
    </cfRule>
  </conditionalFormatting>
  <conditionalFormatting sqref="L38:L40">
    <cfRule type="cellIs" dxfId="1216" priority="383" stopIfTrue="1" operator="greaterThan">
      <formula>K38</formula>
    </cfRule>
    <cfRule type="cellIs" dxfId="1215" priority="384" stopIfTrue="1" operator="equal">
      <formula>0</formula>
    </cfRule>
  </conditionalFormatting>
  <conditionalFormatting sqref="L41">
    <cfRule type="cellIs" dxfId="1214" priority="380" stopIfTrue="1" operator="greaterThan">
      <formula>K41</formula>
    </cfRule>
    <cfRule type="cellIs" dxfId="1213" priority="381" stopIfTrue="1" operator="equal">
      <formula>0</formula>
    </cfRule>
  </conditionalFormatting>
  <conditionalFormatting sqref="L42:L43">
    <cfRule type="cellIs" dxfId="1212" priority="377" stopIfTrue="1" operator="greaterThan">
      <formula>K42</formula>
    </cfRule>
    <cfRule type="cellIs" dxfId="1211" priority="378" stopIfTrue="1" operator="equal">
      <formula>0</formula>
    </cfRule>
  </conditionalFormatting>
  <conditionalFormatting sqref="J29:J37">
    <cfRule type="cellIs" dxfId="1210" priority="374" stopIfTrue="1" operator="greaterThan">
      <formula>I29</formula>
    </cfRule>
    <cfRule type="cellIs" dxfId="1209" priority="375" stopIfTrue="1" operator="equal">
      <formula>0</formula>
    </cfRule>
  </conditionalFormatting>
  <conditionalFormatting sqref="J38:J40">
    <cfRule type="cellIs" dxfId="1208" priority="371" stopIfTrue="1" operator="greaterThan">
      <formula>I38</formula>
    </cfRule>
    <cfRule type="cellIs" dxfId="1207" priority="372" stopIfTrue="1" operator="equal">
      <formula>0</formula>
    </cfRule>
  </conditionalFormatting>
  <conditionalFormatting sqref="J41">
    <cfRule type="cellIs" dxfId="1206" priority="368" stopIfTrue="1" operator="greaterThan">
      <formula>I41</formula>
    </cfRule>
    <cfRule type="cellIs" dxfId="1205" priority="369" stopIfTrue="1" operator="equal">
      <formula>0</formula>
    </cfRule>
  </conditionalFormatting>
  <conditionalFormatting sqref="J42:J43">
    <cfRule type="cellIs" dxfId="1204" priority="365" stopIfTrue="1" operator="greaterThan">
      <formula>I42</formula>
    </cfRule>
    <cfRule type="cellIs" dxfId="1203" priority="366" stopIfTrue="1" operator="equal">
      <formula>0</formula>
    </cfRule>
  </conditionalFormatting>
  <conditionalFormatting sqref="H29:H37">
    <cfRule type="cellIs" dxfId="1202" priority="362" stopIfTrue="1" operator="greaterThan">
      <formula>G29</formula>
    </cfRule>
    <cfRule type="cellIs" dxfId="1201" priority="363" stopIfTrue="1" operator="equal">
      <formula>0</formula>
    </cfRule>
  </conditionalFormatting>
  <conditionalFormatting sqref="H38:H40">
    <cfRule type="cellIs" dxfId="1200" priority="359" stopIfTrue="1" operator="greaterThan">
      <formula>G38</formula>
    </cfRule>
    <cfRule type="cellIs" dxfId="1199" priority="360" stopIfTrue="1" operator="equal">
      <formula>0</formula>
    </cfRule>
  </conditionalFormatting>
  <conditionalFormatting sqref="H41">
    <cfRule type="cellIs" dxfId="1198" priority="356" stopIfTrue="1" operator="greaterThan">
      <formula>G41</formula>
    </cfRule>
    <cfRule type="cellIs" dxfId="1197" priority="357" stopIfTrue="1" operator="equal">
      <formula>0</formula>
    </cfRule>
  </conditionalFormatting>
  <conditionalFormatting sqref="H42:H43">
    <cfRule type="cellIs" dxfId="1196" priority="353" stopIfTrue="1" operator="greaterThan">
      <formula>G42</formula>
    </cfRule>
    <cfRule type="cellIs" dxfId="1195" priority="354" stopIfTrue="1" operator="equal">
      <formula>0</formula>
    </cfRule>
  </conditionalFormatting>
  <conditionalFormatting sqref="F29:F37">
    <cfRule type="cellIs" dxfId="1194" priority="350" stopIfTrue="1" operator="greaterThan">
      <formula>E29</formula>
    </cfRule>
    <cfRule type="cellIs" dxfId="1193" priority="351" stopIfTrue="1" operator="equal">
      <formula>0</formula>
    </cfRule>
  </conditionalFormatting>
  <conditionalFormatting sqref="F38:F40">
    <cfRule type="cellIs" dxfId="1192" priority="347" stopIfTrue="1" operator="greaterThan">
      <formula>E38</formula>
    </cfRule>
    <cfRule type="cellIs" dxfId="1191" priority="348" stopIfTrue="1" operator="equal">
      <formula>0</formula>
    </cfRule>
  </conditionalFormatting>
  <conditionalFormatting sqref="F41">
    <cfRule type="cellIs" dxfId="1190" priority="344" stopIfTrue="1" operator="greaterThan">
      <formula>E41</formula>
    </cfRule>
    <cfRule type="cellIs" dxfId="1189" priority="345" stopIfTrue="1" operator="equal">
      <formula>0</formula>
    </cfRule>
  </conditionalFormatting>
  <conditionalFormatting sqref="F42:F43">
    <cfRule type="cellIs" dxfId="1188" priority="341" stopIfTrue="1" operator="greaterThan">
      <formula>E42</formula>
    </cfRule>
    <cfRule type="cellIs" dxfId="1187" priority="342" stopIfTrue="1" operator="equal">
      <formula>0</formula>
    </cfRule>
  </conditionalFormatting>
  <conditionalFormatting sqref="X10:X18">
    <cfRule type="cellIs" dxfId="1186" priority="329" stopIfTrue="1" operator="greaterThan">
      <formula>W10</formula>
    </cfRule>
    <cfRule type="cellIs" dxfId="1185" priority="330" stopIfTrue="1" operator="equal">
      <formula>0</formula>
    </cfRule>
  </conditionalFormatting>
  <conditionalFormatting sqref="Z10:Z18">
    <cfRule type="cellIs" dxfId="1184" priority="326" stopIfTrue="1" operator="greaterThan">
      <formula>Y10</formula>
    </cfRule>
    <cfRule type="cellIs" dxfId="1183" priority="327" stopIfTrue="1" operator="equal">
      <formula>0</formula>
    </cfRule>
  </conditionalFormatting>
  <conditionalFormatting sqref="X19:X21">
    <cfRule type="cellIs" dxfId="1182" priority="321" stopIfTrue="1" operator="greaterThan">
      <formula>W19</formula>
    </cfRule>
    <cfRule type="cellIs" dxfId="1181" priority="322" stopIfTrue="1" operator="equal">
      <formula>0</formula>
    </cfRule>
  </conditionalFormatting>
  <conditionalFormatting sqref="Z19:Z21">
    <cfRule type="cellIs" dxfId="1180" priority="318" stopIfTrue="1" operator="greaterThan">
      <formula>Y19</formula>
    </cfRule>
    <cfRule type="cellIs" dxfId="1179" priority="319" stopIfTrue="1" operator="equal">
      <formula>0</formula>
    </cfRule>
  </conditionalFormatting>
  <conditionalFormatting sqref="Z23">
    <cfRule type="cellIs" dxfId="1178" priority="308" stopIfTrue="1" operator="greaterThan">
      <formula>Y23</formula>
    </cfRule>
    <cfRule type="cellIs" dxfId="1177" priority="309" stopIfTrue="1" operator="equal">
      <formula>0</formula>
    </cfRule>
  </conditionalFormatting>
  <conditionalFormatting sqref="X10:X18">
    <cfRule type="cellIs" dxfId="1176" priority="303" stopIfTrue="1" operator="greaterThan">
      <formula>W10</formula>
    </cfRule>
    <cfRule type="cellIs" dxfId="1175" priority="304" stopIfTrue="1" operator="equal">
      <formula>0</formula>
    </cfRule>
  </conditionalFormatting>
  <conditionalFormatting sqref="X19:X21">
    <cfRule type="cellIs" dxfId="1174" priority="300" stopIfTrue="1" operator="greaterThan">
      <formula>W19</formula>
    </cfRule>
    <cfRule type="cellIs" dxfId="1173" priority="301" stopIfTrue="1" operator="equal">
      <formula>0</formula>
    </cfRule>
  </conditionalFormatting>
  <conditionalFormatting sqref="X23">
    <cfRule type="cellIs" dxfId="1172" priority="294" stopIfTrue="1" operator="greaterThan">
      <formula>W23</formula>
    </cfRule>
    <cfRule type="cellIs" dxfId="1171" priority="295" stopIfTrue="1" operator="equal">
      <formula>0</formula>
    </cfRule>
  </conditionalFormatting>
  <conditionalFormatting sqref="V10:V18">
    <cfRule type="cellIs" dxfId="1170" priority="291" stopIfTrue="1" operator="greaterThan">
      <formula>U10</formula>
    </cfRule>
    <cfRule type="cellIs" dxfId="1169" priority="292" stopIfTrue="1" operator="equal">
      <formula>0</formula>
    </cfRule>
  </conditionalFormatting>
  <conditionalFormatting sqref="V19:V21">
    <cfRule type="cellIs" dxfId="1168" priority="288" stopIfTrue="1" operator="greaterThan">
      <formula>U19</formula>
    </cfRule>
    <cfRule type="cellIs" dxfId="1167" priority="289" stopIfTrue="1" operator="equal">
      <formula>0</formula>
    </cfRule>
  </conditionalFormatting>
  <conditionalFormatting sqref="V23">
    <cfRule type="cellIs" dxfId="1166" priority="282" stopIfTrue="1" operator="greaterThan">
      <formula>U23</formula>
    </cfRule>
    <cfRule type="cellIs" dxfId="1165" priority="283" stopIfTrue="1" operator="equal">
      <formula>0</formula>
    </cfRule>
  </conditionalFormatting>
  <conditionalFormatting sqref="T10:T18">
    <cfRule type="cellIs" dxfId="1164" priority="279" stopIfTrue="1" operator="greaterThan">
      <formula>S10</formula>
    </cfRule>
    <cfRule type="cellIs" dxfId="1163" priority="280" stopIfTrue="1" operator="equal">
      <formula>0</formula>
    </cfRule>
  </conditionalFormatting>
  <conditionalFormatting sqref="T19:T21">
    <cfRule type="cellIs" dxfId="1162" priority="276" stopIfTrue="1" operator="greaterThan">
      <formula>S19</formula>
    </cfRule>
    <cfRule type="cellIs" dxfId="1161" priority="277" stopIfTrue="1" operator="equal">
      <formula>0</formula>
    </cfRule>
  </conditionalFormatting>
  <conditionalFormatting sqref="T23">
    <cfRule type="cellIs" dxfId="1160" priority="270" stopIfTrue="1" operator="greaterThan">
      <formula>S23</formula>
    </cfRule>
    <cfRule type="cellIs" dxfId="1159" priority="271" stopIfTrue="1" operator="equal">
      <formula>0</formula>
    </cfRule>
  </conditionalFormatting>
  <conditionalFormatting sqref="P10:P18">
    <cfRule type="cellIs" dxfId="1158" priority="267" stopIfTrue="1" operator="greaterThan">
      <formula>O10</formula>
    </cfRule>
    <cfRule type="cellIs" dxfId="1157" priority="268" stopIfTrue="1" operator="equal">
      <formula>0</formula>
    </cfRule>
  </conditionalFormatting>
  <conditionalFormatting sqref="R10:R18">
    <cfRule type="cellIs" dxfId="1156" priority="264" stopIfTrue="1" operator="greaterThan">
      <formula>Q10</formula>
    </cfRule>
    <cfRule type="cellIs" dxfId="1155" priority="265" stopIfTrue="1" operator="equal">
      <formula>0</formula>
    </cfRule>
  </conditionalFormatting>
  <conditionalFormatting sqref="P19:P21">
    <cfRule type="cellIs" dxfId="1154" priority="261" stopIfTrue="1" operator="greaterThan">
      <formula>O19</formula>
    </cfRule>
    <cfRule type="cellIs" dxfId="1153" priority="262" stopIfTrue="1" operator="equal">
      <formula>0</formula>
    </cfRule>
  </conditionalFormatting>
  <conditionalFormatting sqref="R19:R21">
    <cfRule type="cellIs" dxfId="1152" priority="258" stopIfTrue="1" operator="greaterThan">
      <formula>Q19</formula>
    </cfRule>
    <cfRule type="cellIs" dxfId="1151" priority="259" stopIfTrue="1" operator="equal">
      <formula>0</formula>
    </cfRule>
  </conditionalFormatting>
  <conditionalFormatting sqref="R23">
    <cfRule type="cellIs" dxfId="1150" priority="252" stopIfTrue="1" operator="greaterThan">
      <formula>Q23</formula>
    </cfRule>
    <cfRule type="cellIs" dxfId="1149" priority="253" stopIfTrue="1" operator="equal">
      <formula>0</formula>
    </cfRule>
  </conditionalFormatting>
  <conditionalFormatting sqref="P10:P18">
    <cfRule type="cellIs" dxfId="1148" priority="249" stopIfTrue="1" operator="greaterThan">
      <formula>O10</formula>
    </cfRule>
    <cfRule type="cellIs" dxfId="1147" priority="250" stopIfTrue="1" operator="equal">
      <formula>0</formula>
    </cfRule>
  </conditionalFormatting>
  <conditionalFormatting sqref="P19:P21">
    <cfRule type="cellIs" dxfId="1146" priority="246" stopIfTrue="1" operator="greaterThan">
      <formula>O19</formula>
    </cfRule>
    <cfRule type="cellIs" dxfId="1145" priority="247" stopIfTrue="1" operator="equal">
      <formula>0</formula>
    </cfRule>
  </conditionalFormatting>
  <conditionalFormatting sqref="P23">
    <cfRule type="cellIs" dxfId="1144" priority="240" stopIfTrue="1" operator="greaterThan">
      <formula>O23</formula>
    </cfRule>
    <cfRule type="cellIs" dxfId="1143" priority="241" stopIfTrue="1" operator="equal">
      <formula>0</formula>
    </cfRule>
  </conditionalFormatting>
  <conditionalFormatting sqref="N10:N18">
    <cfRule type="cellIs" dxfId="1142" priority="237" stopIfTrue="1" operator="greaterThan">
      <formula>M10</formula>
    </cfRule>
    <cfRule type="cellIs" dxfId="1141" priority="238" stopIfTrue="1" operator="equal">
      <formula>0</formula>
    </cfRule>
  </conditionalFormatting>
  <conditionalFormatting sqref="N19:N21">
    <cfRule type="cellIs" dxfId="1140" priority="234" stopIfTrue="1" operator="greaterThan">
      <formula>M19</formula>
    </cfRule>
    <cfRule type="cellIs" dxfId="1139" priority="235" stopIfTrue="1" operator="equal">
      <formula>0</formula>
    </cfRule>
  </conditionalFormatting>
  <conditionalFormatting sqref="N23">
    <cfRule type="cellIs" dxfId="1138" priority="228" stopIfTrue="1" operator="greaterThan">
      <formula>M23</formula>
    </cfRule>
    <cfRule type="cellIs" dxfId="1137" priority="229" stopIfTrue="1" operator="equal">
      <formula>0</formula>
    </cfRule>
  </conditionalFormatting>
  <conditionalFormatting sqref="L10:L18">
    <cfRule type="cellIs" dxfId="1136" priority="225" stopIfTrue="1" operator="greaterThan">
      <formula>K10</formula>
    </cfRule>
    <cfRule type="cellIs" dxfId="1135" priority="226" stopIfTrue="1" operator="equal">
      <formula>0</formula>
    </cfRule>
  </conditionalFormatting>
  <conditionalFormatting sqref="L19:L21">
    <cfRule type="cellIs" dxfId="1134" priority="222" stopIfTrue="1" operator="greaterThan">
      <formula>K19</formula>
    </cfRule>
    <cfRule type="cellIs" dxfId="1133" priority="223" stopIfTrue="1" operator="equal">
      <formula>0</formula>
    </cfRule>
  </conditionalFormatting>
  <conditionalFormatting sqref="L23">
    <cfRule type="cellIs" dxfId="1132" priority="216" stopIfTrue="1" operator="greaterThan">
      <formula>K23</formula>
    </cfRule>
    <cfRule type="cellIs" dxfId="1131" priority="217" stopIfTrue="1" operator="equal">
      <formula>0</formula>
    </cfRule>
  </conditionalFormatting>
  <conditionalFormatting sqref="J10:J18">
    <cfRule type="cellIs" dxfId="1130" priority="213" stopIfTrue="1" operator="greaterThan">
      <formula>I10</formula>
    </cfRule>
    <cfRule type="cellIs" dxfId="1129" priority="214" stopIfTrue="1" operator="equal">
      <formula>0</formula>
    </cfRule>
  </conditionalFormatting>
  <conditionalFormatting sqref="L10:L18">
    <cfRule type="cellIs" dxfId="1128" priority="210" stopIfTrue="1" operator="greaterThan">
      <formula>K10</formula>
    </cfRule>
    <cfRule type="cellIs" dxfId="1127" priority="211" stopIfTrue="1" operator="equal">
      <formula>0</formula>
    </cfRule>
  </conditionalFormatting>
  <conditionalFormatting sqref="J19:J21">
    <cfRule type="cellIs" dxfId="1126" priority="207" stopIfTrue="1" operator="greaterThan">
      <formula>I19</formula>
    </cfRule>
    <cfRule type="cellIs" dxfId="1125" priority="208" stopIfTrue="1" operator="equal">
      <formula>0</formula>
    </cfRule>
  </conditionalFormatting>
  <conditionalFormatting sqref="L19:L21">
    <cfRule type="cellIs" dxfId="1124" priority="204" stopIfTrue="1" operator="greaterThan">
      <formula>K19</formula>
    </cfRule>
    <cfRule type="cellIs" dxfId="1123" priority="205" stopIfTrue="1" operator="equal">
      <formula>0</formula>
    </cfRule>
  </conditionalFormatting>
  <conditionalFormatting sqref="L23">
    <cfRule type="cellIs" dxfId="1122" priority="198" stopIfTrue="1" operator="greaterThan">
      <formula>K23</formula>
    </cfRule>
    <cfRule type="cellIs" dxfId="1121" priority="199" stopIfTrue="1" operator="equal">
      <formula>0</formula>
    </cfRule>
  </conditionalFormatting>
  <conditionalFormatting sqref="J10:J18">
    <cfRule type="cellIs" dxfId="1120" priority="195" stopIfTrue="1" operator="greaterThan">
      <formula>I10</formula>
    </cfRule>
    <cfRule type="cellIs" dxfId="1119" priority="196" stopIfTrue="1" operator="equal">
      <formula>0</formula>
    </cfRule>
  </conditionalFormatting>
  <conditionalFormatting sqref="J19:J21">
    <cfRule type="cellIs" dxfId="1118" priority="192" stopIfTrue="1" operator="greaterThan">
      <formula>I19</formula>
    </cfRule>
    <cfRule type="cellIs" dxfId="1117" priority="193" stopIfTrue="1" operator="equal">
      <formula>0</formula>
    </cfRule>
  </conditionalFormatting>
  <conditionalFormatting sqref="J23">
    <cfRule type="cellIs" dxfId="1116" priority="186" stopIfTrue="1" operator="greaterThan">
      <formula>I23</formula>
    </cfRule>
    <cfRule type="cellIs" dxfId="1115" priority="187" stopIfTrue="1" operator="equal">
      <formula>0</formula>
    </cfRule>
  </conditionalFormatting>
  <conditionalFormatting sqref="H10:H18">
    <cfRule type="cellIs" dxfId="1114" priority="183" stopIfTrue="1" operator="greaterThan">
      <formula>G10</formula>
    </cfRule>
    <cfRule type="cellIs" dxfId="1113" priority="184" stopIfTrue="1" operator="equal">
      <formula>0</formula>
    </cfRule>
  </conditionalFormatting>
  <conditionalFormatting sqref="H19:H21">
    <cfRule type="cellIs" dxfId="1112" priority="180" stopIfTrue="1" operator="greaterThan">
      <formula>G19</formula>
    </cfRule>
    <cfRule type="cellIs" dxfId="1111" priority="181" stopIfTrue="1" operator="equal">
      <formula>0</formula>
    </cfRule>
  </conditionalFormatting>
  <conditionalFormatting sqref="H23">
    <cfRule type="cellIs" dxfId="1110" priority="174" stopIfTrue="1" operator="greaterThan">
      <formula>G23</formula>
    </cfRule>
    <cfRule type="cellIs" dxfId="1109" priority="175" stopIfTrue="1" operator="equal">
      <formula>0</formula>
    </cfRule>
  </conditionalFormatting>
  <conditionalFormatting sqref="F10:F18">
    <cfRule type="cellIs" dxfId="1108" priority="171" stopIfTrue="1" operator="greaterThan">
      <formula>E10</formula>
    </cfRule>
    <cfRule type="cellIs" dxfId="1107" priority="172" stopIfTrue="1" operator="equal">
      <formula>0</formula>
    </cfRule>
  </conditionalFormatting>
  <conditionalFormatting sqref="F19:F21">
    <cfRule type="cellIs" dxfId="1106" priority="168" stopIfTrue="1" operator="greaterThan">
      <formula>E19</formula>
    </cfRule>
    <cfRule type="cellIs" dxfId="1105" priority="169" stopIfTrue="1" operator="equal">
      <formula>0</formula>
    </cfRule>
  </conditionalFormatting>
  <conditionalFormatting sqref="F23">
    <cfRule type="cellIs" dxfId="1104" priority="162" stopIfTrue="1" operator="greaterThan">
      <formula>E23</formula>
    </cfRule>
    <cfRule type="cellIs" dxfId="1103" priority="163" stopIfTrue="1" operator="equal">
      <formula>0</formula>
    </cfRule>
  </conditionalFormatting>
  <conditionalFormatting sqref="E22 G22 I22 K22 M22 O22 Q22 S22 U22 W22 Y22 AA10:AA23 E41 G41 I41 K41 M41 O41 Q41 S41 U41 W41 Y41 AA29:AA43">
    <cfRule type="cellIs" dxfId="1102" priority="152" stopIfTrue="1" operator="equal">
      <formula>0</formula>
    </cfRule>
  </conditionalFormatting>
  <conditionalFormatting sqref="AB10">
    <cfRule type="cellIs" dxfId="1101" priority="150" stopIfTrue="1" operator="greaterThan">
      <formula>AA10</formula>
    </cfRule>
    <cfRule type="cellIs" dxfId="1100" priority="151" stopIfTrue="1" operator="equal">
      <formula>0</formula>
    </cfRule>
  </conditionalFormatting>
  <conditionalFormatting sqref="AB11">
    <cfRule type="cellIs" dxfId="1099" priority="147" stopIfTrue="1" operator="greaterThan">
      <formula>AA11</formula>
    </cfRule>
    <cfRule type="cellIs" dxfId="1098" priority="148" stopIfTrue="1" operator="equal">
      <formula>0</formula>
    </cfRule>
  </conditionalFormatting>
  <conditionalFormatting sqref="F22 H22 J22 L22 N22 P22 R22 T22 V22 X22 Z22 AB11:AB23">
    <cfRule type="cellIs" dxfId="1097" priority="144" stopIfTrue="1" operator="greaterThan">
      <formula>E11</formula>
    </cfRule>
    <cfRule type="cellIs" dxfId="1096" priority="145" stopIfTrue="1" operator="equal">
      <formula>0</formula>
    </cfRule>
  </conditionalFormatting>
  <conditionalFormatting sqref="X29:X37">
    <cfRule type="cellIs" dxfId="1095" priority="141" stopIfTrue="1" operator="greaterThan">
      <formula>W29</formula>
    </cfRule>
    <cfRule type="cellIs" dxfId="1094" priority="142" stopIfTrue="1" operator="equal">
      <formula>0</formula>
    </cfRule>
  </conditionalFormatting>
  <conditionalFormatting sqref="Z29:Z37">
    <cfRule type="cellIs" dxfId="1093" priority="138" stopIfTrue="1" operator="greaterThan">
      <formula>Y29</formula>
    </cfRule>
    <cfRule type="cellIs" dxfId="1092" priority="139" stopIfTrue="1" operator="equal">
      <formula>0</formula>
    </cfRule>
  </conditionalFormatting>
  <conditionalFormatting sqref="X38:X40">
    <cfRule type="cellIs" dxfId="1091" priority="135" stopIfTrue="1" operator="greaterThan">
      <formula>W38</formula>
    </cfRule>
    <cfRule type="cellIs" dxfId="1090" priority="136" stopIfTrue="1" operator="equal">
      <formula>0</formula>
    </cfRule>
  </conditionalFormatting>
  <conditionalFormatting sqref="Z38:Z40">
    <cfRule type="cellIs" dxfId="1089" priority="132" stopIfTrue="1" operator="greaterThan">
      <formula>Y38</formula>
    </cfRule>
    <cfRule type="cellIs" dxfId="1088" priority="133" stopIfTrue="1" operator="equal">
      <formula>0</formula>
    </cfRule>
  </conditionalFormatting>
  <conditionalFormatting sqref="Z42:Z43">
    <cfRule type="cellIs" dxfId="1087" priority="129" stopIfTrue="1" operator="greaterThan">
      <formula>Y42</formula>
    </cfRule>
    <cfRule type="cellIs" dxfId="1086" priority="130" stopIfTrue="1" operator="equal">
      <formula>0</formula>
    </cfRule>
  </conditionalFormatting>
  <conditionalFormatting sqref="X29:X37">
    <cfRule type="cellIs" dxfId="1085" priority="126" stopIfTrue="1" operator="greaterThan">
      <formula>W29</formula>
    </cfRule>
    <cfRule type="cellIs" dxfId="1084" priority="127" stopIfTrue="1" operator="equal">
      <formula>0</formula>
    </cfRule>
  </conditionalFormatting>
  <conditionalFormatting sqref="X38:X40">
    <cfRule type="cellIs" dxfId="1083" priority="123" stopIfTrue="1" operator="greaterThan">
      <formula>W38</formula>
    </cfRule>
    <cfRule type="cellIs" dxfId="1082" priority="124" stopIfTrue="1" operator="equal">
      <formula>0</formula>
    </cfRule>
  </conditionalFormatting>
  <conditionalFormatting sqref="X42:X43">
    <cfRule type="cellIs" dxfId="1081" priority="120" stopIfTrue="1" operator="greaterThan">
      <formula>W42</formula>
    </cfRule>
    <cfRule type="cellIs" dxfId="1080" priority="121" stopIfTrue="1" operator="equal">
      <formula>0</formula>
    </cfRule>
  </conditionalFormatting>
  <conditionalFormatting sqref="V29:V37">
    <cfRule type="cellIs" dxfId="1079" priority="117" stopIfTrue="1" operator="greaterThan">
      <formula>U29</formula>
    </cfRule>
    <cfRule type="cellIs" dxfId="1078" priority="118" stopIfTrue="1" operator="equal">
      <formula>0</formula>
    </cfRule>
  </conditionalFormatting>
  <conditionalFormatting sqref="V38:V40">
    <cfRule type="cellIs" dxfId="1077" priority="114" stopIfTrue="1" operator="greaterThan">
      <formula>U38</formula>
    </cfRule>
    <cfRule type="cellIs" dxfId="1076" priority="115" stopIfTrue="1" operator="equal">
      <formula>0</formula>
    </cfRule>
  </conditionalFormatting>
  <conditionalFormatting sqref="V42:V43">
    <cfRule type="cellIs" dxfId="1075" priority="111" stopIfTrue="1" operator="greaterThan">
      <formula>U42</formula>
    </cfRule>
    <cfRule type="cellIs" dxfId="1074" priority="112" stopIfTrue="1" operator="equal">
      <formula>0</formula>
    </cfRule>
  </conditionalFormatting>
  <conditionalFormatting sqref="T29:T37">
    <cfRule type="cellIs" dxfId="1073" priority="108" stopIfTrue="1" operator="greaterThan">
      <formula>S29</formula>
    </cfRule>
    <cfRule type="cellIs" dxfId="1072" priority="109" stopIfTrue="1" operator="equal">
      <formula>0</formula>
    </cfRule>
  </conditionalFormatting>
  <conditionalFormatting sqref="T38:T40">
    <cfRule type="cellIs" dxfId="1071" priority="105" stopIfTrue="1" operator="greaterThan">
      <formula>S38</formula>
    </cfRule>
    <cfRule type="cellIs" dxfId="1070" priority="106" stopIfTrue="1" operator="equal">
      <formula>0</formula>
    </cfRule>
  </conditionalFormatting>
  <conditionalFormatting sqref="T42:T43">
    <cfRule type="cellIs" dxfId="1069" priority="102" stopIfTrue="1" operator="greaterThan">
      <formula>S42</formula>
    </cfRule>
    <cfRule type="cellIs" dxfId="1068" priority="103" stopIfTrue="1" operator="equal">
      <formula>0</formula>
    </cfRule>
  </conditionalFormatting>
  <conditionalFormatting sqref="P29:P37">
    <cfRule type="cellIs" dxfId="1067" priority="99" stopIfTrue="1" operator="greaterThan">
      <formula>O29</formula>
    </cfRule>
    <cfRule type="cellIs" dxfId="1066" priority="100" stopIfTrue="1" operator="equal">
      <formula>0</formula>
    </cfRule>
  </conditionalFormatting>
  <conditionalFormatting sqref="R29:R37">
    <cfRule type="cellIs" dxfId="1065" priority="96" stopIfTrue="1" operator="greaterThan">
      <formula>Q29</formula>
    </cfRule>
    <cfRule type="cellIs" dxfId="1064" priority="97" stopIfTrue="1" operator="equal">
      <formula>0</formula>
    </cfRule>
  </conditionalFormatting>
  <conditionalFormatting sqref="P38:P40">
    <cfRule type="cellIs" dxfId="1063" priority="93" stopIfTrue="1" operator="greaterThan">
      <formula>O38</formula>
    </cfRule>
    <cfRule type="cellIs" dxfId="1062" priority="94" stopIfTrue="1" operator="equal">
      <formula>0</formula>
    </cfRule>
  </conditionalFormatting>
  <conditionalFormatting sqref="R38:R40">
    <cfRule type="cellIs" dxfId="1061" priority="90" stopIfTrue="1" operator="greaterThan">
      <formula>Q38</formula>
    </cfRule>
    <cfRule type="cellIs" dxfId="1060" priority="91" stopIfTrue="1" operator="equal">
      <formula>0</formula>
    </cfRule>
  </conditionalFormatting>
  <conditionalFormatting sqref="R42:R43">
    <cfRule type="cellIs" dxfId="1059" priority="87" stopIfTrue="1" operator="greaterThan">
      <formula>Q42</formula>
    </cfRule>
    <cfRule type="cellIs" dxfId="1058" priority="88" stopIfTrue="1" operator="equal">
      <formula>0</formula>
    </cfRule>
  </conditionalFormatting>
  <conditionalFormatting sqref="P29:P37">
    <cfRule type="cellIs" dxfId="1057" priority="84" stopIfTrue="1" operator="greaterThan">
      <formula>O29</formula>
    </cfRule>
    <cfRule type="cellIs" dxfId="1056" priority="85" stopIfTrue="1" operator="equal">
      <formula>0</formula>
    </cfRule>
  </conditionalFormatting>
  <conditionalFormatting sqref="P38:P40">
    <cfRule type="cellIs" dxfId="1055" priority="81" stopIfTrue="1" operator="greaterThan">
      <formula>O38</formula>
    </cfRule>
    <cfRule type="cellIs" dxfId="1054" priority="82" stopIfTrue="1" operator="equal">
      <formula>0</formula>
    </cfRule>
  </conditionalFormatting>
  <conditionalFormatting sqref="P42:P43">
    <cfRule type="cellIs" dxfId="1053" priority="78" stopIfTrue="1" operator="greaterThan">
      <formula>O42</formula>
    </cfRule>
    <cfRule type="cellIs" dxfId="1052" priority="79" stopIfTrue="1" operator="equal">
      <formula>0</formula>
    </cfRule>
  </conditionalFormatting>
  <conditionalFormatting sqref="N29:N37">
    <cfRule type="cellIs" dxfId="1051" priority="75" stopIfTrue="1" operator="greaterThan">
      <formula>M29</formula>
    </cfRule>
    <cfRule type="cellIs" dxfId="1050" priority="76" stopIfTrue="1" operator="equal">
      <formula>0</formula>
    </cfRule>
  </conditionalFormatting>
  <conditionalFormatting sqref="N38:N40">
    <cfRule type="cellIs" dxfId="1049" priority="72" stopIfTrue="1" operator="greaterThan">
      <formula>M38</formula>
    </cfRule>
    <cfRule type="cellIs" dxfId="1048" priority="73" stopIfTrue="1" operator="equal">
      <formula>0</formula>
    </cfRule>
  </conditionalFormatting>
  <conditionalFormatting sqref="N42:N43">
    <cfRule type="cellIs" dxfId="1047" priority="69" stopIfTrue="1" operator="greaterThan">
      <formula>M42</formula>
    </cfRule>
    <cfRule type="cellIs" dxfId="1046" priority="70" stopIfTrue="1" operator="equal">
      <formula>0</formula>
    </cfRule>
  </conditionalFormatting>
  <conditionalFormatting sqref="L29:L37">
    <cfRule type="cellIs" dxfId="1045" priority="66" stopIfTrue="1" operator="greaterThan">
      <formula>K29</formula>
    </cfRule>
    <cfRule type="cellIs" dxfId="1044" priority="67" stopIfTrue="1" operator="equal">
      <formula>0</formula>
    </cfRule>
  </conditionalFormatting>
  <conditionalFormatting sqref="L38:L40">
    <cfRule type="cellIs" dxfId="1043" priority="63" stopIfTrue="1" operator="greaterThan">
      <formula>K38</formula>
    </cfRule>
    <cfRule type="cellIs" dxfId="1042" priority="64" stopIfTrue="1" operator="equal">
      <formula>0</formula>
    </cfRule>
  </conditionalFormatting>
  <conditionalFormatting sqref="L42:L43">
    <cfRule type="cellIs" dxfId="1041" priority="60" stopIfTrue="1" operator="greaterThan">
      <formula>K42</formula>
    </cfRule>
    <cfRule type="cellIs" dxfId="1040" priority="61" stopIfTrue="1" operator="equal">
      <formula>0</formula>
    </cfRule>
  </conditionalFormatting>
  <conditionalFormatting sqref="J29:J37">
    <cfRule type="cellIs" dxfId="1039" priority="57" stopIfTrue="1" operator="greaterThan">
      <formula>I29</formula>
    </cfRule>
    <cfRule type="cellIs" dxfId="1038" priority="58" stopIfTrue="1" operator="equal">
      <formula>0</formula>
    </cfRule>
  </conditionalFormatting>
  <conditionalFormatting sqref="L29:L37">
    <cfRule type="cellIs" dxfId="1037" priority="54" stopIfTrue="1" operator="greaterThan">
      <formula>K29</formula>
    </cfRule>
    <cfRule type="cellIs" dxfId="1036" priority="55" stopIfTrue="1" operator="equal">
      <formula>0</formula>
    </cfRule>
  </conditionalFormatting>
  <conditionalFormatting sqref="J38:J40">
    <cfRule type="cellIs" dxfId="1035" priority="51" stopIfTrue="1" operator="greaterThan">
      <formula>I38</formula>
    </cfRule>
    <cfRule type="cellIs" dxfId="1034" priority="52" stopIfTrue="1" operator="equal">
      <formula>0</formula>
    </cfRule>
  </conditionalFormatting>
  <conditionalFormatting sqref="L38:L40">
    <cfRule type="cellIs" dxfId="1033" priority="48" stopIfTrue="1" operator="greaterThan">
      <formula>K38</formula>
    </cfRule>
    <cfRule type="cellIs" dxfId="1032" priority="49" stopIfTrue="1" operator="equal">
      <formula>0</formula>
    </cfRule>
  </conditionalFormatting>
  <conditionalFormatting sqref="L42:L43">
    <cfRule type="cellIs" dxfId="1031" priority="45" stopIfTrue="1" operator="greaterThan">
      <formula>K42</formula>
    </cfRule>
    <cfRule type="cellIs" dxfId="1030" priority="46" stopIfTrue="1" operator="equal">
      <formula>0</formula>
    </cfRule>
  </conditionalFormatting>
  <conditionalFormatting sqref="J29:J37">
    <cfRule type="cellIs" dxfId="1029" priority="42" stopIfTrue="1" operator="greaterThan">
      <formula>I29</formula>
    </cfRule>
    <cfRule type="cellIs" dxfId="1028" priority="43" stopIfTrue="1" operator="equal">
      <formula>0</formula>
    </cfRule>
  </conditionalFormatting>
  <conditionalFormatting sqref="J38:J40">
    <cfRule type="cellIs" dxfId="1027" priority="39" stopIfTrue="1" operator="greaterThan">
      <formula>I38</formula>
    </cfRule>
    <cfRule type="cellIs" dxfId="1026" priority="40" stopIfTrue="1" operator="equal">
      <formula>0</formula>
    </cfRule>
  </conditionalFormatting>
  <conditionalFormatting sqref="J42:J43">
    <cfRule type="cellIs" dxfId="1025" priority="36" stopIfTrue="1" operator="greaterThan">
      <formula>I42</formula>
    </cfRule>
    <cfRule type="cellIs" dxfId="1024" priority="37" stopIfTrue="1" operator="equal">
      <formula>0</formula>
    </cfRule>
  </conditionalFormatting>
  <conditionalFormatting sqref="H29:H37">
    <cfRule type="cellIs" dxfId="1023" priority="33" stopIfTrue="1" operator="greaterThan">
      <formula>G29</formula>
    </cfRule>
    <cfRule type="cellIs" dxfId="1022" priority="34" stopIfTrue="1" operator="equal">
      <formula>0</formula>
    </cfRule>
  </conditionalFormatting>
  <conditionalFormatting sqref="H38:H40">
    <cfRule type="cellIs" dxfId="1021" priority="30" stopIfTrue="1" operator="greaterThan">
      <formula>G38</formula>
    </cfRule>
    <cfRule type="cellIs" dxfId="1020" priority="31" stopIfTrue="1" operator="equal">
      <formula>0</formula>
    </cfRule>
  </conditionalFormatting>
  <conditionalFormatting sqref="H42:H43">
    <cfRule type="cellIs" dxfId="1019" priority="27" stopIfTrue="1" operator="greaterThan">
      <formula>G42</formula>
    </cfRule>
    <cfRule type="cellIs" dxfId="1018" priority="28" stopIfTrue="1" operator="equal">
      <formula>0</formula>
    </cfRule>
  </conditionalFormatting>
  <conditionalFormatting sqref="F29:F37">
    <cfRule type="cellIs" dxfId="1017" priority="24" stopIfTrue="1" operator="greaterThan">
      <formula>E29</formula>
    </cfRule>
    <cfRule type="cellIs" dxfId="1016" priority="25" stopIfTrue="1" operator="equal">
      <formula>0</formula>
    </cfRule>
  </conditionalFormatting>
  <conditionalFormatting sqref="F38:F40">
    <cfRule type="cellIs" dxfId="1015" priority="21" stopIfTrue="1" operator="greaterThan">
      <formula>E38</formula>
    </cfRule>
    <cfRule type="cellIs" dxfId="1014" priority="22" stopIfTrue="1" operator="equal">
      <formula>0</formula>
    </cfRule>
  </conditionalFormatting>
  <conditionalFormatting sqref="F42:F43">
    <cfRule type="cellIs" dxfId="1013" priority="18" stopIfTrue="1" operator="greaterThan">
      <formula>E42</formula>
    </cfRule>
    <cfRule type="cellIs" dxfId="1012" priority="19" stopIfTrue="1" operator="equal">
      <formula>0</formula>
    </cfRule>
  </conditionalFormatting>
  <conditionalFormatting sqref="AB29">
    <cfRule type="cellIs" dxfId="1011" priority="9" stopIfTrue="1" operator="greaterThan">
      <formula>AA29</formula>
    </cfRule>
    <cfRule type="cellIs" dxfId="1010" priority="10" stopIfTrue="1" operator="equal">
      <formula>0</formula>
    </cfRule>
  </conditionalFormatting>
  <conditionalFormatting sqref="AB30">
    <cfRule type="cellIs" dxfId="1009" priority="6" stopIfTrue="1" operator="greaterThan">
      <formula>AA30</formula>
    </cfRule>
    <cfRule type="cellIs" dxfId="1008" priority="7" stopIfTrue="1" operator="equal">
      <formula>0</formula>
    </cfRule>
  </conditionalFormatting>
  <conditionalFormatting sqref="F41 H41 J41 L41 N41 P41 R41 T41 V41 X41 Z41 AB30:AB43">
    <cfRule type="cellIs" dxfId="1007" priority="3" stopIfTrue="1" operator="greaterThan">
      <formula>E30</formula>
    </cfRule>
    <cfRule type="cellIs" dxfId="1006" priority="4" stopIfTrue="1" operator="equal">
      <formula>0</formula>
    </cfRule>
  </conditionalFormatting>
  <dataValidations count="4">
    <dataValidation type="whole" operator="greaterThanOrEqual" allowBlank="1" showInputMessage="1" showErrorMessage="1" errorTitle="الأساتذة المرسمون و المتربصون" error="ضع العدد المناسب مع مراعاة التطابق حسب مواد التدريس و السن لكافة الأساتذة المرسمون و المتربصون دون إحتساب المتعاقدون " sqref="F10:AB23 E10:E22">
      <formula1>0</formula1>
    </dataValidation>
    <dataValidation type="whole" operator="greaterThanOrEqual" allowBlank="1" showInputMessage="1" showErrorMessage="1" errorTitle="الأساتذة المتعاقدون" error="ضع العدد المناسب مع مراعاة التطابق حسب مواد التدريس و السن لكافة الأساتذة المتعاقدون " sqref="E29:AB43">
      <formula1>0</formula1>
    </dataValidation>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AC10:AC23 AC29:AC41"/>
    <dataValidation operator="greaterThanOrEqual" allowBlank="1" showInputMessage="1" showErrorMessage="1" errorTitle="الأساتذة المرسمون و المتربصون" error="ضع العدد المناسب مع مراعاة التطابق حسب مواد التدريس و السن لكافة الأساتذة المرسمون و المتربصون دون إحتساب المتعاقدون " sqref="E23"/>
  </dataValidations>
  <printOptions horizontalCentered="1" verticalCentered="1"/>
  <pageMargins left="0.19685039370078741" right="0.19685039370078741" top="0.19685039370078741" bottom="0.19685039370078741" header="0" footer="0.31496062992125984"/>
  <pageSetup paperSize="9" scale="95" orientation="landscape" r:id="rId1"/>
  <headerFooter>
    <oddFooter xml:space="preserve">&amp;R&amp;"-,Gras"&amp;8&amp;K00-034Echamil V.08   &amp;F     &amp;A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rgb="FFFFC000"/>
  </sheetPr>
  <dimension ref="A1:AA62"/>
  <sheetViews>
    <sheetView showGridLines="0" rightToLeft="1" workbookViewId="0">
      <selection activeCell="F11" sqref="F11"/>
    </sheetView>
  </sheetViews>
  <sheetFormatPr baseColWidth="10" defaultColWidth="0" defaultRowHeight="14.4" zeroHeight="1"/>
  <cols>
    <col min="1" max="1" width="2.6640625" customWidth="1"/>
    <col min="2" max="2" width="1.44140625" customWidth="1"/>
    <col min="3" max="3" width="0.88671875" customWidth="1"/>
    <col min="4" max="4" width="11.6640625" customWidth="1"/>
    <col min="5" max="5" width="4.6640625" customWidth="1"/>
    <col min="6" max="6" width="6" customWidth="1"/>
    <col min="7" max="7" width="5.6640625" customWidth="1"/>
    <col min="8" max="8" width="6" customWidth="1"/>
    <col min="9" max="9" width="5.6640625" customWidth="1"/>
    <col min="10" max="10" width="6" customWidth="1"/>
    <col min="11" max="11" width="5.6640625" customWidth="1"/>
    <col min="12" max="12" width="6" customWidth="1"/>
    <col min="13" max="13" width="5.6640625" customWidth="1"/>
    <col min="14" max="14" width="6" customWidth="1"/>
    <col min="15" max="15" width="5.6640625" customWidth="1"/>
    <col min="16" max="16" width="6" customWidth="1"/>
    <col min="17" max="18" width="5.6640625" customWidth="1"/>
    <col min="19" max="19" width="0.88671875" customWidth="1"/>
    <col min="20" max="20" width="1.6640625" customWidth="1"/>
    <col min="21" max="21" width="2.6640625" customWidth="1"/>
    <col min="22" max="22" width="18.6640625" customWidth="1"/>
    <col min="23" max="23" width="9.109375" customWidth="1"/>
    <col min="24" max="24" width="7.6640625" customWidth="1"/>
    <col min="25" max="25" width="5.6640625" customWidth="1"/>
    <col min="26" max="26" width="7.6640625" customWidth="1"/>
    <col min="27" max="27" width="2.6640625" customWidth="1"/>
  </cols>
  <sheetData>
    <row r="1" spans="1:27" ht="14.1" customHeight="1" thickBot="1">
      <c r="A1" s="788"/>
      <c r="B1" s="789"/>
      <c r="C1" s="789"/>
      <c r="D1" s="789"/>
      <c r="E1" s="789"/>
      <c r="F1" s="789"/>
      <c r="G1" s="789"/>
      <c r="H1" s="789"/>
      <c r="I1" s="789"/>
      <c r="J1" s="789"/>
      <c r="K1" s="789"/>
      <c r="L1" s="789"/>
      <c r="M1" s="789"/>
      <c r="N1" s="789"/>
      <c r="O1" s="789"/>
      <c r="P1" s="789"/>
      <c r="Q1" s="789"/>
      <c r="R1" s="789"/>
      <c r="S1" s="789"/>
      <c r="T1" s="789"/>
      <c r="U1" s="788"/>
      <c r="V1" s="969"/>
      <c r="W1" s="969"/>
      <c r="X1" s="969"/>
      <c r="Y1" s="969"/>
      <c r="Z1" s="969"/>
      <c r="AA1" s="969"/>
    </row>
    <row r="2" spans="1:27" ht="14.1" customHeight="1" thickBot="1">
      <c r="A2" s="788"/>
      <c r="B2" s="900"/>
      <c r="C2" s="891"/>
      <c r="D2" s="891"/>
      <c r="E2" s="891"/>
      <c r="F2" s="891"/>
      <c r="G2" s="891"/>
      <c r="H2" s="891"/>
      <c r="I2" s="891"/>
      <c r="J2" s="891"/>
      <c r="K2" s="891"/>
      <c r="L2" s="891"/>
      <c r="M2" s="891"/>
      <c r="N2" s="891"/>
      <c r="O2" s="891"/>
      <c r="P2" s="891"/>
      <c r="Q2" s="891"/>
      <c r="R2" s="891"/>
      <c r="S2" s="891"/>
      <c r="T2" s="892"/>
      <c r="U2" s="788"/>
      <c r="V2" s="4053" t="s">
        <v>603</v>
      </c>
      <c r="W2" s="4053"/>
      <c r="X2" s="4053"/>
      <c r="Y2" s="4053"/>
      <c r="Z2" s="4053"/>
      <c r="AA2" s="969"/>
    </row>
    <row r="3" spans="1:27" ht="14.1" customHeight="1">
      <c r="A3" s="788"/>
      <c r="B3" s="894"/>
      <c r="C3" s="876"/>
      <c r="D3" s="877"/>
      <c r="E3" s="878"/>
      <c r="F3" s="878"/>
      <c r="G3" s="878"/>
      <c r="H3" s="878"/>
      <c r="I3" s="878"/>
      <c r="J3" s="878"/>
      <c r="K3" s="879"/>
      <c r="L3" s="878"/>
      <c r="M3" s="878"/>
      <c r="N3" s="878"/>
      <c r="O3" s="878"/>
      <c r="P3" s="878"/>
      <c r="Q3" s="878"/>
      <c r="R3" s="878"/>
      <c r="S3" s="880"/>
      <c r="T3" s="872"/>
      <c r="U3" s="788"/>
      <c r="V3" s="4053"/>
      <c r="W3" s="4053"/>
      <c r="X3" s="4053"/>
      <c r="Y3" s="4053"/>
      <c r="Z3" s="4053"/>
      <c r="AA3" s="969"/>
    </row>
    <row r="4" spans="1:27" ht="14.1" customHeight="1">
      <c r="A4" s="788"/>
      <c r="B4" s="893"/>
      <c r="C4" s="881"/>
      <c r="D4" s="2534" t="s">
        <v>1465</v>
      </c>
      <c r="E4" s="649"/>
      <c r="F4" s="650"/>
      <c r="G4" s="650"/>
      <c r="H4" s="650"/>
      <c r="I4" s="651"/>
      <c r="J4" s="651"/>
      <c r="K4" s="649"/>
      <c r="L4" s="649"/>
      <c r="M4" s="649"/>
      <c r="N4" s="652"/>
      <c r="O4" s="652"/>
      <c r="P4" s="652"/>
      <c r="Q4" s="652"/>
      <c r="R4" s="2535" t="s">
        <v>1464</v>
      </c>
      <c r="S4" s="882"/>
      <c r="T4" s="872"/>
      <c r="U4" s="788"/>
      <c r="V4" s="4053"/>
      <c r="W4" s="4053"/>
      <c r="X4" s="4053"/>
      <c r="Y4" s="4053"/>
      <c r="Z4" s="4053"/>
      <c r="AA4" s="969"/>
    </row>
    <row r="5" spans="1:27" ht="14.1" customHeight="1">
      <c r="A5" s="788"/>
      <c r="B5" s="894"/>
      <c r="C5" s="883"/>
      <c r="D5" s="659"/>
      <c r="E5" s="901"/>
      <c r="F5" s="659"/>
      <c r="G5" s="659"/>
      <c r="H5" s="659"/>
      <c r="I5" s="649"/>
      <c r="J5" s="649"/>
      <c r="K5" s="652"/>
      <c r="L5" s="652"/>
      <c r="M5" s="660"/>
      <c r="N5" s="660"/>
      <c r="O5" s="660"/>
      <c r="P5" s="660"/>
      <c r="Q5" s="660"/>
      <c r="R5" s="660"/>
      <c r="S5" s="882"/>
      <c r="T5" s="872"/>
      <c r="U5" s="788"/>
      <c r="V5" s="4053"/>
      <c r="W5" s="4053"/>
      <c r="X5" s="4053"/>
      <c r="Y5" s="4053"/>
      <c r="Z5" s="4053"/>
      <c r="AA5" s="969"/>
    </row>
    <row r="6" spans="1:27" ht="20.100000000000001" customHeight="1">
      <c r="A6" s="788"/>
      <c r="B6" s="894"/>
      <c r="C6" s="954"/>
      <c r="D6" s="979" t="s">
        <v>1447</v>
      </c>
      <c r="E6" s="957"/>
      <c r="F6" s="955"/>
      <c r="G6" s="955"/>
      <c r="H6" s="955"/>
      <c r="I6" s="955"/>
      <c r="J6" s="955"/>
      <c r="K6" s="776"/>
      <c r="L6" s="955"/>
      <c r="M6" s="955"/>
      <c r="N6" s="955"/>
      <c r="O6" s="955"/>
      <c r="P6" s="955"/>
      <c r="Q6" s="955"/>
      <c r="R6" s="955"/>
      <c r="S6" s="962"/>
      <c r="T6" s="873"/>
      <c r="U6" s="788"/>
      <c r="V6" s="4686"/>
      <c r="W6" s="4686"/>
      <c r="X6" s="4686"/>
      <c r="Y6" s="4686"/>
      <c r="Z6" s="1032"/>
      <c r="AA6" s="969"/>
    </row>
    <row r="7" spans="1:27" ht="14.1" customHeight="1">
      <c r="A7" s="788"/>
      <c r="B7" s="894"/>
      <c r="C7" s="883"/>
      <c r="D7" s="649"/>
      <c r="E7" s="649"/>
      <c r="F7" s="649"/>
      <c r="G7" s="649"/>
      <c r="H7" s="649"/>
      <c r="I7" s="649"/>
      <c r="J7" s="649"/>
      <c r="K7" s="649"/>
      <c r="L7" s="649"/>
      <c r="M7" s="649"/>
      <c r="N7" s="649"/>
      <c r="O7" s="649"/>
      <c r="P7" s="649"/>
      <c r="Q7" s="649"/>
      <c r="R7" s="649"/>
      <c r="S7" s="873"/>
      <c r="T7" s="872"/>
      <c r="U7" s="788"/>
      <c r="V7" s="4686"/>
      <c r="W7" s="4686"/>
      <c r="X7" s="4686"/>
      <c r="Y7" s="4686"/>
      <c r="Z7" s="1032"/>
      <c r="AA7" s="969"/>
    </row>
    <row r="8" spans="1:27" ht="16.5" customHeight="1">
      <c r="A8" s="788"/>
      <c r="B8" s="895"/>
      <c r="C8" s="884"/>
      <c r="D8" s="4661" t="s">
        <v>678</v>
      </c>
      <c r="E8" s="4661"/>
      <c r="F8" s="4658" t="s">
        <v>47</v>
      </c>
      <c r="G8" s="4651" t="s">
        <v>46</v>
      </c>
      <c r="H8" s="4672" t="s">
        <v>647</v>
      </c>
      <c r="I8" s="4669" t="s">
        <v>44</v>
      </c>
      <c r="J8" s="4672" t="s">
        <v>43</v>
      </c>
      <c r="K8" s="4669" t="s">
        <v>59</v>
      </c>
      <c r="L8" s="4672" t="s">
        <v>1111</v>
      </c>
      <c r="M8" s="4669" t="s">
        <v>40</v>
      </c>
      <c r="N8" s="4672" t="s">
        <v>39</v>
      </c>
      <c r="O8" s="4669" t="s">
        <v>38</v>
      </c>
      <c r="P8" s="4672" t="s">
        <v>37</v>
      </c>
      <c r="Q8" s="4669" t="s">
        <v>48</v>
      </c>
      <c r="R8" s="4681" t="s">
        <v>28</v>
      </c>
      <c r="S8" s="873"/>
      <c r="T8" s="872"/>
      <c r="U8" s="788"/>
      <c r="V8" s="1032"/>
      <c r="W8" s="1032"/>
      <c r="X8" s="1032"/>
      <c r="Y8" s="1032"/>
      <c r="Z8" s="1032"/>
      <c r="AA8" s="969"/>
    </row>
    <row r="9" spans="1:27" ht="21" customHeight="1">
      <c r="A9" s="788"/>
      <c r="B9" s="895"/>
      <c r="C9" s="884"/>
      <c r="D9" s="2268"/>
      <c r="E9" s="2268"/>
      <c r="F9" s="4659"/>
      <c r="G9" s="4652"/>
      <c r="H9" s="4673"/>
      <c r="I9" s="4670"/>
      <c r="J9" s="4673"/>
      <c r="K9" s="4670"/>
      <c r="L9" s="4673"/>
      <c r="M9" s="4670"/>
      <c r="N9" s="4673"/>
      <c r="O9" s="4670"/>
      <c r="P9" s="4673"/>
      <c r="Q9" s="4670"/>
      <c r="R9" s="4682"/>
      <c r="S9" s="873"/>
      <c r="T9" s="872"/>
      <c r="U9" s="788"/>
      <c r="V9" s="1718"/>
      <c r="W9" s="1718"/>
      <c r="X9" s="1718"/>
      <c r="Y9" s="1718"/>
      <c r="Z9" s="1032"/>
      <c r="AA9" s="969"/>
    </row>
    <row r="10" spans="1:27" ht="15.75" customHeight="1">
      <c r="A10" s="788"/>
      <c r="B10" s="895"/>
      <c r="C10" s="884"/>
      <c r="D10" s="4476" t="s">
        <v>679</v>
      </c>
      <c r="E10" s="4476"/>
      <c r="F10" s="4660"/>
      <c r="G10" s="4653"/>
      <c r="H10" s="4674"/>
      <c r="I10" s="4671"/>
      <c r="J10" s="4674"/>
      <c r="K10" s="4671"/>
      <c r="L10" s="4674"/>
      <c r="M10" s="4671"/>
      <c r="N10" s="4674"/>
      <c r="O10" s="4671"/>
      <c r="P10" s="4674"/>
      <c r="Q10" s="4671"/>
      <c r="R10" s="4683"/>
      <c r="S10" s="873"/>
      <c r="T10" s="872"/>
      <c r="U10" s="788"/>
      <c r="V10" s="2902"/>
      <c r="W10" s="2903"/>
      <c r="X10" s="2902"/>
      <c r="Y10" s="1718"/>
      <c r="Z10" s="1032"/>
      <c r="AA10" s="969"/>
    </row>
    <row r="11" spans="1:27" ht="14.1" customHeight="1">
      <c r="A11" s="788"/>
      <c r="B11" s="895"/>
      <c r="C11" s="884"/>
      <c r="D11" s="4666" t="s">
        <v>47</v>
      </c>
      <c r="E11" s="662" t="s">
        <v>20</v>
      </c>
      <c r="F11" s="3403"/>
      <c r="G11" s="605"/>
      <c r="H11" s="533"/>
      <c r="I11" s="533"/>
      <c r="J11" s="533"/>
      <c r="K11" s="533"/>
      <c r="L11" s="533"/>
      <c r="M11" s="533"/>
      <c r="N11" s="533"/>
      <c r="O11" s="533"/>
      <c r="P11" s="533"/>
      <c r="Q11" s="534"/>
      <c r="R11" s="985">
        <f>SUM(F11:Q11)</f>
        <v>0</v>
      </c>
      <c r="S11" s="873"/>
      <c r="T11" s="872"/>
      <c r="U11" s="788"/>
      <c r="V11" s="4684"/>
      <c r="W11" s="2904"/>
      <c r="X11" s="2794"/>
      <c r="Y11" s="1718"/>
      <c r="Z11" s="1032"/>
      <c r="AA11" s="969"/>
    </row>
    <row r="12" spans="1:27" ht="14.1" customHeight="1">
      <c r="A12" s="788"/>
      <c r="B12" s="895"/>
      <c r="C12" s="884"/>
      <c r="D12" s="4666"/>
      <c r="E12" s="663" t="s">
        <v>29</v>
      </c>
      <c r="F12" s="3404"/>
      <c r="G12" s="3395"/>
      <c r="H12" s="536"/>
      <c r="I12" s="536"/>
      <c r="J12" s="536"/>
      <c r="K12" s="536"/>
      <c r="L12" s="536"/>
      <c r="M12" s="536"/>
      <c r="N12" s="536"/>
      <c r="O12" s="536"/>
      <c r="P12" s="536"/>
      <c r="Q12" s="537"/>
      <c r="R12" s="984">
        <f t="shared" ref="R12:R38" si="0">SUM(F12:Q12)</f>
        <v>0</v>
      </c>
      <c r="S12" s="873"/>
      <c r="T12" s="872"/>
      <c r="U12" s="788"/>
      <c r="V12" s="4684"/>
      <c r="W12" s="2904"/>
      <c r="X12" s="2794"/>
      <c r="Y12" s="1718"/>
      <c r="Z12" s="1032"/>
      <c r="AA12" s="969"/>
    </row>
    <row r="13" spans="1:27" ht="14.1" customHeight="1">
      <c r="A13" s="788"/>
      <c r="B13" s="895"/>
      <c r="C13" s="884"/>
      <c r="D13" s="4500" t="s">
        <v>46</v>
      </c>
      <c r="E13" s="662" t="s">
        <v>20</v>
      </c>
      <c r="F13" s="3394"/>
      <c r="G13" s="3397"/>
      <c r="H13" s="605"/>
      <c r="I13" s="533"/>
      <c r="J13" s="533"/>
      <c r="K13" s="533"/>
      <c r="L13" s="533"/>
      <c r="M13" s="533"/>
      <c r="N13" s="533"/>
      <c r="O13" s="533"/>
      <c r="P13" s="533"/>
      <c r="Q13" s="534"/>
      <c r="R13" s="985">
        <f t="shared" si="0"/>
        <v>0</v>
      </c>
      <c r="S13" s="873"/>
      <c r="T13" s="872"/>
      <c r="U13" s="788"/>
      <c r="V13" s="4685"/>
      <c r="W13" s="2904"/>
      <c r="X13" s="2794"/>
      <c r="Y13" s="1718"/>
      <c r="Z13" s="1032"/>
      <c r="AA13" s="969"/>
    </row>
    <row r="14" spans="1:27" ht="14.1" customHeight="1">
      <c r="A14" s="788"/>
      <c r="B14" s="895"/>
      <c r="C14" s="884"/>
      <c r="D14" s="4500"/>
      <c r="E14" s="663" t="s">
        <v>29</v>
      </c>
      <c r="F14" s="3351"/>
      <c r="G14" s="3398"/>
      <c r="H14" s="3395"/>
      <c r="I14" s="536"/>
      <c r="J14" s="536"/>
      <c r="K14" s="536"/>
      <c r="L14" s="536"/>
      <c r="M14" s="536"/>
      <c r="N14" s="536"/>
      <c r="O14" s="536"/>
      <c r="P14" s="536"/>
      <c r="Q14" s="537"/>
      <c r="R14" s="984">
        <f t="shared" si="0"/>
        <v>0</v>
      </c>
      <c r="S14" s="873"/>
      <c r="T14" s="872"/>
      <c r="U14" s="788"/>
      <c r="V14" s="4685"/>
      <c r="W14" s="2904"/>
      <c r="X14" s="2794"/>
      <c r="Y14" s="1718"/>
      <c r="Z14" s="1032"/>
      <c r="AA14" s="969"/>
    </row>
    <row r="15" spans="1:27" ht="14.1" customHeight="1">
      <c r="A15" s="788"/>
      <c r="B15" s="895"/>
      <c r="C15" s="884"/>
      <c r="D15" s="4666" t="s">
        <v>45</v>
      </c>
      <c r="E15" s="662" t="s">
        <v>20</v>
      </c>
      <c r="F15" s="532"/>
      <c r="G15" s="3396"/>
      <c r="H15" s="3397"/>
      <c r="I15" s="605"/>
      <c r="J15" s="533"/>
      <c r="K15" s="533"/>
      <c r="L15" s="533"/>
      <c r="M15" s="533"/>
      <c r="N15" s="533"/>
      <c r="O15" s="533"/>
      <c r="P15" s="533"/>
      <c r="Q15" s="534"/>
      <c r="R15" s="985">
        <f t="shared" si="0"/>
        <v>0</v>
      </c>
      <c r="S15" s="873"/>
      <c r="T15" s="872"/>
      <c r="U15" s="788"/>
      <c r="V15" s="4684"/>
      <c r="W15" s="2904"/>
      <c r="X15" s="2794"/>
      <c r="Y15" s="1718"/>
      <c r="Z15" s="1032"/>
      <c r="AA15" s="969"/>
    </row>
    <row r="16" spans="1:27" ht="14.1" customHeight="1">
      <c r="A16" s="788"/>
      <c r="B16" s="895"/>
      <c r="C16" s="884"/>
      <c r="D16" s="4666"/>
      <c r="E16" s="663" t="s">
        <v>29</v>
      </c>
      <c r="F16" s="535"/>
      <c r="G16" s="540"/>
      <c r="H16" s="3398"/>
      <c r="I16" s="3395"/>
      <c r="J16" s="540"/>
      <c r="K16" s="540"/>
      <c r="L16" s="540"/>
      <c r="M16" s="536"/>
      <c r="N16" s="536"/>
      <c r="O16" s="536"/>
      <c r="P16" s="536"/>
      <c r="Q16" s="537"/>
      <c r="R16" s="984">
        <f t="shared" si="0"/>
        <v>0</v>
      </c>
      <c r="S16" s="873"/>
      <c r="T16" s="872"/>
      <c r="U16" s="788"/>
      <c r="V16" s="4684"/>
      <c r="W16" s="2904"/>
      <c r="X16" s="2794"/>
      <c r="Y16" s="1718"/>
      <c r="Z16" s="1032"/>
      <c r="AA16" s="969"/>
    </row>
    <row r="17" spans="1:27" ht="14.1" customHeight="1">
      <c r="A17" s="788"/>
      <c r="B17" s="895"/>
      <c r="C17" s="884"/>
      <c r="D17" s="4500" t="s">
        <v>44</v>
      </c>
      <c r="E17" s="662" t="s">
        <v>20</v>
      </c>
      <c r="F17" s="532"/>
      <c r="G17" s="533"/>
      <c r="H17" s="3396"/>
      <c r="I17" s="3397"/>
      <c r="J17" s="605"/>
      <c r="K17" s="605"/>
      <c r="L17" s="605"/>
      <c r="M17" s="605"/>
      <c r="N17" s="533"/>
      <c r="O17" s="533"/>
      <c r="P17" s="533"/>
      <c r="Q17" s="534"/>
      <c r="R17" s="985">
        <f t="shared" si="0"/>
        <v>0</v>
      </c>
      <c r="S17" s="873"/>
      <c r="T17" s="872"/>
      <c r="U17" s="788"/>
      <c r="V17" s="4685"/>
      <c r="W17" s="2904"/>
      <c r="X17" s="2794"/>
      <c r="Y17" s="1718"/>
      <c r="Z17" s="1032"/>
      <c r="AA17" s="969"/>
    </row>
    <row r="18" spans="1:27" ht="14.1" customHeight="1">
      <c r="A18" s="788"/>
      <c r="B18" s="895"/>
      <c r="C18" s="884"/>
      <c r="D18" s="4500"/>
      <c r="E18" s="663" t="s">
        <v>29</v>
      </c>
      <c r="F18" s="535"/>
      <c r="G18" s="536"/>
      <c r="H18" s="540"/>
      <c r="I18" s="3398"/>
      <c r="J18" s="3399"/>
      <c r="K18" s="540"/>
      <c r="L18" s="540"/>
      <c r="M18" s="540"/>
      <c r="N18" s="536"/>
      <c r="O18" s="536"/>
      <c r="P18" s="536"/>
      <c r="Q18" s="537"/>
      <c r="R18" s="984">
        <f t="shared" si="0"/>
        <v>0</v>
      </c>
      <c r="S18" s="873"/>
      <c r="T18" s="872"/>
      <c r="U18" s="788"/>
      <c r="V18" s="4685"/>
      <c r="W18" s="2904"/>
      <c r="X18" s="2794"/>
      <c r="Y18" s="1718"/>
      <c r="Z18" s="1032"/>
      <c r="AA18" s="969"/>
    </row>
    <row r="19" spans="1:27" ht="14.1" customHeight="1">
      <c r="A19" s="788"/>
      <c r="B19" s="895"/>
      <c r="C19" s="884"/>
      <c r="D19" s="4666" t="s">
        <v>43</v>
      </c>
      <c r="E19" s="662" t="s">
        <v>20</v>
      </c>
      <c r="F19" s="532"/>
      <c r="G19" s="533"/>
      <c r="H19" s="533"/>
      <c r="I19" s="3396"/>
      <c r="J19" s="3397"/>
      <c r="K19" s="605"/>
      <c r="L19" s="533"/>
      <c r="M19" s="533"/>
      <c r="N19" s="533"/>
      <c r="O19" s="533"/>
      <c r="P19" s="533"/>
      <c r="Q19" s="534"/>
      <c r="R19" s="985">
        <f t="shared" si="0"/>
        <v>0</v>
      </c>
      <c r="S19" s="873"/>
      <c r="T19" s="872"/>
      <c r="U19" s="788"/>
      <c r="V19" s="4684"/>
      <c r="W19" s="2904"/>
      <c r="X19" s="2794"/>
      <c r="Y19" s="1718"/>
      <c r="Z19" s="1032"/>
      <c r="AA19" s="969"/>
    </row>
    <row r="20" spans="1:27" ht="14.1" customHeight="1">
      <c r="A20" s="788"/>
      <c r="B20" s="895"/>
      <c r="C20" s="884"/>
      <c r="D20" s="4666"/>
      <c r="E20" s="663" t="s">
        <v>29</v>
      </c>
      <c r="F20" s="535"/>
      <c r="G20" s="536"/>
      <c r="H20" s="536"/>
      <c r="I20" s="540"/>
      <c r="J20" s="3398"/>
      <c r="K20" s="3395"/>
      <c r="L20" s="606"/>
      <c r="M20" s="536"/>
      <c r="N20" s="536"/>
      <c r="O20" s="536"/>
      <c r="P20" s="536"/>
      <c r="Q20" s="537"/>
      <c r="R20" s="984">
        <f t="shared" si="0"/>
        <v>0</v>
      </c>
      <c r="S20" s="873"/>
      <c r="T20" s="872"/>
      <c r="U20" s="788"/>
      <c r="V20" s="4684"/>
      <c r="W20" s="2904"/>
      <c r="X20" s="2794"/>
      <c r="Y20" s="1718"/>
      <c r="Z20" s="1032"/>
      <c r="AA20" s="969"/>
    </row>
    <row r="21" spans="1:27" ht="14.1" customHeight="1">
      <c r="A21" s="788"/>
      <c r="B21" s="895"/>
      <c r="C21" s="884"/>
      <c r="D21" s="4650" t="s">
        <v>42</v>
      </c>
      <c r="E21" s="662" t="s">
        <v>20</v>
      </c>
      <c r="F21" s="532"/>
      <c r="G21" s="533"/>
      <c r="H21" s="533"/>
      <c r="I21" s="533"/>
      <c r="J21" s="3396"/>
      <c r="K21" s="3397"/>
      <c r="L21" s="605"/>
      <c r="M21" s="533"/>
      <c r="N21" s="533"/>
      <c r="O21" s="533"/>
      <c r="P21" s="533"/>
      <c r="Q21" s="534"/>
      <c r="R21" s="985">
        <f t="shared" si="0"/>
        <v>0</v>
      </c>
      <c r="S21" s="873"/>
      <c r="T21" s="872"/>
      <c r="U21" s="788"/>
      <c r="V21" s="4684"/>
      <c r="W21" s="2904"/>
      <c r="X21" s="2794"/>
      <c r="Y21" s="1718"/>
      <c r="Z21" s="1032"/>
      <c r="AA21" s="969"/>
    </row>
    <row r="22" spans="1:27" ht="14.1" customHeight="1">
      <c r="A22" s="788"/>
      <c r="B22" s="895"/>
      <c r="C22" s="884"/>
      <c r="D22" s="4650"/>
      <c r="E22" s="663" t="s">
        <v>29</v>
      </c>
      <c r="F22" s="535"/>
      <c r="G22" s="536"/>
      <c r="H22" s="536"/>
      <c r="I22" s="536"/>
      <c r="J22" s="540"/>
      <c r="K22" s="3398"/>
      <c r="L22" s="3395"/>
      <c r="M22" s="536"/>
      <c r="N22" s="536"/>
      <c r="O22" s="536"/>
      <c r="P22" s="536"/>
      <c r="Q22" s="537"/>
      <c r="R22" s="984">
        <f>SUM(F22:Q22)</f>
        <v>0</v>
      </c>
      <c r="S22" s="873"/>
      <c r="T22" s="872"/>
      <c r="U22" s="788"/>
      <c r="V22" s="4684"/>
      <c r="W22" s="2904"/>
      <c r="X22" s="2794"/>
      <c r="Y22" s="1718"/>
      <c r="Z22" s="1032"/>
      <c r="AA22" s="969"/>
    </row>
    <row r="23" spans="1:27" ht="14.1" customHeight="1">
      <c r="A23" s="788"/>
      <c r="B23" s="895"/>
      <c r="C23" s="884"/>
      <c r="D23" s="4666" t="s">
        <v>1111</v>
      </c>
      <c r="E23" s="662" t="s">
        <v>20</v>
      </c>
      <c r="F23" s="532"/>
      <c r="G23" s="533"/>
      <c r="H23" s="533"/>
      <c r="I23" s="533"/>
      <c r="J23" s="533"/>
      <c r="K23" s="3396"/>
      <c r="L23" s="3397"/>
      <c r="M23" s="605"/>
      <c r="N23" s="533"/>
      <c r="O23" s="533"/>
      <c r="P23" s="533"/>
      <c r="Q23" s="534"/>
      <c r="R23" s="985">
        <f t="shared" si="0"/>
        <v>0</v>
      </c>
      <c r="S23" s="873"/>
      <c r="T23" s="872"/>
      <c r="U23" s="788"/>
      <c r="V23" s="4684"/>
      <c r="W23" s="2904"/>
      <c r="X23" s="2794"/>
      <c r="Y23" s="1718"/>
      <c r="Z23" s="1032"/>
      <c r="AA23" s="969"/>
    </row>
    <row r="24" spans="1:27" ht="14.1" customHeight="1">
      <c r="A24" s="788"/>
      <c r="B24" s="895"/>
      <c r="C24" s="884"/>
      <c r="D24" s="4666"/>
      <c r="E24" s="663" t="s">
        <v>29</v>
      </c>
      <c r="F24" s="535"/>
      <c r="G24" s="536"/>
      <c r="H24" s="536"/>
      <c r="I24" s="536"/>
      <c r="J24" s="536"/>
      <c r="K24" s="540"/>
      <c r="L24" s="3398"/>
      <c r="M24" s="3395"/>
      <c r="N24" s="536"/>
      <c r="O24" s="536"/>
      <c r="P24" s="536"/>
      <c r="Q24" s="537"/>
      <c r="R24" s="984">
        <f t="shared" si="0"/>
        <v>0</v>
      </c>
      <c r="S24" s="873"/>
      <c r="T24" s="872"/>
      <c r="U24" s="788"/>
      <c r="V24" s="4684"/>
      <c r="W24" s="2904"/>
      <c r="X24" s="2794"/>
      <c r="Y24" s="1718"/>
      <c r="Z24" s="1032"/>
      <c r="AA24" s="969"/>
    </row>
    <row r="25" spans="1:27" ht="14.1" customHeight="1">
      <c r="A25" s="788"/>
      <c r="B25" s="895"/>
      <c r="C25" s="884"/>
      <c r="D25" s="4650" t="s">
        <v>40</v>
      </c>
      <c r="E25" s="662" t="s">
        <v>20</v>
      </c>
      <c r="F25" s="532"/>
      <c r="G25" s="533"/>
      <c r="H25" s="533"/>
      <c r="I25" s="533"/>
      <c r="J25" s="533"/>
      <c r="K25" s="533"/>
      <c r="L25" s="3396"/>
      <c r="M25" s="3397"/>
      <c r="N25" s="605"/>
      <c r="O25" s="533"/>
      <c r="P25" s="533"/>
      <c r="Q25" s="534"/>
      <c r="R25" s="985">
        <f t="shared" si="0"/>
        <v>0</v>
      </c>
      <c r="S25" s="873"/>
      <c r="T25" s="872"/>
      <c r="U25" s="788"/>
      <c r="V25" s="4684"/>
      <c r="W25" s="2904"/>
      <c r="X25" s="2794"/>
      <c r="Y25" s="1718"/>
      <c r="Z25" s="1032"/>
      <c r="AA25" s="969"/>
    </row>
    <row r="26" spans="1:27" ht="14.1" customHeight="1">
      <c r="A26" s="788"/>
      <c r="B26" s="895"/>
      <c r="C26" s="884"/>
      <c r="D26" s="4650"/>
      <c r="E26" s="663" t="s">
        <v>29</v>
      </c>
      <c r="F26" s="535"/>
      <c r="G26" s="536"/>
      <c r="H26" s="536"/>
      <c r="I26" s="536"/>
      <c r="J26" s="536"/>
      <c r="K26" s="536"/>
      <c r="L26" s="540"/>
      <c r="M26" s="3398"/>
      <c r="N26" s="3395"/>
      <c r="O26" s="536"/>
      <c r="P26" s="536"/>
      <c r="Q26" s="537"/>
      <c r="R26" s="984">
        <f t="shared" si="0"/>
        <v>0</v>
      </c>
      <c r="S26" s="873"/>
      <c r="T26" s="872"/>
      <c r="U26" s="788"/>
      <c r="V26" s="4684"/>
      <c r="W26" s="2904"/>
      <c r="X26" s="2794"/>
      <c r="Y26" s="1718"/>
      <c r="Z26" s="1032"/>
      <c r="AA26" s="969"/>
    </row>
    <row r="27" spans="1:27" ht="14.1" customHeight="1">
      <c r="A27" s="788"/>
      <c r="B27" s="895"/>
      <c r="C27" s="884"/>
      <c r="D27" s="4666" t="s">
        <v>39</v>
      </c>
      <c r="E27" s="662" t="s">
        <v>20</v>
      </c>
      <c r="F27" s="532"/>
      <c r="G27" s="533"/>
      <c r="H27" s="533"/>
      <c r="I27" s="533"/>
      <c r="J27" s="533"/>
      <c r="K27" s="533"/>
      <c r="L27" s="533"/>
      <c r="M27" s="3396"/>
      <c r="N27" s="3397"/>
      <c r="O27" s="605"/>
      <c r="P27" s="533"/>
      <c r="Q27" s="534"/>
      <c r="R27" s="985">
        <f t="shared" si="0"/>
        <v>0</v>
      </c>
      <c r="S27" s="873"/>
      <c r="T27" s="872"/>
      <c r="U27" s="788"/>
      <c r="V27" s="4684"/>
      <c r="W27" s="2904"/>
      <c r="X27" s="2794"/>
      <c r="Y27" s="1718"/>
      <c r="Z27" s="1032"/>
      <c r="AA27" s="969"/>
    </row>
    <row r="28" spans="1:27" ht="14.1" customHeight="1">
      <c r="A28" s="788"/>
      <c r="B28" s="895"/>
      <c r="C28" s="884"/>
      <c r="D28" s="4666"/>
      <c r="E28" s="663" t="s">
        <v>29</v>
      </c>
      <c r="F28" s="535"/>
      <c r="G28" s="536"/>
      <c r="H28" s="536"/>
      <c r="I28" s="536"/>
      <c r="J28" s="536"/>
      <c r="K28" s="536"/>
      <c r="L28" s="536"/>
      <c r="M28" s="540"/>
      <c r="N28" s="3398"/>
      <c r="O28" s="3395"/>
      <c r="P28" s="536"/>
      <c r="Q28" s="537"/>
      <c r="R28" s="984">
        <f t="shared" si="0"/>
        <v>0</v>
      </c>
      <c r="S28" s="873"/>
      <c r="T28" s="872"/>
      <c r="U28" s="788"/>
      <c r="V28" s="4684"/>
      <c r="W28" s="2904"/>
      <c r="X28" s="2794"/>
      <c r="Y28" s="1718"/>
      <c r="Z28" s="1032"/>
      <c r="AA28" s="969"/>
    </row>
    <row r="29" spans="1:27" ht="14.1" customHeight="1">
      <c r="A29" s="788"/>
      <c r="B29" s="895"/>
      <c r="C29" s="884"/>
      <c r="D29" s="4650" t="s">
        <v>38</v>
      </c>
      <c r="E29" s="662" t="s">
        <v>20</v>
      </c>
      <c r="F29" s="532"/>
      <c r="G29" s="533"/>
      <c r="H29" s="533"/>
      <c r="I29" s="533"/>
      <c r="J29" s="533"/>
      <c r="K29" s="533"/>
      <c r="L29" s="533"/>
      <c r="M29" s="533"/>
      <c r="N29" s="3396"/>
      <c r="O29" s="3397"/>
      <c r="P29" s="605"/>
      <c r="Q29" s="534"/>
      <c r="R29" s="985">
        <f t="shared" si="0"/>
        <v>0</v>
      </c>
      <c r="S29" s="873"/>
      <c r="T29" s="872"/>
      <c r="U29" s="788"/>
      <c r="V29" s="4684"/>
      <c r="W29" s="2904"/>
      <c r="X29" s="2794"/>
      <c r="Y29" s="1718"/>
      <c r="Z29" s="1032"/>
      <c r="AA29" s="969"/>
    </row>
    <row r="30" spans="1:27" ht="14.1" customHeight="1">
      <c r="A30" s="788"/>
      <c r="B30" s="895"/>
      <c r="C30" s="884"/>
      <c r="D30" s="4650"/>
      <c r="E30" s="663" t="s">
        <v>29</v>
      </c>
      <c r="F30" s="535"/>
      <c r="G30" s="536"/>
      <c r="H30" s="536"/>
      <c r="I30" s="536"/>
      <c r="J30" s="536"/>
      <c r="K30" s="536"/>
      <c r="L30" s="536"/>
      <c r="M30" s="536"/>
      <c r="N30" s="540"/>
      <c r="O30" s="3398"/>
      <c r="P30" s="3395"/>
      <c r="Q30" s="537"/>
      <c r="R30" s="984">
        <f t="shared" si="0"/>
        <v>0</v>
      </c>
      <c r="S30" s="873"/>
      <c r="T30" s="872"/>
      <c r="U30" s="788"/>
      <c r="V30" s="4684"/>
      <c r="W30" s="2904"/>
      <c r="X30" s="2794"/>
      <c r="Y30" s="1718"/>
      <c r="Z30" s="1032"/>
      <c r="AA30" s="969"/>
    </row>
    <row r="31" spans="1:27" ht="14.1" customHeight="1">
      <c r="A31" s="788"/>
      <c r="B31" s="895"/>
      <c r="C31" s="884"/>
      <c r="D31" s="4666" t="s">
        <v>37</v>
      </c>
      <c r="E31" s="662" t="s">
        <v>20</v>
      </c>
      <c r="F31" s="532"/>
      <c r="G31" s="533"/>
      <c r="H31" s="533"/>
      <c r="I31" s="533"/>
      <c r="J31" s="533"/>
      <c r="K31" s="533"/>
      <c r="L31" s="533"/>
      <c r="M31" s="533"/>
      <c r="N31" s="533"/>
      <c r="O31" s="3396"/>
      <c r="P31" s="3397"/>
      <c r="Q31" s="2271"/>
      <c r="R31" s="985">
        <f t="shared" si="0"/>
        <v>0</v>
      </c>
      <c r="S31" s="873"/>
      <c r="T31" s="872"/>
      <c r="U31" s="788"/>
      <c r="V31" s="4684"/>
      <c r="W31" s="2904"/>
      <c r="X31" s="2794"/>
      <c r="Y31" s="1718"/>
      <c r="Z31" s="1032"/>
      <c r="AA31" s="969"/>
    </row>
    <row r="32" spans="1:27" ht="14.1" customHeight="1">
      <c r="A32" s="788"/>
      <c r="B32" s="895"/>
      <c r="C32" s="884"/>
      <c r="D32" s="4666"/>
      <c r="E32" s="663" t="s">
        <v>29</v>
      </c>
      <c r="F32" s="535"/>
      <c r="G32" s="536"/>
      <c r="H32" s="536"/>
      <c r="I32" s="536"/>
      <c r="J32" s="536"/>
      <c r="K32" s="536"/>
      <c r="L32" s="536"/>
      <c r="M32" s="536"/>
      <c r="N32" s="536"/>
      <c r="O32" s="540"/>
      <c r="P32" s="3398"/>
      <c r="Q32" s="3400"/>
      <c r="R32" s="984">
        <f t="shared" si="0"/>
        <v>0</v>
      </c>
      <c r="S32" s="873"/>
      <c r="T32" s="872"/>
      <c r="U32" s="788"/>
      <c r="V32" s="4684"/>
      <c r="W32" s="2904"/>
      <c r="X32" s="2794"/>
      <c r="Y32" s="1718"/>
      <c r="Z32" s="1032"/>
      <c r="AA32" s="969"/>
    </row>
    <row r="33" spans="1:27" ht="14.1" customHeight="1">
      <c r="A33" s="788"/>
      <c r="B33" s="895"/>
      <c r="C33" s="884"/>
      <c r="D33" s="4650" t="s">
        <v>48</v>
      </c>
      <c r="E33" s="662" t="s">
        <v>20</v>
      </c>
      <c r="F33" s="532"/>
      <c r="G33" s="533"/>
      <c r="H33" s="533"/>
      <c r="I33" s="533"/>
      <c r="J33" s="533"/>
      <c r="K33" s="533"/>
      <c r="L33" s="533"/>
      <c r="M33" s="533"/>
      <c r="N33" s="533"/>
      <c r="O33" s="533"/>
      <c r="P33" s="3396"/>
      <c r="Q33" s="3401"/>
      <c r="R33" s="985">
        <f>SUM(F33:Q33)</f>
        <v>0</v>
      </c>
      <c r="S33" s="873"/>
      <c r="T33" s="872"/>
      <c r="U33" s="788"/>
      <c r="V33" s="4684"/>
      <c r="W33" s="2904"/>
      <c r="X33" s="2794"/>
      <c r="Y33" s="1718"/>
      <c r="Z33" s="1032"/>
      <c r="AA33" s="969"/>
    </row>
    <row r="34" spans="1:27" ht="14.1" customHeight="1">
      <c r="A34" s="788"/>
      <c r="B34" s="895"/>
      <c r="C34" s="884"/>
      <c r="D34" s="4650"/>
      <c r="E34" s="663" t="s">
        <v>29</v>
      </c>
      <c r="F34" s="535"/>
      <c r="G34" s="536"/>
      <c r="H34" s="536"/>
      <c r="I34" s="536"/>
      <c r="J34" s="536"/>
      <c r="K34" s="536"/>
      <c r="L34" s="536"/>
      <c r="M34" s="536"/>
      <c r="N34" s="536"/>
      <c r="O34" s="536"/>
      <c r="P34" s="540"/>
      <c r="Q34" s="3402"/>
      <c r="R34" s="984">
        <f>SUM(F34:Q34)</f>
        <v>0</v>
      </c>
      <c r="S34" s="873"/>
      <c r="T34" s="872"/>
      <c r="U34" s="788"/>
      <c r="V34" s="4684"/>
      <c r="W34" s="2904"/>
      <c r="X34" s="2794"/>
      <c r="Y34" s="1718"/>
      <c r="Z34" s="1032"/>
      <c r="AA34" s="969"/>
    </row>
    <row r="35" spans="1:27" ht="14.1" customHeight="1">
      <c r="A35" s="788"/>
      <c r="B35" s="895"/>
      <c r="C35" s="884"/>
      <c r="D35" s="4306" t="s">
        <v>28</v>
      </c>
      <c r="E35" s="991" t="s">
        <v>20</v>
      </c>
      <c r="F35" s="992">
        <f>F11+F13+F15+F17+F19+F21+F23+F25+F27+F29+F31+F33</f>
        <v>0</v>
      </c>
      <c r="G35" s="993">
        <f t="shared" ref="G35:R35" si="1">G11+G13+G15+G17+G19+G21+G23+G25+G27+G29+G31+G33</f>
        <v>0</v>
      </c>
      <c r="H35" s="993">
        <f t="shared" si="1"/>
        <v>0</v>
      </c>
      <c r="I35" s="993">
        <f t="shared" si="1"/>
        <v>0</v>
      </c>
      <c r="J35" s="993">
        <f t="shared" si="1"/>
        <v>0</v>
      </c>
      <c r="K35" s="993">
        <f t="shared" si="1"/>
        <v>0</v>
      </c>
      <c r="L35" s="993">
        <f t="shared" si="1"/>
        <v>0</v>
      </c>
      <c r="M35" s="993">
        <f t="shared" si="1"/>
        <v>0</v>
      </c>
      <c r="N35" s="993">
        <f t="shared" si="1"/>
        <v>0</v>
      </c>
      <c r="O35" s="993">
        <f t="shared" si="1"/>
        <v>0</v>
      </c>
      <c r="P35" s="993">
        <f t="shared" si="1"/>
        <v>0</v>
      </c>
      <c r="Q35" s="994">
        <f t="shared" si="1"/>
        <v>0</v>
      </c>
      <c r="R35" s="985">
        <f t="shared" si="1"/>
        <v>0</v>
      </c>
      <c r="S35" s="873"/>
      <c r="T35" s="872"/>
      <c r="U35" s="788"/>
      <c r="V35" s="4684"/>
      <c r="W35" s="2904"/>
      <c r="X35" s="2794"/>
      <c r="Y35" s="1718"/>
      <c r="Z35" s="1032"/>
      <c r="AA35" s="969"/>
    </row>
    <row r="36" spans="1:27" ht="14.1" customHeight="1">
      <c r="A36" s="788"/>
      <c r="B36" s="895"/>
      <c r="C36" s="884"/>
      <c r="D36" s="4306"/>
      <c r="E36" s="995" t="s">
        <v>29</v>
      </c>
      <c r="F36" s="996">
        <f t="shared" ref="F36:R36" si="2">F12+F14+F16+F18+F20+F22+F24+F26+F28+F30+F32+F34</f>
        <v>0</v>
      </c>
      <c r="G36" s="997">
        <f t="shared" si="2"/>
        <v>0</v>
      </c>
      <c r="H36" s="997">
        <f t="shared" si="2"/>
        <v>0</v>
      </c>
      <c r="I36" s="997">
        <f t="shared" si="2"/>
        <v>0</v>
      </c>
      <c r="J36" s="997">
        <f t="shared" si="2"/>
        <v>0</v>
      </c>
      <c r="K36" s="997">
        <f t="shared" si="2"/>
        <v>0</v>
      </c>
      <c r="L36" s="997">
        <f t="shared" si="2"/>
        <v>0</v>
      </c>
      <c r="M36" s="997">
        <f t="shared" si="2"/>
        <v>0</v>
      </c>
      <c r="N36" s="997">
        <f t="shared" si="2"/>
        <v>0</v>
      </c>
      <c r="O36" s="997">
        <f t="shared" si="2"/>
        <v>0</v>
      </c>
      <c r="P36" s="997">
        <f t="shared" si="2"/>
        <v>0</v>
      </c>
      <c r="Q36" s="998">
        <f>Q12+Q14+Q16+Q18+Q20+Q22+Q24+Q26+Q28+Q30+Q32+Q34</f>
        <v>0</v>
      </c>
      <c r="R36" s="984">
        <f t="shared" si="2"/>
        <v>0</v>
      </c>
      <c r="S36" s="873"/>
      <c r="T36" s="872"/>
      <c r="U36" s="788"/>
      <c r="V36" s="4684"/>
      <c r="W36" s="2904"/>
      <c r="X36" s="2794"/>
      <c r="Y36" s="1718"/>
      <c r="Z36" s="1032"/>
      <c r="AA36" s="969"/>
    </row>
    <row r="37" spans="1:27" ht="14.1" customHeight="1">
      <c r="A37" s="788"/>
      <c r="B37" s="895"/>
      <c r="C37" s="884"/>
      <c r="D37" s="4677" t="s">
        <v>27</v>
      </c>
      <c r="E37" s="662" t="s">
        <v>20</v>
      </c>
      <c r="F37" s="2270"/>
      <c r="G37" s="533"/>
      <c r="H37" s="533"/>
      <c r="I37" s="533"/>
      <c r="J37" s="533"/>
      <c r="K37" s="533"/>
      <c r="L37" s="533"/>
      <c r="M37" s="533"/>
      <c r="N37" s="533"/>
      <c r="O37" s="533"/>
      <c r="P37" s="533"/>
      <c r="Q37" s="534"/>
      <c r="R37" s="985">
        <f t="shared" si="0"/>
        <v>0</v>
      </c>
      <c r="S37" s="873"/>
      <c r="T37" s="872"/>
      <c r="U37" s="788"/>
      <c r="V37" s="4684"/>
      <c r="W37" s="2904"/>
      <c r="X37" s="2794"/>
      <c r="Y37" s="1718"/>
      <c r="Z37" s="1032"/>
      <c r="AA37" s="969"/>
    </row>
    <row r="38" spans="1:27" ht="14.1" customHeight="1">
      <c r="A38" s="788"/>
      <c r="B38" s="895"/>
      <c r="C38" s="884"/>
      <c r="D38" s="4677"/>
      <c r="E38" s="663" t="s">
        <v>29</v>
      </c>
      <c r="F38" s="2272"/>
      <c r="G38" s="536"/>
      <c r="H38" s="536"/>
      <c r="I38" s="536"/>
      <c r="J38" s="536"/>
      <c r="K38" s="536"/>
      <c r="L38" s="536"/>
      <c r="M38" s="536"/>
      <c r="N38" s="536"/>
      <c r="O38" s="536"/>
      <c r="P38" s="536"/>
      <c r="Q38" s="537"/>
      <c r="R38" s="984">
        <f t="shared" si="0"/>
        <v>0</v>
      </c>
      <c r="S38" s="873"/>
      <c r="T38" s="872"/>
      <c r="U38" s="788"/>
      <c r="V38" s="4684"/>
      <c r="W38" s="2904"/>
      <c r="X38" s="2794"/>
      <c r="Y38" s="1718"/>
      <c r="Z38" s="1032"/>
      <c r="AA38" s="969"/>
    </row>
    <row r="39" spans="1:27" ht="3.9" customHeight="1">
      <c r="A39" s="788"/>
      <c r="B39" s="895"/>
      <c r="C39" s="884"/>
      <c r="D39" s="2267"/>
      <c r="E39" s="664"/>
      <c r="F39" s="664"/>
      <c r="G39" s="902"/>
      <c r="H39" s="661"/>
      <c r="I39" s="661"/>
      <c r="J39" s="661"/>
      <c r="K39" s="661"/>
      <c r="L39" s="661"/>
      <c r="M39" s="661"/>
      <c r="N39" s="661"/>
      <c r="O39" s="661"/>
      <c r="P39" s="661"/>
      <c r="Q39" s="661"/>
      <c r="R39" s="661"/>
      <c r="S39" s="873"/>
      <c r="T39" s="872"/>
      <c r="U39" s="788"/>
      <c r="V39" s="1032"/>
      <c r="W39" s="1032"/>
      <c r="X39" s="1032"/>
      <c r="Y39" s="1032"/>
      <c r="Z39" s="1032"/>
      <c r="AA39" s="969"/>
    </row>
    <row r="40" spans="1:27" ht="2.1" customHeight="1">
      <c r="A40" s="788"/>
      <c r="B40" s="895"/>
      <c r="C40" s="884"/>
      <c r="D40" s="2267"/>
      <c r="E40" s="664"/>
      <c r="F40" s="664"/>
      <c r="G40" s="902"/>
      <c r="H40" s="661"/>
      <c r="I40" s="661"/>
      <c r="J40" s="661"/>
      <c r="K40" s="661"/>
      <c r="L40" s="661"/>
      <c r="M40" s="661"/>
      <c r="N40" s="661"/>
      <c r="O40" s="661"/>
      <c r="P40" s="661"/>
      <c r="Q40" s="661"/>
      <c r="R40" s="661"/>
      <c r="S40" s="873"/>
      <c r="T40" s="872"/>
      <c r="U40" s="788"/>
      <c r="V40" s="1032"/>
      <c r="W40" s="1032"/>
      <c r="X40" s="1032"/>
      <c r="Y40" s="1032"/>
      <c r="Z40" s="1032"/>
      <c r="AA40" s="969"/>
    </row>
    <row r="41" spans="1:27" ht="20.100000000000001" customHeight="1">
      <c r="A41" s="788"/>
      <c r="B41" s="894"/>
      <c r="C41" s="954"/>
      <c r="D41" s="979" t="s">
        <v>1249</v>
      </c>
      <c r="E41" s="957"/>
      <c r="F41" s="989"/>
      <c r="G41" s="955"/>
      <c r="H41" s="955"/>
      <c r="I41" s="955"/>
      <c r="J41" s="955"/>
      <c r="K41" s="776"/>
      <c r="L41" s="955"/>
      <c r="M41" s="955"/>
      <c r="N41" s="955"/>
      <c r="O41" s="776"/>
      <c r="P41" s="4284" t="s">
        <v>1208</v>
      </c>
      <c r="Q41" s="4284"/>
      <c r="R41" s="957"/>
      <c r="S41" s="963"/>
      <c r="T41" s="872"/>
      <c r="U41" s="788"/>
      <c r="V41" s="1032"/>
      <c r="W41" s="1032"/>
      <c r="X41" s="1032"/>
      <c r="Y41" s="1032"/>
      <c r="Z41" s="1032"/>
      <c r="AA41" s="969"/>
    </row>
    <row r="42" spans="1:27" ht="14.1" customHeight="1">
      <c r="A42" s="788"/>
      <c r="B42" s="894"/>
      <c r="C42" s="884"/>
      <c r="D42" s="665"/>
      <c r="E42" s="901"/>
      <c r="F42" s="665"/>
      <c r="G42" s="665"/>
      <c r="H42" s="665"/>
      <c r="I42" s="665"/>
      <c r="J42" s="665"/>
      <c r="K42" s="665"/>
      <c r="L42" s="665"/>
      <c r="M42" s="665"/>
      <c r="N42" s="665"/>
      <c r="O42" s="3145" t="s">
        <v>1257</v>
      </c>
      <c r="P42" s="665"/>
      <c r="Q42" s="665"/>
      <c r="R42" s="665"/>
      <c r="S42" s="873"/>
      <c r="T42" s="872"/>
      <c r="U42" s="788"/>
      <c r="V42" s="4649" t="s">
        <v>1262</v>
      </c>
      <c r="W42" s="4649"/>
      <c r="X42" s="4649"/>
      <c r="Y42" s="4649"/>
      <c r="Z42" s="1032"/>
      <c r="AA42" s="969"/>
    </row>
    <row r="43" spans="1:27" ht="29.25" customHeight="1">
      <c r="A43" s="788"/>
      <c r="B43" s="894"/>
      <c r="C43" s="884"/>
      <c r="D43" s="4679" t="s">
        <v>36</v>
      </c>
      <c r="E43" s="4680"/>
      <c r="F43" s="4664" t="s">
        <v>1212</v>
      </c>
      <c r="G43" s="4665"/>
      <c r="H43" s="4675" t="s">
        <v>1211</v>
      </c>
      <c r="I43" s="4676"/>
      <c r="J43" s="4675" t="s">
        <v>719</v>
      </c>
      <c r="K43" s="4676"/>
      <c r="L43" s="4664" t="s">
        <v>718</v>
      </c>
      <c r="M43" s="4665"/>
      <c r="N43" s="4675" t="s">
        <v>720</v>
      </c>
      <c r="O43" s="4676"/>
      <c r="P43" s="4645" t="s">
        <v>31</v>
      </c>
      <c r="Q43" s="4646"/>
      <c r="R43" s="664"/>
      <c r="S43" s="873"/>
      <c r="T43" s="872"/>
      <c r="U43" s="788"/>
      <c r="V43" s="4649"/>
      <c r="W43" s="4649"/>
      <c r="X43" s="4649"/>
      <c r="Y43" s="4649"/>
      <c r="Z43" s="1032"/>
      <c r="AA43" s="969"/>
    </row>
    <row r="44" spans="1:27" ht="14.1" customHeight="1">
      <c r="A44" s="788"/>
      <c r="B44" s="894"/>
      <c r="C44" s="884"/>
      <c r="D44" s="4667" t="s">
        <v>30</v>
      </c>
      <c r="E44" s="4668"/>
      <c r="F44" s="642" t="s">
        <v>20</v>
      </c>
      <c r="G44" s="643" t="s">
        <v>29</v>
      </c>
      <c r="H44" s="1324" t="s">
        <v>20</v>
      </c>
      <c r="I44" s="1325" t="s">
        <v>29</v>
      </c>
      <c r="J44" s="642" t="s">
        <v>20</v>
      </c>
      <c r="K44" s="643" t="s">
        <v>29</v>
      </c>
      <c r="L44" s="1324" t="s">
        <v>20</v>
      </c>
      <c r="M44" s="1325" t="s">
        <v>29</v>
      </c>
      <c r="N44" s="1324" t="s">
        <v>20</v>
      </c>
      <c r="O44" s="1325" t="s">
        <v>29</v>
      </c>
      <c r="P44" s="964" t="s">
        <v>20</v>
      </c>
      <c r="Q44" s="990" t="s">
        <v>29</v>
      </c>
      <c r="R44" s="664"/>
      <c r="S44" s="873"/>
      <c r="T44" s="872"/>
      <c r="U44" s="788"/>
      <c r="V44" s="2538" t="s">
        <v>583</v>
      </c>
      <c r="W44" s="2792" t="s">
        <v>20</v>
      </c>
      <c r="X44" s="2792" t="s">
        <v>49</v>
      </c>
      <c r="Y44" s="1032"/>
      <c r="Z44" s="1032"/>
      <c r="AA44" s="969"/>
    </row>
    <row r="45" spans="1:27" ht="14.1" customHeight="1">
      <c r="A45" s="788"/>
      <c r="B45" s="894"/>
      <c r="C45" s="884"/>
      <c r="D45" s="4654" t="str">
        <f>D11</f>
        <v>اللغــة العربية</v>
      </c>
      <c r="E45" s="4655"/>
      <c r="F45" s="2067">
        <f>'الصفحة 15'!$E$49</f>
        <v>0</v>
      </c>
      <c r="G45" s="2068">
        <f>'الصفحة 15'!$E$50</f>
        <v>0</v>
      </c>
      <c r="H45" s="2067">
        <f>'الصفحة 15'!$G$49</f>
        <v>0</v>
      </c>
      <c r="I45" s="2068">
        <f>'الصفحة 15'!$G$50</f>
        <v>0</v>
      </c>
      <c r="J45" s="2067">
        <f>'الصفحة 15'!$I$49</f>
        <v>0</v>
      </c>
      <c r="K45" s="2068">
        <f>'الصفحة 15'!$I$50</f>
        <v>0</v>
      </c>
      <c r="L45" s="2067">
        <f>'الصفحة 15'!$K$49</f>
        <v>0</v>
      </c>
      <c r="M45" s="2068">
        <f>'الصفحة 15'!$K$50</f>
        <v>0</v>
      </c>
      <c r="N45" s="2067">
        <f>'الصفحة 15'!$M$49</f>
        <v>0</v>
      </c>
      <c r="O45" s="2068">
        <f>'الصفحة 15'!$M$50</f>
        <v>0</v>
      </c>
      <c r="P45" s="766">
        <f>L45+J45+H45+F45</f>
        <v>0</v>
      </c>
      <c r="Q45" s="767">
        <f t="shared" ref="Q45:Q56" si="3">M45+K45+I45+G45</f>
        <v>0</v>
      </c>
      <c r="R45" s="664"/>
      <c r="S45" s="873"/>
      <c r="T45" s="872"/>
      <c r="U45" s="788"/>
      <c r="V45" s="2753" t="s">
        <v>47</v>
      </c>
      <c r="W45" s="2793" t="str">
        <f>IF(((P45)-('الصفحة 27'!G46+'الصفحة 27'!I46))&gt;0,"خطأ"," ")</f>
        <v xml:space="preserve"> </v>
      </c>
      <c r="X45" s="2793" t="str">
        <f>IF(((Q45)-('الصفحة 27'!H46+'الصفحة 27'!J46))&gt;0,"خطأ"," ")</f>
        <v xml:space="preserve"> </v>
      </c>
      <c r="Y45" s="1032"/>
      <c r="Z45" s="1032"/>
      <c r="AA45" s="969"/>
    </row>
    <row r="46" spans="1:27" ht="14.1" customHeight="1">
      <c r="A46" s="788"/>
      <c r="B46" s="894"/>
      <c r="C46" s="884"/>
      <c r="D46" s="4656" t="str">
        <f>D13</f>
        <v>اللغــة الأمازيغية</v>
      </c>
      <c r="E46" s="4657"/>
      <c r="F46" s="2069">
        <f>'الصفحة 16'!$E$49</f>
        <v>0</v>
      </c>
      <c r="G46" s="2070">
        <f>'الصفحة 16'!$E$50</f>
        <v>0</v>
      </c>
      <c r="H46" s="2069">
        <f>'الصفحة 16'!$G$49</f>
        <v>0</v>
      </c>
      <c r="I46" s="2070">
        <f>'الصفحة 16'!$G$50</f>
        <v>0</v>
      </c>
      <c r="J46" s="2069">
        <f>'الصفحة 16'!$I$49</f>
        <v>0</v>
      </c>
      <c r="K46" s="2070">
        <f>'الصفحة 16'!$I$50</f>
        <v>0</v>
      </c>
      <c r="L46" s="2069">
        <f>'الصفحة 16'!$K$49</f>
        <v>0</v>
      </c>
      <c r="M46" s="2070">
        <f>'الصفحة 16'!$K$50</f>
        <v>0</v>
      </c>
      <c r="N46" s="2069">
        <f>'الصفحة 16'!$M$49</f>
        <v>0</v>
      </c>
      <c r="O46" s="2070">
        <f>'الصفحة 16'!$M$50</f>
        <v>0</v>
      </c>
      <c r="P46" s="768">
        <f t="shared" ref="P46:P56" si="4">L46+J46+H46+F46</f>
        <v>0</v>
      </c>
      <c r="Q46" s="769">
        <f t="shared" si="3"/>
        <v>0</v>
      </c>
      <c r="R46" s="664"/>
      <c r="S46" s="873"/>
      <c r="T46" s="872"/>
      <c r="U46" s="788"/>
      <c r="V46" s="2754" t="s">
        <v>46</v>
      </c>
      <c r="W46" s="2793" t="str">
        <f>IF(((P46)-('الصفحة 27'!G47+'الصفحة 27'!I47))&gt;0,"خطأ"," ")</f>
        <v xml:space="preserve"> </v>
      </c>
      <c r="X46" s="2793" t="str">
        <f>IF(((Q46)-('الصفحة 27'!H47+'الصفحة 27'!J47))&gt;0,"خطأ"," ")</f>
        <v xml:space="preserve"> </v>
      </c>
      <c r="Y46" s="1032"/>
      <c r="Z46" s="1032"/>
      <c r="AA46" s="969"/>
    </row>
    <row r="47" spans="1:27" ht="14.1" customHeight="1">
      <c r="A47" s="788"/>
      <c r="B47" s="894"/>
      <c r="C47" s="884"/>
      <c r="D47" s="4654" t="str">
        <f>D15</f>
        <v>التاريخ والجغرافيا</v>
      </c>
      <c r="E47" s="4655"/>
      <c r="F47" s="2069">
        <f>'الصفحة 17'!$E$49</f>
        <v>0</v>
      </c>
      <c r="G47" s="2070">
        <f>'الصفحة 17'!$E$50</f>
        <v>0</v>
      </c>
      <c r="H47" s="2069">
        <f>'الصفحة 17'!$G$49</f>
        <v>0</v>
      </c>
      <c r="I47" s="2070">
        <f>'الصفحة 17'!$G$50</f>
        <v>0</v>
      </c>
      <c r="J47" s="2069">
        <f>'الصفحة 17'!$I$49</f>
        <v>0</v>
      </c>
      <c r="K47" s="2070">
        <f>'الصفحة 17'!$I$50</f>
        <v>0</v>
      </c>
      <c r="L47" s="2069">
        <f>'الصفحة 17'!$K$49</f>
        <v>0</v>
      </c>
      <c r="M47" s="2070">
        <f>'الصفحة 17'!$K$50</f>
        <v>0</v>
      </c>
      <c r="N47" s="2069">
        <f>'الصفحة 17'!$M$49</f>
        <v>0</v>
      </c>
      <c r="O47" s="2070">
        <f>'الصفحة 17'!$M$50</f>
        <v>0</v>
      </c>
      <c r="P47" s="768">
        <f t="shared" si="4"/>
        <v>0</v>
      </c>
      <c r="Q47" s="769">
        <f t="shared" si="3"/>
        <v>0</v>
      </c>
      <c r="R47" s="664"/>
      <c r="S47" s="873"/>
      <c r="T47" s="872"/>
      <c r="U47" s="788"/>
      <c r="V47" s="2753" t="s">
        <v>45</v>
      </c>
      <c r="W47" s="2793" t="str">
        <f>IF(((P47)-('الصفحة 27'!G48+'الصفحة 27'!I48))&gt;0,"خطأ"," ")</f>
        <v xml:space="preserve"> </v>
      </c>
      <c r="X47" s="2793" t="str">
        <f>IF(((Q47)-('الصفحة 27'!H48+'الصفحة 27'!J48))&gt;0,"خطأ"," ")</f>
        <v xml:space="preserve"> </v>
      </c>
      <c r="Y47" s="1032"/>
      <c r="Z47" s="1032"/>
      <c r="AA47" s="969"/>
    </row>
    <row r="48" spans="1:27" ht="14.1" customHeight="1">
      <c r="A48" s="788"/>
      <c r="B48" s="894"/>
      <c r="C48" s="884"/>
      <c r="D48" s="4656" t="str">
        <f>D17</f>
        <v>اللغــة الفرنسية</v>
      </c>
      <c r="E48" s="4657"/>
      <c r="F48" s="2069">
        <f>'الصفحة 18'!$E$49</f>
        <v>0</v>
      </c>
      <c r="G48" s="2070">
        <f>'الصفحة 18'!$E$50</f>
        <v>0</v>
      </c>
      <c r="H48" s="2069">
        <f>'الصفحة 18'!$G$49</f>
        <v>0</v>
      </c>
      <c r="I48" s="2070">
        <f>'الصفحة 18'!$G$50</f>
        <v>0</v>
      </c>
      <c r="J48" s="2069">
        <f>'الصفحة 18'!$I$49</f>
        <v>0</v>
      </c>
      <c r="K48" s="2070">
        <f>'الصفحة 18'!$I$50</f>
        <v>0</v>
      </c>
      <c r="L48" s="2069">
        <f>'الصفحة 18'!$K$49</f>
        <v>0</v>
      </c>
      <c r="M48" s="2070">
        <f>'الصفحة 18'!$K$50</f>
        <v>0</v>
      </c>
      <c r="N48" s="2069">
        <f>'الصفحة 18'!$M$49</f>
        <v>0</v>
      </c>
      <c r="O48" s="2070">
        <f>'الصفحة 18'!$M$50</f>
        <v>0</v>
      </c>
      <c r="P48" s="768">
        <f t="shared" si="4"/>
        <v>0</v>
      </c>
      <c r="Q48" s="769">
        <f t="shared" si="3"/>
        <v>0</v>
      </c>
      <c r="R48" s="664"/>
      <c r="S48" s="873"/>
      <c r="T48" s="872"/>
      <c r="U48" s="788"/>
      <c r="V48" s="2754" t="s">
        <v>44</v>
      </c>
      <c r="W48" s="2793" t="str">
        <f>IF(((P48)-('الصفحة 27'!G49+'الصفحة 27'!I49))&gt;0,"خطأ"," ")</f>
        <v xml:space="preserve"> </v>
      </c>
      <c r="X48" s="2793" t="str">
        <f>IF(((Q48)-('الصفحة 27'!H49+'الصفحة 27'!J49))&gt;0,"خطأ"," ")</f>
        <v xml:space="preserve"> </v>
      </c>
      <c r="Y48" s="1032"/>
      <c r="Z48" s="1032"/>
      <c r="AA48" s="969"/>
    </row>
    <row r="49" spans="1:27" ht="14.1" customHeight="1">
      <c r="A49" s="788"/>
      <c r="B49" s="894"/>
      <c r="C49" s="884"/>
      <c r="D49" s="4654" t="str">
        <f>D19</f>
        <v>اللغــة الأنجليزية</v>
      </c>
      <c r="E49" s="4655"/>
      <c r="F49" s="2069">
        <f>'الصفحة 19'!$E$49</f>
        <v>0</v>
      </c>
      <c r="G49" s="2070">
        <f>'الصفحة 19'!$E$50</f>
        <v>0</v>
      </c>
      <c r="H49" s="2069">
        <f>'الصفحة 19'!$G$49</f>
        <v>0</v>
      </c>
      <c r="I49" s="2070">
        <f>'الصفحة 19'!$G$50</f>
        <v>0</v>
      </c>
      <c r="J49" s="2069">
        <f>'الصفحة 19'!$I$49</f>
        <v>0</v>
      </c>
      <c r="K49" s="2070">
        <f>'الصفحة 19'!$I$50</f>
        <v>0</v>
      </c>
      <c r="L49" s="2069">
        <f>'الصفحة 19'!$K$49</f>
        <v>0</v>
      </c>
      <c r="M49" s="2070">
        <f>'الصفحة 19'!$K$50</f>
        <v>0</v>
      </c>
      <c r="N49" s="2069">
        <f>'الصفحة 19'!$M$49</f>
        <v>0</v>
      </c>
      <c r="O49" s="2070">
        <f>'الصفحة 19'!$M$50</f>
        <v>0</v>
      </c>
      <c r="P49" s="768">
        <f t="shared" si="4"/>
        <v>0</v>
      </c>
      <c r="Q49" s="769">
        <f t="shared" si="3"/>
        <v>0</v>
      </c>
      <c r="R49" s="664"/>
      <c r="S49" s="873"/>
      <c r="T49" s="872"/>
      <c r="U49" s="788"/>
      <c r="V49" s="2753" t="s">
        <v>43</v>
      </c>
      <c r="W49" s="2793" t="str">
        <f>IF(((P49)-('الصفحة 27'!G50+'الصفحة 27'!I50))&gt;0,"خطأ"," ")</f>
        <v xml:space="preserve"> </v>
      </c>
      <c r="X49" s="2793" t="str">
        <f>IF(((Q49)-('الصفحة 27'!H50+'الصفحة 27'!J50))&gt;0,"خطأ"," ")</f>
        <v xml:space="preserve"> </v>
      </c>
      <c r="Y49" s="1032"/>
      <c r="Z49" s="1032"/>
      <c r="AA49" s="969"/>
    </row>
    <row r="50" spans="1:27" ht="14.1" customHeight="1">
      <c r="A50" s="788"/>
      <c r="B50" s="894"/>
      <c r="C50" s="884"/>
      <c r="D50" s="4656" t="str">
        <f>D21</f>
        <v>الرياضيـات</v>
      </c>
      <c r="E50" s="4657"/>
      <c r="F50" s="2069">
        <f>'الصفحة 20'!$E$49</f>
        <v>0</v>
      </c>
      <c r="G50" s="2070">
        <f>'الصفحة 20'!$E$50</f>
        <v>0</v>
      </c>
      <c r="H50" s="2069">
        <f>'الصفحة 20'!$G$49</f>
        <v>0</v>
      </c>
      <c r="I50" s="2070">
        <f>'الصفحة 20'!$G$50</f>
        <v>0</v>
      </c>
      <c r="J50" s="2069">
        <f>'الصفحة 20'!$I$49</f>
        <v>0</v>
      </c>
      <c r="K50" s="2070">
        <f>'الصفحة 20'!$I$50</f>
        <v>0</v>
      </c>
      <c r="L50" s="2069">
        <f>'الصفحة 20'!$K$49</f>
        <v>0</v>
      </c>
      <c r="M50" s="2070">
        <f>'الصفحة 20'!$K$50</f>
        <v>0</v>
      </c>
      <c r="N50" s="2069">
        <f>'الصفحة 20'!$M$49</f>
        <v>0</v>
      </c>
      <c r="O50" s="2070">
        <f>'الصفحة 20'!$M$50</f>
        <v>0</v>
      </c>
      <c r="P50" s="768">
        <f t="shared" si="4"/>
        <v>0</v>
      </c>
      <c r="Q50" s="769">
        <f t="shared" si="3"/>
        <v>0</v>
      </c>
      <c r="R50" s="664"/>
      <c r="S50" s="873"/>
      <c r="T50" s="872"/>
      <c r="U50" s="788"/>
      <c r="V50" s="2755" t="s">
        <v>42</v>
      </c>
      <c r="W50" s="2793" t="str">
        <f>IF(((P50)-('الصفحة 27'!G51+'الصفحة 27'!I51))&gt;0,"خطأ"," ")</f>
        <v xml:space="preserve"> </v>
      </c>
      <c r="X50" s="2793" t="str">
        <f>IF(((Q50)-('الصفحة 27'!H51+'الصفحة 27'!J51))&gt;0,"خطأ"," ")</f>
        <v xml:space="preserve"> </v>
      </c>
      <c r="Y50" s="1032"/>
      <c r="Z50" s="1032"/>
      <c r="AA50" s="969"/>
    </row>
    <row r="51" spans="1:27" ht="14.1" customHeight="1">
      <c r="A51" s="788"/>
      <c r="B51" s="894"/>
      <c r="C51" s="884"/>
      <c r="D51" s="4662" t="str">
        <f>D23</f>
        <v>العلوم الفيزيائية والتكنولوجيا</v>
      </c>
      <c r="E51" s="4663"/>
      <c r="F51" s="2069">
        <f>'الصفحة 21'!$E$49</f>
        <v>0</v>
      </c>
      <c r="G51" s="2070">
        <f>'الصفحة 21'!$E$50</f>
        <v>0</v>
      </c>
      <c r="H51" s="2069">
        <f>'الصفحة 21'!$G$49</f>
        <v>0</v>
      </c>
      <c r="I51" s="2070">
        <f>'الصفحة 21'!$G$50</f>
        <v>0</v>
      </c>
      <c r="J51" s="2069">
        <f>'الصفحة 21'!$I$49</f>
        <v>0</v>
      </c>
      <c r="K51" s="2070">
        <f>'الصفحة 21'!$I$50</f>
        <v>0</v>
      </c>
      <c r="L51" s="2069">
        <f>'الصفحة 21'!$K$49</f>
        <v>0</v>
      </c>
      <c r="M51" s="2070">
        <f>'الصفحة 21'!$K$50</f>
        <v>0</v>
      </c>
      <c r="N51" s="2069">
        <f>'الصفحة 21'!$M$49</f>
        <v>0</v>
      </c>
      <c r="O51" s="2070">
        <f>'الصفحة 21'!$M$50</f>
        <v>0</v>
      </c>
      <c r="P51" s="768">
        <f t="shared" si="4"/>
        <v>0</v>
      </c>
      <c r="Q51" s="769">
        <f t="shared" si="3"/>
        <v>0</v>
      </c>
      <c r="R51" s="664"/>
      <c r="S51" s="873"/>
      <c r="T51" s="872"/>
      <c r="U51" s="788"/>
      <c r="V51" s="2753" t="s">
        <v>1111</v>
      </c>
      <c r="W51" s="2793" t="str">
        <f>IF(((P51)-('الصفحة 27'!G52+'الصفحة 27'!I52))&gt;0,"خطأ"," ")</f>
        <v xml:space="preserve"> </v>
      </c>
      <c r="X51" s="2793" t="str">
        <f>IF(((Q51)-('الصفحة 27'!H52+'الصفحة 27'!J52))&gt;0,"خطأ"," ")</f>
        <v xml:space="preserve"> </v>
      </c>
      <c r="Y51" s="1032"/>
      <c r="Z51" s="1032"/>
      <c r="AA51" s="969"/>
    </row>
    <row r="52" spans="1:27" ht="14.1" customHeight="1">
      <c r="A52" s="788"/>
      <c r="B52" s="894"/>
      <c r="C52" s="884"/>
      <c r="D52" s="4656" t="str">
        <f>D25</f>
        <v>علوم الطبيعة والحياة</v>
      </c>
      <c r="E52" s="4657"/>
      <c r="F52" s="2069">
        <f>'الصفحة 22'!$E$49</f>
        <v>0</v>
      </c>
      <c r="G52" s="2070">
        <f>'الصفحة 22'!$E$50</f>
        <v>0</v>
      </c>
      <c r="H52" s="2069">
        <f>'الصفحة 22'!$G$49</f>
        <v>0</v>
      </c>
      <c r="I52" s="2070">
        <f>'الصفحة 22'!$G$50</f>
        <v>0</v>
      </c>
      <c r="J52" s="2069">
        <f>'الصفحة 22'!$I$49</f>
        <v>0</v>
      </c>
      <c r="K52" s="2070">
        <f>'الصفحة 22'!$I$50</f>
        <v>0</v>
      </c>
      <c r="L52" s="2069">
        <f>'الصفحة 22'!$K$49</f>
        <v>0</v>
      </c>
      <c r="M52" s="2070">
        <f>'الصفحة 22'!$K$50</f>
        <v>0</v>
      </c>
      <c r="N52" s="2069">
        <f>'الصفحة 22'!$M$49</f>
        <v>0</v>
      </c>
      <c r="O52" s="2070">
        <f>'الصفحة 22'!$M$50</f>
        <v>0</v>
      </c>
      <c r="P52" s="768">
        <f t="shared" si="4"/>
        <v>0</v>
      </c>
      <c r="Q52" s="769">
        <f t="shared" si="3"/>
        <v>0</v>
      </c>
      <c r="R52" s="664"/>
      <c r="S52" s="873"/>
      <c r="T52" s="872"/>
      <c r="U52" s="788"/>
      <c r="V52" s="2755" t="s">
        <v>40</v>
      </c>
      <c r="W52" s="2793" t="str">
        <f>IF(((P52)-('الصفحة 27'!G53+'الصفحة 27'!I53))&gt;0,"خطأ"," ")</f>
        <v xml:space="preserve"> </v>
      </c>
      <c r="X52" s="2793" t="str">
        <f>IF(((Q52)-('الصفحة 27'!H53+'الصفحة 27'!J53))&gt;0,"خطأ"," ")</f>
        <v xml:space="preserve"> </v>
      </c>
      <c r="Y52" s="1032"/>
      <c r="Z52" s="1032"/>
      <c r="AA52" s="969"/>
    </row>
    <row r="53" spans="1:27" ht="14.1" customHeight="1">
      <c r="A53" s="788"/>
      <c r="B53" s="894"/>
      <c r="C53" s="884"/>
      <c r="D53" s="4654" t="str">
        <f>D27</f>
        <v>التربية الموسيقية</v>
      </c>
      <c r="E53" s="4655"/>
      <c r="F53" s="2069">
        <f>'الصفحة 23'!$E$49</f>
        <v>0</v>
      </c>
      <c r="G53" s="2070">
        <f>'الصفحة 23'!$E$50</f>
        <v>0</v>
      </c>
      <c r="H53" s="2069">
        <f>'الصفحة 23'!$G$49</f>
        <v>0</v>
      </c>
      <c r="I53" s="2070">
        <f>'الصفحة 23'!$G$50</f>
        <v>0</v>
      </c>
      <c r="J53" s="2069">
        <f>'الصفحة 23'!$I$49</f>
        <v>0</v>
      </c>
      <c r="K53" s="2070">
        <f>'الصفحة 23'!$I$50</f>
        <v>0</v>
      </c>
      <c r="L53" s="2069">
        <f>'الصفحة 23'!$K$49</f>
        <v>0</v>
      </c>
      <c r="M53" s="2070">
        <f>'الصفحة 23'!$K$50</f>
        <v>0</v>
      </c>
      <c r="N53" s="2069">
        <f>'الصفحة 23'!$M$49</f>
        <v>0</v>
      </c>
      <c r="O53" s="2070">
        <f>'الصفحة 23'!$M$50</f>
        <v>0</v>
      </c>
      <c r="P53" s="768">
        <f t="shared" si="4"/>
        <v>0</v>
      </c>
      <c r="Q53" s="769">
        <f t="shared" si="3"/>
        <v>0</v>
      </c>
      <c r="R53" s="664"/>
      <c r="S53" s="873"/>
      <c r="T53" s="872"/>
      <c r="U53" s="788"/>
      <c r="V53" s="2753" t="s">
        <v>39</v>
      </c>
      <c r="W53" s="2793" t="str">
        <f>IF(((P53)-('الصفحة 27'!G54+'الصفحة 27'!I54))&gt;0,"خطأ"," ")</f>
        <v xml:space="preserve"> </v>
      </c>
      <c r="X53" s="2793" t="str">
        <f>IF(((Q53)-('الصفحة 27'!H54+'الصفحة 27'!J54))&gt;0,"خطأ"," ")</f>
        <v xml:space="preserve"> </v>
      </c>
      <c r="Y53" s="1032"/>
      <c r="Z53" s="1032"/>
      <c r="AA53" s="969"/>
    </row>
    <row r="54" spans="1:27" ht="14.1" customHeight="1">
      <c r="A54" s="788"/>
      <c r="B54" s="894"/>
      <c r="C54" s="884"/>
      <c r="D54" s="4656" t="str">
        <f>D29</f>
        <v>التربية التشكيلية</v>
      </c>
      <c r="E54" s="4657"/>
      <c r="F54" s="2069">
        <f>'الصفحة 24'!$E$49</f>
        <v>0</v>
      </c>
      <c r="G54" s="2070">
        <f>'الصفحة 24'!$E$50</f>
        <v>0</v>
      </c>
      <c r="H54" s="2069">
        <f>'الصفحة 24'!$G$49</f>
        <v>0</v>
      </c>
      <c r="I54" s="2070">
        <f>'الصفحة 24'!$G$50</f>
        <v>0</v>
      </c>
      <c r="J54" s="2069">
        <f>'الصفحة 24'!$I$49</f>
        <v>0</v>
      </c>
      <c r="K54" s="2070">
        <f>'الصفحة 24'!$I$50</f>
        <v>0</v>
      </c>
      <c r="L54" s="2069">
        <f>'الصفحة 24'!$K$49</f>
        <v>0</v>
      </c>
      <c r="M54" s="2070">
        <f>'الصفحة 24'!$K$50</f>
        <v>0</v>
      </c>
      <c r="N54" s="2069">
        <f>'الصفحة 24'!$M$49</f>
        <v>0</v>
      </c>
      <c r="O54" s="2070">
        <f>'الصفحة 24'!$M$50</f>
        <v>0</v>
      </c>
      <c r="P54" s="768">
        <f t="shared" si="4"/>
        <v>0</v>
      </c>
      <c r="Q54" s="769">
        <f t="shared" si="3"/>
        <v>0</v>
      </c>
      <c r="R54" s="664"/>
      <c r="S54" s="873"/>
      <c r="T54" s="872"/>
      <c r="U54" s="788"/>
      <c r="V54" s="2755" t="s">
        <v>38</v>
      </c>
      <c r="W54" s="2793" t="str">
        <f>IF(((P54)-('الصفحة 27'!G55+'الصفحة 27'!I55))&gt;0,"خطأ"," ")</f>
        <v xml:space="preserve"> </v>
      </c>
      <c r="X54" s="2793" t="str">
        <f>IF(((Q54)-('الصفحة 27'!H55+'الصفحة 27'!J55))&gt;0,"خطأ"," ")</f>
        <v xml:space="preserve"> </v>
      </c>
      <c r="Y54" s="1032"/>
      <c r="Z54" s="1032"/>
      <c r="AA54" s="969"/>
    </row>
    <row r="55" spans="1:27" ht="14.1" customHeight="1">
      <c r="A55" s="788"/>
      <c r="B55" s="894"/>
      <c r="C55" s="884"/>
      <c r="D55" s="4654" t="str">
        <f>D31</f>
        <v>التربية البدنية والرياضية</v>
      </c>
      <c r="E55" s="4655"/>
      <c r="F55" s="2069">
        <f>'الصفحة 25'!$E$49</f>
        <v>0</v>
      </c>
      <c r="G55" s="2070">
        <f>'الصفحة 25'!$E$50</f>
        <v>0</v>
      </c>
      <c r="H55" s="2069">
        <f>'الصفحة 25'!$G$49</f>
        <v>0</v>
      </c>
      <c r="I55" s="2070">
        <f>'الصفحة 25'!$G$50</f>
        <v>0</v>
      </c>
      <c r="J55" s="2069">
        <f>'الصفحة 25'!$I$49</f>
        <v>0</v>
      </c>
      <c r="K55" s="2070">
        <f>'الصفحة 25'!$I$50</f>
        <v>0</v>
      </c>
      <c r="L55" s="2069">
        <f>'الصفحة 25'!$K$49</f>
        <v>0</v>
      </c>
      <c r="M55" s="2070">
        <f>'الصفحة 25'!$K$50</f>
        <v>0</v>
      </c>
      <c r="N55" s="2069">
        <f>'الصفحة 25'!$M$49</f>
        <v>0</v>
      </c>
      <c r="O55" s="2070">
        <f>'الصفحة 25'!$M$50</f>
        <v>0</v>
      </c>
      <c r="P55" s="768">
        <f t="shared" si="4"/>
        <v>0</v>
      </c>
      <c r="Q55" s="769">
        <f t="shared" si="3"/>
        <v>0</v>
      </c>
      <c r="R55" s="664"/>
      <c r="S55" s="873"/>
      <c r="T55" s="872"/>
      <c r="U55" s="788"/>
      <c r="V55" s="2753" t="s">
        <v>37</v>
      </c>
      <c r="W55" s="2793" t="str">
        <f>IF(((P55)-('الصفحة 27'!G56+'الصفحة 27'!I56))&gt;0,"خطأ"," ")</f>
        <v xml:space="preserve"> </v>
      </c>
      <c r="X55" s="2793" t="str">
        <f>IF(((Q55)-('الصفحة 27'!H56+'الصفحة 27'!J56))&gt;0,"خطأ"," ")</f>
        <v xml:space="preserve"> </v>
      </c>
      <c r="Y55" s="1032"/>
      <c r="Z55" s="1032"/>
      <c r="AA55" s="969"/>
    </row>
    <row r="56" spans="1:27" ht="14.1" customHeight="1">
      <c r="A56" s="788"/>
      <c r="B56" s="894"/>
      <c r="C56" s="884"/>
      <c r="D56" s="4656" t="str">
        <f>D33</f>
        <v>الإعلام الآلي</v>
      </c>
      <c r="E56" s="4657"/>
      <c r="F56" s="2071">
        <f>'الصفحة 26'!$E$49</f>
        <v>0</v>
      </c>
      <c r="G56" s="2072">
        <f>'الصفحة 26'!$E$50</f>
        <v>0</v>
      </c>
      <c r="H56" s="2071">
        <f>'الصفحة 26'!$G$49</f>
        <v>0</v>
      </c>
      <c r="I56" s="2072">
        <f>'الصفحة 26'!$G$50</f>
        <v>0</v>
      </c>
      <c r="J56" s="2071">
        <f>'الصفحة 26'!$I$49</f>
        <v>0</v>
      </c>
      <c r="K56" s="2072">
        <f>'الصفحة 26'!$I$50</f>
        <v>0</v>
      </c>
      <c r="L56" s="2071">
        <f>'الصفحة 26'!$K$49</f>
        <v>0</v>
      </c>
      <c r="M56" s="2072">
        <f>'الصفحة 26'!$K$50</f>
        <v>0</v>
      </c>
      <c r="N56" s="2071">
        <f>'الصفحة 26'!$M$49</f>
        <v>0</v>
      </c>
      <c r="O56" s="2072">
        <f>'الصفحة 26'!$M$50</f>
        <v>0</v>
      </c>
      <c r="P56" s="770">
        <f t="shared" si="4"/>
        <v>0</v>
      </c>
      <c r="Q56" s="771">
        <f t="shared" si="3"/>
        <v>0</v>
      </c>
      <c r="R56" s="664"/>
      <c r="S56" s="873"/>
      <c r="T56" s="872"/>
      <c r="U56" s="788"/>
      <c r="V56" s="2753" t="s">
        <v>48</v>
      </c>
      <c r="W56" s="2793" t="str">
        <f>IF(((P56)-('الصفحة 27'!G57+'الصفحة 27'!I57))&gt;0,"خطأ"," ")</f>
        <v xml:space="preserve"> </v>
      </c>
      <c r="X56" s="2793" t="str">
        <f>IF(((Q56)-('الصفحة 27'!H57+'الصفحة 27'!J57))&gt;0,"خطأ"," ")</f>
        <v xml:space="preserve"> </v>
      </c>
      <c r="Y56" s="1032"/>
      <c r="Z56" s="1032"/>
      <c r="AA56" s="969"/>
    </row>
    <row r="57" spans="1:27" ht="14.1" customHeight="1">
      <c r="A57" s="788"/>
      <c r="B57" s="894"/>
      <c r="C57" s="884"/>
      <c r="D57" s="4305" t="s">
        <v>28</v>
      </c>
      <c r="E57" s="4306"/>
      <c r="F57" s="772">
        <f>SUM(F45:F56)</f>
        <v>0</v>
      </c>
      <c r="G57" s="773">
        <f t="shared" ref="G57:M57" si="5">SUM(G45:G56)</f>
        <v>0</v>
      </c>
      <c r="H57" s="772">
        <f t="shared" si="5"/>
        <v>0</v>
      </c>
      <c r="I57" s="773">
        <f t="shared" si="5"/>
        <v>0</v>
      </c>
      <c r="J57" s="772">
        <f t="shared" si="5"/>
        <v>0</v>
      </c>
      <c r="K57" s="773">
        <f t="shared" si="5"/>
        <v>0</v>
      </c>
      <c r="L57" s="772">
        <f t="shared" si="5"/>
        <v>0</v>
      </c>
      <c r="M57" s="773">
        <f t="shared" si="5"/>
        <v>0</v>
      </c>
      <c r="N57" s="772">
        <f>SUM(N45:N56)</f>
        <v>0</v>
      </c>
      <c r="O57" s="773">
        <f>SUM(O45:O56)</f>
        <v>0</v>
      </c>
      <c r="P57" s="772">
        <f>SUM(P45:P56)</f>
        <v>0</v>
      </c>
      <c r="Q57" s="773">
        <f>SUM(Q45:Q56)</f>
        <v>0</v>
      </c>
      <c r="R57" s="664"/>
      <c r="S57" s="873"/>
      <c r="T57" s="872"/>
      <c r="U57" s="788"/>
      <c r="V57" s="2527" t="s">
        <v>28</v>
      </c>
      <c r="W57" s="2793" t="str">
        <f>IF(((P57)-('الصفحة 27'!G58+'الصفحة 27'!I58))&gt;0,"خطأ"," ")</f>
        <v xml:space="preserve"> </v>
      </c>
      <c r="X57" s="2793" t="str">
        <f>IF(((Q57)-('الصفحة 27'!H58+'الصفحة 27'!J58))&gt;0,"خطأ"," ")</f>
        <v xml:space="preserve"> </v>
      </c>
      <c r="Y57" s="1032"/>
      <c r="Z57" s="1032"/>
      <c r="AA57" s="969"/>
    </row>
    <row r="58" spans="1:27" ht="3.9" customHeight="1">
      <c r="A58" s="788"/>
      <c r="B58" s="894"/>
      <c r="C58" s="884"/>
      <c r="D58" s="4678"/>
      <c r="E58" s="4678"/>
      <c r="F58" s="2065"/>
      <c r="G58" s="2065"/>
      <c r="H58" s="2065"/>
      <c r="I58" s="2065"/>
      <c r="J58" s="2065"/>
      <c r="K58" s="2065"/>
      <c r="L58" s="2065"/>
      <c r="M58" s="2065"/>
      <c r="N58" s="2065"/>
      <c r="O58" s="2065"/>
      <c r="P58" s="2065"/>
      <c r="Q58" s="2065"/>
      <c r="R58" s="2066"/>
      <c r="S58" s="873"/>
      <c r="T58" s="872"/>
      <c r="U58" s="788"/>
      <c r="V58" s="1718"/>
      <c r="W58" s="1718"/>
      <c r="X58" s="1718"/>
      <c r="Y58" s="1718"/>
      <c r="Z58" s="1032"/>
      <c r="AA58" s="969"/>
    </row>
    <row r="59" spans="1:27" ht="2.1" customHeight="1">
      <c r="A59" s="788"/>
      <c r="B59" s="894"/>
      <c r="C59" s="884"/>
      <c r="D59" s="654"/>
      <c r="E59" s="654"/>
      <c r="F59" s="666"/>
      <c r="G59" s="666"/>
      <c r="H59" s="666"/>
      <c r="I59" s="666"/>
      <c r="J59" s="666"/>
      <c r="K59" s="666"/>
      <c r="L59" s="666"/>
      <c r="M59" s="666"/>
      <c r="N59" s="664"/>
      <c r="O59" s="664"/>
      <c r="P59" s="664"/>
      <c r="Q59" s="664"/>
      <c r="R59" s="665"/>
      <c r="S59" s="873"/>
      <c r="T59" s="872"/>
      <c r="U59" s="788"/>
      <c r="V59" s="2774"/>
      <c r="W59" s="2794"/>
      <c r="X59" s="2794"/>
      <c r="Y59" s="1718"/>
      <c r="Z59" s="1032"/>
      <c r="AA59" s="969"/>
    </row>
    <row r="60" spans="1:27" ht="2.1" customHeight="1" thickBot="1">
      <c r="A60" s="788"/>
      <c r="B60" s="894"/>
      <c r="C60" s="885"/>
      <c r="D60" s="886"/>
      <c r="E60" s="886"/>
      <c r="F60" s="887"/>
      <c r="G60" s="888"/>
      <c r="H60" s="888"/>
      <c r="I60" s="888"/>
      <c r="J60" s="888"/>
      <c r="K60" s="888"/>
      <c r="L60" s="888"/>
      <c r="M60" s="888"/>
      <c r="N60" s="888"/>
      <c r="O60" s="888"/>
      <c r="P60" s="888"/>
      <c r="Q60" s="888"/>
      <c r="R60" s="888"/>
      <c r="S60" s="903"/>
      <c r="T60" s="872"/>
      <c r="U60" s="788"/>
      <c r="V60" s="1032"/>
      <c r="W60" s="1032"/>
      <c r="X60" s="1032"/>
      <c r="Y60" s="1032"/>
      <c r="Z60" s="1032"/>
      <c r="AA60" s="969"/>
    </row>
    <row r="61" spans="1:27" ht="14.1" customHeight="1" thickBot="1">
      <c r="A61" s="788"/>
      <c r="B61" s="896"/>
      <c r="C61" s="4176">
        <v>31</v>
      </c>
      <c r="D61" s="4176"/>
      <c r="E61" s="4176"/>
      <c r="F61" s="4176"/>
      <c r="G61" s="4176"/>
      <c r="H61" s="4176"/>
      <c r="I61" s="4176"/>
      <c r="J61" s="4176"/>
      <c r="K61" s="4176"/>
      <c r="L61" s="4176"/>
      <c r="M61" s="4176"/>
      <c r="N61" s="4176"/>
      <c r="O61" s="4176"/>
      <c r="P61" s="4176"/>
      <c r="Q61" s="4176"/>
      <c r="R61" s="4176"/>
      <c r="S61" s="4176"/>
      <c r="T61" s="2064">
        <v>1</v>
      </c>
      <c r="U61" s="788"/>
      <c r="V61" s="1032"/>
      <c r="W61" s="1032"/>
      <c r="X61" s="1032"/>
      <c r="Y61" s="1032"/>
      <c r="Z61" s="1032"/>
      <c r="AA61" s="969"/>
    </row>
    <row r="62" spans="1:27" ht="14.1" customHeight="1">
      <c r="A62" s="788"/>
      <c r="B62" s="1027" t="str">
        <f>'صفحة الدفتـر'!$B$68</f>
        <v>السنة الدراسية  2022 - 2023</v>
      </c>
      <c r="C62" s="789"/>
      <c r="D62" s="3146"/>
      <c r="E62" s="789"/>
      <c r="F62" s="789"/>
      <c r="G62" s="789"/>
      <c r="H62" s="789"/>
      <c r="I62" s="789"/>
      <c r="J62" s="789"/>
      <c r="K62" s="789"/>
      <c r="L62" s="789"/>
      <c r="M62" s="789"/>
      <c r="N62" s="789"/>
      <c r="O62" s="789"/>
      <c r="P62" s="789"/>
      <c r="Q62" s="789"/>
      <c r="R62" s="789"/>
      <c r="S62" s="789"/>
      <c r="T62" s="789"/>
      <c r="U62" s="788"/>
      <c r="V62" s="969"/>
      <c r="W62" s="969"/>
      <c r="X62" s="969"/>
      <c r="Y62" s="969"/>
      <c r="Z62" s="969"/>
      <c r="AA62" s="969"/>
    </row>
  </sheetData>
  <sheetProtection password="D8D3" sheet="1" objects="1" scenarios="1"/>
  <mergeCells count="70">
    <mergeCell ref="V42:Y43"/>
    <mergeCell ref="V35:V36"/>
    <mergeCell ref="V37:V38"/>
    <mergeCell ref="V6:Y7"/>
    <mergeCell ref="V23:V24"/>
    <mergeCell ref="V25:V26"/>
    <mergeCell ref="V27:V28"/>
    <mergeCell ref="V29:V30"/>
    <mergeCell ref="V31:V32"/>
    <mergeCell ref="V2:Z5"/>
    <mergeCell ref="R8:R10"/>
    <mergeCell ref="V33:V34"/>
    <mergeCell ref="V11:V12"/>
    <mergeCell ref="V13:V14"/>
    <mergeCell ref="V15:V16"/>
    <mergeCell ref="V17:V18"/>
    <mergeCell ref="V19:V20"/>
    <mergeCell ref="V21:V22"/>
    <mergeCell ref="C61:S61"/>
    <mergeCell ref="D46:E46"/>
    <mergeCell ref="D45:E45"/>
    <mergeCell ref="D37:D38"/>
    <mergeCell ref="D58:E58"/>
    <mergeCell ref="D47:E47"/>
    <mergeCell ref="D50:E50"/>
    <mergeCell ref="D43:E43"/>
    <mergeCell ref="I8:I10"/>
    <mergeCell ref="Q8:Q10"/>
    <mergeCell ref="N8:N10"/>
    <mergeCell ref="H43:I43"/>
    <mergeCell ref="J43:K43"/>
    <mergeCell ref="L43:M43"/>
    <mergeCell ref="P8:P10"/>
    <mergeCell ref="O8:O10"/>
    <mergeCell ref="L8:L10"/>
    <mergeCell ref="K8:K10"/>
    <mergeCell ref="J8:J10"/>
    <mergeCell ref="M8:M10"/>
    <mergeCell ref="P43:Q43"/>
    <mergeCell ref="H8:H10"/>
    <mergeCell ref="N43:O43"/>
    <mergeCell ref="P41:Q41"/>
    <mergeCell ref="D13:D14"/>
    <mergeCell ref="D11:D12"/>
    <mergeCell ref="D15:D16"/>
    <mergeCell ref="D19:D20"/>
    <mergeCell ref="D48:E48"/>
    <mergeCell ref="D27:D28"/>
    <mergeCell ref="D23:D24"/>
    <mergeCell ref="D29:D30"/>
    <mergeCell ref="D44:E44"/>
    <mergeCell ref="D31:D32"/>
    <mergeCell ref="D25:D26"/>
    <mergeCell ref="D33:D34"/>
    <mergeCell ref="D10:E10"/>
    <mergeCell ref="D21:D22"/>
    <mergeCell ref="G8:G10"/>
    <mergeCell ref="D57:E57"/>
    <mergeCell ref="D55:E55"/>
    <mergeCell ref="D49:E49"/>
    <mergeCell ref="D52:E52"/>
    <mergeCell ref="D54:E54"/>
    <mergeCell ref="F8:F10"/>
    <mergeCell ref="D8:E8"/>
    <mergeCell ref="D56:E56"/>
    <mergeCell ref="D53:E53"/>
    <mergeCell ref="D51:E51"/>
    <mergeCell ref="F43:G43"/>
    <mergeCell ref="D35:D36"/>
    <mergeCell ref="D17:D18"/>
  </mergeCells>
  <conditionalFormatting sqref="F37:Q37 J45:J56 L45:L56 H45:H56 F45:F56 J58 L58 H58 F58 F11:Q34">
    <cfRule type="cellIs" dxfId="1005" priority="466" stopIfTrue="1" operator="equal">
      <formula>0</formula>
    </cfRule>
  </conditionalFormatting>
  <conditionalFormatting sqref="P45:P58 R21 R23 R25 R27 R31 R29 R33 R11 R13 R15 R17 R19 F35:R35 R37 J57 L57 H57 F57">
    <cfRule type="cellIs" dxfId="1004" priority="465" stopIfTrue="1" operator="equal">
      <formula>0</formula>
    </cfRule>
  </conditionalFormatting>
  <conditionalFormatting sqref="O22:Q22">
    <cfRule type="cellIs" dxfId="1003" priority="463" stopIfTrue="1" operator="greaterThan">
      <formula>O21</formula>
    </cfRule>
    <cfRule type="cellIs" dxfId="1002" priority="464" stopIfTrue="1" operator="equal">
      <formula>0</formula>
    </cfRule>
  </conditionalFormatting>
  <conditionalFormatting sqref="R22">
    <cfRule type="cellIs" dxfId="1001" priority="461" stopIfTrue="1" operator="greaterThan">
      <formula>R21</formula>
    </cfRule>
    <cfRule type="cellIs" dxfId="1000" priority="462" stopIfTrue="1" operator="equal">
      <formula>0</formula>
    </cfRule>
  </conditionalFormatting>
  <conditionalFormatting sqref="O24:Q24">
    <cfRule type="cellIs" dxfId="999" priority="457" stopIfTrue="1" operator="greaterThan">
      <formula>O23</formula>
    </cfRule>
    <cfRule type="cellIs" dxfId="998" priority="458" stopIfTrue="1" operator="equal">
      <formula>0</formula>
    </cfRule>
  </conditionalFormatting>
  <conditionalFormatting sqref="R24">
    <cfRule type="cellIs" dxfId="997" priority="455" stopIfTrue="1" operator="greaterThan">
      <formula>R23</formula>
    </cfRule>
    <cfRule type="cellIs" dxfId="996" priority="456" stopIfTrue="1" operator="equal">
      <formula>0</formula>
    </cfRule>
  </conditionalFormatting>
  <conditionalFormatting sqref="O26:Q26">
    <cfRule type="cellIs" dxfId="995" priority="451" stopIfTrue="1" operator="greaterThan">
      <formula>O25</formula>
    </cfRule>
    <cfRule type="cellIs" dxfId="994" priority="452" stopIfTrue="1" operator="equal">
      <formula>0</formula>
    </cfRule>
  </conditionalFormatting>
  <conditionalFormatting sqref="R26">
    <cfRule type="cellIs" dxfId="993" priority="449" stopIfTrue="1" operator="greaterThan">
      <formula>R25</formula>
    </cfRule>
    <cfRule type="cellIs" dxfId="992" priority="450" stopIfTrue="1" operator="equal">
      <formula>0</formula>
    </cfRule>
  </conditionalFormatting>
  <conditionalFormatting sqref="O28:Q28">
    <cfRule type="cellIs" dxfId="991" priority="446" stopIfTrue="1" operator="greaterThan">
      <formula>O27</formula>
    </cfRule>
    <cfRule type="cellIs" dxfId="990" priority="447" stopIfTrue="1" operator="equal">
      <formula>0</formula>
    </cfRule>
  </conditionalFormatting>
  <conditionalFormatting sqref="O30:Q30">
    <cfRule type="cellIs" dxfId="989" priority="443" stopIfTrue="1" operator="greaterThan">
      <formula>O29</formula>
    </cfRule>
    <cfRule type="cellIs" dxfId="988" priority="444" stopIfTrue="1" operator="equal">
      <formula>0</formula>
    </cfRule>
  </conditionalFormatting>
  <conditionalFormatting sqref="O32:Q32">
    <cfRule type="cellIs" dxfId="987" priority="440" stopIfTrue="1" operator="greaterThan">
      <formula>O31</formula>
    </cfRule>
    <cfRule type="cellIs" dxfId="986" priority="441" stopIfTrue="1" operator="equal">
      <formula>0</formula>
    </cfRule>
  </conditionalFormatting>
  <conditionalFormatting sqref="O34:Q34">
    <cfRule type="cellIs" dxfId="985" priority="437" stopIfTrue="1" operator="greaterThan">
      <formula>O33</formula>
    </cfRule>
    <cfRule type="cellIs" dxfId="984" priority="438" stopIfTrue="1" operator="equal">
      <formula>0</formula>
    </cfRule>
  </conditionalFormatting>
  <conditionalFormatting sqref="R28 R32 O36:R36">
    <cfRule type="cellIs" dxfId="983" priority="434" stopIfTrue="1" operator="greaterThan">
      <formula>O27</formula>
    </cfRule>
    <cfRule type="cellIs" dxfId="982" priority="435" stopIfTrue="1" operator="equal">
      <formula>0</formula>
    </cfRule>
  </conditionalFormatting>
  <conditionalFormatting sqref="R30 R34">
    <cfRule type="cellIs" dxfId="981" priority="431" stopIfTrue="1" operator="greaterThan">
      <formula>R29</formula>
    </cfRule>
    <cfRule type="cellIs" dxfId="980" priority="432" stopIfTrue="1" operator="equal">
      <formula>0</formula>
    </cfRule>
  </conditionalFormatting>
  <conditionalFormatting sqref="N22">
    <cfRule type="cellIs" dxfId="979" priority="428" stopIfTrue="1" operator="greaterThan">
      <formula>N21</formula>
    </cfRule>
    <cfRule type="cellIs" dxfId="978" priority="429" stopIfTrue="1" operator="equal">
      <formula>0</formula>
    </cfRule>
  </conditionalFormatting>
  <conditionalFormatting sqref="N24">
    <cfRule type="cellIs" dxfId="977" priority="425" stopIfTrue="1" operator="greaterThan">
      <formula>N23</formula>
    </cfRule>
    <cfRule type="cellIs" dxfId="976" priority="426" stopIfTrue="1" operator="equal">
      <formula>0</formula>
    </cfRule>
  </conditionalFormatting>
  <conditionalFormatting sqref="N26">
    <cfRule type="cellIs" dxfId="975" priority="422" stopIfTrue="1" operator="greaterThan">
      <formula>N25</formula>
    </cfRule>
    <cfRule type="cellIs" dxfId="974" priority="423" stopIfTrue="1" operator="equal">
      <formula>0</formula>
    </cfRule>
  </conditionalFormatting>
  <conditionalFormatting sqref="N28">
    <cfRule type="cellIs" dxfId="973" priority="419" stopIfTrue="1" operator="greaterThan">
      <formula>N27</formula>
    </cfRule>
    <cfRule type="cellIs" dxfId="972" priority="420" stopIfTrue="1" operator="equal">
      <formula>0</formula>
    </cfRule>
  </conditionalFormatting>
  <conditionalFormatting sqref="N30">
    <cfRule type="cellIs" dxfId="971" priority="416" stopIfTrue="1" operator="greaterThan">
      <formula>N29</formula>
    </cfRule>
    <cfRule type="cellIs" dxfId="970" priority="417" stopIfTrue="1" operator="equal">
      <formula>0</formula>
    </cfRule>
  </conditionalFormatting>
  <conditionalFormatting sqref="N32">
    <cfRule type="cellIs" dxfId="969" priority="413" stopIfTrue="1" operator="greaterThan">
      <formula>N31</formula>
    </cfRule>
    <cfRule type="cellIs" dxfId="968" priority="414" stopIfTrue="1" operator="equal">
      <formula>0</formula>
    </cfRule>
  </conditionalFormatting>
  <conditionalFormatting sqref="N34">
    <cfRule type="cellIs" dxfId="967" priority="410" stopIfTrue="1" operator="greaterThan">
      <formula>N33</formula>
    </cfRule>
    <cfRule type="cellIs" dxfId="966" priority="411" stopIfTrue="1" operator="equal">
      <formula>0</formula>
    </cfRule>
  </conditionalFormatting>
  <conditionalFormatting sqref="N36">
    <cfRule type="cellIs" dxfId="965" priority="407" stopIfTrue="1" operator="greaterThan">
      <formula>N35</formula>
    </cfRule>
    <cfRule type="cellIs" dxfId="964" priority="408" stopIfTrue="1" operator="equal">
      <formula>0</formula>
    </cfRule>
  </conditionalFormatting>
  <conditionalFormatting sqref="O12:Q12">
    <cfRule type="cellIs" dxfId="963" priority="403" stopIfTrue="1" operator="greaterThan">
      <formula>O11</formula>
    </cfRule>
    <cfRule type="cellIs" dxfId="962" priority="404" stopIfTrue="1" operator="equal">
      <formula>0</formula>
    </cfRule>
  </conditionalFormatting>
  <conditionalFormatting sqref="R12">
    <cfRule type="cellIs" dxfId="961" priority="401" stopIfTrue="1" operator="greaterThan">
      <formula>R11</formula>
    </cfRule>
    <cfRule type="cellIs" dxfId="960" priority="402" stopIfTrue="1" operator="equal">
      <formula>0</formula>
    </cfRule>
  </conditionalFormatting>
  <conditionalFormatting sqref="O14:Q14">
    <cfRule type="cellIs" dxfId="959" priority="397" stopIfTrue="1" operator="greaterThan">
      <formula>O13</formula>
    </cfRule>
    <cfRule type="cellIs" dxfId="958" priority="398" stopIfTrue="1" operator="equal">
      <formula>0</formula>
    </cfRule>
  </conditionalFormatting>
  <conditionalFormatting sqref="R14">
    <cfRule type="cellIs" dxfId="957" priority="395" stopIfTrue="1" operator="greaterThan">
      <formula>R13</formula>
    </cfRule>
    <cfRule type="cellIs" dxfId="956" priority="396" stopIfTrue="1" operator="equal">
      <formula>0</formula>
    </cfRule>
  </conditionalFormatting>
  <conditionalFormatting sqref="O16:Q16">
    <cfRule type="cellIs" dxfId="955" priority="391" stopIfTrue="1" operator="greaterThan">
      <formula>O15</formula>
    </cfRule>
    <cfRule type="cellIs" dxfId="954" priority="392" stopIfTrue="1" operator="equal">
      <formula>0</formula>
    </cfRule>
  </conditionalFormatting>
  <conditionalFormatting sqref="R16">
    <cfRule type="cellIs" dxfId="953" priority="389" stopIfTrue="1" operator="greaterThan">
      <formula>R15</formula>
    </cfRule>
    <cfRule type="cellIs" dxfId="952" priority="390" stopIfTrue="1" operator="equal">
      <formula>0</formula>
    </cfRule>
  </conditionalFormatting>
  <conditionalFormatting sqref="O18:Q18">
    <cfRule type="cellIs" dxfId="951" priority="386" stopIfTrue="1" operator="greaterThan">
      <formula>O17</formula>
    </cfRule>
    <cfRule type="cellIs" dxfId="950" priority="387" stopIfTrue="1" operator="equal">
      <formula>0</formula>
    </cfRule>
  </conditionalFormatting>
  <conditionalFormatting sqref="O20:Q20">
    <cfRule type="cellIs" dxfId="949" priority="383" stopIfTrue="1" operator="greaterThan">
      <formula>O19</formula>
    </cfRule>
    <cfRule type="cellIs" dxfId="948" priority="384" stopIfTrue="1" operator="equal">
      <formula>0</formula>
    </cfRule>
  </conditionalFormatting>
  <conditionalFormatting sqref="R18">
    <cfRule type="cellIs" dxfId="947" priority="380" stopIfTrue="1" operator="greaterThan">
      <formula>R17</formula>
    </cfRule>
    <cfRule type="cellIs" dxfId="946" priority="381" stopIfTrue="1" operator="equal">
      <formula>0</formula>
    </cfRule>
  </conditionalFormatting>
  <conditionalFormatting sqref="R20">
    <cfRule type="cellIs" dxfId="945" priority="377" stopIfTrue="1" operator="greaterThan">
      <formula>R19</formula>
    </cfRule>
    <cfRule type="cellIs" dxfId="944" priority="378" stopIfTrue="1" operator="equal">
      <formula>0</formula>
    </cfRule>
  </conditionalFormatting>
  <conditionalFormatting sqref="O38:Q38">
    <cfRule type="cellIs" dxfId="943" priority="374" stopIfTrue="1" operator="greaterThan">
      <formula>O37</formula>
    </cfRule>
    <cfRule type="cellIs" dxfId="942" priority="375" stopIfTrue="1" operator="equal">
      <formula>0</formula>
    </cfRule>
  </conditionalFormatting>
  <conditionalFormatting sqref="R38">
    <cfRule type="cellIs" dxfId="941" priority="371" stopIfTrue="1" operator="greaterThan">
      <formula>R37</formula>
    </cfRule>
    <cfRule type="cellIs" dxfId="940" priority="372" stopIfTrue="1" operator="equal">
      <formula>0</formula>
    </cfRule>
  </conditionalFormatting>
  <conditionalFormatting sqref="K22:M22">
    <cfRule type="cellIs" dxfId="939" priority="329" stopIfTrue="1" operator="greaterThan">
      <formula>K21</formula>
    </cfRule>
    <cfRule type="cellIs" dxfId="938" priority="330" stopIfTrue="1" operator="equal">
      <formula>0</formula>
    </cfRule>
  </conditionalFormatting>
  <conditionalFormatting sqref="K24:M24">
    <cfRule type="cellIs" dxfId="937" priority="326" stopIfTrue="1" operator="greaterThan">
      <formula>K23</formula>
    </cfRule>
    <cfRule type="cellIs" dxfId="936" priority="327" stopIfTrue="1" operator="equal">
      <formula>0</formula>
    </cfRule>
  </conditionalFormatting>
  <conditionalFormatting sqref="K26:M26">
    <cfRule type="cellIs" dxfId="935" priority="323" stopIfTrue="1" operator="greaterThan">
      <formula>K25</formula>
    </cfRule>
    <cfRule type="cellIs" dxfId="934" priority="324" stopIfTrue="1" operator="equal">
      <formula>0</formula>
    </cfRule>
  </conditionalFormatting>
  <conditionalFormatting sqref="K28:M28">
    <cfRule type="cellIs" dxfId="933" priority="320" stopIfTrue="1" operator="greaterThan">
      <formula>K27</formula>
    </cfRule>
    <cfRule type="cellIs" dxfId="932" priority="321" stopIfTrue="1" operator="equal">
      <formula>0</formula>
    </cfRule>
  </conditionalFormatting>
  <conditionalFormatting sqref="K30:M30">
    <cfRule type="cellIs" dxfId="931" priority="317" stopIfTrue="1" operator="greaterThan">
      <formula>K29</formula>
    </cfRule>
    <cfRule type="cellIs" dxfId="930" priority="318" stopIfTrue="1" operator="equal">
      <formula>0</formula>
    </cfRule>
  </conditionalFormatting>
  <conditionalFormatting sqref="K32:M32">
    <cfRule type="cellIs" dxfId="929" priority="314" stopIfTrue="1" operator="greaterThan">
      <formula>K31</formula>
    </cfRule>
    <cfRule type="cellIs" dxfId="928" priority="315" stopIfTrue="1" operator="equal">
      <formula>0</formula>
    </cfRule>
  </conditionalFormatting>
  <conditionalFormatting sqref="K34:M34">
    <cfRule type="cellIs" dxfId="927" priority="311" stopIfTrue="1" operator="greaterThan">
      <formula>K33</formula>
    </cfRule>
    <cfRule type="cellIs" dxfId="926" priority="312" stopIfTrue="1" operator="equal">
      <formula>0</formula>
    </cfRule>
  </conditionalFormatting>
  <conditionalFormatting sqref="K36:M36">
    <cfRule type="cellIs" dxfId="925" priority="308" stopIfTrue="1" operator="greaterThan">
      <formula>K35</formula>
    </cfRule>
    <cfRule type="cellIs" dxfId="924" priority="309" stopIfTrue="1" operator="equal">
      <formula>0</formula>
    </cfRule>
  </conditionalFormatting>
  <conditionalFormatting sqref="J22">
    <cfRule type="cellIs" dxfId="923" priority="305" stopIfTrue="1" operator="greaterThan">
      <formula>J21</formula>
    </cfRule>
    <cfRule type="cellIs" dxfId="922" priority="306" stopIfTrue="1" operator="equal">
      <formula>0</formula>
    </cfRule>
  </conditionalFormatting>
  <conditionalFormatting sqref="J24">
    <cfRule type="cellIs" dxfId="921" priority="302" stopIfTrue="1" operator="greaterThan">
      <formula>J23</formula>
    </cfRule>
    <cfRule type="cellIs" dxfId="920" priority="303" stopIfTrue="1" operator="equal">
      <formula>0</formula>
    </cfRule>
  </conditionalFormatting>
  <conditionalFormatting sqref="J26">
    <cfRule type="cellIs" dxfId="919" priority="299" stopIfTrue="1" operator="greaterThan">
      <formula>J25</formula>
    </cfRule>
    <cfRule type="cellIs" dxfId="918" priority="300" stopIfTrue="1" operator="equal">
      <formula>0</formula>
    </cfRule>
  </conditionalFormatting>
  <conditionalFormatting sqref="J28">
    <cfRule type="cellIs" dxfId="917" priority="296" stopIfTrue="1" operator="greaterThan">
      <formula>J27</formula>
    </cfRule>
    <cfRule type="cellIs" dxfId="916" priority="297" stopIfTrue="1" operator="equal">
      <formula>0</formula>
    </cfRule>
  </conditionalFormatting>
  <conditionalFormatting sqref="J30">
    <cfRule type="cellIs" dxfId="915" priority="293" stopIfTrue="1" operator="greaterThan">
      <formula>J29</formula>
    </cfRule>
    <cfRule type="cellIs" dxfId="914" priority="294" stopIfTrue="1" operator="equal">
      <formula>0</formula>
    </cfRule>
  </conditionalFormatting>
  <conditionalFormatting sqref="J32">
    <cfRule type="cellIs" dxfId="913" priority="290" stopIfTrue="1" operator="greaterThan">
      <formula>J31</formula>
    </cfRule>
    <cfRule type="cellIs" dxfId="912" priority="291" stopIfTrue="1" operator="equal">
      <formula>0</formula>
    </cfRule>
  </conditionalFormatting>
  <conditionalFormatting sqref="J34">
    <cfRule type="cellIs" dxfId="911" priority="287" stopIfTrue="1" operator="greaterThan">
      <formula>J33</formula>
    </cfRule>
    <cfRule type="cellIs" dxfId="910" priority="288" stopIfTrue="1" operator="equal">
      <formula>0</formula>
    </cfRule>
  </conditionalFormatting>
  <conditionalFormatting sqref="J36">
    <cfRule type="cellIs" dxfId="909" priority="284" stopIfTrue="1" operator="greaterThan">
      <formula>J35</formula>
    </cfRule>
    <cfRule type="cellIs" dxfId="908" priority="285" stopIfTrue="1" operator="equal">
      <formula>0</formula>
    </cfRule>
  </conditionalFormatting>
  <conditionalFormatting sqref="K12:M12">
    <cfRule type="cellIs" dxfId="907" priority="281" stopIfTrue="1" operator="greaterThan">
      <formula>K11</formula>
    </cfRule>
    <cfRule type="cellIs" dxfId="906" priority="282" stopIfTrue="1" operator="equal">
      <formula>0</formula>
    </cfRule>
  </conditionalFormatting>
  <conditionalFormatting sqref="K14:M14">
    <cfRule type="cellIs" dxfId="905" priority="278" stopIfTrue="1" operator="greaterThan">
      <formula>K13</formula>
    </cfRule>
    <cfRule type="cellIs" dxfId="904" priority="279" stopIfTrue="1" operator="equal">
      <formula>0</formula>
    </cfRule>
  </conditionalFormatting>
  <conditionalFormatting sqref="K16:M16">
    <cfRule type="cellIs" dxfId="903" priority="275" stopIfTrue="1" operator="greaterThan">
      <formula>K15</formula>
    </cfRule>
    <cfRule type="cellIs" dxfId="902" priority="276" stopIfTrue="1" operator="equal">
      <formula>0</formula>
    </cfRule>
  </conditionalFormatting>
  <conditionalFormatting sqref="K18:M18">
    <cfRule type="cellIs" dxfId="901" priority="272" stopIfTrue="1" operator="greaterThan">
      <formula>K17</formula>
    </cfRule>
    <cfRule type="cellIs" dxfId="900" priority="273" stopIfTrue="1" operator="equal">
      <formula>0</formula>
    </cfRule>
  </conditionalFormatting>
  <conditionalFormatting sqref="J20:M20">
    <cfRule type="cellIs" dxfId="899" priority="269" stopIfTrue="1" operator="greaterThan">
      <formula>J19</formula>
    </cfRule>
    <cfRule type="cellIs" dxfId="898" priority="270" stopIfTrue="1" operator="equal">
      <formula>0</formula>
    </cfRule>
  </conditionalFormatting>
  <conditionalFormatting sqref="G22:I22">
    <cfRule type="cellIs" dxfId="897" priority="266" stopIfTrue="1" operator="greaterThan">
      <formula>G21</formula>
    </cfRule>
    <cfRule type="cellIs" dxfId="896" priority="267" stopIfTrue="1" operator="equal">
      <formula>0</formula>
    </cfRule>
  </conditionalFormatting>
  <conditionalFormatting sqref="G24:I24">
    <cfRule type="cellIs" dxfId="895" priority="263" stopIfTrue="1" operator="greaterThan">
      <formula>G23</formula>
    </cfRule>
    <cfRule type="cellIs" dxfId="894" priority="264" stopIfTrue="1" operator="equal">
      <formula>0</formula>
    </cfRule>
  </conditionalFormatting>
  <conditionalFormatting sqref="G26:I26">
    <cfRule type="cellIs" dxfId="893" priority="260" stopIfTrue="1" operator="greaterThan">
      <formula>G25</formula>
    </cfRule>
    <cfRule type="cellIs" dxfId="892" priority="261" stopIfTrue="1" operator="equal">
      <formula>0</formula>
    </cfRule>
  </conditionalFormatting>
  <conditionalFormatting sqref="G28:I28">
    <cfRule type="cellIs" dxfId="891" priority="257" stopIfTrue="1" operator="greaterThan">
      <formula>G27</formula>
    </cfRule>
    <cfRule type="cellIs" dxfId="890" priority="258" stopIfTrue="1" operator="equal">
      <formula>0</formula>
    </cfRule>
  </conditionalFormatting>
  <conditionalFormatting sqref="G30:I30">
    <cfRule type="cellIs" dxfId="889" priority="254" stopIfTrue="1" operator="greaterThan">
      <formula>G29</formula>
    </cfRule>
    <cfRule type="cellIs" dxfId="888" priority="255" stopIfTrue="1" operator="equal">
      <formula>0</formula>
    </cfRule>
  </conditionalFormatting>
  <conditionalFormatting sqref="G32:I32">
    <cfRule type="cellIs" dxfId="887" priority="251" stopIfTrue="1" operator="greaterThan">
      <formula>G31</formula>
    </cfRule>
    <cfRule type="cellIs" dxfId="886" priority="252" stopIfTrue="1" operator="equal">
      <formula>0</formula>
    </cfRule>
  </conditionalFormatting>
  <conditionalFormatting sqref="G34:I34">
    <cfRule type="cellIs" dxfId="885" priority="248" stopIfTrue="1" operator="greaterThan">
      <formula>G33</formula>
    </cfRule>
    <cfRule type="cellIs" dxfId="884" priority="249" stopIfTrue="1" operator="equal">
      <formula>0</formula>
    </cfRule>
  </conditionalFormatting>
  <conditionalFormatting sqref="G36:I36">
    <cfRule type="cellIs" dxfId="883" priority="245" stopIfTrue="1" operator="greaterThan">
      <formula>G35</formula>
    </cfRule>
    <cfRule type="cellIs" dxfId="882" priority="246" stopIfTrue="1" operator="equal">
      <formula>0</formula>
    </cfRule>
  </conditionalFormatting>
  <conditionalFormatting sqref="F22">
    <cfRule type="cellIs" dxfId="881" priority="242" stopIfTrue="1" operator="greaterThan">
      <formula>F21</formula>
    </cfRule>
    <cfRule type="cellIs" dxfId="880" priority="243" stopIfTrue="1" operator="equal">
      <formula>0</formula>
    </cfRule>
  </conditionalFormatting>
  <conditionalFormatting sqref="F24">
    <cfRule type="cellIs" dxfId="879" priority="239" stopIfTrue="1" operator="greaterThan">
      <formula>F23</formula>
    </cfRule>
    <cfRule type="cellIs" dxfId="878" priority="240" stopIfTrue="1" operator="equal">
      <formula>0</formula>
    </cfRule>
  </conditionalFormatting>
  <conditionalFormatting sqref="F26">
    <cfRule type="cellIs" dxfId="877" priority="236" stopIfTrue="1" operator="greaterThan">
      <formula>F25</formula>
    </cfRule>
    <cfRule type="cellIs" dxfId="876" priority="237" stopIfTrue="1" operator="equal">
      <formula>0</formula>
    </cfRule>
  </conditionalFormatting>
  <conditionalFormatting sqref="F28">
    <cfRule type="cellIs" dxfId="875" priority="233" stopIfTrue="1" operator="greaterThan">
      <formula>F27</formula>
    </cfRule>
    <cfRule type="cellIs" dxfId="874" priority="234" stopIfTrue="1" operator="equal">
      <formula>0</formula>
    </cfRule>
  </conditionalFormatting>
  <conditionalFormatting sqref="F30">
    <cfRule type="cellIs" dxfId="873" priority="230" stopIfTrue="1" operator="greaterThan">
      <formula>F29</formula>
    </cfRule>
    <cfRule type="cellIs" dxfId="872" priority="231" stopIfTrue="1" operator="equal">
      <formula>0</formula>
    </cfRule>
  </conditionalFormatting>
  <conditionalFormatting sqref="F32">
    <cfRule type="cellIs" dxfId="871" priority="227" stopIfTrue="1" operator="greaterThan">
      <formula>F31</formula>
    </cfRule>
    <cfRule type="cellIs" dxfId="870" priority="228" stopIfTrue="1" operator="equal">
      <formula>0</formula>
    </cfRule>
  </conditionalFormatting>
  <conditionalFormatting sqref="F34">
    <cfRule type="cellIs" dxfId="869" priority="224" stopIfTrue="1" operator="greaterThan">
      <formula>F33</formula>
    </cfRule>
    <cfRule type="cellIs" dxfId="868" priority="225" stopIfTrue="1" operator="equal">
      <formula>0</formula>
    </cfRule>
  </conditionalFormatting>
  <conditionalFormatting sqref="F36">
    <cfRule type="cellIs" dxfId="867" priority="221" stopIfTrue="1" operator="greaterThan">
      <formula>F35</formula>
    </cfRule>
    <cfRule type="cellIs" dxfId="866" priority="222" stopIfTrue="1" operator="equal">
      <formula>0</formula>
    </cfRule>
  </conditionalFormatting>
  <conditionalFormatting sqref="G12:L12">
    <cfRule type="cellIs" dxfId="865" priority="218" stopIfTrue="1" operator="greaterThan">
      <formula>G11</formula>
    </cfRule>
    <cfRule type="cellIs" dxfId="864" priority="219" stopIfTrue="1" operator="equal">
      <formula>0</formula>
    </cfRule>
  </conditionalFormatting>
  <conditionalFormatting sqref="G14:L14">
    <cfRule type="cellIs" dxfId="863" priority="215" stopIfTrue="1" operator="greaterThan">
      <formula>G13</formula>
    </cfRule>
    <cfRule type="cellIs" dxfId="862" priority="216" stopIfTrue="1" operator="equal">
      <formula>0</formula>
    </cfRule>
  </conditionalFormatting>
  <conditionalFormatting sqref="G16:I16">
    <cfRule type="cellIs" dxfId="861" priority="212" stopIfTrue="1" operator="greaterThan">
      <formula>G15</formula>
    </cfRule>
    <cfRule type="cellIs" dxfId="860" priority="213" stopIfTrue="1" operator="equal">
      <formula>0</formula>
    </cfRule>
  </conditionalFormatting>
  <conditionalFormatting sqref="G18:I18">
    <cfRule type="cellIs" dxfId="859" priority="209" stopIfTrue="1" operator="greaterThan">
      <formula>G17</formula>
    </cfRule>
    <cfRule type="cellIs" dxfId="858" priority="210" stopIfTrue="1" operator="equal">
      <formula>0</formula>
    </cfRule>
  </conditionalFormatting>
  <conditionalFormatting sqref="G20:I20">
    <cfRule type="cellIs" dxfId="857" priority="206" stopIfTrue="1" operator="greaterThan">
      <formula>G19</formula>
    </cfRule>
    <cfRule type="cellIs" dxfId="856" priority="207" stopIfTrue="1" operator="equal">
      <formula>0</formula>
    </cfRule>
  </conditionalFormatting>
  <conditionalFormatting sqref="O38:Q38">
    <cfRule type="cellIs" dxfId="855" priority="203" stopIfTrue="1" operator="greaterThan">
      <formula>O37</formula>
    </cfRule>
    <cfRule type="cellIs" dxfId="854" priority="204" stopIfTrue="1" operator="equal">
      <formula>0</formula>
    </cfRule>
  </conditionalFormatting>
  <conditionalFormatting sqref="R38">
    <cfRule type="cellIs" dxfId="853" priority="200" stopIfTrue="1" operator="greaterThan">
      <formula>R37</formula>
    </cfRule>
    <cfRule type="cellIs" dxfId="852" priority="201" stopIfTrue="1" operator="equal">
      <formula>0</formula>
    </cfRule>
  </conditionalFormatting>
  <conditionalFormatting sqref="N38">
    <cfRule type="cellIs" dxfId="851" priority="197" stopIfTrue="1" operator="greaterThan">
      <formula>N37</formula>
    </cfRule>
    <cfRule type="cellIs" dxfId="850" priority="198" stopIfTrue="1" operator="equal">
      <formula>0</formula>
    </cfRule>
  </conditionalFormatting>
  <conditionalFormatting sqref="K38:M38">
    <cfRule type="cellIs" dxfId="849" priority="194" stopIfTrue="1" operator="greaterThan">
      <formula>K37</formula>
    </cfRule>
    <cfRule type="cellIs" dxfId="848" priority="195" stopIfTrue="1" operator="equal">
      <formula>0</formula>
    </cfRule>
  </conditionalFormatting>
  <conditionalFormatting sqref="J38">
    <cfRule type="cellIs" dxfId="847" priority="191" stopIfTrue="1" operator="greaterThan">
      <formula>J37</formula>
    </cfRule>
    <cfRule type="cellIs" dxfId="846" priority="192" stopIfTrue="1" operator="equal">
      <formula>0</formula>
    </cfRule>
  </conditionalFormatting>
  <conditionalFormatting sqref="G38:O38">
    <cfRule type="cellIs" dxfId="845" priority="188" stopIfTrue="1" operator="greaterThan">
      <formula>G37</formula>
    </cfRule>
    <cfRule type="cellIs" dxfId="844" priority="189" stopIfTrue="1" operator="equal">
      <formula>0</formula>
    </cfRule>
  </conditionalFormatting>
  <conditionalFormatting sqref="F38">
    <cfRule type="cellIs" dxfId="843" priority="185" stopIfTrue="1" operator="greaterThan">
      <formula>F37</formula>
    </cfRule>
    <cfRule type="cellIs" dxfId="842" priority="186" stopIfTrue="1" operator="equal">
      <formula>0</formula>
    </cfRule>
  </conditionalFormatting>
  <conditionalFormatting sqref="K46:K56">
    <cfRule type="cellIs" dxfId="841" priority="182" stopIfTrue="1" operator="greaterThan">
      <formula>J46</formula>
    </cfRule>
    <cfRule type="cellIs" dxfId="840" priority="183" stopIfTrue="1" operator="equal">
      <formula>0</formula>
    </cfRule>
  </conditionalFormatting>
  <conditionalFormatting sqref="M46:M56">
    <cfRule type="cellIs" dxfId="839" priority="179" stopIfTrue="1" operator="greaterThan">
      <formula>L46</formula>
    </cfRule>
    <cfRule type="cellIs" dxfId="838" priority="180" stopIfTrue="1" operator="equal">
      <formula>0</formula>
    </cfRule>
  </conditionalFormatting>
  <conditionalFormatting sqref="Q46:Q56">
    <cfRule type="cellIs" dxfId="837" priority="176" stopIfTrue="1" operator="greaterThan">
      <formula>P46</formula>
    </cfRule>
    <cfRule type="cellIs" dxfId="836" priority="177" stopIfTrue="1" operator="equal">
      <formula>0</formula>
    </cfRule>
  </conditionalFormatting>
  <conditionalFormatting sqref="K57 M57 Q57">
    <cfRule type="cellIs" dxfId="835" priority="173" stopIfTrue="1" operator="greaterThan">
      <formula>J57</formula>
    </cfRule>
    <cfRule type="cellIs" dxfId="834" priority="174" stopIfTrue="1" operator="equal">
      <formula>0</formula>
    </cfRule>
  </conditionalFormatting>
  <conditionalFormatting sqref="K45:K46">
    <cfRule type="cellIs" dxfId="833" priority="170" stopIfTrue="1" operator="greaterThan">
      <formula>J45</formula>
    </cfRule>
    <cfRule type="cellIs" dxfId="832" priority="171" stopIfTrue="1" operator="equal">
      <formula>0</formula>
    </cfRule>
  </conditionalFormatting>
  <conditionalFormatting sqref="M45:M46">
    <cfRule type="cellIs" dxfId="831" priority="167" stopIfTrue="1" operator="greaterThan">
      <formula>L45</formula>
    </cfRule>
    <cfRule type="cellIs" dxfId="830" priority="168" stopIfTrue="1" operator="equal">
      <formula>0</formula>
    </cfRule>
  </conditionalFormatting>
  <conditionalFormatting sqref="Q45:Q46">
    <cfRule type="cellIs" dxfId="829" priority="164" stopIfTrue="1" operator="greaterThan">
      <formula>P45</formula>
    </cfRule>
    <cfRule type="cellIs" dxfId="828" priority="165" stopIfTrue="1" operator="equal">
      <formula>0</formula>
    </cfRule>
  </conditionalFormatting>
  <conditionalFormatting sqref="I46:I56">
    <cfRule type="cellIs" dxfId="827" priority="161" stopIfTrue="1" operator="greaterThan">
      <formula>H46</formula>
    </cfRule>
    <cfRule type="cellIs" dxfId="826" priority="162" stopIfTrue="1" operator="equal">
      <formula>0</formula>
    </cfRule>
  </conditionalFormatting>
  <conditionalFormatting sqref="I57">
    <cfRule type="cellIs" dxfId="825" priority="158" stopIfTrue="1" operator="greaterThan">
      <formula>H57</formula>
    </cfRule>
    <cfRule type="cellIs" dxfId="824" priority="159" stopIfTrue="1" operator="equal">
      <formula>0</formula>
    </cfRule>
  </conditionalFormatting>
  <conditionalFormatting sqref="I45:I46">
    <cfRule type="cellIs" dxfId="823" priority="155" stopIfTrue="1" operator="greaterThan">
      <formula>H45</formula>
    </cfRule>
    <cfRule type="cellIs" dxfId="822" priority="156" stopIfTrue="1" operator="equal">
      <formula>0</formula>
    </cfRule>
  </conditionalFormatting>
  <conditionalFormatting sqref="G46:G56">
    <cfRule type="cellIs" dxfId="821" priority="152" stopIfTrue="1" operator="greaterThan">
      <formula>F46</formula>
    </cfRule>
    <cfRule type="cellIs" dxfId="820" priority="153" stopIfTrue="1" operator="equal">
      <formula>0</formula>
    </cfRule>
  </conditionalFormatting>
  <conditionalFormatting sqref="G57">
    <cfRule type="cellIs" dxfId="819" priority="149" stopIfTrue="1" operator="greaterThan">
      <formula>F57</formula>
    </cfRule>
    <cfRule type="cellIs" dxfId="818" priority="150" stopIfTrue="1" operator="equal">
      <formula>0</formula>
    </cfRule>
  </conditionalFormatting>
  <conditionalFormatting sqref="G45:G46">
    <cfRule type="cellIs" dxfId="817" priority="146" stopIfTrue="1" operator="greaterThan">
      <formula>F45</formula>
    </cfRule>
    <cfRule type="cellIs" dxfId="816" priority="147" stopIfTrue="1" operator="equal">
      <formula>0</formula>
    </cfRule>
  </conditionalFormatting>
  <conditionalFormatting sqref="K58">
    <cfRule type="cellIs" dxfId="815" priority="134" stopIfTrue="1" operator="greaterThan">
      <formula>J58</formula>
    </cfRule>
    <cfRule type="cellIs" dxfId="814" priority="135" stopIfTrue="1" operator="equal">
      <formula>0</formula>
    </cfRule>
  </conditionalFormatting>
  <conditionalFormatting sqref="M58">
    <cfRule type="cellIs" dxfId="813" priority="131" stopIfTrue="1" operator="greaterThan">
      <formula>L58</formula>
    </cfRule>
    <cfRule type="cellIs" dxfId="812" priority="132" stopIfTrue="1" operator="equal">
      <formula>0</formula>
    </cfRule>
  </conditionalFormatting>
  <conditionalFormatting sqref="Q58">
    <cfRule type="cellIs" dxfId="811" priority="128" stopIfTrue="1" operator="greaterThan">
      <formula>P58</formula>
    </cfRule>
    <cfRule type="cellIs" dxfId="810" priority="129" stopIfTrue="1" operator="equal">
      <formula>0</formula>
    </cfRule>
  </conditionalFormatting>
  <conditionalFormatting sqref="I58">
    <cfRule type="cellIs" dxfId="809" priority="125" stopIfTrue="1" operator="greaterThan">
      <formula>H58</formula>
    </cfRule>
    <cfRule type="cellIs" dxfId="808" priority="126" stopIfTrue="1" operator="equal">
      <formula>0</formula>
    </cfRule>
  </conditionalFormatting>
  <conditionalFormatting sqref="G58">
    <cfRule type="cellIs" dxfId="807" priority="122" stopIfTrue="1" operator="greaterThan">
      <formula>F58</formula>
    </cfRule>
    <cfRule type="cellIs" dxfId="806" priority="123" stopIfTrue="1" operator="equal">
      <formula>0</formula>
    </cfRule>
  </conditionalFormatting>
  <conditionalFormatting sqref="O20:Q20">
    <cfRule type="cellIs" dxfId="805" priority="120" stopIfTrue="1" operator="greaterThan">
      <formula>O19</formula>
    </cfRule>
    <cfRule type="cellIs" dxfId="804" priority="121" stopIfTrue="1" operator="equal">
      <formula>0</formula>
    </cfRule>
  </conditionalFormatting>
  <conditionalFormatting sqref="N20">
    <cfRule type="cellIs" dxfId="803" priority="118" stopIfTrue="1" operator="greaterThan">
      <formula>N19</formula>
    </cfRule>
    <cfRule type="cellIs" dxfId="802" priority="119" stopIfTrue="1" operator="equal">
      <formula>0</formula>
    </cfRule>
  </conditionalFormatting>
  <conditionalFormatting sqref="J20:M20">
    <cfRule type="cellIs" dxfId="801" priority="116" stopIfTrue="1" operator="greaterThan">
      <formula>J19</formula>
    </cfRule>
    <cfRule type="cellIs" dxfId="800" priority="117" stopIfTrue="1" operator="equal">
      <formula>0</formula>
    </cfRule>
  </conditionalFormatting>
  <conditionalFormatting sqref="J20">
    <cfRule type="cellIs" dxfId="799" priority="114" stopIfTrue="1" operator="greaterThan">
      <formula>J19</formula>
    </cfRule>
    <cfRule type="cellIs" dxfId="798" priority="115" stopIfTrue="1" operator="equal">
      <formula>0</formula>
    </cfRule>
  </conditionalFormatting>
  <conditionalFormatting sqref="G20:I20">
    <cfRule type="cellIs" dxfId="797" priority="112" stopIfTrue="1" operator="greaterThan">
      <formula>G19</formula>
    </cfRule>
    <cfRule type="cellIs" dxfId="796" priority="113" stopIfTrue="1" operator="equal">
      <formula>0</formula>
    </cfRule>
  </conditionalFormatting>
  <conditionalFormatting sqref="F20">
    <cfRule type="cellIs" dxfId="795" priority="110" stopIfTrue="1" operator="greaterThan">
      <formula>F19</formula>
    </cfRule>
    <cfRule type="cellIs" dxfId="794" priority="111" stopIfTrue="1" operator="equal">
      <formula>0</formula>
    </cfRule>
  </conditionalFormatting>
  <conditionalFormatting sqref="O18:Q18">
    <cfRule type="cellIs" dxfId="793" priority="108" stopIfTrue="1" operator="greaterThan">
      <formula>O17</formula>
    </cfRule>
    <cfRule type="cellIs" dxfId="792" priority="109" stopIfTrue="1" operator="equal">
      <formula>0</formula>
    </cfRule>
  </conditionalFormatting>
  <conditionalFormatting sqref="N18">
    <cfRule type="cellIs" dxfId="791" priority="106" stopIfTrue="1" operator="greaterThan">
      <formula>N17</formula>
    </cfRule>
    <cfRule type="cellIs" dxfId="790" priority="107" stopIfTrue="1" operator="equal">
      <formula>0</formula>
    </cfRule>
  </conditionalFormatting>
  <conditionalFormatting sqref="K18:M18">
    <cfRule type="cellIs" dxfId="789" priority="104" stopIfTrue="1" operator="greaterThan">
      <formula>K17</formula>
    </cfRule>
    <cfRule type="cellIs" dxfId="788" priority="105" stopIfTrue="1" operator="equal">
      <formula>0</formula>
    </cfRule>
  </conditionalFormatting>
  <conditionalFormatting sqref="J18:M18">
    <cfRule type="cellIs" dxfId="787" priority="102" stopIfTrue="1" operator="greaterThan">
      <formula>J17</formula>
    </cfRule>
    <cfRule type="cellIs" dxfId="786" priority="103" stopIfTrue="1" operator="equal">
      <formula>0</formula>
    </cfRule>
  </conditionalFormatting>
  <conditionalFormatting sqref="G18:I18">
    <cfRule type="cellIs" dxfId="785" priority="100" stopIfTrue="1" operator="greaterThan">
      <formula>G17</formula>
    </cfRule>
    <cfRule type="cellIs" dxfId="784" priority="101" stopIfTrue="1" operator="equal">
      <formula>0</formula>
    </cfRule>
  </conditionalFormatting>
  <conditionalFormatting sqref="F18">
    <cfRule type="cellIs" dxfId="783" priority="98" stopIfTrue="1" operator="greaterThan">
      <formula>F17</formula>
    </cfRule>
    <cfRule type="cellIs" dxfId="782" priority="99" stopIfTrue="1" operator="equal">
      <formula>0</formula>
    </cfRule>
  </conditionalFormatting>
  <conditionalFormatting sqref="O16:Q16">
    <cfRule type="cellIs" dxfId="781" priority="96" stopIfTrue="1" operator="greaterThan">
      <formula>O15</formula>
    </cfRule>
    <cfRule type="cellIs" dxfId="780" priority="97" stopIfTrue="1" operator="equal">
      <formula>0</formula>
    </cfRule>
  </conditionalFormatting>
  <conditionalFormatting sqref="N16">
    <cfRule type="cellIs" dxfId="779" priority="94" stopIfTrue="1" operator="greaterThan">
      <formula>N15</formula>
    </cfRule>
    <cfRule type="cellIs" dxfId="778" priority="95" stopIfTrue="1" operator="equal">
      <formula>0</formula>
    </cfRule>
  </conditionalFormatting>
  <conditionalFormatting sqref="K16:M16">
    <cfRule type="cellIs" dxfId="777" priority="92" stopIfTrue="1" operator="greaterThan">
      <formula>K15</formula>
    </cfRule>
    <cfRule type="cellIs" dxfId="776" priority="93" stopIfTrue="1" operator="equal">
      <formula>0</formula>
    </cfRule>
  </conditionalFormatting>
  <conditionalFormatting sqref="J16:L16">
    <cfRule type="cellIs" dxfId="775" priority="90" stopIfTrue="1" operator="greaterThan">
      <formula>J15</formula>
    </cfRule>
    <cfRule type="cellIs" dxfId="774" priority="91" stopIfTrue="1" operator="equal">
      <formula>0</formula>
    </cfRule>
  </conditionalFormatting>
  <conditionalFormatting sqref="G16:I16">
    <cfRule type="cellIs" dxfId="773" priority="88" stopIfTrue="1" operator="greaterThan">
      <formula>G15</formula>
    </cfRule>
    <cfRule type="cellIs" dxfId="772" priority="89" stopIfTrue="1" operator="equal">
      <formula>0</formula>
    </cfRule>
  </conditionalFormatting>
  <conditionalFormatting sqref="F16">
    <cfRule type="cellIs" dxfId="771" priority="86" stopIfTrue="1" operator="greaterThan">
      <formula>F15</formula>
    </cfRule>
    <cfRule type="cellIs" dxfId="770" priority="87" stopIfTrue="1" operator="equal">
      <formula>0</formula>
    </cfRule>
  </conditionalFormatting>
  <conditionalFormatting sqref="O14:Q14">
    <cfRule type="cellIs" dxfId="769" priority="84" stopIfTrue="1" operator="greaterThan">
      <formula>O13</formula>
    </cfRule>
    <cfRule type="cellIs" dxfId="768" priority="85" stopIfTrue="1" operator="equal">
      <formula>0</formula>
    </cfRule>
  </conditionalFormatting>
  <conditionalFormatting sqref="N14">
    <cfRule type="cellIs" dxfId="767" priority="82" stopIfTrue="1" operator="greaterThan">
      <formula>N13</formula>
    </cfRule>
    <cfRule type="cellIs" dxfId="766" priority="83" stopIfTrue="1" operator="equal">
      <formula>0</formula>
    </cfRule>
  </conditionalFormatting>
  <conditionalFormatting sqref="K14:M14">
    <cfRule type="cellIs" dxfId="765" priority="80" stopIfTrue="1" operator="greaterThan">
      <formula>K13</formula>
    </cfRule>
    <cfRule type="cellIs" dxfId="764" priority="81" stopIfTrue="1" operator="equal">
      <formula>0</formula>
    </cfRule>
  </conditionalFormatting>
  <conditionalFormatting sqref="J14">
    <cfRule type="cellIs" dxfId="763" priority="78" stopIfTrue="1" operator="greaterThan">
      <formula>J13</formula>
    </cfRule>
    <cfRule type="cellIs" dxfId="762" priority="79" stopIfTrue="1" operator="equal">
      <formula>0</formula>
    </cfRule>
  </conditionalFormatting>
  <conditionalFormatting sqref="G14:L14">
    <cfRule type="cellIs" dxfId="761" priority="76" stopIfTrue="1" operator="greaterThan">
      <formula>G13</formula>
    </cfRule>
    <cfRule type="cellIs" dxfId="760" priority="77" stopIfTrue="1" operator="equal">
      <formula>0</formula>
    </cfRule>
  </conditionalFormatting>
  <conditionalFormatting sqref="F14">
    <cfRule type="cellIs" dxfId="759" priority="74" stopIfTrue="1" operator="greaterThan">
      <formula>F13</formula>
    </cfRule>
    <cfRule type="cellIs" dxfId="758" priority="75" stopIfTrue="1" operator="equal">
      <formula>0</formula>
    </cfRule>
  </conditionalFormatting>
  <conditionalFormatting sqref="O12:Q12">
    <cfRule type="cellIs" dxfId="757" priority="72" stopIfTrue="1" operator="greaterThan">
      <formula>O11</formula>
    </cfRule>
    <cfRule type="cellIs" dxfId="756" priority="73" stopIfTrue="1" operator="equal">
      <formula>0</formula>
    </cfRule>
  </conditionalFormatting>
  <conditionalFormatting sqref="N12">
    <cfRule type="cellIs" dxfId="755" priority="70" stopIfTrue="1" operator="greaterThan">
      <formula>N11</formula>
    </cfRule>
    <cfRule type="cellIs" dxfId="754" priority="71" stopIfTrue="1" operator="equal">
      <formula>0</formula>
    </cfRule>
  </conditionalFormatting>
  <conditionalFormatting sqref="K12:M12">
    <cfRule type="cellIs" dxfId="753" priority="68" stopIfTrue="1" operator="greaterThan">
      <formula>K11</formula>
    </cfRule>
    <cfRule type="cellIs" dxfId="752" priority="69" stopIfTrue="1" operator="equal">
      <formula>0</formula>
    </cfRule>
  </conditionalFormatting>
  <conditionalFormatting sqref="J12">
    <cfRule type="cellIs" dxfId="751" priority="66" stopIfTrue="1" operator="greaterThan">
      <formula>J11</formula>
    </cfRule>
    <cfRule type="cellIs" dxfId="750" priority="67" stopIfTrue="1" operator="equal">
      <formula>0</formula>
    </cfRule>
  </conditionalFormatting>
  <conditionalFormatting sqref="G12:L12">
    <cfRule type="cellIs" dxfId="749" priority="64" stopIfTrue="1" operator="greaterThan">
      <formula>G11</formula>
    </cfRule>
    <cfRule type="cellIs" dxfId="748" priority="65" stopIfTrue="1" operator="equal">
      <formula>0</formula>
    </cfRule>
  </conditionalFormatting>
  <conditionalFormatting sqref="F12">
    <cfRule type="cellIs" dxfId="747" priority="62" stopIfTrue="1" operator="greaterThan">
      <formula>F11</formula>
    </cfRule>
    <cfRule type="cellIs" dxfId="746" priority="63" stopIfTrue="1" operator="equal">
      <formula>0</formula>
    </cfRule>
  </conditionalFormatting>
  <conditionalFormatting sqref="I18">
    <cfRule type="cellIs" dxfId="745" priority="60" stopIfTrue="1" operator="greaterThan">
      <formula>I17</formula>
    </cfRule>
    <cfRule type="cellIs" dxfId="744" priority="61" stopIfTrue="1" operator="equal">
      <formula>0</formula>
    </cfRule>
  </conditionalFormatting>
  <conditionalFormatting sqref="I18">
    <cfRule type="cellIs" dxfId="743" priority="58" stopIfTrue="1" operator="greaterThan">
      <formula>I17</formula>
    </cfRule>
    <cfRule type="cellIs" dxfId="742" priority="59" stopIfTrue="1" operator="equal">
      <formula>0</formula>
    </cfRule>
  </conditionalFormatting>
  <conditionalFormatting sqref="H16">
    <cfRule type="cellIs" dxfId="741" priority="56" stopIfTrue="1" operator="greaterThan">
      <formula>H15</formula>
    </cfRule>
    <cfRule type="cellIs" dxfId="740" priority="57" stopIfTrue="1" operator="equal">
      <formula>0</formula>
    </cfRule>
  </conditionalFormatting>
  <conditionalFormatting sqref="H16">
    <cfRule type="cellIs" dxfId="739" priority="54" stopIfTrue="1" operator="greaterThan">
      <formula>H15</formula>
    </cfRule>
    <cfRule type="cellIs" dxfId="738" priority="55" stopIfTrue="1" operator="equal">
      <formula>0</formula>
    </cfRule>
  </conditionalFormatting>
  <conditionalFormatting sqref="H16">
    <cfRule type="cellIs" dxfId="737" priority="52" stopIfTrue="1" operator="greaterThan">
      <formula>H15</formula>
    </cfRule>
    <cfRule type="cellIs" dxfId="736" priority="53" stopIfTrue="1" operator="equal">
      <formula>0</formula>
    </cfRule>
  </conditionalFormatting>
  <conditionalFormatting sqref="H16">
    <cfRule type="cellIs" dxfId="735" priority="50" stopIfTrue="1" operator="greaterThan">
      <formula>H15</formula>
    </cfRule>
    <cfRule type="cellIs" dxfId="734" priority="51" stopIfTrue="1" operator="equal">
      <formula>0</formula>
    </cfRule>
  </conditionalFormatting>
  <conditionalFormatting sqref="G14">
    <cfRule type="cellIs" dxfId="733" priority="48" stopIfTrue="1" operator="greaterThan">
      <formula>G13</formula>
    </cfRule>
    <cfRule type="cellIs" dxfId="732" priority="49" stopIfTrue="1" operator="equal">
      <formula>0</formula>
    </cfRule>
  </conditionalFormatting>
  <conditionalFormatting sqref="G14">
    <cfRule type="cellIs" dxfId="731" priority="46" stopIfTrue="1" operator="greaterThan">
      <formula>G13</formula>
    </cfRule>
    <cfRule type="cellIs" dxfId="730" priority="47" stopIfTrue="1" operator="equal">
      <formula>0</formula>
    </cfRule>
  </conditionalFormatting>
  <conditionalFormatting sqref="G14">
    <cfRule type="cellIs" dxfId="729" priority="44" stopIfTrue="1" operator="greaterThan">
      <formula>G13</formula>
    </cfRule>
    <cfRule type="cellIs" dxfId="728" priority="45" stopIfTrue="1" operator="equal">
      <formula>0</formula>
    </cfRule>
  </conditionalFormatting>
  <conditionalFormatting sqref="G14">
    <cfRule type="cellIs" dxfId="727" priority="42" stopIfTrue="1" operator="greaterThan">
      <formula>G13</formula>
    </cfRule>
    <cfRule type="cellIs" dxfId="726" priority="43" stopIfTrue="1" operator="equal">
      <formula>0</formula>
    </cfRule>
  </conditionalFormatting>
  <conditionalFormatting sqref="F12">
    <cfRule type="cellIs" dxfId="725" priority="40" stopIfTrue="1" operator="greaterThan">
      <formula>F11</formula>
    </cfRule>
    <cfRule type="cellIs" dxfId="724" priority="41" stopIfTrue="1" operator="equal">
      <formula>0</formula>
    </cfRule>
  </conditionalFormatting>
  <conditionalFormatting sqref="F12">
    <cfRule type="cellIs" dxfId="723" priority="38" stopIfTrue="1" operator="greaterThan">
      <formula>F11</formula>
    </cfRule>
    <cfRule type="cellIs" dxfId="722" priority="39" stopIfTrue="1" operator="equal">
      <formula>0</formula>
    </cfRule>
  </conditionalFormatting>
  <conditionalFormatting sqref="F12">
    <cfRule type="cellIs" dxfId="721" priority="36" stopIfTrue="1" operator="greaterThan">
      <formula>F11</formula>
    </cfRule>
    <cfRule type="cellIs" dxfId="720" priority="37" stopIfTrue="1" operator="equal">
      <formula>0</formula>
    </cfRule>
  </conditionalFormatting>
  <conditionalFormatting sqref="F12">
    <cfRule type="cellIs" dxfId="719" priority="34" stopIfTrue="1" operator="greaterThan">
      <formula>F11</formula>
    </cfRule>
    <cfRule type="cellIs" dxfId="718" priority="35" stopIfTrue="1" operator="equal">
      <formula>0</formula>
    </cfRule>
  </conditionalFormatting>
  <conditionalFormatting sqref="N45:N56 N58">
    <cfRule type="cellIs" dxfId="717" priority="32" stopIfTrue="1" operator="equal">
      <formula>0</formula>
    </cfRule>
  </conditionalFormatting>
  <conditionalFormatting sqref="N57">
    <cfRule type="cellIs" dxfId="716" priority="31" stopIfTrue="1" operator="equal">
      <formula>0</formula>
    </cfRule>
  </conditionalFormatting>
  <conditionalFormatting sqref="O46:O56">
    <cfRule type="cellIs" dxfId="715" priority="29" stopIfTrue="1" operator="greaterThan">
      <formula>N46</formula>
    </cfRule>
    <cfRule type="cellIs" dxfId="714" priority="30" stopIfTrue="1" operator="equal">
      <formula>0</formula>
    </cfRule>
  </conditionalFormatting>
  <conditionalFormatting sqref="O57">
    <cfRule type="cellIs" dxfId="713" priority="27" stopIfTrue="1" operator="greaterThan">
      <formula>N57</formula>
    </cfRule>
    <cfRule type="cellIs" dxfId="712" priority="28" stopIfTrue="1" operator="equal">
      <formula>0</formula>
    </cfRule>
  </conditionalFormatting>
  <conditionalFormatting sqref="O45:O46">
    <cfRule type="cellIs" dxfId="711" priority="25" stopIfTrue="1" operator="greaterThan">
      <formula>N45</formula>
    </cfRule>
    <cfRule type="cellIs" dxfId="710" priority="26" stopIfTrue="1" operator="equal">
      <formula>0</formula>
    </cfRule>
  </conditionalFormatting>
  <conditionalFormatting sqref="O58">
    <cfRule type="cellIs" dxfId="709" priority="23" stopIfTrue="1" operator="greaterThan">
      <formula>N58</formula>
    </cfRule>
    <cfRule type="cellIs" dxfId="708" priority="24" stopIfTrue="1" operator="equal">
      <formula>0</formula>
    </cfRule>
  </conditionalFormatting>
  <conditionalFormatting sqref="G11:Q12">
    <cfRule type="cellIs" dxfId="707" priority="22" operator="greaterThan">
      <formula>0</formula>
    </cfRule>
  </conditionalFormatting>
  <conditionalFormatting sqref="H13:Q14">
    <cfRule type="cellIs" dxfId="706" priority="21" operator="greaterThan">
      <formula>0</formula>
    </cfRule>
  </conditionalFormatting>
  <conditionalFormatting sqref="I15:Q16">
    <cfRule type="cellIs" dxfId="705" priority="20" operator="greaterThan">
      <formula>0</formula>
    </cfRule>
  </conditionalFormatting>
  <conditionalFormatting sqref="J17:Q18">
    <cfRule type="cellIs" dxfId="704" priority="19" operator="greaterThan">
      <formula>0</formula>
    </cfRule>
  </conditionalFormatting>
  <conditionalFormatting sqref="K19:Q20">
    <cfRule type="cellIs" dxfId="703" priority="18" operator="greaterThan">
      <formula>0</formula>
    </cfRule>
  </conditionalFormatting>
  <conditionalFormatting sqref="L21:Q22">
    <cfRule type="cellIs" dxfId="702" priority="17" operator="greaterThan">
      <formula>0</formula>
    </cfRule>
  </conditionalFormatting>
  <conditionalFormatting sqref="M23:Q24">
    <cfRule type="cellIs" dxfId="701" priority="16" operator="greaterThan">
      <formula>0</formula>
    </cfRule>
  </conditionalFormatting>
  <conditionalFormatting sqref="N25:Q26">
    <cfRule type="cellIs" dxfId="700" priority="15" operator="greaterThan">
      <formula>0</formula>
    </cfRule>
  </conditionalFormatting>
  <conditionalFormatting sqref="O27:Q28">
    <cfRule type="cellIs" dxfId="699" priority="14" operator="greaterThan">
      <formula>0</formula>
    </cfRule>
  </conditionalFormatting>
  <conditionalFormatting sqref="P29:Q30">
    <cfRule type="cellIs" dxfId="698" priority="13" operator="greaterThan">
      <formula>0</formula>
    </cfRule>
  </conditionalFormatting>
  <conditionalFormatting sqref="Q31:Q32">
    <cfRule type="cellIs" dxfId="697" priority="12" operator="greaterThan">
      <formula>0</formula>
    </cfRule>
  </conditionalFormatting>
  <conditionalFormatting sqref="F13:F14">
    <cfRule type="cellIs" dxfId="696" priority="11" operator="greaterThan">
      <formula>0</formula>
    </cfRule>
  </conditionalFormatting>
  <conditionalFormatting sqref="F15:G16">
    <cfRule type="cellIs" dxfId="695" priority="10" operator="greaterThan">
      <formula>0</formula>
    </cfRule>
  </conditionalFormatting>
  <conditionalFormatting sqref="F17:H18">
    <cfRule type="cellIs" dxfId="694" priority="9" operator="greaterThan">
      <formula>0</formula>
    </cfRule>
  </conditionalFormatting>
  <conditionalFormatting sqref="F19:I20">
    <cfRule type="cellIs" dxfId="693" priority="8" operator="greaterThan">
      <formula>0</formula>
    </cfRule>
  </conditionalFormatting>
  <conditionalFormatting sqref="F21:J22">
    <cfRule type="cellIs" dxfId="692" priority="7" operator="greaterThan">
      <formula>0</formula>
    </cfRule>
  </conditionalFormatting>
  <conditionalFormatting sqref="F23:K24">
    <cfRule type="cellIs" dxfId="691" priority="6" operator="greaterThan">
      <formula>0</formula>
    </cfRule>
  </conditionalFormatting>
  <conditionalFormatting sqref="F25:L26">
    <cfRule type="cellIs" dxfId="690" priority="5" operator="greaterThan">
      <formula>0</formula>
    </cfRule>
  </conditionalFormatting>
  <conditionalFormatting sqref="F27:M28">
    <cfRule type="cellIs" dxfId="689" priority="4" operator="greaterThan">
      <formula>0</formula>
    </cfRule>
  </conditionalFormatting>
  <conditionalFormatting sqref="F29:N30">
    <cfRule type="cellIs" dxfId="688" priority="3" operator="greaterThan">
      <formula>0</formula>
    </cfRule>
  </conditionalFormatting>
  <conditionalFormatting sqref="F31:O32">
    <cfRule type="cellIs" dxfId="687" priority="2" operator="greaterThan">
      <formula>0</formula>
    </cfRule>
  </conditionalFormatting>
  <conditionalFormatting sqref="F33:P34">
    <cfRule type="cellIs" dxfId="686" priority="1" operator="greaterThan">
      <formula>0</formula>
    </cfRule>
  </conditionalFormatting>
  <dataValidations count="2">
    <dataValidation type="whole" operator="greaterThanOrEqual" allowBlank="1" showInputMessage="1" showErrorMessage="1" errorTitle="اساتذة - مواد التكوين و التدريس" error="ضع العدد المناسب للأساتذة حسب مواد التكوين و التدريس" sqref="F11:R38">
      <formula1>0</formula1>
    </dataValidation>
    <dataValidation type="whole" operator="greaterThanOrEqual" allowBlank="1" showInputMessage="1" showErrorMessage="1" errorTitle="الأساتذة المشتغلين جزء من الوقت " error="ضع العدد المناسب للأساتذة حسب مواد التدريس و الساعات التدريس" sqref="F45:Q58">
      <formula1>0</formula1>
    </dataValidation>
  </dataValidations>
  <printOptions horizontalCentered="1" verticalCentered="1"/>
  <pageMargins left="0.19685039370078741" right="0.19685039370078741" top="0.19685039370078741" bottom="0.19685039370078741" header="0" footer="0.31496062992125984"/>
  <pageSetup paperSize="9" orientation="portrait" r:id="rId1"/>
  <headerFooter>
    <oddFooter xml:space="preserve">&amp;R&amp;"-,Gras"&amp;8&amp;K00-033Echamil V.08    &amp;F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rgb="FFFFC000"/>
  </sheetPr>
  <dimension ref="A1:Z59"/>
  <sheetViews>
    <sheetView showGridLines="0" rightToLeft="1" workbookViewId="0">
      <selection activeCell="F35" sqref="F35"/>
    </sheetView>
  </sheetViews>
  <sheetFormatPr baseColWidth="10" defaultColWidth="0" defaultRowHeight="14.4" zeroHeight="1"/>
  <cols>
    <col min="1" max="1" width="2.6640625" customWidth="1"/>
    <col min="2" max="2" width="1.44140625" customWidth="1"/>
    <col min="3" max="3" width="0.88671875" customWidth="1"/>
    <col min="4" max="4" width="9.6640625" customWidth="1"/>
    <col min="5" max="5" width="4.6640625" customWidth="1"/>
    <col min="6" max="10" width="6" customWidth="1"/>
    <col min="11" max="11" width="7.33203125" customWidth="1"/>
    <col min="12" max="13" width="6" customWidth="1"/>
    <col min="14" max="15" width="5.6640625" customWidth="1"/>
    <col min="16" max="16" width="6" customWidth="1"/>
    <col min="17" max="17" width="5.33203125" customWidth="1"/>
    <col min="18" max="18" width="6.109375" customWidth="1"/>
    <col min="19" max="19" width="0.5546875" customWidth="1"/>
    <col min="20" max="20" width="1.6640625" customWidth="1"/>
    <col min="21" max="21" width="2.6640625" customWidth="1"/>
    <col min="22" max="22" width="20.6640625" customWidth="1"/>
    <col min="23" max="23" width="5.6640625" customWidth="1"/>
    <col min="24" max="24" width="7.6640625" customWidth="1"/>
    <col min="25" max="25" width="5.6640625" customWidth="1"/>
    <col min="26" max="26" width="3.109375" customWidth="1"/>
  </cols>
  <sheetData>
    <row r="1" spans="1:26" ht="14.1" customHeight="1" thickBot="1">
      <c r="A1" s="750"/>
      <c r="B1" s="751"/>
      <c r="C1" s="751"/>
      <c r="D1" s="751"/>
      <c r="E1" s="751"/>
      <c r="F1" s="751"/>
      <c r="G1" s="751"/>
      <c r="H1" s="751"/>
      <c r="I1" s="751"/>
      <c r="J1" s="751"/>
      <c r="K1" s="751"/>
      <c r="L1" s="751"/>
      <c r="M1" s="751"/>
      <c r="N1" s="751"/>
      <c r="O1" s="751"/>
      <c r="P1" s="751"/>
      <c r="Q1" s="751"/>
      <c r="R1" s="751"/>
      <c r="S1" s="751"/>
      <c r="T1" s="751"/>
      <c r="U1" s="750"/>
      <c r="V1" s="1006"/>
      <c r="W1" s="750"/>
      <c r="X1" s="750"/>
      <c r="Y1" s="750"/>
      <c r="Z1" s="1006"/>
    </row>
    <row r="2" spans="1:26" ht="14.1" customHeight="1" thickBot="1">
      <c r="A2" s="750"/>
      <c r="B2" s="904"/>
      <c r="C2" s="905"/>
      <c r="D2" s="905"/>
      <c r="E2" s="905"/>
      <c r="F2" s="905"/>
      <c r="G2" s="905"/>
      <c r="H2" s="905"/>
      <c r="I2" s="905"/>
      <c r="J2" s="905"/>
      <c r="K2" s="905"/>
      <c r="L2" s="905"/>
      <c r="M2" s="905"/>
      <c r="N2" s="905"/>
      <c r="O2" s="905"/>
      <c r="P2" s="905"/>
      <c r="Q2" s="905"/>
      <c r="R2" s="905"/>
      <c r="S2" s="905"/>
      <c r="T2" s="906"/>
      <c r="U2" s="750"/>
      <c r="V2" s="4720" t="s">
        <v>603</v>
      </c>
      <c r="W2" s="4720"/>
      <c r="X2" s="4720"/>
      <c r="Y2" s="4720"/>
      <c r="Z2" s="1006"/>
    </row>
    <row r="3" spans="1:26" ht="14.1" customHeight="1">
      <c r="A3" s="750"/>
      <c r="B3" s="907"/>
      <c r="C3" s="862"/>
      <c r="D3" s="858"/>
      <c r="E3" s="859"/>
      <c r="F3" s="859"/>
      <c r="G3" s="859"/>
      <c r="H3" s="859"/>
      <c r="I3" s="859"/>
      <c r="J3" s="863"/>
      <c r="K3" s="859"/>
      <c r="L3" s="859"/>
      <c r="M3" s="859"/>
      <c r="N3" s="859"/>
      <c r="O3" s="859"/>
      <c r="P3" s="859"/>
      <c r="Q3" s="859"/>
      <c r="R3" s="859"/>
      <c r="S3" s="913"/>
      <c r="T3" s="908"/>
      <c r="U3" s="750"/>
      <c r="V3" s="4720"/>
      <c r="W3" s="4720"/>
      <c r="X3" s="4720"/>
      <c r="Y3" s="4720"/>
      <c r="Z3" s="1006"/>
    </row>
    <row r="4" spans="1:26" ht="14.1" customHeight="1">
      <c r="A4" s="750"/>
      <c r="B4" s="909"/>
      <c r="C4" s="864"/>
      <c r="D4" s="2534" t="s">
        <v>1465</v>
      </c>
      <c r="E4" s="633"/>
      <c r="F4" s="633"/>
      <c r="G4" s="633"/>
      <c r="H4" s="636"/>
      <c r="I4" s="636"/>
      <c r="J4" s="634"/>
      <c r="K4" s="634"/>
      <c r="L4" s="634"/>
      <c r="M4" s="637"/>
      <c r="N4" s="637"/>
      <c r="O4" s="637"/>
      <c r="P4" s="637"/>
      <c r="Q4" s="637"/>
      <c r="R4" s="2535" t="s">
        <v>1464</v>
      </c>
      <c r="S4" s="914"/>
      <c r="T4" s="908"/>
      <c r="U4" s="750"/>
      <c r="V4" s="4720"/>
      <c r="W4" s="4720"/>
      <c r="X4" s="4720"/>
      <c r="Y4" s="4720"/>
      <c r="Z4" s="1006"/>
    </row>
    <row r="5" spans="1:26" ht="14.1" customHeight="1">
      <c r="A5" s="750"/>
      <c r="B5" s="910"/>
      <c r="C5" s="915"/>
      <c r="D5" s="638"/>
      <c r="E5" s="638"/>
      <c r="F5" s="638"/>
      <c r="G5" s="638"/>
      <c r="H5" s="667"/>
      <c r="I5" s="667"/>
      <c r="J5" s="637"/>
      <c r="K5" s="637"/>
      <c r="L5" s="639"/>
      <c r="M5" s="639"/>
      <c r="N5" s="639"/>
      <c r="O5" s="639"/>
      <c r="P5" s="639"/>
      <c r="Q5" s="639"/>
      <c r="R5" s="667"/>
      <c r="S5" s="914"/>
      <c r="T5" s="908"/>
      <c r="U5" s="750"/>
      <c r="V5" s="18"/>
      <c r="W5" s="18"/>
      <c r="X5" s="18"/>
      <c r="Y5" s="18"/>
      <c r="Z5" s="1006"/>
    </row>
    <row r="6" spans="1:26" ht="18" customHeight="1">
      <c r="A6" s="750"/>
      <c r="B6" s="910"/>
      <c r="C6" s="954"/>
      <c r="D6" s="979" t="s">
        <v>1448</v>
      </c>
      <c r="E6" s="955"/>
      <c r="F6" s="955"/>
      <c r="G6" s="955"/>
      <c r="H6" s="955"/>
      <c r="I6" s="955"/>
      <c r="J6" s="776"/>
      <c r="K6" s="955"/>
      <c r="L6" s="955"/>
      <c r="M6" s="955"/>
      <c r="N6" s="955"/>
      <c r="O6" s="955"/>
      <c r="P6" s="955"/>
      <c r="Q6" s="955"/>
      <c r="R6" s="955"/>
      <c r="S6" s="988"/>
      <c r="T6" s="908"/>
      <c r="U6" s="750"/>
      <c r="V6" s="18"/>
      <c r="W6" s="18"/>
      <c r="X6" s="18"/>
      <c r="Y6" s="18"/>
      <c r="Z6" s="1006"/>
    </row>
    <row r="7" spans="1:26" ht="14.1" customHeight="1">
      <c r="A7" s="750"/>
      <c r="B7" s="910"/>
      <c r="C7" s="884"/>
      <c r="D7" s="2267"/>
      <c r="E7" s="649"/>
      <c r="F7" s="649"/>
      <c r="G7" s="649"/>
      <c r="H7" s="649"/>
      <c r="I7" s="649"/>
      <c r="J7" s="649"/>
      <c r="K7" s="649"/>
      <c r="L7" s="649"/>
      <c r="M7" s="649"/>
      <c r="N7" s="649"/>
      <c r="O7" s="649"/>
      <c r="P7" s="649"/>
      <c r="Q7" s="649"/>
      <c r="R7" s="664"/>
      <c r="S7" s="908"/>
      <c r="T7" s="908"/>
      <c r="U7" s="750"/>
      <c r="V7" s="18"/>
      <c r="W7" s="18"/>
      <c r="X7" s="18"/>
      <c r="Y7" s="18"/>
      <c r="Z7" s="1006"/>
    </row>
    <row r="8" spans="1:26" ht="36.75" customHeight="1">
      <c r="A8" s="750"/>
      <c r="B8" s="910"/>
      <c r="C8" s="884"/>
      <c r="D8" s="4661" t="s">
        <v>60</v>
      </c>
      <c r="E8" s="4703"/>
      <c r="F8" s="4699" t="s">
        <v>47</v>
      </c>
      <c r="G8" s="4701" t="s">
        <v>46</v>
      </c>
      <c r="H8" s="4689" t="s">
        <v>45</v>
      </c>
      <c r="I8" s="4687" t="s">
        <v>44</v>
      </c>
      <c r="J8" s="4689" t="s">
        <v>43</v>
      </c>
      <c r="K8" s="4687" t="s">
        <v>59</v>
      </c>
      <c r="L8" s="4691" t="s">
        <v>1213</v>
      </c>
      <c r="M8" s="4687" t="s">
        <v>40</v>
      </c>
      <c r="N8" s="4689" t="s">
        <v>39</v>
      </c>
      <c r="O8" s="4687" t="s">
        <v>38</v>
      </c>
      <c r="P8" s="4689" t="s">
        <v>37</v>
      </c>
      <c r="Q8" s="4718" t="s">
        <v>48</v>
      </c>
      <c r="R8" s="4710" t="s">
        <v>28</v>
      </c>
      <c r="S8" s="908"/>
      <c r="T8" s="908"/>
      <c r="U8" s="750"/>
      <c r="V8" s="18"/>
      <c r="W8" s="18"/>
      <c r="X8" s="18"/>
      <c r="Y8" s="18"/>
      <c r="Z8" s="1006"/>
    </row>
    <row r="9" spans="1:26" ht="19.5" customHeight="1">
      <c r="A9" s="750"/>
      <c r="B9" s="910"/>
      <c r="C9" s="884"/>
      <c r="D9" s="4500" t="s">
        <v>30</v>
      </c>
      <c r="E9" s="4704"/>
      <c r="F9" s="4700"/>
      <c r="G9" s="4702"/>
      <c r="H9" s="4690"/>
      <c r="I9" s="4688"/>
      <c r="J9" s="4690"/>
      <c r="K9" s="4688"/>
      <c r="L9" s="4692"/>
      <c r="M9" s="4688"/>
      <c r="N9" s="4690"/>
      <c r="O9" s="4688"/>
      <c r="P9" s="4690"/>
      <c r="Q9" s="4719"/>
      <c r="R9" s="4711"/>
      <c r="S9" s="908"/>
      <c r="T9" s="908"/>
      <c r="U9" s="750"/>
      <c r="V9" s="18"/>
      <c r="W9" s="18"/>
      <c r="X9" s="18"/>
      <c r="Y9" s="18"/>
      <c r="Z9" s="1006"/>
    </row>
    <row r="10" spans="1:26" ht="15" customHeight="1">
      <c r="A10" s="750"/>
      <c r="B10" s="910"/>
      <c r="C10" s="884"/>
      <c r="D10" s="4705" t="s">
        <v>47</v>
      </c>
      <c r="E10" s="4706"/>
      <c r="F10" s="3426"/>
      <c r="G10" s="596"/>
      <c r="H10" s="588"/>
      <c r="I10" s="588"/>
      <c r="J10" s="588"/>
      <c r="K10" s="588"/>
      <c r="L10" s="588"/>
      <c r="M10" s="588"/>
      <c r="N10" s="588"/>
      <c r="O10" s="588"/>
      <c r="P10" s="588"/>
      <c r="Q10" s="589"/>
      <c r="R10" s="2079">
        <f t="shared" ref="R10:R21" si="0">SUM(F10:Q10)</f>
        <v>0</v>
      </c>
      <c r="S10" s="908"/>
      <c r="T10" s="908"/>
      <c r="U10" s="750"/>
      <c r="V10" s="18"/>
      <c r="W10" s="18"/>
      <c r="X10" s="18"/>
      <c r="Y10" s="18"/>
      <c r="Z10" s="1006"/>
    </row>
    <row r="11" spans="1:26" ht="15" customHeight="1">
      <c r="A11" s="750"/>
      <c r="B11" s="910"/>
      <c r="C11" s="884"/>
      <c r="D11" s="4707" t="s">
        <v>46</v>
      </c>
      <c r="E11" s="4708"/>
      <c r="F11" s="595"/>
      <c r="G11" s="3427"/>
      <c r="H11" s="598"/>
      <c r="I11" s="591"/>
      <c r="J11" s="591"/>
      <c r="K11" s="591"/>
      <c r="L11" s="591"/>
      <c r="M11" s="591"/>
      <c r="N11" s="591"/>
      <c r="O11" s="591"/>
      <c r="P11" s="591"/>
      <c r="Q11" s="592"/>
      <c r="R11" s="2080">
        <f t="shared" si="0"/>
        <v>0</v>
      </c>
      <c r="S11" s="908"/>
      <c r="T11" s="908"/>
      <c r="U11" s="750"/>
      <c r="V11" s="18"/>
      <c r="W11" s="18"/>
      <c r="X11" s="18"/>
      <c r="Y11" s="18"/>
      <c r="Z11" s="1006"/>
    </row>
    <row r="12" spans="1:26" ht="15" customHeight="1">
      <c r="A12" s="750"/>
      <c r="B12" s="910"/>
      <c r="C12" s="884"/>
      <c r="D12" s="4705" t="s">
        <v>45</v>
      </c>
      <c r="E12" s="4706"/>
      <c r="F12" s="590"/>
      <c r="G12" s="597"/>
      <c r="H12" s="3427"/>
      <c r="I12" s="598"/>
      <c r="J12" s="591"/>
      <c r="K12" s="591"/>
      <c r="L12" s="591"/>
      <c r="M12" s="591"/>
      <c r="N12" s="591"/>
      <c r="O12" s="591"/>
      <c r="P12" s="591"/>
      <c r="Q12" s="592"/>
      <c r="R12" s="2080">
        <f t="shared" si="0"/>
        <v>0</v>
      </c>
      <c r="S12" s="908"/>
      <c r="T12" s="908"/>
      <c r="U12" s="750"/>
      <c r="V12" s="18"/>
      <c r="W12" s="18"/>
      <c r="X12" s="18"/>
      <c r="Y12" s="18"/>
      <c r="Z12" s="1006"/>
    </row>
    <row r="13" spans="1:26" ht="15" customHeight="1">
      <c r="A13" s="750"/>
      <c r="B13" s="910"/>
      <c r="C13" s="884"/>
      <c r="D13" s="4707" t="s">
        <v>44</v>
      </c>
      <c r="E13" s="4708"/>
      <c r="F13" s="590"/>
      <c r="G13" s="591"/>
      <c r="H13" s="597"/>
      <c r="I13" s="3427"/>
      <c r="J13" s="598"/>
      <c r="K13" s="591"/>
      <c r="L13" s="591"/>
      <c r="M13" s="591"/>
      <c r="N13" s="591"/>
      <c r="O13" s="591"/>
      <c r="P13" s="591"/>
      <c r="Q13" s="592"/>
      <c r="R13" s="2080">
        <f t="shared" si="0"/>
        <v>0</v>
      </c>
      <c r="S13" s="908"/>
      <c r="T13" s="908"/>
      <c r="U13" s="750"/>
      <c r="V13" s="18"/>
      <c r="W13" s="18"/>
      <c r="X13" s="18"/>
      <c r="Y13" s="18"/>
      <c r="Z13" s="1006"/>
    </row>
    <row r="14" spans="1:26" ht="15" customHeight="1">
      <c r="A14" s="750"/>
      <c r="B14" s="910"/>
      <c r="C14" s="884"/>
      <c r="D14" s="4705" t="s">
        <v>43</v>
      </c>
      <c r="E14" s="4706"/>
      <c r="F14" s="590"/>
      <c r="G14" s="591"/>
      <c r="H14" s="591"/>
      <c r="I14" s="597"/>
      <c r="J14" s="3427"/>
      <c r="K14" s="598"/>
      <c r="L14" s="591"/>
      <c r="M14" s="591"/>
      <c r="N14" s="591"/>
      <c r="O14" s="591"/>
      <c r="P14" s="591"/>
      <c r="Q14" s="592"/>
      <c r="R14" s="2080">
        <f t="shared" si="0"/>
        <v>0</v>
      </c>
      <c r="S14" s="908"/>
      <c r="T14" s="908"/>
      <c r="U14" s="750"/>
      <c r="V14" s="18"/>
      <c r="W14" s="18"/>
      <c r="X14" s="18"/>
      <c r="Y14" s="18"/>
      <c r="Z14" s="1006"/>
    </row>
    <row r="15" spans="1:26" ht="15" customHeight="1">
      <c r="A15" s="750"/>
      <c r="B15" s="910"/>
      <c r="C15" s="884"/>
      <c r="D15" s="4707" t="s">
        <v>42</v>
      </c>
      <c r="E15" s="4708"/>
      <c r="F15" s="590"/>
      <c r="G15" s="591"/>
      <c r="H15" s="591"/>
      <c r="I15" s="591"/>
      <c r="J15" s="597"/>
      <c r="K15" s="3427"/>
      <c r="L15" s="598"/>
      <c r="M15" s="591"/>
      <c r="N15" s="591"/>
      <c r="O15" s="591"/>
      <c r="P15" s="591"/>
      <c r="Q15" s="592"/>
      <c r="R15" s="2080">
        <f t="shared" si="0"/>
        <v>0</v>
      </c>
      <c r="S15" s="908"/>
      <c r="T15" s="908"/>
      <c r="U15" s="750"/>
      <c r="V15" s="18"/>
      <c r="W15" s="18"/>
      <c r="X15" s="18"/>
      <c r="Y15" s="18"/>
      <c r="Z15" s="1006"/>
    </row>
    <row r="16" spans="1:26" ht="15" customHeight="1">
      <c r="A16" s="750"/>
      <c r="B16" s="910"/>
      <c r="C16" s="884"/>
      <c r="D16" s="4705" t="s">
        <v>1111</v>
      </c>
      <c r="E16" s="4706"/>
      <c r="F16" s="590"/>
      <c r="G16" s="591"/>
      <c r="H16" s="591"/>
      <c r="I16" s="591"/>
      <c r="J16" s="591"/>
      <c r="K16" s="597"/>
      <c r="L16" s="3427"/>
      <c r="M16" s="598"/>
      <c r="N16" s="591"/>
      <c r="O16" s="591"/>
      <c r="P16" s="591"/>
      <c r="Q16" s="592"/>
      <c r="R16" s="2080">
        <f t="shared" si="0"/>
        <v>0</v>
      </c>
      <c r="S16" s="908"/>
      <c r="T16" s="908"/>
      <c r="U16" s="750"/>
      <c r="V16" s="18"/>
      <c r="W16" s="18"/>
      <c r="X16" s="18"/>
      <c r="Y16" s="18"/>
      <c r="Z16" s="1006"/>
    </row>
    <row r="17" spans="1:26" ht="15" customHeight="1">
      <c r="A17" s="750"/>
      <c r="B17" s="910"/>
      <c r="C17" s="884"/>
      <c r="D17" s="4707" t="s">
        <v>40</v>
      </c>
      <c r="E17" s="4708"/>
      <c r="F17" s="590"/>
      <c r="G17" s="591"/>
      <c r="H17" s="591"/>
      <c r="I17" s="591"/>
      <c r="J17" s="591"/>
      <c r="K17" s="591"/>
      <c r="L17" s="597"/>
      <c r="M17" s="3427"/>
      <c r="N17" s="598"/>
      <c r="O17" s="591"/>
      <c r="P17" s="591"/>
      <c r="Q17" s="592"/>
      <c r="R17" s="2080">
        <f t="shared" si="0"/>
        <v>0</v>
      </c>
      <c r="S17" s="908"/>
      <c r="T17" s="908"/>
      <c r="U17" s="750"/>
      <c r="V17" s="18"/>
      <c r="W17" s="18"/>
      <c r="X17" s="18"/>
      <c r="Y17" s="18"/>
      <c r="Z17" s="1006"/>
    </row>
    <row r="18" spans="1:26" ht="15" customHeight="1">
      <c r="A18" s="750"/>
      <c r="B18" s="910"/>
      <c r="C18" s="884"/>
      <c r="D18" s="4705" t="s">
        <v>39</v>
      </c>
      <c r="E18" s="4706"/>
      <c r="F18" s="590"/>
      <c r="G18" s="591"/>
      <c r="H18" s="591"/>
      <c r="I18" s="591"/>
      <c r="J18" s="591"/>
      <c r="K18" s="591"/>
      <c r="L18" s="591"/>
      <c r="M18" s="597"/>
      <c r="N18" s="3427"/>
      <c r="O18" s="598"/>
      <c r="P18" s="591"/>
      <c r="Q18" s="592"/>
      <c r="R18" s="2080">
        <f t="shared" si="0"/>
        <v>0</v>
      </c>
      <c r="S18" s="908"/>
      <c r="T18" s="908"/>
      <c r="U18" s="750"/>
      <c r="V18" s="18"/>
      <c r="W18" s="18"/>
      <c r="X18" s="18"/>
      <c r="Y18" s="18"/>
      <c r="Z18" s="1006"/>
    </row>
    <row r="19" spans="1:26" ht="15" customHeight="1">
      <c r="A19" s="750"/>
      <c r="B19" s="910"/>
      <c r="C19" s="884"/>
      <c r="D19" s="4707" t="s">
        <v>38</v>
      </c>
      <c r="E19" s="4708"/>
      <c r="F19" s="590"/>
      <c r="G19" s="591"/>
      <c r="H19" s="591"/>
      <c r="I19" s="591"/>
      <c r="J19" s="591"/>
      <c r="K19" s="591"/>
      <c r="L19" s="591"/>
      <c r="M19" s="591"/>
      <c r="N19" s="597"/>
      <c r="O19" s="3427"/>
      <c r="P19" s="598"/>
      <c r="Q19" s="592"/>
      <c r="R19" s="2080">
        <f t="shared" si="0"/>
        <v>0</v>
      </c>
      <c r="S19" s="908"/>
      <c r="T19" s="908"/>
      <c r="U19" s="750"/>
      <c r="V19" s="18"/>
      <c r="W19" s="18"/>
      <c r="X19" s="18"/>
      <c r="Y19" s="18"/>
      <c r="Z19" s="1006"/>
    </row>
    <row r="20" spans="1:26" ht="15" customHeight="1">
      <c r="A20" s="750"/>
      <c r="B20" s="910"/>
      <c r="C20" s="884"/>
      <c r="D20" s="4705" t="s">
        <v>37</v>
      </c>
      <c r="E20" s="4706"/>
      <c r="F20" s="590"/>
      <c r="G20" s="591"/>
      <c r="H20" s="591"/>
      <c r="I20" s="591"/>
      <c r="J20" s="591"/>
      <c r="K20" s="591"/>
      <c r="L20" s="591"/>
      <c r="M20" s="591"/>
      <c r="N20" s="591"/>
      <c r="O20" s="597"/>
      <c r="P20" s="3427"/>
      <c r="Q20" s="600"/>
      <c r="R20" s="2080">
        <f t="shared" si="0"/>
        <v>0</v>
      </c>
      <c r="S20" s="908"/>
      <c r="T20" s="908"/>
      <c r="U20" s="750"/>
      <c r="V20" s="18"/>
      <c r="W20" s="18"/>
      <c r="X20" s="18"/>
      <c r="Y20" s="18"/>
      <c r="Z20" s="1006"/>
    </row>
    <row r="21" spans="1:26" ht="15" customHeight="1">
      <c r="A21" s="750"/>
      <c r="B21" s="910"/>
      <c r="C21" s="884"/>
      <c r="D21" s="4707" t="s">
        <v>48</v>
      </c>
      <c r="E21" s="4708"/>
      <c r="F21" s="593"/>
      <c r="G21" s="594"/>
      <c r="H21" s="594"/>
      <c r="I21" s="594"/>
      <c r="J21" s="594"/>
      <c r="K21" s="594"/>
      <c r="L21" s="594"/>
      <c r="M21" s="594"/>
      <c r="N21" s="594"/>
      <c r="O21" s="594"/>
      <c r="P21" s="599"/>
      <c r="Q21" s="3428"/>
      <c r="R21" s="2081">
        <f t="shared" si="0"/>
        <v>0</v>
      </c>
      <c r="S21" s="908"/>
      <c r="T21" s="908"/>
      <c r="U21" s="750"/>
      <c r="V21" s="18"/>
      <c r="W21" s="18"/>
      <c r="X21" s="18"/>
      <c r="Y21" s="18"/>
      <c r="Z21" s="1006"/>
    </row>
    <row r="22" spans="1:26" ht="15" customHeight="1">
      <c r="A22" s="750"/>
      <c r="B22" s="910"/>
      <c r="C22" s="884"/>
      <c r="D22" s="4305" t="s">
        <v>28</v>
      </c>
      <c r="E22" s="4306"/>
      <c r="F22" s="2082">
        <f t="shared" ref="F22:R22" si="1">SUM(F10:F21)</f>
        <v>0</v>
      </c>
      <c r="G22" s="2082">
        <f t="shared" si="1"/>
        <v>0</v>
      </c>
      <c r="H22" s="2082">
        <f t="shared" si="1"/>
        <v>0</v>
      </c>
      <c r="I22" s="2082">
        <f t="shared" si="1"/>
        <v>0</v>
      </c>
      <c r="J22" s="2082">
        <f t="shared" si="1"/>
        <v>0</v>
      </c>
      <c r="K22" s="2082">
        <f t="shared" si="1"/>
        <v>0</v>
      </c>
      <c r="L22" s="2082">
        <f t="shared" si="1"/>
        <v>0</v>
      </c>
      <c r="M22" s="2082">
        <f t="shared" si="1"/>
        <v>0</v>
      </c>
      <c r="N22" s="2082">
        <f t="shared" si="1"/>
        <v>0</v>
      </c>
      <c r="O22" s="2082">
        <f t="shared" si="1"/>
        <v>0</v>
      </c>
      <c r="P22" s="2082">
        <f t="shared" si="1"/>
        <v>0</v>
      </c>
      <c r="Q22" s="2083">
        <f t="shared" si="1"/>
        <v>0</v>
      </c>
      <c r="R22" s="2074">
        <f t="shared" si="1"/>
        <v>0</v>
      </c>
      <c r="S22" s="908"/>
      <c r="T22" s="908"/>
      <c r="U22" s="750"/>
      <c r="V22" s="18"/>
      <c r="W22" s="18"/>
      <c r="X22" s="18"/>
      <c r="Y22" s="18"/>
      <c r="Z22" s="1006"/>
    </row>
    <row r="23" spans="1:26" ht="15" customHeight="1">
      <c r="A23" s="750"/>
      <c r="B23" s="910"/>
      <c r="C23" s="884"/>
      <c r="D23" s="2073"/>
      <c r="E23" s="1041"/>
      <c r="F23" s="2057"/>
      <c r="G23" s="2057"/>
      <c r="H23" s="2057"/>
      <c r="I23" s="2057"/>
      <c r="J23" s="2057"/>
      <c r="K23" s="2057"/>
      <c r="L23" s="2057"/>
      <c r="M23" s="2057"/>
      <c r="N23" s="2057"/>
      <c r="O23" s="2057"/>
      <c r="P23" s="2057"/>
      <c r="Q23" s="2057"/>
      <c r="R23" s="2057"/>
      <c r="S23" s="908"/>
      <c r="T23" s="908"/>
      <c r="U23" s="750"/>
      <c r="V23" s="2795"/>
      <c r="W23" s="2795"/>
      <c r="X23" s="2795"/>
      <c r="Y23" s="2795"/>
      <c r="Z23" s="1006"/>
    </row>
    <row r="24" spans="1:26" ht="14.1" customHeight="1">
      <c r="A24" s="750"/>
      <c r="B24" s="910"/>
      <c r="C24" s="915"/>
      <c r="D24" s="638"/>
      <c r="E24" s="1041"/>
      <c r="F24" s="638"/>
      <c r="G24" s="638"/>
      <c r="H24" s="638"/>
      <c r="I24" s="667"/>
      <c r="J24" s="667"/>
      <c r="K24" s="637"/>
      <c r="L24" s="637"/>
      <c r="M24" s="639"/>
      <c r="N24" s="639"/>
      <c r="O24" s="639"/>
      <c r="P24" s="639"/>
      <c r="Q24" s="639"/>
      <c r="R24" s="639"/>
      <c r="S24" s="914"/>
      <c r="T24" s="908"/>
      <c r="U24" s="750"/>
      <c r="V24" s="2795"/>
      <c r="W24" s="2795"/>
      <c r="X24" s="2795"/>
      <c r="Y24" s="2795"/>
      <c r="Z24" s="1006"/>
    </row>
    <row r="25" spans="1:26" ht="14.1" customHeight="1">
      <c r="A25" s="750"/>
      <c r="B25" s="907"/>
      <c r="C25" s="916"/>
      <c r="D25" s="668"/>
      <c r="E25" s="1041"/>
      <c r="F25" s="668"/>
      <c r="G25" s="668"/>
      <c r="H25" s="668"/>
      <c r="I25" s="668"/>
      <c r="J25" s="668"/>
      <c r="K25" s="668"/>
      <c r="L25" s="668"/>
      <c r="M25" s="668"/>
      <c r="N25" s="668"/>
      <c r="O25" s="668"/>
      <c r="P25" s="668"/>
      <c r="Q25" s="668"/>
      <c r="R25" s="668"/>
      <c r="S25" s="917"/>
      <c r="T25" s="908"/>
      <c r="U25" s="750"/>
      <c r="V25" s="2795"/>
      <c r="W25" s="2795"/>
      <c r="X25" s="2795"/>
      <c r="Y25" s="2795"/>
      <c r="Z25" s="1006"/>
    </row>
    <row r="26" spans="1:26" ht="18" customHeight="1">
      <c r="A26" s="750"/>
      <c r="B26" s="907"/>
      <c r="C26" s="974"/>
      <c r="D26" s="975" t="s">
        <v>1250</v>
      </c>
      <c r="E26" s="976"/>
      <c r="F26" s="976"/>
      <c r="G26" s="976"/>
      <c r="H26" s="976"/>
      <c r="I26" s="976"/>
      <c r="J26" s="977"/>
      <c r="K26" s="976"/>
      <c r="L26" s="3144" t="s">
        <v>1257</v>
      </c>
      <c r="M26" s="976"/>
      <c r="N26" s="976"/>
      <c r="O26" s="976"/>
      <c r="P26" s="4284" t="s">
        <v>1208</v>
      </c>
      <c r="Q26" s="4284"/>
      <c r="R26" s="976"/>
      <c r="S26" s="978"/>
      <c r="T26" s="908"/>
      <c r="U26" s="750"/>
      <c r="V26" s="4649" t="s">
        <v>1263</v>
      </c>
      <c r="W26" s="4649"/>
      <c r="X26" s="4649"/>
      <c r="Y26" s="4649"/>
      <c r="Z26" s="1006"/>
    </row>
    <row r="27" spans="1:26" ht="3.9" customHeight="1">
      <c r="A27" s="750"/>
      <c r="B27" s="907"/>
      <c r="C27" s="918"/>
      <c r="D27" s="635"/>
      <c r="E27" s="634"/>
      <c r="F27" s="634"/>
      <c r="G27" s="634"/>
      <c r="H27" s="634"/>
      <c r="I27" s="634"/>
      <c r="J27" s="634"/>
      <c r="K27" s="634"/>
      <c r="L27" s="634"/>
      <c r="M27" s="634"/>
      <c r="N27" s="634"/>
      <c r="O27" s="634"/>
      <c r="P27" s="634"/>
      <c r="Q27" s="634"/>
      <c r="R27" s="669"/>
      <c r="S27" s="919"/>
      <c r="T27" s="908"/>
      <c r="U27" s="750"/>
      <c r="V27" s="4649"/>
      <c r="W27" s="4649"/>
      <c r="X27" s="4649"/>
      <c r="Y27" s="4649"/>
      <c r="Z27" s="1006"/>
    </row>
    <row r="28" spans="1:26" ht="30" customHeight="1">
      <c r="A28" s="750"/>
      <c r="B28" s="907"/>
      <c r="C28" s="918"/>
      <c r="D28" s="4695" t="s">
        <v>30</v>
      </c>
      <c r="E28" s="4696"/>
      <c r="F28" s="4699" t="s">
        <v>47</v>
      </c>
      <c r="G28" s="4701" t="s">
        <v>46</v>
      </c>
      <c r="H28" s="4689" t="s">
        <v>45</v>
      </c>
      <c r="I28" s="4687" t="s">
        <v>44</v>
      </c>
      <c r="J28" s="4689" t="s">
        <v>43</v>
      </c>
      <c r="K28" s="4687" t="s">
        <v>59</v>
      </c>
      <c r="L28" s="4691" t="s">
        <v>1213</v>
      </c>
      <c r="M28" s="4687" t="s">
        <v>40</v>
      </c>
      <c r="N28" s="4689" t="s">
        <v>39</v>
      </c>
      <c r="O28" s="4687" t="s">
        <v>38</v>
      </c>
      <c r="P28" s="4689" t="s">
        <v>37</v>
      </c>
      <c r="Q28" s="4718" t="s">
        <v>48</v>
      </c>
      <c r="R28" s="4710" t="s">
        <v>28</v>
      </c>
      <c r="S28" s="919"/>
      <c r="T28" s="908"/>
      <c r="U28" s="750"/>
      <c r="V28" s="2795"/>
      <c r="W28" s="2796"/>
      <c r="X28" s="2796"/>
      <c r="Y28" s="2796"/>
      <c r="Z28" s="1006"/>
    </row>
    <row r="29" spans="1:26" ht="18" customHeight="1">
      <c r="A29" s="750"/>
      <c r="B29" s="907"/>
      <c r="C29" s="918"/>
      <c r="D29" s="4697" t="s">
        <v>58</v>
      </c>
      <c r="E29" s="4698"/>
      <c r="F29" s="4700"/>
      <c r="G29" s="4702"/>
      <c r="H29" s="4690"/>
      <c r="I29" s="4688"/>
      <c r="J29" s="4690"/>
      <c r="K29" s="4688"/>
      <c r="L29" s="4692"/>
      <c r="M29" s="4688"/>
      <c r="N29" s="4690"/>
      <c r="O29" s="4688"/>
      <c r="P29" s="4690"/>
      <c r="Q29" s="4719"/>
      <c r="R29" s="4711"/>
      <c r="S29" s="919"/>
      <c r="T29" s="908"/>
      <c r="U29" s="750"/>
      <c r="V29" s="3740" t="s">
        <v>30</v>
      </c>
      <c r="W29" s="2789"/>
      <c r="X29" s="2797"/>
      <c r="Y29" s="2796"/>
      <c r="Z29" s="1006"/>
    </row>
    <row r="30" spans="1:26" ht="15" customHeight="1">
      <c r="A30" s="750"/>
      <c r="B30" s="907"/>
      <c r="C30" s="918"/>
      <c r="D30" s="4693" t="s">
        <v>941</v>
      </c>
      <c r="E30" s="656" t="s">
        <v>20</v>
      </c>
      <c r="F30" s="2088"/>
      <c r="G30" s="2089">
        <f>'الصفحة 16'!$E$42</f>
        <v>0</v>
      </c>
      <c r="H30" s="2089">
        <f>'الصفحة 17'!$E$42</f>
        <v>0</v>
      </c>
      <c r="I30" s="2089">
        <f>'الصفحة 18'!$E$42</f>
        <v>1</v>
      </c>
      <c r="J30" s="2089">
        <f>'الصفحة 19'!$E$42</f>
        <v>0</v>
      </c>
      <c r="K30" s="2089">
        <f>'الصفحة 20'!$E$42</f>
        <v>1</v>
      </c>
      <c r="L30" s="2089">
        <f>'الصفحة 21'!$E$42</f>
        <v>2</v>
      </c>
      <c r="M30" s="2089">
        <f>'الصفحة 22'!$E$42</f>
        <v>0</v>
      </c>
      <c r="N30" s="2089">
        <f>'الصفحة 23'!$E$42</f>
        <v>0</v>
      </c>
      <c r="O30" s="2089">
        <f>'الصفحة 24'!$E$42</f>
        <v>0</v>
      </c>
      <c r="P30" s="2089">
        <f>'الصفحة 25'!$E$42</f>
        <v>0</v>
      </c>
      <c r="Q30" s="2090">
        <f>'الصفحة 26'!$E$42</f>
        <v>0</v>
      </c>
      <c r="R30" s="2078">
        <f>SUM(F30:Q30)</f>
        <v>4</v>
      </c>
      <c r="S30" s="919"/>
      <c r="T30" s="908"/>
      <c r="U30" s="750"/>
      <c r="V30" s="4709" t="s">
        <v>47</v>
      </c>
      <c r="W30" s="2790" t="s">
        <v>20</v>
      </c>
      <c r="X30" s="2798" t="str">
        <f>IF((('الصفحة 27'!G46+'الصفحة 27'!I46)-F46)&lt;&gt;0,"خطأ"," ")</f>
        <v>خطأ</v>
      </c>
      <c r="Y30" s="1032"/>
      <c r="Z30" s="1006"/>
    </row>
    <row r="31" spans="1:26" ht="15" customHeight="1">
      <c r="A31" s="750"/>
      <c r="B31" s="907"/>
      <c r="C31" s="918"/>
      <c r="D31" s="4694"/>
      <c r="E31" s="657" t="s">
        <v>49</v>
      </c>
      <c r="F31" s="2091"/>
      <c r="G31" s="2092">
        <f>'الصفحة 16'!$E$43</f>
        <v>0</v>
      </c>
      <c r="H31" s="2092">
        <f>'الصفحة 17'!$E$43</f>
        <v>0</v>
      </c>
      <c r="I31" s="2092">
        <f>'الصفحة 18'!$E$43</f>
        <v>1</v>
      </c>
      <c r="J31" s="2092">
        <f>'الصفحة 19'!$E$43</f>
        <v>0</v>
      </c>
      <c r="K31" s="2092">
        <f>'الصفحة 20'!$E$43</f>
        <v>1</v>
      </c>
      <c r="L31" s="2092">
        <f>'الصفحة 21'!$E$43</f>
        <v>2</v>
      </c>
      <c r="M31" s="2092">
        <f>'الصفحة 22'!$E$43</f>
        <v>0</v>
      </c>
      <c r="N31" s="2092">
        <f>'الصفحة 23'!$E$43</f>
        <v>0</v>
      </c>
      <c r="O31" s="2092">
        <f>'الصفحة 24'!$E$43</f>
        <v>0</v>
      </c>
      <c r="P31" s="2092">
        <f>'الصفحة 25'!$E$43</f>
        <v>0</v>
      </c>
      <c r="Q31" s="2093">
        <f>'الصفحة 26'!$E$43</f>
        <v>0</v>
      </c>
      <c r="R31" s="2084">
        <f t="shared" ref="R31:R47" si="2">SUM(F31:Q31)</f>
        <v>4</v>
      </c>
      <c r="S31" s="919"/>
      <c r="T31" s="908"/>
      <c r="U31" s="750"/>
      <c r="V31" s="4709"/>
      <c r="W31" s="2791" t="s">
        <v>49</v>
      </c>
      <c r="X31" s="2799" t="str">
        <f>IF((('الصفحة 27'!H46+'الصفحة 27'!J46)-F47)&lt;&gt;0,"خطأ"," ")</f>
        <v>خطأ</v>
      </c>
      <c r="Y31" s="1032"/>
      <c r="Z31" s="1006"/>
    </row>
    <row r="32" spans="1:26" ht="15" customHeight="1">
      <c r="A32" s="750"/>
      <c r="B32" s="907"/>
      <c r="C32" s="918"/>
      <c r="D32" s="4713" t="s">
        <v>56</v>
      </c>
      <c r="E32" s="656" t="s">
        <v>20</v>
      </c>
      <c r="F32" s="2094">
        <f>'الصفحة 15'!$F$42</f>
        <v>5</v>
      </c>
      <c r="G32" s="2095">
        <f>'الصفحة 16'!$F$42</f>
        <v>0</v>
      </c>
      <c r="H32" s="2095">
        <f>'الصفحة 17'!$F$42</f>
        <v>3</v>
      </c>
      <c r="I32" s="2095">
        <f>'الصفحة 18'!$F$42</f>
        <v>5</v>
      </c>
      <c r="J32" s="2095">
        <f>'الصفحة 19'!$F$42</f>
        <v>2</v>
      </c>
      <c r="K32" s="2095">
        <f>'الصفحة 20'!$F$42</f>
        <v>5</v>
      </c>
      <c r="L32" s="2095">
        <f>'الصفحة 21'!$F$42</f>
        <v>0</v>
      </c>
      <c r="M32" s="2095">
        <f>'الصفحة 22'!$F$42</f>
        <v>3</v>
      </c>
      <c r="N32" s="2095">
        <f>'الصفحة 23'!$F$42</f>
        <v>0</v>
      </c>
      <c r="O32" s="2095">
        <f>'الصفحة 24'!$F$42</f>
        <v>0</v>
      </c>
      <c r="P32" s="2095">
        <f>'الصفحة 25'!$F$42</f>
        <v>2</v>
      </c>
      <c r="Q32" s="2096">
        <f>'الصفحة 26'!$F$42</f>
        <v>0</v>
      </c>
      <c r="R32" s="2085">
        <f t="shared" si="2"/>
        <v>25</v>
      </c>
      <c r="S32" s="919"/>
      <c r="T32" s="908"/>
      <c r="U32" s="750"/>
      <c r="V32" s="4722" t="s">
        <v>46</v>
      </c>
      <c r="W32" s="2790" t="s">
        <v>20</v>
      </c>
      <c r="X32" s="2798" t="str">
        <f>IF((('الصفحة 27'!G47+'الصفحة 27'!I47)-G46)&lt;&gt;0,"خطأ"," ")</f>
        <v xml:space="preserve"> </v>
      </c>
      <c r="Y32" s="1032"/>
      <c r="Z32" s="1006"/>
    </row>
    <row r="33" spans="1:26" ht="15" customHeight="1">
      <c r="A33" s="750"/>
      <c r="B33" s="907"/>
      <c r="C33" s="918"/>
      <c r="D33" s="4714"/>
      <c r="E33" s="657" t="s">
        <v>49</v>
      </c>
      <c r="F33" s="2097">
        <f>'الصفحة 15'!$F$43</f>
        <v>5</v>
      </c>
      <c r="G33" s="2098">
        <f>'الصفحة 16'!$F$43</f>
        <v>0</v>
      </c>
      <c r="H33" s="2098">
        <f>'الصفحة 17'!$F$43</f>
        <v>2</v>
      </c>
      <c r="I33" s="2098">
        <f>'الصفحة 18'!$F$43</f>
        <v>5</v>
      </c>
      <c r="J33" s="2098">
        <f>'الصفحة 19'!$F$43</f>
        <v>2</v>
      </c>
      <c r="K33" s="2098">
        <f>'الصفحة 20'!$F$43</f>
        <v>3</v>
      </c>
      <c r="L33" s="2098">
        <f>'الصفحة 21'!$F$43</f>
        <v>0</v>
      </c>
      <c r="M33" s="2098">
        <f>'الصفحة 22'!$F$43</f>
        <v>3</v>
      </c>
      <c r="N33" s="2098">
        <f>'الصفحة 23'!$F$43</f>
        <v>0</v>
      </c>
      <c r="O33" s="2098">
        <f>'الصفحة 24'!$F$43</f>
        <v>0</v>
      </c>
      <c r="P33" s="2098">
        <f>'الصفحة 25'!$F$43</f>
        <v>0</v>
      </c>
      <c r="Q33" s="2099">
        <f>'الصفحة 26'!$F$43</f>
        <v>0</v>
      </c>
      <c r="R33" s="2086">
        <f t="shared" si="2"/>
        <v>20</v>
      </c>
      <c r="S33" s="919"/>
      <c r="T33" s="908"/>
      <c r="U33" s="750"/>
      <c r="V33" s="4722"/>
      <c r="W33" s="2791" t="s">
        <v>49</v>
      </c>
      <c r="X33" s="2799" t="str">
        <f>IF((('الصفحة 27'!H47+'الصفحة 27'!J47)-G47)&lt;&gt;0,"خطأ"," ")</f>
        <v xml:space="preserve"> </v>
      </c>
      <c r="Y33" s="1032"/>
      <c r="Z33" s="1006"/>
    </row>
    <row r="34" spans="1:26" ht="15" customHeight="1">
      <c r="A34" s="750"/>
      <c r="B34" s="907"/>
      <c r="C34" s="918"/>
      <c r="D34" s="4693" t="s">
        <v>942</v>
      </c>
      <c r="E34" s="656" t="s">
        <v>20</v>
      </c>
      <c r="F34" s="2094">
        <f>'الصفحة 15'!$G$42</f>
        <v>0</v>
      </c>
      <c r="G34" s="2095">
        <f>'الصفحة 16'!$G$42</f>
        <v>0</v>
      </c>
      <c r="H34" s="2095">
        <f>'الصفحة 17'!$G$42</f>
        <v>0</v>
      </c>
      <c r="I34" s="2095">
        <f>'الصفحة 18'!$G$42</f>
        <v>0</v>
      </c>
      <c r="J34" s="2095">
        <f>'الصفحة 19'!$G$42</f>
        <v>0</v>
      </c>
      <c r="K34" s="2095">
        <f>'الصفحة 20'!$G$42</f>
        <v>0</v>
      </c>
      <c r="L34" s="2095">
        <f>'الصفحة 21'!$G$42</f>
        <v>0</v>
      </c>
      <c r="M34" s="2095">
        <f>'الصفحة 22'!$G$42</f>
        <v>0</v>
      </c>
      <c r="N34" s="2095">
        <f>'الصفحة 23'!$G$42</f>
        <v>0</v>
      </c>
      <c r="O34" s="2095">
        <f>'الصفحة 24'!$G$42</f>
        <v>0</v>
      </c>
      <c r="P34" s="2095">
        <f>'الصفحة 25'!$G$42</f>
        <v>0</v>
      </c>
      <c r="Q34" s="2096">
        <f>'الصفحة 26'!$G$42</f>
        <v>0</v>
      </c>
      <c r="R34" s="2085">
        <f t="shared" si="2"/>
        <v>0</v>
      </c>
      <c r="S34" s="919"/>
      <c r="T34" s="908"/>
      <c r="U34" s="750"/>
      <c r="V34" s="4709" t="s">
        <v>45</v>
      </c>
      <c r="W34" s="2790" t="s">
        <v>20</v>
      </c>
      <c r="X34" s="2798" t="str">
        <f>IF((('الصفحة 27'!G48+'الصفحة 27'!I48)-H46)&lt;&gt;0,"خطأ"," ")</f>
        <v xml:space="preserve"> </v>
      </c>
      <c r="Y34" s="1032"/>
      <c r="Z34" s="1006"/>
    </row>
    <row r="35" spans="1:26" ht="15" customHeight="1">
      <c r="A35" s="750"/>
      <c r="B35" s="907"/>
      <c r="C35" s="918"/>
      <c r="D35" s="4717"/>
      <c r="E35" s="657" t="s">
        <v>49</v>
      </c>
      <c r="F35" s="2097">
        <f>'الصفحة 15'!$G$43</f>
        <v>0</v>
      </c>
      <c r="G35" s="2098">
        <f>'الصفحة 16'!$G$43</f>
        <v>0</v>
      </c>
      <c r="H35" s="2098">
        <f>'الصفحة 17'!$G$43</f>
        <v>0</v>
      </c>
      <c r="I35" s="2098">
        <f>'الصفحة 18'!$G$43</f>
        <v>0</v>
      </c>
      <c r="J35" s="2098">
        <f>'الصفحة 19'!$G$43</f>
        <v>0</v>
      </c>
      <c r="K35" s="2098">
        <f>'الصفحة 20'!$G$43</f>
        <v>0</v>
      </c>
      <c r="L35" s="2098">
        <f>'الصفحة 21'!$G$43</f>
        <v>0</v>
      </c>
      <c r="M35" s="2098">
        <f>'الصفحة 22'!$G$43</f>
        <v>0</v>
      </c>
      <c r="N35" s="2098">
        <f>'الصفحة 23'!$G$43</f>
        <v>0</v>
      </c>
      <c r="O35" s="2098">
        <f>'الصفحة 24'!$G$43</f>
        <v>0</v>
      </c>
      <c r="P35" s="2098">
        <f>'الصفحة 25'!$G$43</f>
        <v>0</v>
      </c>
      <c r="Q35" s="2099">
        <f>'الصفحة 26'!$G$43</f>
        <v>0</v>
      </c>
      <c r="R35" s="2086">
        <f t="shared" si="2"/>
        <v>0</v>
      </c>
      <c r="S35" s="919"/>
      <c r="T35" s="908"/>
      <c r="U35" s="750"/>
      <c r="V35" s="4709"/>
      <c r="W35" s="2791" t="s">
        <v>49</v>
      </c>
      <c r="X35" s="2799" t="str">
        <f>IF((('الصفحة 27'!H48+'الصفحة 27'!J48)-H47)&lt;&gt;0,"خطأ"," ")</f>
        <v xml:space="preserve"> </v>
      </c>
      <c r="Y35" s="1032"/>
      <c r="Z35" s="1006"/>
    </row>
    <row r="36" spans="1:26" ht="15" customHeight="1">
      <c r="A36" s="750"/>
      <c r="B36" s="907"/>
      <c r="C36" s="918"/>
      <c r="D36" s="4713" t="s">
        <v>943</v>
      </c>
      <c r="E36" s="656" t="s">
        <v>20</v>
      </c>
      <c r="F36" s="2094">
        <f>'الصفحة 15'!$H$42</f>
        <v>1</v>
      </c>
      <c r="G36" s="2095">
        <f>'الصفحة 16'!$H$42</f>
        <v>0</v>
      </c>
      <c r="H36" s="2095">
        <f>'الصفحة 17'!$H$42</f>
        <v>0</v>
      </c>
      <c r="I36" s="2095">
        <f>'الصفحة 18'!$H$42</f>
        <v>0</v>
      </c>
      <c r="J36" s="2095">
        <f>'الصفحة 19'!$H$42</f>
        <v>2</v>
      </c>
      <c r="K36" s="2095">
        <f>'الصفحة 20'!$H$42</f>
        <v>0</v>
      </c>
      <c r="L36" s="2095">
        <f>'الصفحة 21'!$H$42</f>
        <v>1</v>
      </c>
      <c r="M36" s="2095">
        <f>'الصفحة 22'!$H$42</f>
        <v>0</v>
      </c>
      <c r="N36" s="2095">
        <f>'الصفحة 23'!$H$42</f>
        <v>0</v>
      </c>
      <c r="O36" s="2095">
        <f>'الصفحة 24'!$H$42</f>
        <v>0</v>
      </c>
      <c r="P36" s="2095">
        <f>'الصفحة 25'!$H$42</f>
        <v>0</v>
      </c>
      <c r="Q36" s="2096">
        <f>'الصفحة 26'!$H$42</f>
        <v>0</v>
      </c>
      <c r="R36" s="2085">
        <f t="shared" si="2"/>
        <v>4</v>
      </c>
      <c r="S36" s="919"/>
      <c r="T36" s="908"/>
      <c r="U36" s="750"/>
      <c r="V36" s="4722" t="s">
        <v>44</v>
      </c>
      <c r="W36" s="2790" t="s">
        <v>20</v>
      </c>
      <c r="X36" s="2798" t="str">
        <f>IF((('الصفحة 27'!G49+'الصفحة 27'!I49)-I46)&lt;&gt;0,"خطأ"," ")</f>
        <v>خطأ</v>
      </c>
      <c r="Y36" s="1032"/>
      <c r="Z36" s="1006"/>
    </row>
    <row r="37" spans="1:26" ht="15" customHeight="1">
      <c r="A37" s="750"/>
      <c r="B37" s="907"/>
      <c r="C37" s="918"/>
      <c r="D37" s="4714"/>
      <c r="E37" s="657" t="s">
        <v>49</v>
      </c>
      <c r="F37" s="2097">
        <f>'الصفحة 15'!$H$43</f>
        <v>1</v>
      </c>
      <c r="G37" s="2098">
        <f>'الصفحة 16'!$H$43</f>
        <v>0</v>
      </c>
      <c r="H37" s="2098">
        <f>'الصفحة 17'!$H$43</f>
        <v>0</v>
      </c>
      <c r="I37" s="2098">
        <f>'الصفحة 18'!$H$43</f>
        <v>0</v>
      </c>
      <c r="J37" s="2098">
        <f>'الصفحة 19'!$H$43</f>
        <v>1</v>
      </c>
      <c r="K37" s="2098">
        <f>'الصفحة 20'!$H$43</f>
        <v>0</v>
      </c>
      <c r="L37" s="2098">
        <f>'الصفحة 21'!$H$43</f>
        <v>0</v>
      </c>
      <c r="M37" s="2098">
        <f>'الصفحة 22'!$H$43</f>
        <v>0</v>
      </c>
      <c r="N37" s="2098">
        <f>'الصفحة 23'!$H$43</f>
        <v>0</v>
      </c>
      <c r="O37" s="2098">
        <f>'الصفحة 24'!$H$43</f>
        <v>0</v>
      </c>
      <c r="P37" s="2098">
        <f>'الصفحة 25'!$H$43</f>
        <v>0</v>
      </c>
      <c r="Q37" s="2099">
        <f>'الصفحة 26'!$H$43</f>
        <v>0</v>
      </c>
      <c r="R37" s="2086">
        <f t="shared" si="2"/>
        <v>2</v>
      </c>
      <c r="S37" s="919"/>
      <c r="T37" s="908"/>
      <c r="U37" s="750"/>
      <c r="V37" s="4722"/>
      <c r="W37" s="2791" t="s">
        <v>49</v>
      </c>
      <c r="X37" s="2799" t="str">
        <f>IF((('الصفحة 27'!H49+'الصفحة 27'!J49)-I47)&lt;&gt;0,"خطأ"," ")</f>
        <v>خطأ</v>
      </c>
      <c r="Y37" s="1032"/>
      <c r="Z37" s="1006"/>
    </row>
    <row r="38" spans="1:26" ht="15" customHeight="1">
      <c r="A38" s="750"/>
      <c r="B38" s="907"/>
      <c r="C38" s="918"/>
      <c r="D38" s="4693" t="s">
        <v>944</v>
      </c>
      <c r="E38" s="656" t="s">
        <v>20</v>
      </c>
      <c r="F38" s="2094">
        <f>'الصفحة 15'!$I$42</f>
        <v>0</v>
      </c>
      <c r="G38" s="2095">
        <f>'الصفحة 16'!$I$42</f>
        <v>0</v>
      </c>
      <c r="H38" s="2095">
        <f>'الصفحة 17'!$I$42</f>
        <v>0</v>
      </c>
      <c r="I38" s="2095">
        <f>'الصفحة 18'!$I$42</f>
        <v>0</v>
      </c>
      <c r="J38" s="2095">
        <f>'الصفحة 19'!$I$42</f>
        <v>0</v>
      </c>
      <c r="K38" s="2095">
        <f>'الصفحة 20'!$I$42</f>
        <v>0</v>
      </c>
      <c r="L38" s="2095">
        <f>'الصفحة 21'!$I$42</f>
        <v>0</v>
      </c>
      <c r="M38" s="2095">
        <f>'الصفحة 22'!$I$42</f>
        <v>0</v>
      </c>
      <c r="N38" s="2095">
        <f>'الصفحة 23'!$I$42</f>
        <v>0</v>
      </c>
      <c r="O38" s="2095">
        <f>'الصفحة 24'!$I$42</f>
        <v>0</v>
      </c>
      <c r="P38" s="2095">
        <f>'الصفحة 25'!$I$42</f>
        <v>0</v>
      </c>
      <c r="Q38" s="2096">
        <f>'الصفحة 26'!$I$42</f>
        <v>0</v>
      </c>
      <c r="R38" s="2085">
        <f t="shared" si="2"/>
        <v>0</v>
      </c>
      <c r="S38" s="919"/>
      <c r="T38" s="908"/>
      <c r="U38" s="750"/>
      <c r="V38" s="4709" t="s">
        <v>43</v>
      </c>
      <c r="W38" s="2790" t="s">
        <v>20</v>
      </c>
      <c r="X38" s="2798" t="str">
        <f>IF((('الصفحة 27'!G50+'الصفحة 27'!I50)-J46)&lt;&gt;0,"خطأ"," ")</f>
        <v>خطأ</v>
      </c>
      <c r="Y38" s="1032"/>
      <c r="Z38" s="1006"/>
    </row>
    <row r="39" spans="1:26" ht="15" customHeight="1">
      <c r="A39" s="750"/>
      <c r="B39" s="907"/>
      <c r="C39" s="918"/>
      <c r="D39" s="4717"/>
      <c r="E39" s="657" t="s">
        <v>49</v>
      </c>
      <c r="F39" s="2097">
        <f>'الصفحة 15'!$I$43</f>
        <v>0</v>
      </c>
      <c r="G39" s="2098">
        <f>'الصفحة 16'!$I$43</f>
        <v>0</v>
      </c>
      <c r="H39" s="2098">
        <f>'الصفحة 17'!$I$43</f>
        <v>0</v>
      </c>
      <c r="I39" s="2098">
        <f>'الصفحة 18'!$I$43</f>
        <v>0</v>
      </c>
      <c r="J39" s="2098">
        <f>'الصفحة 19'!$I$43</f>
        <v>0</v>
      </c>
      <c r="K39" s="2098">
        <f>'الصفحة 20'!$I$43</f>
        <v>0</v>
      </c>
      <c r="L39" s="2098">
        <f>'الصفحة 21'!$I$43</f>
        <v>0</v>
      </c>
      <c r="M39" s="2098">
        <f>'الصفحة 22'!$I$43</f>
        <v>0</v>
      </c>
      <c r="N39" s="2098">
        <f>'الصفحة 23'!$I$43</f>
        <v>0</v>
      </c>
      <c r="O39" s="2098">
        <f>'الصفحة 24'!$I$43</f>
        <v>0</v>
      </c>
      <c r="P39" s="2098">
        <f>'الصفحة 25'!$I$43</f>
        <v>0</v>
      </c>
      <c r="Q39" s="2099">
        <f>'الصفحة 26'!$I$43</f>
        <v>0</v>
      </c>
      <c r="R39" s="2086">
        <f t="shared" si="2"/>
        <v>0</v>
      </c>
      <c r="S39" s="919"/>
      <c r="T39" s="908"/>
      <c r="U39" s="750"/>
      <c r="V39" s="4709"/>
      <c r="W39" s="2791" t="s">
        <v>49</v>
      </c>
      <c r="X39" s="2799" t="str">
        <f>IF((('الصفحة 27'!H50+'الصفحة 27'!J50)-J47)&lt;&gt;0,"خطأ"," ")</f>
        <v>خطأ</v>
      </c>
      <c r="Y39" s="1032"/>
      <c r="Z39" s="1006"/>
    </row>
    <row r="40" spans="1:26" ht="15" customHeight="1">
      <c r="A40" s="750"/>
      <c r="B40" s="907"/>
      <c r="C40" s="918"/>
      <c r="D40" s="4713" t="s">
        <v>1362</v>
      </c>
      <c r="E40" s="656" t="s">
        <v>20</v>
      </c>
      <c r="F40" s="2094">
        <f>'الصفحة 15'!$J$42</f>
        <v>0</v>
      </c>
      <c r="G40" s="2095">
        <f>'الصفحة 16'!$J$42</f>
        <v>0</v>
      </c>
      <c r="H40" s="2095">
        <f>'الصفحة 17'!$J$42</f>
        <v>0</v>
      </c>
      <c r="I40" s="2095">
        <f>'الصفحة 18'!$J$42</f>
        <v>0</v>
      </c>
      <c r="J40" s="2095">
        <f>'الصفحة 19'!$J$42</f>
        <v>0</v>
      </c>
      <c r="K40" s="2095">
        <f>'الصفحة 20'!$J$42</f>
        <v>0</v>
      </c>
      <c r="L40" s="2095">
        <f>'الصفحة 21'!$J$42</f>
        <v>0</v>
      </c>
      <c r="M40" s="2095">
        <f>'الصفحة 22'!$J$42</f>
        <v>0</v>
      </c>
      <c r="N40" s="2095">
        <f>'الصفحة 23'!$J$42</f>
        <v>0</v>
      </c>
      <c r="O40" s="2095">
        <f>'الصفحة 24'!$J$42</f>
        <v>0</v>
      </c>
      <c r="P40" s="2095">
        <f>'الصفحة 25'!$J$42</f>
        <v>0</v>
      </c>
      <c r="Q40" s="2096">
        <f>'الصفحة 26'!$J$42</f>
        <v>0</v>
      </c>
      <c r="R40" s="2085">
        <f t="shared" si="2"/>
        <v>0</v>
      </c>
      <c r="S40" s="919"/>
      <c r="T40" s="908"/>
      <c r="U40" s="750"/>
      <c r="V40" s="4721" t="s">
        <v>42</v>
      </c>
      <c r="W40" s="2790" t="s">
        <v>20</v>
      </c>
      <c r="X40" s="2798" t="str">
        <f>IF((('الصفحة 27'!G51+'الصفحة 27'!I51)-K46)&lt;&gt;0,"خطأ"," ")</f>
        <v>خطأ</v>
      </c>
      <c r="Y40" s="1032"/>
      <c r="Z40" s="1006"/>
    </row>
    <row r="41" spans="1:26" ht="15" customHeight="1">
      <c r="A41" s="750"/>
      <c r="B41" s="907"/>
      <c r="C41" s="918"/>
      <c r="D41" s="4714"/>
      <c r="E41" s="657" t="s">
        <v>49</v>
      </c>
      <c r="F41" s="2097">
        <f>'الصفحة 15'!$J$43</f>
        <v>0</v>
      </c>
      <c r="G41" s="2098">
        <f>'الصفحة 16'!$J$43</f>
        <v>0</v>
      </c>
      <c r="H41" s="2098">
        <f>'الصفحة 17'!$J$43</f>
        <v>0</v>
      </c>
      <c r="I41" s="2098">
        <f>'الصفحة 18'!$J$43</f>
        <v>0</v>
      </c>
      <c r="J41" s="2098">
        <f>'الصفحة 19'!$J$43</f>
        <v>0</v>
      </c>
      <c r="K41" s="2098">
        <f>'الصفحة 20'!$J$43</f>
        <v>0</v>
      </c>
      <c r="L41" s="2098">
        <f>'الصفحة 21'!$J$43</f>
        <v>0</v>
      </c>
      <c r="M41" s="2098">
        <f>'الصفحة 22'!$J$43</f>
        <v>0</v>
      </c>
      <c r="N41" s="2098">
        <f>'الصفحة 23'!$J$43</f>
        <v>0</v>
      </c>
      <c r="O41" s="2098">
        <f>'الصفحة 24'!$J$43</f>
        <v>0</v>
      </c>
      <c r="P41" s="2098">
        <f>'الصفحة 25'!$J$43</f>
        <v>0</v>
      </c>
      <c r="Q41" s="2099">
        <f>'الصفحة 26'!$J$43</f>
        <v>0</v>
      </c>
      <c r="R41" s="2086">
        <f t="shared" si="2"/>
        <v>0</v>
      </c>
      <c r="S41" s="919"/>
      <c r="T41" s="908"/>
      <c r="U41" s="750"/>
      <c r="V41" s="4721"/>
      <c r="W41" s="2791" t="s">
        <v>49</v>
      </c>
      <c r="X41" s="2799" t="str">
        <f>IF((('الصفحة 27'!H51+'الصفحة 27'!J51)-K47)&lt;&gt;0,"خطأ"," ")</f>
        <v>خطأ</v>
      </c>
      <c r="Y41" s="1032"/>
      <c r="Z41" s="1006"/>
    </row>
    <row r="42" spans="1:26" ht="15" customHeight="1">
      <c r="A42" s="750"/>
      <c r="B42" s="907"/>
      <c r="C42" s="918"/>
      <c r="D42" s="4693" t="s">
        <v>945</v>
      </c>
      <c r="E42" s="656" t="s">
        <v>20</v>
      </c>
      <c r="F42" s="2094">
        <f>'الصفحة 15'!$K$42</f>
        <v>0</v>
      </c>
      <c r="G42" s="2095">
        <f>'الصفحة 16'!$K$42</f>
        <v>0</v>
      </c>
      <c r="H42" s="2095">
        <f>'الصفحة 17'!$K$42</f>
        <v>0</v>
      </c>
      <c r="I42" s="2095">
        <f>'الصفحة 18'!$K$42</f>
        <v>0</v>
      </c>
      <c r="J42" s="2095">
        <f>'الصفحة 19'!$K$42</f>
        <v>0</v>
      </c>
      <c r="K42" s="2095">
        <f>'الصفحة 20'!$K$42</f>
        <v>0</v>
      </c>
      <c r="L42" s="2095">
        <f>'الصفحة 21'!$K$42</f>
        <v>0</v>
      </c>
      <c r="M42" s="2095">
        <f>'الصفحة 22'!$K$42</f>
        <v>0</v>
      </c>
      <c r="N42" s="2095">
        <f>'الصفحة 23'!$K$42</f>
        <v>0</v>
      </c>
      <c r="O42" s="2095">
        <f>'الصفحة 24'!$K$42</f>
        <v>0</v>
      </c>
      <c r="P42" s="2095">
        <f>'الصفحة 25'!$K$42</f>
        <v>0</v>
      </c>
      <c r="Q42" s="2096">
        <f>'الصفحة 26'!$K$42</f>
        <v>0</v>
      </c>
      <c r="R42" s="2085">
        <f t="shared" si="2"/>
        <v>0</v>
      </c>
      <c r="S42" s="919"/>
      <c r="T42" s="908"/>
      <c r="U42" s="750"/>
      <c r="V42" s="4709" t="s">
        <v>1111</v>
      </c>
      <c r="W42" s="2790" t="s">
        <v>20</v>
      </c>
      <c r="X42" s="2800" t="str">
        <f>IF((('الصفحة 27'!G52+'الصفحة 27'!I52)-L46)&lt;&gt;0,"خطأ"," ")</f>
        <v xml:space="preserve"> </v>
      </c>
      <c r="Y42" s="1032"/>
      <c r="Z42" s="1006"/>
    </row>
    <row r="43" spans="1:26" ht="15" customHeight="1">
      <c r="A43" s="750"/>
      <c r="B43" s="907"/>
      <c r="C43" s="918"/>
      <c r="D43" s="4717"/>
      <c r="E43" s="657" t="s">
        <v>49</v>
      </c>
      <c r="F43" s="2097">
        <f>'الصفحة 15'!$K$43</f>
        <v>0</v>
      </c>
      <c r="G43" s="2098">
        <f>'الصفحة 16'!$K$43</f>
        <v>0</v>
      </c>
      <c r="H43" s="2098">
        <f>'الصفحة 17'!$K$43</f>
        <v>0</v>
      </c>
      <c r="I43" s="2098">
        <f>'الصفحة 18'!$K$43</f>
        <v>0</v>
      </c>
      <c r="J43" s="2098">
        <f>'الصفحة 19'!$K$43</f>
        <v>0</v>
      </c>
      <c r="K43" s="2098">
        <f>'الصفحة 20'!$K$43</f>
        <v>0</v>
      </c>
      <c r="L43" s="2098">
        <f>'الصفحة 21'!$K$43</f>
        <v>0</v>
      </c>
      <c r="M43" s="2098">
        <f>'الصفحة 22'!$K$43</f>
        <v>0</v>
      </c>
      <c r="N43" s="2098">
        <f>'الصفحة 23'!$K$43</f>
        <v>0</v>
      </c>
      <c r="O43" s="2098">
        <f>'الصفحة 24'!$K$43</f>
        <v>0</v>
      </c>
      <c r="P43" s="2098">
        <f>'الصفحة 25'!$K$43</f>
        <v>0</v>
      </c>
      <c r="Q43" s="2099">
        <f>'الصفحة 26'!$K$43</f>
        <v>0</v>
      </c>
      <c r="R43" s="2086">
        <f t="shared" si="2"/>
        <v>0</v>
      </c>
      <c r="S43" s="919"/>
      <c r="T43" s="908"/>
      <c r="U43" s="750"/>
      <c r="V43" s="4709"/>
      <c r="W43" s="2791" t="s">
        <v>49</v>
      </c>
      <c r="X43" s="2799" t="str">
        <f>IF((('الصفحة 27'!H52+'الصفحة 27'!J52)-L47)&lt;&gt;0,"خطأ"," ")</f>
        <v xml:space="preserve"> </v>
      </c>
      <c r="Y43" s="1032"/>
      <c r="Z43" s="1006"/>
    </row>
    <row r="44" spans="1:26" ht="15" customHeight="1">
      <c r="A44" s="750"/>
      <c r="B44" s="907"/>
      <c r="C44" s="918"/>
      <c r="D44" s="4713" t="s">
        <v>50</v>
      </c>
      <c r="E44" s="656" t="s">
        <v>20</v>
      </c>
      <c r="F44" s="2094">
        <f>'الصفحة 15'!$L$42</f>
        <v>0</v>
      </c>
      <c r="G44" s="2095">
        <f>'الصفحة 16'!$L$42</f>
        <v>0</v>
      </c>
      <c r="H44" s="2095">
        <f>'الصفحة 17'!$L$42</f>
        <v>0</v>
      </c>
      <c r="I44" s="2095">
        <f>'الصفحة 18'!$L$42</f>
        <v>0</v>
      </c>
      <c r="J44" s="2095">
        <f>'الصفحة 19'!$L$42</f>
        <v>0</v>
      </c>
      <c r="K44" s="2095">
        <f>'الصفحة 20'!$L$42</f>
        <v>0</v>
      </c>
      <c r="L44" s="2095">
        <f>'الصفحة 21'!$L$42</f>
        <v>0</v>
      </c>
      <c r="M44" s="2095">
        <f>'الصفحة 22'!$L$42</f>
        <v>0</v>
      </c>
      <c r="N44" s="2095">
        <f>'الصفحة 23'!$L$42</f>
        <v>0</v>
      </c>
      <c r="O44" s="2095">
        <f>'الصفحة 24'!$L$42</f>
        <v>0</v>
      </c>
      <c r="P44" s="2095">
        <f>'الصفحة 25'!$L$42</f>
        <v>0</v>
      </c>
      <c r="Q44" s="2096">
        <f>'الصفحة 26'!$L$42</f>
        <v>0</v>
      </c>
      <c r="R44" s="2085">
        <f t="shared" si="2"/>
        <v>0</v>
      </c>
      <c r="S44" s="919"/>
      <c r="T44" s="908"/>
      <c r="U44" s="750"/>
      <c r="V44" s="4721" t="s">
        <v>40</v>
      </c>
      <c r="W44" s="2790" t="s">
        <v>20</v>
      </c>
      <c r="X44" s="2800" t="str">
        <f>IF((('الصفحة 27'!G53+'الصفحة 27'!I53)-M46)&lt;&gt;0,"خطأ"," ")</f>
        <v xml:space="preserve"> </v>
      </c>
      <c r="Y44" s="1032"/>
      <c r="Z44" s="1006"/>
    </row>
    <row r="45" spans="1:26" ht="15" customHeight="1">
      <c r="A45" s="750"/>
      <c r="B45" s="907"/>
      <c r="C45" s="918"/>
      <c r="D45" s="4714"/>
      <c r="E45" s="657" t="s">
        <v>49</v>
      </c>
      <c r="F45" s="2100">
        <f>'الصفحة 15'!$L$43</f>
        <v>0</v>
      </c>
      <c r="G45" s="2101">
        <f>'الصفحة 16'!$L$43</f>
        <v>0</v>
      </c>
      <c r="H45" s="2101">
        <f>'الصفحة 17'!$L$43</f>
        <v>0</v>
      </c>
      <c r="I45" s="2101">
        <f>'الصفحة 18'!$L$43</f>
        <v>0</v>
      </c>
      <c r="J45" s="2101">
        <f>'الصفحة 19'!$L$43</f>
        <v>0</v>
      </c>
      <c r="K45" s="2101">
        <f>'الصفحة 20'!$L$43</f>
        <v>0</v>
      </c>
      <c r="L45" s="2101">
        <f>'الصفحة 21'!$L$43</f>
        <v>0</v>
      </c>
      <c r="M45" s="2101">
        <f>'الصفحة 22'!$L$43</f>
        <v>0</v>
      </c>
      <c r="N45" s="2101">
        <f>'الصفحة 23'!$L$43</f>
        <v>0</v>
      </c>
      <c r="O45" s="2101">
        <f>'الصفحة 24'!$L$43</f>
        <v>0</v>
      </c>
      <c r="P45" s="2101">
        <f>'الصفحة 25'!$L$43</f>
        <v>0</v>
      </c>
      <c r="Q45" s="2102">
        <f>'الصفحة 26'!$L$43</f>
        <v>0</v>
      </c>
      <c r="R45" s="2087">
        <f t="shared" si="2"/>
        <v>0</v>
      </c>
      <c r="S45" s="919"/>
      <c r="T45" s="908"/>
      <c r="U45" s="750"/>
      <c r="V45" s="4721"/>
      <c r="W45" s="2791" t="s">
        <v>49</v>
      </c>
      <c r="X45" s="2799" t="str">
        <f>IF((('الصفحة 27'!H53+'الصفحة 27'!J53)-M47)&lt;&gt;0,"خطأ"," ")</f>
        <v xml:space="preserve"> </v>
      </c>
      <c r="Y45" s="1032"/>
      <c r="Z45" s="1006"/>
    </row>
    <row r="46" spans="1:26" ht="15" customHeight="1">
      <c r="A46" s="750"/>
      <c r="B46" s="907"/>
      <c r="C46" s="918"/>
      <c r="D46" s="4715" t="s">
        <v>28</v>
      </c>
      <c r="E46" s="2075" t="s">
        <v>20</v>
      </c>
      <c r="F46" s="2078">
        <f t="shared" ref="F46:P46" si="3">F44+F42+F40+F38+F36+F34+F32+F30</f>
        <v>6</v>
      </c>
      <c r="G46" s="2078">
        <f t="shared" si="3"/>
        <v>0</v>
      </c>
      <c r="H46" s="2078">
        <f t="shared" si="3"/>
        <v>3</v>
      </c>
      <c r="I46" s="2078">
        <f t="shared" si="3"/>
        <v>6</v>
      </c>
      <c r="J46" s="2078">
        <f t="shared" si="3"/>
        <v>4</v>
      </c>
      <c r="K46" s="2078">
        <f t="shared" si="3"/>
        <v>6</v>
      </c>
      <c r="L46" s="2078">
        <f t="shared" si="3"/>
        <v>3</v>
      </c>
      <c r="M46" s="2078">
        <f>M44+M42+M40+M38+M36+M34+M32+M30</f>
        <v>3</v>
      </c>
      <c r="N46" s="2078">
        <f t="shared" si="3"/>
        <v>0</v>
      </c>
      <c r="O46" s="2078">
        <f t="shared" si="3"/>
        <v>0</v>
      </c>
      <c r="P46" s="2078">
        <f t="shared" si="3"/>
        <v>2</v>
      </c>
      <c r="Q46" s="2078">
        <f>Q44+Q42+Q40+Q38+Q36+Q34+Q32+Q30</f>
        <v>0</v>
      </c>
      <c r="R46" s="2078">
        <f t="shared" si="2"/>
        <v>33</v>
      </c>
      <c r="S46" s="919"/>
      <c r="T46" s="908"/>
      <c r="U46" s="750"/>
      <c r="V46" s="4709" t="s">
        <v>39</v>
      </c>
      <c r="W46" s="2790" t="s">
        <v>20</v>
      </c>
      <c r="X46" s="2800" t="str">
        <f>IF((('الصفحة 27'!G54+'الصفحة 27'!I54)-N46)&lt;&gt;0,"خطأ"," ")</f>
        <v xml:space="preserve"> </v>
      </c>
      <c r="Y46" s="1032"/>
      <c r="Z46" s="1006"/>
    </row>
    <row r="47" spans="1:26" ht="15" customHeight="1">
      <c r="A47" s="750"/>
      <c r="B47" s="907"/>
      <c r="C47" s="918"/>
      <c r="D47" s="4716"/>
      <c r="E47" s="2076" t="s">
        <v>49</v>
      </c>
      <c r="F47" s="2077">
        <f t="shared" ref="F47:P47" si="4">F45+F43+F41+F39+F37+F35+F33+F31</f>
        <v>6</v>
      </c>
      <c r="G47" s="2077">
        <f t="shared" si="4"/>
        <v>0</v>
      </c>
      <c r="H47" s="2077">
        <f t="shared" si="4"/>
        <v>2</v>
      </c>
      <c r="I47" s="2077">
        <f t="shared" si="4"/>
        <v>6</v>
      </c>
      <c r="J47" s="2077">
        <f t="shared" si="4"/>
        <v>3</v>
      </c>
      <c r="K47" s="2077">
        <f t="shared" si="4"/>
        <v>4</v>
      </c>
      <c r="L47" s="2077">
        <f t="shared" si="4"/>
        <v>2</v>
      </c>
      <c r="M47" s="2077">
        <f t="shared" si="4"/>
        <v>3</v>
      </c>
      <c r="N47" s="2077">
        <f t="shared" si="4"/>
        <v>0</v>
      </c>
      <c r="O47" s="2077">
        <f t="shared" si="4"/>
        <v>0</v>
      </c>
      <c r="P47" s="2077">
        <f t="shared" si="4"/>
        <v>0</v>
      </c>
      <c r="Q47" s="2077">
        <f>Q45+Q43+Q41+Q39+Q37+Q35+Q33+Q31</f>
        <v>0</v>
      </c>
      <c r="R47" s="2077">
        <f t="shared" si="2"/>
        <v>26</v>
      </c>
      <c r="S47" s="919"/>
      <c r="T47" s="908"/>
      <c r="U47" s="750"/>
      <c r="V47" s="4709"/>
      <c r="W47" s="2791" t="s">
        <v>49</v>
      </c>
      <c r="X47" s="2799" t="str">
        <f>IF((('الصفحة 27'!H54+'الصفحة 27'!J54)-N47)&lt;&gt;0,"خطأ"," ")</f>
        <v xml:space="preserve"> </v>
      </c>
      <c r="Y47" s="1032"/>
      <c r="Z47" s="1006"/>
    </row>
    <row r="48" spans="1:26" ht="14.1" customHeight="1">
      <c r="A48" s="750"/>
      <c r="B48" s="907"/>
      <c r="C48" s="916"/>
      <c r="D48" s="668"/>
      <c r="E48" s="668"/>
      <c r="F48" s="668"/>
      <c r="G48" s="668"/>
      <c r="H48" s="668"/>
      <c r="I48" s="668"/>
      <c r="J48" s="668"/>
      <c r="K48" s="668"/>
      <c r="L48" s="668"/>
      <c r="M48" s="668"/>
      <c r="N48" s="668"/>
      <c r="O48" s="668"/>
      <c r="P48" s="668"/>
      <c r="Q48" s="668"/>
      <c r="R48" s="668"/>
      <c r="S48" s="1398"/>
      <c r="T48" s="908"/>
      <c r="U48" s="750"/>
      <c r="V48" s="4721" t="s">
        <v>38</v>
      </c>
      <c r="W48" s="2790" t="s">
        <v>20</v>
      </c>
      <c r="X48" s="2800" t="str">
        <f>IF((('الصفحة 27'!G55+'الصفحة 27'!I55)-O46)&lt;&gt;0,"خطأ"," ")</f>
        <v xml:space="preserve"> </v>
      </c>
      <c r="Y48" s="1032"/>
      <c r="Z48" s="1006"/>
    </row>
    <row r="49" spans="1:26" ht="14.1" customHeight="1">
      <c r="A49" s="750"/>
      <c r="B49" s="907"/>
      <c r="C49" s="916"/>
      <c r="D49" s="668"/>
      <c r="E49" s="668"/>
      <c r="F49" s="2537" t="str">
        <f>IF(('الصفحة 1'!$Q$14&gt;0),IF(('الصفحة 31'!$P45&gt;0),IF((('الصفحة 31'!$P45)&lt;&gt;(F$46)),"خطء",""),""),"")</f>
        <v/>
      </c>
      <c r="G49" s="2537" t="str">
        <f>IF(('الصفحة 1'!$Q$14&gt;0),IF(('الصفحة 31'!$P46&gt;0),IF((('الصفحة 31'!$P46)&lt;&gt;(G$46)),"خطء",""),""),"")</f>
        <v/>
      </c>
      <c r="H49" s="2537" t="str">
        <f>IF(('الصفحة 1'!$Q$14&gt;0),IF(('الصفحة 31'!$P47&gt;0),IF((('الصفحة 31'!$P47)&lt;&gt;(H$46)),"خطء",""),""),"")</f>
        <v/>
      </c>
      <c r="I49" s="2537" t="str">
        <f>IF(('الصفحة 1'!$Q$14&gt;0),IF(('الصفحة 31'!$P48&gt;0),IF((('الصفحة 31'!$P48)&lt;&gt;(I$46)),"خطء",""),""),"")</f>
        <v/>
      </c>
      <c r="J49" s="2537" t="str">
        <f>IF(('الصفحة 1'!$Q$14&gt;0),IF(('الصفحة 31'!$P49&gt;0),IF((('الصفحة 31'!$P49)&lt;&gt;(J$46)),"خطء",""),""),"")</f>
        <v/>
      </c>
      <c r="K49" s="2537" t="str">
        <f>IF(('الصفحة 1'!$Q$14&gt;0),IF(('الصفحة 31'!$P50&gt;0),IF((('الصفحة 31'!$P50)&lt;&gt;(K$46)),"خطء",""),""),"")</f>
        <v/>
      </c>
      <c r="L49" s="2537" t="str">
        <f>IF(('الصفحة 1'!$Q$14&gt;0),IF(('الصفحة 31'!$P51&gt;0),IF((('الصفحة 31'!$P51)&lt;&gt;(L$46)),"خطء",""),""),"")</f>
        <v/>
      </c>
      <c r="M49" s="2537" t="str">
        <f>IF(('الصفحة 1'!$Q$14&gt;0),IF(('الصفحة 31'!$P52&gt;0),IF((('الصفحة 31'!$P52)&lt;&gt;(M$46)),"خطء",""),""),"")</f>
        <v/>
      </c>
      <c r="N49" s="2537" t="str">
        <f>IF(('الصفحة 1'!$Q$14&gt;0),IF(('الصفحة 31'!$P53&gt;0),IF((('الصفحة 31'!$P53)&lt;&gt;(N$46)),"خطء",""),""),"")</f>
        <v/>
      </c>
      <c r="O49" s="2537" t="str">
        <f>IF(('الصفحة 1'!$Q$14&gt;0),IF(('الصفحة 31'!$P54&gt;0),IF((('الصفحة 31'!$P54)&lt;&gt;(O$46)),"خطء",""),""),"")</f>
        <v/>
      </c>
      <c r="P49" s="2537" t="str">
        <f>IF(('الصفحة 1'!$Q$14&gt;0),IF(('الصفحة 31'!$P55&gt;0),IF((('الصفحة 31'!$P55)&lt;&gt;(P$46)),"خطء",""),""),"")</f>
        <v/>
      </c>
      <c r="Q49" s="2537" t="str">
        <f>IF(('الصفحة 1'!$Q$14&gt;0),IF(('الصفحة 31'!$P56&gt;0),IF((('الصفحة 31'!$P56)&lt;&gt;(Q$46)),"خطء",""),""),"")</f>
        <v/>
      </c>
      <c r="R49" s="2537" t="str">
        <f>IF(('الصفحة 1'!$Q$14&gt;0),IF(('الصفحة 31'!$P57&gt;0),IF((('الصفحة 31'!$P57)&lt;&gt;(R$46)),"خطء",""),""),"")</f>
        <v/>
      </c>
      <c r="S49" s="1398"/>
      <c r="T49" s="908"/>
      <c r="U49" s="750"/>
      <c r="V49" s="4721"/>
      <c r="W49" s="2791" t="s">
        <v>49</v>
      </c>
      <c r="X49" s="2799" t="str">
        <f>IF((('الصفحة 27'!H55+'الصفحة 27'!J55)-O47)&lt;&gt;0,"خطأ"," ")</f>
        <v xml:space="preserve"> </v>
      </c>
      <c r="Y49" s="1032"/>
      <c r="Z49" s="1006"/>
    </row>
    <row r="50" spans="1:26" ht="14.1" customHeight="1">
      <c r="A50" s="750"/>
      <c r="B50" s="907"/>
      <c r="C50" s="916"/>
      <c r="D50" s="668"/>
      <c r="E50" s="668"/>
      <c r="F50" s="2537" t="str">
        <f>IF(('الصفحة 1'!$Q$14&gt;0),IF((F$46&gt;0),IF(((F$46)&lt;&gt;('الصفحة 31'!$P45)),"خطء",""),""),"")</f>
        <v>خطء</v>
      </c>
      <c r="G50" s="2537" t="str">
        <f>IF(('الصفحة 1'!$Q$14&gt;0),IF((G$46&gt;0),IF(((G$46)&lt;&gt;('الصفحة 31'!$P46)),"خطء",""),""),"")</f>
        <v/>
      </c>
      <c r="H50" s="2537" t="str">
        <f>IF(('الصفحة 1'!$Q$14&gt;0),IF((H$46&gt;0),IF(((H$46)&lt;&gt;('الصفحة 31'!$P47)),"خطء",""),""),"")</f>
        <v>خطء</v>
      </c>
      <c r="I50" s="2537" t="str">
        <f>IF(('الصفحة 1'!$Q$14&gt;0),IF((I$46&gt;0),IF(((I$46)&lt;&gt;('الصفحة 31'!$P48)),"خطء",""),""),"")</f>
        <v>خطء</v>
      </c>
      <c r="J50" s="2537" t="str">
        <f>IF(('الصفحة 1'!$Q$14&gt;0),IF((J$46&gt;0),IF(((J$46)&lt;&gt;('الصفحة 31'!$P49)),"خطء",""),""),"")</f>
        <v>خطء</v>
      </c>
      <c r="K50" s="2537" t="str">
        <f>IF(('الصفحة 1'!$Q$14&gt;0),IF((K$46&gt;0),IF(((K$46)&lt;&gt;('الصفحة 31'!$P50)),"خطء",""),""),"")</f>
        <v>خطء</v>
      </c>
      <c r="L50" s="2537" t="str">
        <f>IF(('الصفحة 1'!$Q$14&gt;0),IF((L$46&gt;0),IF(((L$46)&lt;&gt;('الصفحة 31'!$P51)),"خطء",""),""),"")</f>
        <v>خطء</v>
      </c>
      <c r="M50" s="2537" t="str">
        <f>IF(('الصفحة 1'!$Q$14&gt;0),IF((M$46&gt;0),IF(((M$46)&lt;&gt;('الصفحة 31'!$P52)),"خطء",""),""),"")</f>
        <v>خطء</v>
      </c>
      <c r="N50" s="2537" t="str">
        <f>IF(('الصفحة 1'!$Q$14&gt;0),IF((N$46&gt;0),IF(((N$46)&lt;&gt;('الصفحة 31'!$P53)),"خطء",""),""),"")</f>
        <v/>
      </c>
      <c r="O50" s="2537" t="str">
        <f>IF(('الصفحة 1'!$Q$14&gt;0),IF((O$46&gt;0),IF(((O$46)&lt;&gt;('الصفحة 31'!$P54)),"خطء",""),""),"")</f>
        <v/>
      </c>
      <c r="P50" s="2537" t="str">
        <f>IF(('الصفحة 1'!$Q$14&gt;0),IF((P$46&gt;0),IF(((P$46)&lt;&gt;('الصفحة 31'!$P55)),"خطء",""),""),"")</f>
        <v>خطء</v>
      </c>
      <c r="Q50" s="2537" t="str">
        <f>IF(('الصفحة 1'!$Q$14&gt;0),IF((Q$46&gt;0),IF(((Q$46)&lt;&gt;('الصفحة 31'!$P56)),"خطء",""),""),"")</f>
        <v/>
      </c>
      <c r="R50" s="2537" t="str">
        <f>IF(('الصفحة 1'!$Q$14&gt;0),IF((R$46&gt;0),IF(((R$46)&lt;&gt;('الصفحة 31'!$P57)),"خطء",""),""),"")</f>
        <v>خطء</v>
      </c>
      <c r="S50" s="1398"/>
      <c r="T50" s="908"/>
      <c r="U50" s="750"/>
      <c r="V50" s="4709" t="s">
        <v>37</v>
      </c>
      <c r="W50" s="2790" t="s">
        <v>20</v>
      </c>
      <c r="X50" s="2800" t="str">
        <f>IF((('الصفحة 27'!G56+'الصفحة 27'!I56)-P46)&lt;&gt;0,"خطأ"," ")</f>
        <v xml:space="preserve"> </v>
      </c>
      <c r="Y50" s="1032"/>
      <c r="Z50" s="1006"/>
    </row>
    <row r="51" spans="1:26" ht="14.1" customHeight="1">
      <c r="A51" s="750"/>
      <c r="B51" s="907"/>
      <c r="C51" s="916"/>
      <c r="D51" s="668"/>
      <c r="E51" s="668"/>
      <c r="F51" s="668"/>
      <c r="G51" s="668"/>
      <c r="H51" s="668"/>
      <c r="I51" s="668"/>
      <c r="J51" s="668"/>
      <c r="K51" s="668"/>
      <c r="L51" s="668"/>
      <c r="M51" s="668"/>
      <c r="N51" s="668"/>
      <c r="O51" s="668"/>
      <c r="P51" s="668"/>
      <c r="Q51" s="668"/>
      <c r="R51" s="668"/>
      <c r="S51" s="1398"/>
      <c r="T51" s="908"/>
      <c r="U51" s="750"/>
      <c r="V51" s="4709"/>
      <c r="W51" s="2791" t="s">
        <v>49</v>
      </c>
      <c r="X51" s="2799" t="str">
        <f>IF((('الصفحة 27'!H56+'الصفحة 27'!J56)-P47)&lt;&gt;0,"خطأ"," ")</f>
        <v xml:space="preserve"> </v>
      </c>
      <c r="Y51" s="1032"/>
      <c r="Z51" s="1006"/>
    </row>
    <row r="52" spans="1:26" ht="14.1" customHeight="1">
      <c r="A52" s="750"/>
      <c r="B52" s="907"/>
      <c r="C52" s="916"/>
      <c r="D52" s="668"/>
      <c r="E52" s="668"/>
      <c r="F52" s="668"/>
      <c r="G52" s="668"/>
      <c r="H52" s="668"/>
      <c r="I52" s="668"/>
      <c r="J52" s="668"/>
      <c r="K52" s="668"/>
      <c r="L52" s="668"/>
      <c r="M52" s="668"/>
      <c r="N52" s="668"/>
      <c r="O52" s="668"/>
      <c r="P52" s="668"/>
      <c r="Q52" s="668"/>
      <c r="R52" s="668"/>
      <c r="S52" s="917"/>
      <c r="T52" s="908"/>
      <c r="U52" s="750"/>
      <c r="V52" s="4712" t="s">
        <v>48</v>
      </c>
      <c r="W52" s="2790" t="s">
        <v>20</v>
      </c>
      <c r="X52" s="2800" t="str">
        <f>IF((('الصفحة 27'!G57+'الصفحة 27'!I57)-Q46)&lt;&gt;0,"خطأ"," ")</f>
        <v xml:space="preserve"> </v>
      </c>
      <c r="Y52" s="1032"/>
      <c r="Z52" s="1006"/>
    </row>
    <row r="53" spans="1:26" ht="12" customHeight="1">
      <c r="A53" s="750"/>
      <c r="B53" s="907"/>
      <c r="C53" s="916"/>
      <c r="D53" s="668"/>
      <c r="E53" s="668"/>
      <c r="F53" s="668"/>
      <c r="G53" s="668"/>
      <c r="H53" s="668"/>
      <c r="I53" s="668"/>
      <c r="J53" s="668"/>
      <c r="K53" s="668"/>
      <c r="L53" s="668"/>
      <c r="M53" s="668"/>
      <c r="N53" s="668"/>
      <c r="O53" s="668"/>
      <c r="P53" s="668"/>
      <c r="Q53" s="668"/>
      <c r="R53" s="668"/>
      <c r="S53" s="917"/>
      <c r="T53" s="908"/>
      <c r="U53" s="750"/>
      <c r="V53" s="4712"/>
      <c r="W53" s="2791" t="s">
        <v>49</v>
      </c>
      <c r="X53" s="2799" t="str">
        <f>IF((('الصفحة 27'!H57+'الصفحة 27'!J57)-Q47)&lt;&gt;0,"خطأ"," ")</f>
        <v xml:space="preserve"> </v>
      </c>
      <c r="Y53" s="1032"/>
      <c r="Z53" s="1006"/>
    </row>
    <row r="54" spans="1:26" ht="2.1" customHeight="1">
      <c r="A54" s="750"/>
      <c r="B54" s="907"/>
      <c r="C54" s="916"/>
      <c r="D54" s="668"/>
      <c r="E54" s="668"/>
      <c r="F54" s="668"/>
      <c r="G54" s="668"/>
      <c r="H54" s="668"/>
      <c r="I54" s="668"/>
      <c r="J54" s="668"/>
      <c r="K54" s="668"/>
      <c r="L54" s="668"/>
      <c r="M54" s="668"/>
      <c r="N54" s="668"/>
      <c r="O54" s="668"/>
      <c r="P54" s="668"/>
      <c r="Q54" s="668"/>
      <c r="R54" s="668"/>
      <c r="S54" s="917"/>
      <c r="T54" s="908"/>
      <c r="U54" s="750"/>
      <c r="V54" s="2795"/>
      <c r="W54" s="2796"/>
      <c r="X54" s="2796"/>
      <c r="Y54" s="2796"/>
      <c r="Z54" s="1006"/>
    </row>
    <row r="55" spans="1:26" ht="2.1" customHeight="1">
      <c r="A55" s="750"/>
      <c r="B55" s="907"/>
      <c r="C55" s="916"/>
      <c r="D55" s="668"/>
      <c r="E55" s="668"/>
      <c r="F55" s="668"/>
      <c r="G55" s="668"/>
      <c r="H55" s="668"/>
      <c r="I55" s="668"/>
      <c r="J55" s="668"/>
      <c r="K55" s="668"/>
      <c r="L55" s="668"/>
      <c r="M55" s="668"/>
      <c r="N55" s="668"/>
      <c r="O55" s="668"/>
      <c r="P55" s="668"/>
      <c r="Q55" s="668"/>
      <c r="R55" s="668"/>
      <c r="S55" s="917"/>
      <c r="T55" s="908"/>
      <c r="U55" s="750"/>
      <c r="V55" s="2795"/>
      <c r="W55" s="2796"/>
      <c r="X55" s="2796"/>
      <c r="Y55" s="2796"/>
      <c r="Z55" s="1006"/>
    </row>
    <row r="56" spans="1:26" ht="2.1" customHeight="1" thickBot="1">
      <c r="A56" s="750"/>
      <c r="B56" s="907"/>
      <c r="C56" s="870"/>
      <c r="D56" s="920"/>
      <c r="E56" s="921"/>
      <c r="F56" s="922"/>
      <c r="G56" s="922"/>
      <c r="H56" s="922"/>
      <c r="I56" s="922"/>
      <c r="J56" s="922"/>
      <c r="K56" s="922"/>
      <c r="L56" s="922"/>
      <c r="M56" s="922"/>
      <c r="N56" s="922"/>
      <c r="O56" s="922"/>
      <c r="P56" s="922"/>
      <c r="Q56" s="922"/>
      <c r="R56" s="923"/>
      <c r="S56" s="924"/>
      <c r="T56" s="908"/>
      <c r="U56" s="750"/>
      <c r="V56" s="2795"/>
      <c r="W56" s="2796"/>
      <c r="X56" s="2796"/>
      <c r="Y56" s="2796"/>
      <c r="Z56" s="1006"/>
    </row>
    <row r="57" spans="1:26" ht="14.1" customHeight="1" thickBot="1">
      <c r="A57" s="750"/>
      <c r="B57" s="911"/>
      <c r="C57" s="4176">
        <v>32</v>
      </c>
      <c r="D57" s="4176"/>
      <c r="E57" s="4176"/>
      <c r="F57" s="4176"/>
      <c r="G57" s="4176"/>
      <c r="H57" s="4176"/>
      <c r="I57" s="4176"/>
      <c r="J57" s="4176"/>
      <c r="K57" s="4176"/>
      <c r="L57" s="4176"/>
      <c r="M57" s="4176"/>
      <c r="N57" s="4176"/>
      <c r="O57" s="4176"/>
      <c r="P57" s="4176"/>
      <c r="Q57" s="4176"/>
      <c r="R57" s="4176"/>
      <c r="S57" s="4176"/>
      <c r="T57" s="912"/>
      <c r="U57" s="750"/>
      <c r="V57" s="2795"/>
      <c r="W57" s="2796"/>
      <c r="X57" s="2796"/>
      <c r="Y57" s="2796"/>
      <c r="Z57" s="1006"/>
    </row>
    <row r="58" spans="1:26" ht="14.1" customHeight="1">
      <c r="A58" s="750"/>
      <c r="B58" s="3143" t="str">
        <f>'صفحة الدفتـر'!$B$68</f>
        <v>السنة الدراسية  2022 - 2023</v>
      </c>
      <c r="C58" s="1028"/>
      <c r="D58" s="751"/>
      <c r="E58" s="751"/>
      <c r="F58" s="751"/>
      <c r="G58" s="751"/>
      <c r="H58" s="751"/>
      <c r="I58" s="751"/>
      <c r="J58" s="751"/>
      <c r="K58" s="751"/>
      <c r="L58" s="751"/>
      <c r="M58" s="751"/>
      <c r="N58" s="751"/>
      <c r="O58" s="751"/>
      <c r="P58" s="751"/>
      <c r="Q58" s="751"/>
      <c r="R58" s="751"/>
      <c r="S58" s="751"/>
      <c r="T58" s="751"/>
      <c r="U58" s="750"/>
      <c r="V58" s="1006"/>
      <c r="W58" s="751"/>
      <c r="X58" s="751"/>
      <c r="Y58" s="751"/>
      <c r="Z58" s="1006"/>
    </row>
    <row r="59" spans="1:26" hidden="1"/>
  </sheetData>
  <sheetProtection password="D8D3" sheet="1" objects="1" scenarios="1"/>
  <mergeCells count="68">
    <mergeCell ref="D17:E17"/>
    <mergeCell ref="D18:E18"/>
    <mergeCell ref="D19:E19"/>
    <mergeCell ref="D20:E20"/>
    <mergeCell ref="D21:E21"/>
    <mergeCell ref="V2:Y4"/>
    <mergeCell ref="V48:V49"/>
    <mergeCell ref="V38:V39"/>
    <mergeCell ref="V40:V41"/>
    <mergeCell ref="V42:V43"/>
    <mergeCell ref="V44:V45"/>
    <mergeCell ref="V36:V37"/>
    <mergeCell ref="V32:V33"/>
    <mergeCell ref="V34:V35"/>
    <mergeCell ref="N8:N9"/>
    <mergeCell ref="O8:O9"/>
    <mergeCell ref="V30:V31"/>
    <mergeCell ref="P8:P9"/>
    <mergeCell ref="Q8:Q9"/>
    <mergeCell ref="O28:O29"/>
    <mergeCell ref="V26:Y27"/>
    <mergeCell ref="Q28:Q29"/>
    <mergeCell ref="P28:P29"/>
    <mergeCell ref="R8:R9"/>
    <mergeCell ref="N28:N29"/>
    <mergeCell ref="P26:Q26"/>
    <mergeCell ref="V50:V51"/>
    <mergeCell ref="C57:S57"/>
    <mergeCell ref="V46:V47"/>
    <mergeCell ref="F28:F29"/>
    <mergeCell ref="J28:J29"/>
    <mergeCell ref="G28:G29"/>
    <mergeCell ref="R28:R29"/>
    <mergeCell ref="V52:V53"/>
    <mergeCell ref="D32:D33"/>
    <mergeCell ref="D36:D37"/>
    <mergeCell ref="D46:D47"/>
    <mergeCell ref="D44:D45"/>
    <mergeCell ref="D42:D43"/>
    <mergeCell ref="D40:D41"/>
    <mergeCell ref="D38:D39"/>
    <mergeCell ref="D34:D35"/>
    <mergeCell ref="D30:D31"/>
    <mergeCell ref="D28:E28"/>
    <mergeCell ref="D29:E29"/>
    <mergeCell ref="L8:L9"/>
    <mergeCell ref="F8:F9"/>
    <mergeCell ref="G8:G9"/>
    <mergeCell ref="D8:E8"/>
    <mergeCell ref="D9:E9"/>
    <mergeCell ref="D10:E10"/>
    <mergeCell ref="D11:E11"/>
    <mergeCell ref="D12:E12"/>
    <mergeCell ref="D13:E13"/>
    <mergeCell ref="D14:E14"/>
    <mergeCell ref="D15:E15"/>
    <mergeCell ref="D16:E16"/>
    <mergeCell ref="D22:E22"/>
    <mergeCell ref="M8:M9"/>
    <mergeCell ref="K8:K9"/>
    <mergeCell ref="H28:H29"/>
    <mergeCell ref="K28:K29"/>
    <mergeCell ref="I28:I29"/>
    <mergeCell ref="L28:L29"/>
    <mergeCell ref="H8:H9"/>
    <mergeCell ref="I8:I9"/>
    <mergeCell ref="J8:J9"/>
    <mergeCell ref="M28:M29"/>
  </mergeCells>
  <conditionalFormatting sqref="F23:Q23 F30:Q30 F32:Q32 F34:Q34 F36:Q36 F38:Q38 F40:Q40 F42:Q42 F44:Q44">
    <cfRule type="cellIs" dxfId="685" priority="195" stopIfTrue="1" operator="equal">
      <formula>0</formula>
    </cfRule>
  </conditionalFormatting>
  <conditionalFormatting sqref="R10:R23 F22:Q22 F46:R46 Q38:R38 Q42:R42 Q30:R30 Q32:R32 Q34:R34 Q36:R36 Q40:R40 Q44:R44">
    <cfRule type="cellIs" dxfId="684" priority="192" stopIfTrue="1" operator="equal">
      <formula>0</formula>
    </cfRule>
  </conditionalFormatting>
  <conditionalFormatting sqref="N33:P33">
    <cfRule type="cellIs" dxfId="683" priority="175" stopIfTrue="1" operator="greaterThan">
      <formula>N32</formula>
    </cfRule>
    <cfRule type="cellIs" dxfId="682" priority="176" stopIfTrue="1" operator="equal">
      <formula>0</formula>
    </cfRule>
  </conditionalFormatting>
  <conditionalFormatting sqref="Q33">
    <cfRule type="cellIs" dxfId="681" priority="173" stopIfTrue="1" operator="greaterThan">
      <formula>Q32</formula>
    </cfRule>
    <cfRule type="cellIs" dxfId="680" priority="174" stopIfTrue="1" operator="equal">
      <formula>0</formula>
    </cfRule>
  </conditionalFormatting>
  <conditionalFormatting sqref="N35:P35">
    <cfRule type="cellIs" dxfId="679" priority="169" stopIfTrue="1" operator="greaterThan">
      <formula>N34</formula>
    </cfRule>
    <cfRule type="cellIs" dxfId="678" priority="170" stopIfTrue="1" operator="equal">
      <formula>0</formula>
    </cfRule>
  </conditionalFormatting>
  <conditionalFormatting sqref="Q35">
    <cfRule type="cellIs" dxfId="677" priority="167" stopIfTrue="1" operator="greaterThan">
      <formula>Q34</formula>
    </cfRule>
    <cfRule type="cellIs" dxfId="676" priority="168" stopIfTrue="1" operator="equal">
      <formula>0</formula>
    </cfRule>
  </conditionalFormatting>
  <conditionalFormatting sqref="N37:P37">
    <cfRule type="cellIs" dxfId="675" priority="163" stopIfTrue="1" operator="greaterThan">
      <formula>N36</formula>
    </cfRule>
    <cfRule type="cellIs" dxfId="674" priority="164" stopIfTrue="1" operator="equal">
      <formula>0</formula>
    </cfRule>
  </conditionalFormatting>
  <conditionalFormatting sqref="Q37">
    <cfRule type="cellIs" dxfId="673" priority="161" stopIfTrue="1" operator="greaterThan">
      <formula>Q36</formula>
    </cfRule>
    <cfRule type="cellIs" dxfId="672" priority="162" stopIfTrue="1" operator="equal">
      <formula>0</formula>
    </cfRule>
  </conditionalFormatting>
  <conditionalFormatting sqref="N39:P39">
    <cfRule type="cellIs" dxfId="671" priority="158" stopIfTrue="1" operator="greaterThan">
      <formula>N38</formula>
    </cfRule>
    <cfRule type="cellIs" dxfId="670" priority="159" stopIfTrue="1" operator="equal">
      <formula>0</formula>
    </cfRule>
  </conditionalFormatting>
  <conditionalFormatting sqref="N41:P41">
    <cfRule type="cellIs" dxfId="669" priority="155" stopIfTrue="1" operator="greaterThan">
      <formula>N40</formula>
    </cfRule>
    <cfRule type="cellIs" dxfId="668" priority="156" stopIfTrue="1" operator="equal">
      <formula>0</formula>
    </cfRule>
  </conditionalFormatting>
  <conditionalFormatting sqref="N43:P43">
    <cfRule type="cellIs" dxfId="667" priority="152" stopIfTrue="1" operator="greaterThan">
      <formula>N42</formula>
    </cfRule>
    <cfRule type="cellIs" dxfId="666" priority="153" stopIfTrue="1" operator="equal">
      <formula>0</formula>
    </cfRule>
  </conditionalFormatting>
  <conditionalFormatting sqref="N45:P45">
    <cfRule type="cellIs" dxfId="665" priority="149" stopIfTrue="1" operator="greaterThan">
      <formula>N44</formula>
    </cfRule>
    <cfRule type="cellIs" dxfId="664" priority="150" stopIfTrue="1" operator="equal">
      <formula>0</formula>
    </cfRule>
  </conditionalFormatting>
  <conditionalFormatting sqref="Q39:R39 Q43:R43 F47:R47">
    <cfRule type="cellIs" dxfId="663" priority="146" stopIfTrue="1" operator="greaterThan">
      <formula>F38</formula>
    </cfRule>
    <cfRule type="cellIs" dxfId="662" priority="147" stopIfTrue="1" operator="equal">
      <formula>0</formula>
    </cfRule>
  </conditionalFormatting>
  <conditionalFormatting sqref="Q41 Q45">
    <cfRule type="cellIs" dxfId="661" priority="143" stopIfTrue="1" operator="greaterThan">
      <formula>Q40</formula>
    </cfRule>
    <cfRule type="cellIs" dxfId="660" priority="144" stopIfTrue="1" operator="equal">
      <formula>0</formula>
    </cfRule>
  </conditionalFormatting>
  <conditionalFormatting sqref="K33:M33">
    <cfRule type="cellIs" dxfId="659" priority="140" stopIfTrue="1" operator="greaterThan">
      <formula>K32</formula>
    </cfRule>
    <cfRule type="cellIs" dxfId="658" priority="141" stopIfTrue="1" operator="equal">
      <formula>0</formula>
    </cfRule>
  </conditionalFormatting>
  <conditionalFormatting sqref="K35:M35">
    <cfRule type="cellIs" dxfId="657" priority="137" stopIfTrue="1" operator="greaterThan">
      <formula>K34</formula>
    </cfRule>
    <cfRule type="cellIs" dxfId="656" priority="138" stopIfTrue="1" operator="equal">
      <formula>0</formula>
    </cfRule>
  </conditionalFormatting>
  <conditionalFormatting sqref="K37:M37">
    <cfRule type="cellIs" dxfId="655" priority="134" stopIfTrue="1" operator="greaterThan">
      <formula>K36</formula>
    </cfRule>
    <cfRule type="cellIs" dxfId="654" priority="135" stopIfTrue="1" operator="equal">
      <formula>0</formula>
    </cfRule>
  </conditionalFormatting>
  <conditionalFormatting sqref="K39:M39">
    <cfRule type="cellIs" dxfId="653" priority="131" stopIfTrue="1" operator="greaterThan">
      <formula>K38</formula>
    </cfRule>
    <cfRule type="cellIs" dxfId="652" priority="132" stopIfTrue="1" operator="equal">
      <formula>0</formula>
    </cfRule>
  </conditionalFormatting>
  <conditionalFormatting sqref="K41:M41">
    <cfRule type="cellIs" dxfId="651" priority="128" stopIfTrue="1" operator="greaterThan">
      <formula>K40</formula>
    </cfRule>
    <cfRule type="cellIs" dxfId="650" priority="129" stopIfTrue="1" operator="equal">
      <formula>0</formula>
    </cfRule>
  </conditionalFormatting>
  <conditionalFormatting sqref="K43:M43">
    <cfRule type="cellIs" dxfId="649" priority="125" stopIfTrue="1" operator="greaterThan">
      <formula>K42</formula>
    </cfRule>
    <cfRule type="cellIs" dxfId="648" priority="126" stopIfTrue="1" operator="equal">
      <formula>0</formula>
    </cfRule>
  </conditionalFormatting>
  <conditionalFormatting sqref="K45:M45">
    <cfRule type="cellIs" dxfId="647" priority="122" stopIfTrue="1" operator="greaterThan">
      <formula>K44</formula>
    </cfRule>
    <cfRule type="cellIs" dxfId="646" priority="123" stopIfTrue="1" operator="equal">
      <formula>0</formula>
    </cfRule>
  </conditionalFormatting>
  <conditionalFormatting sqref="H33:J33">
    <cfRule type="cellIs" dxfId="645" priority="119" stopIfTrue="1" operator="greaterThan">
      <formula>H32</formula>
    </cfRule>
    <cfRule type="cellIs" dxfId="644" priority="120" stopIfTrue="1" operator="equal">
      <formula>0</formula>
    </cfRule>
  </conditionalFormatting>
  <conditionalFormatting sqref="H35:J35">
    <cfRule type="cellIs" dxfId="643" priority="116" stopIfTrue="1" operator="greaterThan">
      <formula>H34</formula>
    </cfRule>
    <cfRule type="cellIs" dxfId="642" priority="117" stopIfTrue="1" operator="equal">
      <formula>0</formula>
    </cfRule>
  </conditionalFormatting>
  <conditionalFormatting sqref="H37:J37">
    <cfRule type="cellIs" dxfId="641" priority="113" stopIfTrue="1" operator="greaterThan">
      <formula>H36</formula>
    </cfRule>
    <cfRule type="cellIs" dxfId="640" priority="114" stopIfTrue="1" operator="equal">
      <formula>0</formula>
    </cfRule>
  </conditionalFormatting>
  <conditionalFormatting sqref="H39:J39">
    <cfRule type="cellIs" dxfId="639" priority="110" stopIfTrue="1" operator="greaterThan">
      <formula>H38</formula>
    </cfRule>
    <cfRule type="cellIs" dxfId="638" priority="111" stopIfTrue="1" operator="equal">
      <formula>0</formula>
    </cfRule>
  </conditionalFormatting>
  <conditionalFormatting sqref="H41:J41">
    <cfRule type="cellIs" dxfId="637" priority="107" stopIfTrue="1" operator="greaterThan">
      <formula>H40</formula>
    </cfRule>
    <cfRule type="cellIs" dxfId="636" priority="108" stopIfTrue="1" operator="equal">
      <formula>0</formula>
    </cfRule>
  </conditionalFormatting>
  <conditionalFormatting sqref="H43:J43">
    <cfRule type="cellIs" dxfId="635" priority="104" stopIfTrue="1" operator="greaterThan">
      <formula>H42</formula>
    </cfRule>
    <cfRule type="cellIs" dxfId="634" priority="105" stopIfTrue="1" operator="equal">
      <formula>0</formula>
    </cfRule>
  </conditionalFormatting>
  <conditionalFormatting sqref="H45:J45">
    <cfRule type="cellIs" dxfId="633" priority="101" stopIfTrue="1" operator="greaterThan">
      <formula>H44</formula>
    </cfRule>
    <cfRule type="cellIs" dxfId="632" priority="102" stopIfTrue="1" operator="equal">
      <formula>0</formula>
    </cfRule>
  </conditionalFormatting>
  <conditionalFormatting sqref="F33:H33">
    <cfRule type="cellIs" dxfId="631" priority="98" stopIfTrue="1" operator="greaterThan">
      <formula>F32</formula>
    </cfRule>
    <cfRule type="cellIs" dxfId="630" priority="99" stopIfTrue="1" operator="equal">
      <formula>0</formula>
    </cfRule>
  </conditionalFormatting>
  <conditionalFormatting sqref="F35:H35">
    <cfRule type="cellIs" dxfId="629" priority="95" stopIfTrue="1" operator="greaterThan">
      <formula>F34</formula>
    </cfRule>
    <cfRule type="cellIs" dxfId="628" priority="96" stopIfTrue="1" operator="equal">
      <formula>0</formula>
    </cfRule>
  </conditionalFormatting>
  <conditionalFormatting sqref="F37:H37">
    <cfRule type="cellIs" dxfId="627" priority="92" stopIfTrue="1" operator="greaterThan">
      <formula>F36</formula>
    </cfRule>
    <cfRule type="cellIs" dxfId="626" priority="93" stopIfTrue="1" operator="equal">
      <formula>0</formula>
    </cfRule>
  </conditionalFormatting>
  <conditionalFormatting sqref="F39:H39">
    <cfRule type="cellIs" dxfId="625" priority="89" stopIfTrue="1" operator="greaterThan">
      <formula>F38</formula>
    </cfRule>
    <cfRule type="cellIs" dxfId="624" priority="90" stopIfTrue="1" operator="equal">
      <formula>0</formula>
    </cfRule>
  </conditionalFormatting>
  <conditionalFormatting sqref="F41:H41">
    <cfRule type="cellIs" dxfId="623" priority="86" stopIfTrue="1" operator="greaterThan">
      <formula>F40</formula>
    </cfRule>
    <cfRule type="cellIs" dxfId="622" priority="87" stopIfTrue="1" operator="equal">
      <formula>0</formula>
    </cfRule>
  </conditionalFormatting>
  <conditionalFormatting sqref="F43:H43">
    <cfRule type="cellIs" dxfId="621" priority="83" stopIfTrue="1" operator="greaterThan">
      <formula>F42</formula>
    </cfRule>
    <cfRule type="cellIs" dxfId="620" priority="84" stopIfTrue="1" operator="equal">
      <formula>0</formula>
    </cfRule>
  </conditionalFormatting>
  <conditionalFormatting sqref="F45:H45">
    <cfRule type="cellIs" dxfId="619" priority="80" stopIfTrue="1" operator="greaterThan">
      <formula>F44</formula>
    </cfRule>
    <cfRule type="cellIs" dxfId="618" priority="81" stopIfTrue="1" operator="equal">
      <formula>0</formula>
    </cfRule>
  </conditionalFormatting>
  <conditionalFormatting sqref="N31:P31">
    <cfRule type="cellIs" dxfId="617" priority="73" stopIfTrue="1" operator="greaterThan">
      <formula>N30</formula>
    </cfRule>
    <cfRule type="cellIs" dxfId="616" priority="74" stopIfTrue="1" operator="equal">
      <formula>0</formula>
    </cfRule>
  </conditionalFormatting>
  <conditionalFormatting sqref="Q31">
    <cfRule type="cellIs" dxfId="615" priority="71" stopIfTrue="1" operator="greaterThan">
      <formula>Q30</formula>
    </cfRule>
    <cfRule type="cellIs" dxfId="614" priority="72" stopIfTrue="1" operator="equal">
      <formula>0</formula>
    </cfRule>
  </conditionalFormatting>
  <conditionalFormatting sqref="K31:M31">
    <cfRule type="cellIs" dxfId="613" priority="68" stopIfTrue="1" operator="greaterThan">
      <formula>K30</formula>
    </cfRule>
    <cfRule type="cellIs" dxfId="612" priority="69" stopIfTrue="1" operator="equal">
      <formula>0</formula>
    </cfRule>
  </conditionalFormatting>
  <conditionalFormatting sqref="H31:J31">
    <cfRule type="cellIs" dxfId="611" priority="65" stopIfTrue="1" operator="greaterThan">
      <formula>H30</formula>
    </cfRule>
    <cfRule type="cellIs" dxfId="610" priority="66" stopIfTrue="1" operator="equal">
      <formula>0</formula>
    </cfRule>
  </conditionalFormatting>
  <conditionalFormatting sqref="F31:H31">
    <cfRule type="cellIs" dxfId="609" priority="62" stopIfTrue="1" operator="greaterThan">
      <formula>F30</formula>
    </cfRule>
    <cfRule type="cellIs" dxfId="608" priority="63" stopIfTrue="1" operator="equal">
      <formula>0</formula>
    </cfRule>
  </conditionalFormatting>
  <conditionalFormatting sqref="Q33">
    <cfRule type="cellIs" dxfId="607" priority="58" stopIfTrue="1" operator="greaterThan">
      <formula>Q32</formula>
    </cfRule>
    <cfRule type="cellIs" dxfId="606" priority="59" stopIfTrue="1" operator="equal">
      <formula>0</formula>
    </cfRule>
  </conditionalFormatting>
  <conditionalFormatting sqref="R33">
    <cfRule type="cellIs" dxfId="605" priority="56" stopIfTrue="1" operator="greaterThan">
      <formula>R32</formula>
    </cfRule>
    <cfRule type="cellIs" dxfId="604" priority="57" stopIfTrue="1" operator="equal">
      <formula>0</formula>
    </cfRule>
  </conditionalFormatting>
  <conditionalFormatting sqref="Q35">
    <cfRule type="cellIs" dxfId="603" priority="52" stopIfTrue="1" operator="greaterThan">
      <formula>Q34</formula>
    </cfRule>
    <cfRule type="cellIs" dxfId="602" priority="53" stopIfTrue="1" operator="equal">
      <formula>0</formula>
    </cfRule>
  </conditionalFormatting>
  <conditionalFormatting sqref="R35">
    <cfRule type="cellIs" dxfId="601" priority="50" stopIfTrue="1" operator="greaterThan">
      <formula>R34</formula>
    </cfRule>
    <cfRule type="cellIs" dxfId="600" priority="51" stopIfTrue="1" operator="equal">
      <formula>0</formula>
    </cfRule>
  </conditionalFormatting>
  <conditionalFormatting sqref="Q37">
    <cfRule type="cellIs" dxfId="599" priority="46" stopIfTrue="1" operator="greaterThan">
      <formula>Q36</formula>
    </cfRule>
    <cfRule type="cellIs" dxfId="598" priority="47" stopIfTrue="1" operator="equal">
      <formula>0</formula>
    </cfRule>
  </conditionalFormatting>
  <conditionalFormatting sqref="R37">
    <cfRule type="cellIs" dxfId="597" priority="44" stopIfTrue="1" operator="greaterThan">
      <formula>R36</formula>
    </cfRule>
    <cfRule type="cellIs" dxfId="596" priority="45" stopIfTrue="1" operator="equal">
      <formula>0</formula>
    </cfRule>
  </conditionalFormatting>
  <conditionalFormatting sqref="Q39">
    <cfRule type="cellIs" dxfId="595" priority="41" stopIfTrue="1" operator="greaterThan">
      <formula>Q38</formula>
    </cfRule>
    <cfRule type="cellIs" dxfId="594" priority="42" stopIfTrue="1" operator="equal">
      <formula>0</formula>
    </cfRule>
  </conditionalFormatting>
  <conditionalFormatting sqref="Q41">
    <cfRule type="cellIs" dxfId="593" priority="38" stopIfTrue="1" operator="greaterThan">
      <formula>Q40</formula>
    </cfRule>
    <cfRule type="cellIs" dxfId="592" priority="39" stopIfTrue="1" operator="equal">
      <formula>0</formula>
    </cfRule>
  </conditionalFormatting>
  <conditionalFormatting sqref="Q43">
    <cfRule type="cellIs" dxfId="591" priority="35" stopIfTrue="1" operator="greaterThan">
      <formula>Q42</formula>
    </cfRule>
    <cfRule type="cellIs" dxfId="590" priority="36" stopIfTrue="1" operator="equal">
      <formula>0</formula>
    </cfRule>
  </conditionalFormatting>
  <conditionalFormatting sqref="Q45">
    <cfRule type="cellIs" dxfId="589" priority="32" stopIfTrue="1" operator="greaterThan">
      <formula>Q44</formula>
    </cfRule>
    <cfRule type="cellIs" dxfId="588" priority="33" stopIfTrue="1" operator="equal">
      <formula>0</formula>
    </cfRule>
  </conditionalFormatting>
  <conditionalFormatting sqref="R41 R45">
    <cfRule type="cellIs" dxfId="587" priority="29" stopIfTrue="1" operator="greaterThan">
      <formula>R40</formula>
    </cfRule>
    <cfRule type="cellIs" dxfId="586" priority="30" stopIfTrue="1" operator="equal">
      <formula>0</formula>
    </cfRule>
  </conditionalFormatting>
  <conditionalFormatting sqref="Q31">
    <cfRule type="cellIs" dxfId="585" priority="25" stopIfTrue="1" operator="greaterThan">
      <formula>Q30</formula>
    </cfRule>
    <cfRule type="cellIs" dxfId="584" priority="26" stopIfTrue="1" operator="equal">
      <formula>0</formula>
    </cfRule>
  </conditionalFormatting>
  <conditionalFormatting sqref="R31">
    <cfRule type="cellIs" dxfId="583" priority="23" stopIfTrue="1" operator="greaterThan">
      <formula>R30</formula>
    </cfRule>
    <cfRule type="cellIs" dxfId="582" priority="24" stopIfTrue="1" operator="equal">
      <formula>0</formula>
    </cfRule>
  </conditionalFormatting>
  <conditionalFormatting sqref="F49:R49">
    <cfRule type="cellIs" dxfId="581" priority="21" stopIfTrue="1" operator="greaterThan">
      <formula>F48</formula>
    </cfRule>
    <cfRule type="cellIs" dxfId="580" priority="22" stopIfTrue="1" operator="equal">
      <formula>0</formula>
    </cfRule>
  </conditionalFormatting>
  <conditionalFormatting sqref="F50:R50">
    <cfRule type="cellIs" dxfId="579" priority="19" stopIfTrue="1" operator="greaterThan">
      <formula>F49</formula>
    </cfRule>
    <cfRule type="cellIs" dxfId="578" priority="20" stopIfTrue="1" operator="equal">
      <formula>0</formula>
    </cfRule>
  </conditionalFormatting>
  <conditionalFormatting sqref="F21:P21 G10:Q10 F11 H11:Q11 F12:G12 I12:Q12 F13:H13 J13:Q13 F14:I14 K14:Q14 F15:J15 L15:Q15 F16:K16 M16:Q16 F17:L17 N17:Q17 F18:M18 O18:Q18 F19:N19 P19:Q19 F20:O20 Q20">
    <cfRule type="cellIs" dxfId="577" priority="1" operator="greaterThan">
      <formula>0</formula>
    </cfRule>
    <cfRule type="cellIs" dxfId="576" priority="2" operator="equal">
      <formula>0</formula>
    </cfRule>
  </conditionalFormatting>
  <dataValidations count="3">
    <dataValidation type="whole" operator="greaterThanOrEqual" allowBlank="1" showInputMessage="1" showErrorMessage="1" errorTitle="الأساتذة مواد التكوين و التدريس" error="ضع عدد المناسب للأساتذة حسب  مواد التكوين و التدريس، مع مراعاة تطابق المعطيات" sqref="F10:R23">
      <formula1>0</formula1>
    </dataValidation>
    <dataValidation type="whole" operator="greaterThanOrEqual" allowBlank="1" showInputMessage="1" showErrorMessage="1" errorTitle="الأساتذة و المؤهل العلمي" error="ضع عدد المناسب للأساتذة حسب المؤهل العلمي الحالي و مادة التدريس الحالية " sqref="F30:R47">
      <formula1>0</formula1>
    </dataValidation>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F49:R50"/>
  </dataValidations>
  <printOptions horizontalCentered="1" verticalCentered="1"/>
  <pageMargins left="0.19685039370078741" right="0.19685039370078741" top="0.19685039370078741" bottom="0.19685039370078741" header="0" footer="0.31496062992125984"/>
  <pageSetup paperSize="9" orientation="portrait" r:id="rId1"/>
  <headerFooter>
    <oddFooter xml:space="preserve">&amp;R&amp;"-,Gras"&amp;8&amp;K00-033Echamil V.08    &amp;F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1">
    <tabColor rgb="FF00B050"/>
  </sheetPr>
  <dimension ref="A1:Z88"/>
  <sheetViews>
    <sheetView showGridLines="0" rightToLeft="1" topLeftCell="A4" workbookViewId="0">
      <selection activeCell="K37" sqref="K37"/>
    </sheetView>
  </sheetViews>
  <sheetFormatPr baseColWidth="10" defaultColWidth="0" defaultRowHeight="15" customHeight="1" zeroHeight="1"/>
  <cols>
    <col min="1" max="1" width="2.6640625" customWidth="1"/>
    <col min="2" max="2" width="1.44140625" customWidth="1"/>
    <col min="3" max="3" width="0.88671875" customWidth="1"/>
    <col min="4" max="4" width="9.6640625" customWidth="1"/>
    <col min="5" max="5" width="4.6640625" customWidth="1"/>
    <col min="6" max="10" width="6" customWidth="1"/>
    <col min="11" max="11" width="7.33203125" customWidth="1"/>
    <col min="12" max="13" width="6" customWidth="1"/>
    <col min="14" max="15" width="5.6640625" customWidth="1"/>
    <col min="16" max="16" width="6" customWidth="1"/>
    <col min="17" max="17" width="5.6640625" customWidth="1"/>
    <col min="18" max="18" width="6.109375" customWidth="1"/>
    <col min="19" max="19" width="0.5546875" customWidth="1"/>
    <col min="20" max="20" width="1.6640625" customWidth="1"/>
    <col min="21" max="21" width="2.6640625" customWidth="1"/>
    <col min="22" max="22" width="20.6640625" customWidth="1"/>
    <col min="23" max="23" width="5.6640625" customWidth="1"/>
    <col min="24" max="24" width="7.6640625" customWidth="1"/>
    <col min="25" max="25" width="5.6640625" customWidth="1"/>
    <col min="26" max="26" width="3.109375" customWidth="1"/>
    <col min="27" max="16384" width="11.44140625" hidden="1"/>
  </cols>
  <sheetData>
    <row r="1" spans="1:26" ht="14.1" customHeight="1" thickBot="1">
      <c r="A1" s="750"/>
      <c r="B1" s="751"/>
      <c r="C1" s="751"/>
      <c r="D1" s="751"/>
      <c r="E1" s="751"/>
      <c r="F1" s="751"/>
      <c r="G1" s="751"/>
      <c r="H1" s="751"/>
      <c r="I1" s="751"/>
      <c r="J1" s="751"/>
      <c r="K1" s="751"/>
      <c r="L1" s="751"/>
      <c r="M1" s="751"/>
      <c r="N1" s="751"/>
      <c r="O1" s="751"/>
      <c r="P1" s="751"/>
      <c r="Q1" s="751"/>
      <c r="R1" s="751"/>
      <c r="S1" s="751"/>
      <c r="T1" s="751"/>
      <c r="U1" s="750"/>
      <c r="V1" s="1006"/>
      <c r="W1" s="750"/>
      <c r="X1" s="750"/>
      <c r="Y1" s="750"/>
      <c r="Z1" s="1006"/>
    </row>
    <row r="2" spans="1:26" ht="14.1" customHeight="1" thickBot="1">
      <c r="A2" s="750"/>
      <c r="B2" s="904"/>
      <c r="C2" s="905"/>
      <c r="D2" s="905"/>
      <c r="E2" s="905"/>
      <c r="F2" s="905"/>
      <c r="G2" s="905"/>
      <c r="H2" s="905"/>
      <c r="I2" s="905"/>
      <c r="J2" s="905"/>
      <c r="K2" s="905"/>
      <c r="L2" s="905"/>
      <c r="M2" s="905"/>
      <c r="N2" s="905"/>
      <c r="O2" s="905"/>
      <c r="P2" s="905"/>
      <c r="Q2" s="905"/>
      <c r="R2" s="905"/>
      <c r="S2" s="905"/>
      <c r="T2" s="906"/>
      <c r="U2" s="750"/>
      <c r="V2" s="4053" t="s">
        <v>603</v>
      </c>
      <c r="W2" s="4053"/>
      <c r="X2" s="4053"/>
      <c r="Y2" s="4053"/>
      <c r="Z2" s="1006"/>
    </row>
    <row r="3" spans="1:26" ht="14.1" customHeight="1">
      <c r="A3" s="750"/>
      <c r="B3" s="907"/>
      <c r="C3" s="862"/>
      <c r="D3" s="858"/>
      <c r="E3" s="859"/>
      <c r="F3" s="859"/>
      <c r="G3" s="859"/>
      <c r="H3" s="859"/>
      <c r="I3" s="859"/>
      <c r="J3" s="863"/>
      <c r="K3" s="859"/>
      <c r="L3" s="859"/>
      <c r="M3" s="859"/>
      <c r="N3" s="859"/>
      <c r="O3" s="859"/>
      <c r="P3" s="859"/>
      <c r="Q3" s="859"/>
      <c r="R3" s="859"/>
      <c r="S3" s="913"/>
      <c r="T3" s="908"/>
      <c r="U3" s="750"/>
      <c r="V3" s="4053"/>
      <c r="W3" s="4053"/>
      <c r="X3" s="4053"/>
      <c r="Y3" s="4053"/>
      <c r="Z3" s="1006"/>
    </row>
    <row r="4" spans="1:26" ht="14.1" customHeight="1">
      <c r="A4" s="750"/>
      <c r="B4" s="909"/>
      <c r="C4" s="864"/>
      <c r="D4" s="2534" t="s">
        <v>1465</v>
      </c>
      <c r="E4" s="633"/>
      <c r="F4" s="633"/>
      <c r="G4" s="633"/>
      <c r="H4" s="636"/>
      <c r="I4" s="636"/>
      <c r="J4" s="634"/>
      <c r="K4" s="634"/>
      <c r="L4" s="634"/>
      <c r="M4" s="637"/>
      <c r="N4" s="637"/>
      <c r="O4" s="637"/>
      <c r="P4" s="637"/>
      <c r="Q4" s="637"/>
      <c r="R4" s="2535" t="s">
        <v>1464</v>
      </c>
      <c r="S4" s="914"/>
      <c r="T4" s="908"/>
      <c r="U4" s="750"/>
      <c r="V4" s="4053"/>
      <c r="W4" s="4053"/>
      <c r="X4" s="4053"/>
      <c r="Y4" s="4053"/>
      <c r="Z4" s="1006"/>
    </row>
    <row r="5" spans="1:26" ht="14.1" customHeight="1">
      <c r="A5" s="750"/>
      <c r="B5" s="910"/>
      <c r="C5" s="915"/>
      <c r="D5" s="638"/>
      <c r="E5" s="638"/>
      <c r="F5" s="638"/>
      <c r="G5" s="638"/>
      <c r="H5" s="667"/>
      <c r="I5" s="667"/>
      <c r="J5" s="637"/>
      <c r="K5" s="637"/>
      <c r="L5" s="639"/>
      <c r="M5" s="639"/>
      <c r="N5" s="639"/>
      <c r="O5" s="639"/>
      <c r="P5" s="639"/>
      <c r="Q5" s="639"/>
      <c r="R5" s="667"/>
      <c r="S5" s="914"/>
      <c r="T5" s="908"/>
      <c r="U5" s="750"/>
      <c r="V5" s="4649" t="s">
        <v>1342</v>
      </c>
      <c r="W5" s="4649"/>
      <c r="X5" s="4649"/>
      <c r="Y5" s="4649"/>
      <c r="Z5" s="1006"/>
    </row>
    <row r="6" spans="1:26" ht="18" customHeight="1">
      <c r="A6" s="750"/>
      <c r="B6" s="907"/>
      <c r="C6" s="974"/>
      <c r="D6" s="975" t="s">
        <v>1267</v>
      </c>
      <c r="E6" s="976"/>
      <c r="F6" s="976"/>
      <c r="G6" s="976"/>
      <c r="H6" s="976"/>
      <c r="I6" s="976"/>
      <c r="J6" s="977"/>
      <c r="K6" s="976"/>
      <c r="L6" s="976"/>
      <c r="M6" s="976"/>
      <c r="N6" s="976"/>
      <c r="O6" s="976"/>
      <c r="P6" s="4284"/>
      <c r="Q6" s="4284"/>
      <c r="R6" s="976"/>
      <c r="S6" s="978"/>
      <c r="T6" s="908"/>
      <c r="U6" s="750"/>
      <c r="V6" s="4649"/>
      <c r="W6" s="4649"/>
      <c r="X6" s="4649"/>
      <c r="Y6" s="4649"/>
      <c r="Z6" s="1006"/>
    </row>
    <row r="7" spans="1:26" ht="3.9" customHeight="1">
      <c r="A7" s="750"/>
      <c r="B7" s="907"/>
      <c r="C7" s="918"/>
      <c r="D7" s="635"/>
      <c r="E7" s="634"/>
      <c r="F7" s="634"/>
      <c r="G7" s="634"/>
      <c r="H7" s="634"/>
      <c r="I7" s="634"/>
      <c r="J7" s="634"/>
      <c r="K7" s="634"/>
      <c r="L7" s="634"/>
      <c r="M7" s="634"/>
      <c r="N7" s="634"/>
      <c r="O7" s="634"/>
      <c r="P7" s="634"/>
      <c r="Q7" s="634"/>
      <c r="R7" s="669"/>
      <c r="S7" s="919"/>
      <c r="T7" s="908"/>
      <c r="U7" s="750"/>
      <c r="Z7" s="1006"/>
    </row>
    <row r="8" spans="1:26" ht="17.100000000000001" customHeight="1">
      <c r="A8" s="750"/>
      <c r="B8" s="907"/>
      <c r="C8" s="918"/>
      <c r="D8" s="4695" t="s">
        <v>30</v>
      </c>
      <c r="E8" s="4696"/>
      <c r="F8" s="4699" t="s">
        <v>47</v>
      </c>
      <c r="G8" s="4701" t="s">
        <v>46</v>
      </c>
      <c r="H8" s="4689" t="s">
        <v>45</v>
      </c>
      <c r="I8" s="4687" t="s">
        <v>44</v>
      </c>
      <c r="J8" s="4689" t="s">
        <v>43</v>
      </c>
      <c r="K8" s="4687" t="s">
        <v>59</v>
      </c>
      <c r="L8" s="4691" t="s">
        <v>1213</v>
      </c>
      <c r="M8" s="4687" t="s">
        <v>40</v>
      </c>
      <c r="N8" s="4689" t="s">
        <v>39</v>
      </c>
      <c r="O8" s="4687" t="s">
        <v>38</v>
      </c>
      <c r="P8" s="4689" t="s">
        <v>37</v>
      </c>
      <c r="Q8" s="4718" t="s">
        <v>48</v>
      </c>
      <c r="R8" s="4710" t="s">
        <v>28</v>
      </c>
      <c r="S8" s="919"/>
      <c r="T8" s="908"/>
      <c r="U8" s="750"/>
      <c r="V8" s="3270" t="s">
        <v>47</v>
      </c>
      <c r="W8" s="2790" t="s">
        <v>20</v>
      </c>
      <c r="X8" s="2798" t="str">
        <f>IF(('الصفحة 27'!K46-F26)&lt;&gt;0,"خطأ"," ")</f>
        <v xml:space="preserve"> </v>
      </c>
      <c r="Y8" s="1032"/>
      <c r="Z8" s="1006"/>
    </row>
    <row r="9" spans="1:26" ht="17.100000000000001" customHeight="1">
      <c r="A9" s="750"/>
      <c r="B9" s="907"/>
      <c r="C9" s="918"/>
      <c r="D9" s="4697" t="s">
        <v>58</v>
      </c>
      <c r="E9" s="4698"/>
      <c r="F9" s="4700"/>
      <c r="G9" s="4702"/>
      <c r="H9" s="4690"/>
      <c r="I9" s="4688"/>
      <c r="J9" s="4690"/>
      <c r="K9" s="4688"/>
      <c r="L9" s="4692"/>
      <c r="M9" s="4688"/>
      <c r="N9" s="4690"/>
      <c r="O9" s="4688"/>
      <c r="P9" s="4690"/>
      <c r="Q9" s="4719"/>
      <c r="R9" s="4711"/>
      <c r="S9" s="919"/>
      <c r="T9" s="908"/>
      <c r="U9" s="750"/>
      <c r="V9" s="3270"/>
      <c r="W9" s="2791" t="s">
        <v>49</v>
      </c>
      <c r="X9" s="2799" t="str">
        <f>IF(('الصفحة 27'!L46-F27)&lt;&gt;0,"خطأ"," ")</f>
        <v xml:space="preserve"> </v>
      </c>
      <c r="Y9" s="1032"/>
      <c r="Z9" s="1006"/>
    </row>
    <row r="10" spans="1:26" ht="15" customHeight="1">
      <c r="A10" s="750"/>
      <c r="B10" s="907"/>
      <c r="C10" s="918"/>
      <c r="D10" s="4693" t="s">
        <v>941</v>
      </c>
      <c r="E10" s="656" t="s">
        <v>20</v>
      </c>
      <c r="F10" s="2200"/>
      <c r="G10" s="2201"/>
      <c r="H10" s="2201"/>
      <c r="I10" s="2201"/>
      <c r="J10" s="2201"/>
      <c r="K10" s="2201"/>
      <c r="L10" s="2201"/>
      <c r="M10" s="2201"/>
      <c r="N10" s="2201"/>
      <c r="O10" s="2201"/>
      <c r="P10" s="2201"/>
      <c r="Q10" s="2202"/>
      <c r="R10" s="2078">
        <f>SUM(F10:Q10)</f>
        <v>0</v>
      </c>
      <c r="S10" s="919"/>
      <c r="T10" s="908"/>
      <c r="U10" s="750"/>
      <c r="V10" s="4727" t="s">
        <v>46</v>
      </c>
      <c r="W10" s="2790" t="s">
        <v>20</v>
      </c>
      <c r="X10" s="2800" t="str">
        <f>IF(('الصفحة 27'!K47-G26)&lt;&gt;0,"خطأ"," ")</f>
        <v xml:space="preserve"> </v>
      </c>
      <c r="Y10" s="1032"/>
      <c r="Z10" s="1006"/>
    </row>
    <row r="11" spans="1:26" ht="15" customHeight="1">
      <c r="A11" s="750"/>
      <c r="B11" s="907"/>
      <c r="C11" s="918"/>
      <c r="D11" s="4694"/>
      <c r="E11" s="657" t="s">
        <v>49</v>
      </c>
      <c r="F11" s="2203"/>
      <c r="G11" s="2204"/>
      <c r="H11" s="2204"/>
      <c r="I11" s="2204"/>
      <c r="J11" s="2204"/>
      <c r="K11" s="2204"/>
      <c r="L11" s="2204"/>
      <c r="M11" s="2204"/>
      <c r="N11" s="2204"/>
      <c r="O11" s="2204"/>
      <c r="P11" s="2204"/>
      <c r="Q11" s="2205"/>
      <c r="R11" s="2084">
        <f t="shared" ref="R11:R27" si="0">SUM(F11:Q11)</f>
        <v>0</v>
      </c>
      <c r="S11" s="919"/>
      <c r="T11" s="908"/>
      <c r="U11" s="750"/>
      <c r="V11" s="4727"/>
      <c r="W11" s="2791" t="s">
        <v>49</v>
      </c>
      <c r="X11" s="2799" t="str">
        <f>IF(('الصفحة 27'!L47-G27)&lt;&gt;0,"خطأ"," ")</f>
        <v xml:space="preserve"> </v>
      </c>
      <c r="Y11" s="1032"/>
      <c r="Z11" s="1006"/>
    </row>
    <row r="12" spans="1:26" ht="15" customHeight="1">
      <c r="A12" s="750"/>
      <c r="B12" s="907"/>
      <c r="C12" s="918"/>
      <c r="D12" s="4713" t="s">
        <v>56</v>
      </c>
      <c r="E12" s="656" t="s">
        <v>20</v>
      </c>
      <c r="F12" s="2206">
        <v>2</v>
      </c>
      <c r="G12" s="2207"/>
      <c r="H12" s="2207"/>
      <c r="I12" s="2207">
        <v>2</v>
      </c>
      <c r="J12" s="2207">
        <v>1</v>
      </c>
      <c r="K12" s="2207">
        <v>1</v>
      </c>
      <c r="L12" s="2207"/>
      <c r="M12" s="2207"/>
      <c r="N12" s="2207"/>
      <c r="O12" s="2207"/>
      <c r="P12" s="2207"/>
      <c r="Q12" s="2208"/>
      <c r="R12" s="2085">
        <f t="shared" si="0"/>
        <v>6</v>
      </c>
      <c r="S12" s="919"/>
      <c r="T12" s="908"/>
      <c r="U12" s="750"/>
      <c r="V12" s="3270" t="s">
        <v>45</v>
      </c>
      <c r="W12" s="2790" t="s">
        <v>20</v>
      </c>
      <c r="X12" s="2800" t="str">
        <f>IF(('الصفحة 27'!K48-H26)&lt;&gt;0,"خطأ"," ")</f>
        <v xml:space="preserve"> </v>
      </c>
      <c r="Z12" s="1006"/>
    </row>
    <row r="13" spans="1:26" ht="15" customHeight="1">
      <c r="A13" s="750"/>
      <c r="B13" s="907"/>
      <c r="C13" s="918"/>
      <c r="D13" s="4714"/>
      <c r="E13" s="657" t="s">
        <v>49</v>
      </c>
      <c r="F13" s="2209">
        <v>2</v>
      </c>
      <c r="G13" s="2210"/>
      <c r="H13" s="2210"/>
      <c r="I13" s="2210">
        <v>2</v>
      </c>
      <c r="J13" s="2210">
        <v>1</v>
      </c>
      <c r="K13" s="2210">
        <v>1</v>
      </c>
      <c r="L13" s="2210"/>
      <c r="M13" s="2210"/>
      <c r="N13" s="2210"/>
      <c r="O13" s="2210"/>
      <c r="P13" s="2210"/>
      <c r="Q13" s="2211"/>
      <c r="R13" s="2086">
        <f t="shared" si="0"/>
        <v>6</v>
      </c>
      <c r="S13" s="919"/>
      <c r="T13" s="908"/>
      <c r="U13" s="750"/>
      <c r="V13" s="3270"/>
      <c r="W13" s="2791" t="s">
        <v>49</v>
      </c>
      <c r="X13" s="2799" t="str">
        <f>IF(('الصفحة 27'!L48-H27)&lt;&gt;0,"خطأ"," ")</f>
        <v xml:space="preserve"> </v>
      </c>
      <c r="Z13" s="1006"/>
    </row>
    <row r="14" spans="1:26" ht="15" customHeight="1">
      <c r="A14" s="750"/>
      <c r="B14" s="907"/>
      <c r="C14" s="918"/>
      <c r="D14" s="4693" t="s">
        <v>942</v>
      </c>
      <c r="E14" s="656" t="s">
        <v>20</v>
      </c>
      <c r="F14" s="2206"/>
      <c r="G14" s="2207"/>
      <c r="H14" s="2207"/>
      <c r="I14" s="2207"/>
      <c r="J14" s="2207"/>
      <c r="K14" s="2207"/>
      <c r="L14" s="2207"/>
      <c r="M14" s="2207"/>
      <c r="N14" s="2207"/>
      <c r="O14" s="2207"/>
      <c r="P14" s="2207"/>
      <c r="Q14" s="2208"/>
      <c r="R14" s="2085">
        <f t="shared" si="0"/>
        <v>0</v>
      </c>
      <c r="S14" s="919"/>
      <c r="T14" s="908"/>
      <c r="U14" s="750"/>
      <c r="V14" s="3271" t="s">
        <v>44</v>
      </c>
      <c r="W14" s="2790" t="s">
        <v>20</v>
      </c>
      <c r="X14" s="2800" t="str">
        <f>IF(('الصفحة 27'!K49-I26)&lt;&gt;0,"خطأ"," ")</f>
        <v xml:space="preserve"> </v>
      </c>
      <c r="Y14" s="1032"/>
      <c r="Z14" s="1006"/>
    </row>
    <row r="15" spans="1:26" ht="15" customHeight="1">
      <c r="A15" s="750"/>
      <c r="B15" s="907"/>
      <c r="C15" s="918"/>
      <c r="D15" s="4717"/>
      <c r="E15" s="657" t="s">
        <v>49</v>
      </c>
      <c r="F15" s="2209"/>
      <c r="G15" s="2210"/>
      <c r="H15" s="2210"/>
      <c r="I15" s="2210"/>
      <c r="J15" s="2210"/>
      <c r="K15" s="2210"/>
      <c r="L15" s="2210"/>
      <c r="M15" s="2210"/>
      <c r="N15" s="2210"/>
      <c r="O15" s="2210"/>
      <c r="P15" s="2210"/>
      <c r="Q15" s="2211"/>
      <c r="R15" s="2086">
        <f t="shared" si="0"/>
        <v>0</v>
      </c>
      <c r="S15" s="919"/>
      <c r="T15" s="908"/>
      <c r="U15" s="750"/>
      <c r="V15" s="3271"/>
      <c r="W15" s="2791" t="s">
        <v>49</v>
      </c>
      <c r="X15" s="2799" t="str">
        <f>IF(('الصفحة 27'!L49-I27)&lt;&gt;0,"خطأ"," ")</f>
        <v xml:space="preserve"> </v>
      </c>
      <c r="Y15" s="1032"/>
      <c r="Z15" s="1006"/>
    </row>
    <row r="16" spans="1:26" ht="15" customHeight="1">
      <c r="A16" s="750"/>
      <c r="B16" s="907"/>
      <c r="C16" s="918"/>
      <c r="D16" s="4713" t="s">
        <v>943</v>
      </c>
      <c r="E16" s="656" t="s">
        <v>20</v>
      </c>
      <c r="F16" s="2206"/>
      <c r="G16" s="2207"/>
      <c r="H16" s="2207"/>
      <c r="I16" s="2207"/>
      <c r="J16" s="2207"/>
      <c r="K16" s="2207"/>
      <c r="L16" s="2207"/>
      <c r="M16" s="2207"/>
      <c r="N16" s="2207"/>
      <c r="O16" s="2207"/>
      <c r="P16" s="2207"/>
      <c r="Q16" s="2208"/>
      <c r="R16" s="2085">
        <f t="shared" si="0"/>
        <v>0</v>
      </c>
      <c r="S16" s="919"/>
      <c r="T16" s="908"/>
      <c r="U16" s="750"/>
      <c r="V16" s="4728" t="s">
        <v>43</v>
      </c>
      <c r="W16" s="2790" t="s">
        <v>20</v>
      </c>
      <c r="X16" s="2800" t="str">
        <f>IF(('الصفحة 27'!K50-J26)&lt;&gt;0,"خطأ"," ")</f>
        <v xml:space="preserve"> </v>
      </c>
      <c r="Y16" s="1032"/>
      <c r="Z16" s="1006"/>
    </row>
    <row r="17" spans="1:26" ht="15" customHeight="1">
      <c r="A17" s="750"/>
      <c r="B17" s="907"/>
      <c r="C17" s="918"/>
      <c r="D17" s="4714"/>
      <c r="E17" s="657" t="s">
        <v>49</v>
      </c>
      <c r="F17" s="2209"/>
      <c r="G17" s="2210"/>
      <c r="H17" s="2210"/>
      <c r="I17" s="2210"/>
      <c r="J17" s="2210"/>
      <c r="K17" s="2210"/>
      <c r="L17" s="2210"/>
      <c r="M17" s="2210"/>
      <c r="N17" s="2210"/>
      <c r="O17" s="2210"/>
      <c r="P17" s="2210"/>
      <c r="Q17" s="2211"/>
      <c r="R17" s="2086">
        <f t="shared" si="0"/>
        <v>0</v>
      </c>
      <c r="S17" s="919"/>
      <c r="T17" s="908"/>
      <c r="U17" s="750"/>
      <c r="V17" s="4728"/>
      <c r="W17" s="2791" t="s">
        <v>49</v>
      </c>
      <c r="X17" s="2799" t="str">
        <f>IF(('الصفحة 27'!L50-J27)&lt;&gt;0,"خطأ"," ")</f>
        <v xml:space="preserve"> </v>
      </c>
      <c r="Y17" s="1032"/>
      <c r="Z17" s="1006"/>
    </row>
    <row r="18" spans="1:26" ht="15" customHeight="1">
      <c r="A18" s="750"/>
      <c r="B18" s="907"/>
      <c r="C18" s="918"/>
      <c r="D18" s="4693" t="s">
        <v>944</v>
      </c>
      <c r="E18" s="656" t="s">
        <v>20</v>
      </c>
      <c r="F18" s="2206"/>
      <c r="G18" s="2207"/>
      <c r="H18" s="2207"/>
      <c r="I18" s="2207"/>
      <c r="J18" s="2207"/>
      <c r="K18" s="2207"/>
      <c r="L18" s="2207"/>
      <c r="M18" s="2207"/>
      <c r="N18" s="2207"/>
      <c r="O18" s="2207"/>
      <c r="P18" s="2207"/>
      <c r="Q18" s="2208"/>
      <c r="R18" s="2085">
        <f t="shared" si="0"/>
        <v>0</v>
      </c>
      <c r="S18" s="919"/>
      <c r="T18" s="908"/>
      <c r="U18" s="750"/>
      <c r="V18" s="3271" t="s">
        <v>42</v>
      </c>
      <c r="W18" s="2790" t="s">
        <v>20</v>
      </c>
      <c r="X18" s="2800" t="str">
        <f>IF(('الصفحة 27'!K51-K26)&lt;&gt;0,"خطأ"," ")</f>
        <v xml:space="preserve"> </v>
      </c>
      <c r="Y18" s="1032"/>
      <c r="Z18" s="1006"/>
    </row>
    <row r="19" spans="1:26" ht="15" customHeight="1">
      <c r="A19" s="750"/>
      <c r="B19" s="907"/>
      <c r="C19" s="918"/>
      <c r="D19" s="4717"/>
      <c r="E19" s="657" t="s">
        <v>49</v>
      </c>
      <c r="F19" s="2209"/>
      <c r="G19" s="2210"/>
      <c r="H19" s="2210"/>
      <c r="I19" s="2210"/>
      <c r="J19" s="2210"/>
      <c r="K19" s="2210"/>
      <c r="L19" s="2210"/>
      <c r="M19" s="2210"/>
      <c r="N19" s="2210"/>
      <c r="O19" s="2210"/>
      <c r="P19" s="2210"/>
      <c r="Q19" s="2211"/>
      <c r="R19" s="2086">
        <f t="shared" si="0"/>
        <v>0</v>
      </c>
      <c r="S19" s="919"/>
      <c r="T19" s="908"/>
      <c r="U19" s="750"/>
      <c r="V19" s="3271"/>
      <c r="W19" s="2791" t="s">
        <v>49</v>
      </c>
      <c r="X19" s="2799" t="str">
        <f>IF(('الصفحة 27'!L51-K27)&lt;&gt;0,"خطأ"," ")</f>
        <v xml:space="preserve"> </v>
      </c>
      <c r="Y19" s="1032"/>
      <c r="Z19" s="1006"/>
    </row>
    <row r="20" spans="1:26" ht="15" customHeight="1">
      <c r="A20" s="750"/>
      <c r="B20" s="907"/>
      <c r="C20" s="918"/>
      <c r="D20" s="4713" t="s">
        <v>1362</v>
      </c>
      <c r="E20" s="656" t="s">
        <v>20</v>
      </c>
      <c r="F20" s="2206"/>
      <c r="G20" s="2207"/>
      <c r="H20" s="2207"/>
      <c r="I20" s="2207"/>
      <c r="J20" s="2207"/>
      <c r="K20" s="2207"/>
      <c r="L20" s="2207"/>
      <c r="M20" s="2207"/>
      <c r="N20" s="2207"/>
      <c r="O20" s="2207"/>
      <c r="P20" s="2207"/>
      <c r="Q20" s="2208"/>
      <c r="R20" s="2085">
        <f t="shared" si="0"/>
        <v>0</v>
      </c>
      <c r="S20" s="919"/>
      <c r="T20" s="908"/>
      <c r="U20" s="750"/>
      <c r="V20" s="3270" t="s">
        <v>1111</v>
      </c>
      <c r="W20" s="2790" t="s">
        <v>20</v>
      </c>
      <c r="X20" s="2800" t="str">
        <f>IF(('الصفحة 27'!K52-L26)&lt;&gt;0,"خطأ"," ")</f>
        <v xml:space="preserve"> </v>
      </c>
      <c r="Y20" s="1032"/>
      <c r="Z20" s="1006"/>
    </row>
    <row r="21" spans="1:26" ht="15" customHeight="1">
      <c r="A21" s="750"/>
      <c r="B21" s="907"/>
      <c r="C21" s="918"/>
      <c r="D21" s="4714"/>
      <c r="E21" s="657" t="s">
        <v>49</v>
      </c>
      <c r="F21" s="2209"/>
      <c r="G21" s="2210"/>
      <c r="H21" s="2210"/>
      <c r="I21" s="2210"/>
      <c r="J21" s="2210"/>
      <c r="K21" s="2210"/>
      <c r="L21" s="2210"/>
      <c r="M21" s="2210"/>
      <c r="N21" s="2210"/>
      <c r="O21" s="2210"/>
      <c r="P21" s="2210"/>
      <c r="Q21" s="2211"/>
      <c r="R21" s="2086">
        <f t="shared" si="0"/>
        <v>0</v>
      </c>
      <c r="S21" s="919"/>
      <c r="T21" s="908"/>
      <c r="U21" s="750"/>
      <c r="V21" s="3270"/>
      <c r="W21" s="2791" t="s">
        <v>49</v>
      </c>
      <c r="X21" s="2799" t="str">
        <f>IF(('الصفحة 27'!L52-L27)&lt;&gt;0,"خطأ"," ")</f>
        <v xml:space="preserve"> </v>
      </c>
      <c r="Y21" s="1032"/>
      <c r="Z21" s="1006"/>
    </row>
    <row r="22" spans="1:26" ht="15" customHeight="1">
      <c r="A22" s="750"/>
      <c r="B22" s="907"/>
      <c r="C22" s="918"/>
      <c r="D22" s="4693" t="s">
        <v>945</v>
      </c>
      <c r="E22" s="656" t="s">
        <v>20</v>
      </c>
      <c r="F22" s="2206"/>
      <c r="G22" s="2207"/>
      <c r="H22" s="2207"/>
      <c r="I22" s="2207"/>
      <c r="J22" s="2207"/>
      <c r="K22" s="2207"/>
      <c r="L22" s="2207"/>
      <c r="M22" s="2207"/>
      <c r="N22" s="2207"/>
      <c r="O22" s="2207"/>
      <c r="P22" s="2207"/>
      <c r="Q22" s="2208"/>
      <c r="R22" s="2085">
        <f t="shared" si="0"/>
        <v>0</v>
      </c>
      <c r="S22" s="919"/>
      <c r="T22" s="908"/>
      <c r="U22" s="750"/>
      <c r="V22" s="3271" t="s">
        <v>40</v>
      </c>
      <c r="W22" s="2790" t="s">
        <v>20</v>
      </c>
      <c r="X22" s="2800" t="str">
        <f>IF(('الصفحة 27'!K53-M26)&lt;&gt;0,"خطأ"," ")</f>
        <v xml:space="preserve"> </v>
      </c>
      <c r="Y22" s="1032"/>
      <c r="Z22" s="1006"/>
    </row>
    <row r="23" spans="1:26" ht="15" customHeight="1">
      <c r="A23" s="750"/>
      <c r="B23" s="907"/>
      <c r="C23" s="918"/>
      <c r="D23" s="4717"/>
      <c r="E23" s="657" t="s">
        <v>49</v>
      </c>
      <c r="F23" s="2209"/>
      <c r="G23" s="2210"/>
      <c r="H23" s="2210"/>
      <c r="I23" s="2210"/>
      <c r="J23" s="2210"/>
      <c r="K23" s="2210"/>
      <c r="L23" s="2210"/>
      <c r="M23" s="2210"/>
      <c r="N23" s="2210"/>
      <c r="O23" s="2210"/>
      <c r="P23" s="2210"/>
      <c r="Q23" s="2211"/>
      <c r="R23" s="2086">
        <f t="shared" si="0"/>
        <v>0</v>
      </c>
      <c r="S23" s="919"/>
      <c r="T23" s="908"/>
      <c r="U23" s="750"/>
      <c r="V23" s="3271"/>
      <c r="W23" s="2791" t="s">
        <v>49</v>
      </c>
      <c r="X23" s="2799" t="str">
        <f>IF(('الصفحة 27'!L53-M27)&lt;&gt;0,"خطأ"," ")</f>
        <v xml:space="preserve"> </v>
      </c>
      <c r="Y23" s="1032"/>
      <c r="Z23" s="1006"/>
    </row>
    <row r="24" spans="1:26" ht="15" customHeight="1">
      <c r="A24" s="750"/>
      <c r="B24" s="907"/>
      <c r="C24" s="918"/>
      <c r="D24" s="4713" t="s">
        <v>50</v>
      </c>
      <c r="E24" s="656" t="s">
        <v>20</v>
      </c>
      <c r="F24" s="2206"/>
      <c r="G24" s="2207"/>
      <c r="H24" s="2207"/>
      <c r="I24" s="2207"/>
      <c r="J24" s="2207"/>
      <c r="K24" s="2207"/>
      <c r="L24" s="2207"/>
      <c r="M24" s="2207"/>
      <c r="N24" s="2207"/>
      <c r="O24" s="2207"/>
      <c r="P24" s="2207"/>
      <c r="Q24" s="2208"/>
      <c r="R24" s="2085">
        <f t="shared" si="0"/>
        <v>0</v>
      </c>
      <c r="S24" s="919"/>
      <c r="T24" s="908"/>
      <c r="U24" s="750"/>
      <c r="V24" s="3270" t="s">
        <v>39</v>
      </c>
      <c r="W24" s="2790" t="s">
        <v>20</v>
      </c>
      <c r="X24" s="2800" t="str">
        <f>IF(('الصفحة 27'!K54-N26)&lt;&gt;0,"خطأ"," ")</f>
        <v xml:space="preserve"> </v>
      </c>
      <c r="Y24" s="1032"/>
      <c r="Z24" s="1006"/>
    </row>
    <row r="25" spans="1:26" ht="15" customHeight="1">
      <c r="A25" s="750"/>
      <c r="B25" s="907"/>
      <c r="C25" s="918"/>
      <c r="D25" s="4714"/>
      <c r="E25" s="657" t="s">
        <v>49</v>
      </c>
      <c r="F25" s="2212"/>
      <c r="G25" s="2213"/>
      <c r="H25" s="2213"/>
      <c r="I25" s="2213"/>
      <c r="J25" s="2213"/>
      <c r="K25" s="2213"/>
      <c r="L25" s="2213"/>
      <c r="M25" s="2213"/>
      <c r="N25" s="2213"/>
      <c r="O25" s="2213"/>
      <c r="P25" s="2213"/>
      <c r="Q25" s="2214"/>
      <c r="R25" s="2087">
        <f t="shared" si="0"/>
        <v>0</v>
      </c>
      <c r="S25" s="919"/>
      <c r="T25" s="908"/>
      <c r="U25" s="750"/>
      <c r="V25" s="3270"/>
      <c r="W25" s="2791" t="s">
        <v>49</v>
      </c>
      <c r="X25" s="2799" t="str">
        <f>IF(('الصفحة 27'!L54-N27)&lt;&gt;0,"خطأ"," ")</f>
        <v xml:space="preserve"> </v>
      </c>
      <c r="Y25" s="1032"/>
      <c r="Z25" s="1006"/>
    </row>
    <row r="26" spans="1:26" ht="15" customHeight="1">
      <c r="A26" s="750"/>
      <c r="B26" s="907"/>
      <c r="C26" s="918"/>
      <c r="D26" s="4715" t="s">
        <v>28</v>
      </c>
      <c r="E26" s="2075" t="s">
        <v>20</v>
      </c>
      <c r="F26" s="2078">
        <f t="shared" ref="F26:P27" si="1">F24+F22+F20+F18+F16+F14+F12+F10</f>
        <v>2</v>
      </c>
      <c r="G26" s="2078">
        <f t="shared" si="1"/>
        <v>0</v>
      </c>
      <c r="H26" s="2078">
        <f t="shared" si="1"/>
        <v>0</v>
      </c>
      <c r="I26" s="2078">
        <f t="shared" si="1"/>
        <v>2</v>
      </c>
      <c r="J26" s="2078">
        <f t="shared" si="1"/>
        <v>1</v>
      </c>
      <c r="K26" s="2078">
        <f t="shared" si="1"/>
        <v>1</v>
      </c>
      <c r="L26" s="2078">
        <f t="shared" si="1"/>
        <v>0</v>
      </c>
      <c r="M26" s="2078">
        <f t="shared" si="1"/>
        <v>0</v>
      </c>
      <c r="N26" s="2078">
        <f t="shared" si="1"/>
        <v>0</v>
      </c>
      <c r="O26" s="2078">
        <f t="shared" si="1"/>
        <v>0</v>
      </c>
      <c r="P26" s="2078">
        <f t="shared" si="1"/>
        <v>0</v>
      </c>
      <c r="Q26" s="2078">
        <f>Q24+Q22+Q20+Q18+Q16+Q14+Q12+Q10</f>
        <v>0</v>
      </c>
      <c r="R26" s="2078">
        <f t="shared" si="0"/>
        <v>6</v>
      </c>
      <c r="S26" s="919"/>
      <c r="T26" s="908"/>
      <c r="U26" s="750"/>
      <c r="V26" s="3271" t="s">
        <v>38</v>
      </c>
      <c r="W26" s="2790" t="s">
        <v>20</v>
      </c>
      <c r="X26" s="2800" t="str">
        <f>IF(('الصفحة 27'!K55-O26)&lt;&gt;0,"خطأ"," ")</f>
        <v xml:space="preserve"> </v>
      </c>
      <c r="Y26" s="1032"/>
      <c r="Z26" s="1006"/>
    </row>
    <row r="27" spans="1:26" ht="15" customHeight="1">
      <c r="A27" s="750"/>
      <c r="B27" s="907"/>
      <c r="C27" s="918"/>
      <c r="D27" s="4716"/>
      <c r="E27" s="2076" t="s">
        <v>49</v>
      </c>
      <c r="F27" s="2077">
        <f t="shared" si="1"/>
        <v>2</v>
      </c>
      <c r="G27" s="2077">
        <f t="shared" si="1"/>
        <v>0</v>
      </c>
      <c r="H27" s="2077">
        <f t="shared" si="1"/>
        <v>0</v>
      </c>
      <c r="I27" s="2077">
        <f t="shared" si="1"/>
        <v>2</v>
      </c>
      <c r="J27" s="2077">
        <f t="shared" si="1"/>
        <v>1</v>
      </c>
      <c r="K27" s="2077">
        <f t="shared" si="1"/>
        <v>1</v>
      </c>
      <c r="L27" s="2077">
        <f t="shared" si="1"/>
        <v>0</v>
      </c>
      <c r="M27" s="2077">
        <f t="shared" si="1"/>
        <v>0</v>
      </c>
      <c r="N27" s="2077">
        <f t="shared" si="1"/>
        <v>0</v>
      </c>
      <c r="O27" s="2077">
        <f t="shared" si="1"/>
        <v>0</v>
      </c>
      <c r="P27" s="2077">
        <f t="shared" si="1"/>
        <v>0</v>
      </c>
      <c r="Q27" s="2077">
        <f>Q25+Q23+Q21+Q19+Q17+Q15+Q13+Q11</f>
        <v>0</v>
      </c>
      <c r="R27" s="2077">
        <f t="shared" si="0"/>
        <v>6</v>
      </c>
      <c r="S27" s="919"/>
      <c r="T27" s="908"/>
      <c r="U27" s="750"/>
      <c r="V27" s="3271"/>
      <c r="W27" s="2791" t="s">
        <v>49</v>
      </c>
      <c r="X27" s="2799" t="str">
        <f>IF(('الصفحة 27'!L55-O27)&lt;&gt;0,"خطأ"," ")</f>
        <v xml:space="preserve"> </v>
      </c>
      <c r="Y27" s="1032"/>
      <c r="Z27" s="1006"/>
    </row>
    <row r="28" spans="1:26" ht="14.1" customHeight="1">
      <c r="A28" s="750"/>
      <c r="B28" s="907"/>
      <c r="C28" s="916"/>
      <c r="D28" s="668"/>
      <c r="E28" s="668"/>
      <c r="F28" s="2537" t="str">
        <f>IF(('الصفحة 1'!$Q$14&gt;0),IF((F$26&gt;0),IF(((F$26)&lt;&gt;('الصفحة 15'!$P$33)),"خطء",""),""),"")</f>
        <v/>
      </c>
      <c r="G28" s="2537" t="str">
        <f>IF(('الصفحة 1'!$Q$14&gt;0),IF((G$26&gt;0),IF(((G$26)&lt;&gt;('الصفحة 16'!$P$33)),"خطء",""),""),"")</f>
        <v/>
      </c>
      <c r="H28" s="2537" t="str">
        <f>IF(('الصفحة 1'!$Q$14&gt;0),IF((H$26&gt;0),IF(((H$26)&lt;&gt;('الصفحة 17'!$P$33)),"خطء",""),""),"")</f>
        <v/>
      </c>
      <c r="I28" s="2537" t="str">
        <f>IF(('الصفحة 1'!$Q$14&gt;0),IF((I$26&gt;0),IF(((I$26)&lt;&gt;('الصفحة 18'!$P$33)),"خطء",""),""),"")</f>
        <v/>
      </c>
      <c r="J28" s="2537" t="str">
        <f>IF(('الصفحة 1'!$Q$14&gt;0),IF((J$26&gt;0),IF(((J$26)&lt;&gt;('الصفحة 19'!$P$33)),"خطء",""),""),"")</f>
        <v/>
      </c>
      <c r="K28" s="2537" t="str">
        <f>IF(('الصفحة 1'!$Q$14&gt;0),IF((K$26&gt;0),IF(((K$26)&lt;&gt;('الصفحة 20'!$P$33)),"خطء",""),""),"")</f>
        <v/>
      </c>
      <c r="L28" s="2537" t="str">
        <f>IF(('الصفحة 1'!$Q$14&gt;0),IF((L$26&gt;0),IF(((L$26)&lt;&gt;('الصفحة 21'!$P$33)),"خطء",""),""),"")</f>
        <v/>
      </c>
      <c r="M28" s="2537" t="str">
        <f>IF(('الصفحة 1'!$Q$14&gt;0),IF((M$26&gt;0),IF(((M$26)&lt;&gt;('الصفحة 22'!$P$33)),"خطء",""),""),"")</f>
        <v/>
      </c>
      <c r="N28" s="2537" t="str">
        <f>IF(('الصفحة 1'!$Q$14&gt;0),IF((N$26&gt;0),IF(((N$26)&lt;&gt;('الصفحة 23'!$P$33)),"خطء",""),""),"")</f>
        <v/>
      </c>
      <c r="O28" s="2537" t="str">
        <f>IF(('الصفحة 1'!$Q$14&gt;0),IF((O$26&gt;0),IF(((O$26)&lt;&gt;('الصفحة 24'!$P$33)),"خطء",""),""),"")</f>
        <v/>
      </c>
      <c r="P28" s="2537" t="str">
        <f>IF(('الصفحة 1'!$Q$14&gt;0),IF((P$26&gt;0),IF(((P$26)&lt;&gt;('الصفحة 25'!$P$33)),"خطء",""),""),"")</f>
        <v/>
      </c>
      <c r="Q28" s="2537" t="str">
        <f>IF(('الصفحة 1'!$Q$14&gt;0),IF((Q$26&gt;0),IF(((Q$26)&lt;&gt;('الصفحة 26'!$P$33)),"خطء",""),""),"")</f>
        <v/>
      </c>
      <c r="R28" s="2537"/>
      <c r="S28" s="1398"/>
      <c r="T28" s="908"/>
      <c r="U28" s="750"/>
      <c r="V28" s="3270" t="s">
        <v>37</v>
      </c>
      <c r="W28" s="2790" t="s">
        <v>20</v>
      </c>
      <c r="X28" s="2800" t="str">
        <f>IF(('الصفحة 27'!K56-P26)&lt;&gt;0,"خطأ"," ")</f>
        <v xml:space="preserve"> </v>
      </c>
      <c r="Y28" s="1032"/>
      <c r="Z28" s="1006"/>
    </row>
    <row r="29" spans="1:26" ht="18" customHeight="1">
      <c r="A29" s="750"/>
      <c r="B29" s="907"/>
      <c r="C29" s="974"/>
      <c r="D29" s="975" t="s">
        <v>1364</v>
      </c>
      <c r="E29" s="976"/>
      <c r="F29" s="976"/>
      <c r="G29" s="976"/>
      <c r="H29" s="976"/>
      <c r="I29" s="976"/>
      <c r="J29" s="977"/>
      <c r="K29" s="976"/>
      <c r="L29" s="976"/>
      <c r="M29" s="976"/>
      <c r="N29" s="976"/>
      <c r="O29" s="976"/>
      <c r="P29" s="4284"/>
      <c r="Q29" s="4284"/>
      <c r="R29" s="976"/>
      <c r="S29" s="978"/>
      <c r="T29" s="908"/>
      <c r="U29" s="750"/>
      <c r="V29" s="3270"/>
      <c r="W29" s="2791" t="s">
        <v>49</v>
      </c>
      <c r="X29" s="2799" t="str">
        <f>IF(('الصفحة 27'!L56-P27)&lt;&gt;0,"خطأ"," ")</f>
        <v xml:space="preserve"> </v>
      </c>
      <c r="Y29" s="1032"/>
      <c r="Z29" s="1006"/>
    </row>
    <row r="30" spans="1:26" ht="3.9" customHeight="1">
      <c r="A30" s="750"/>
      <c r="B30" s="907"/>
      <c r="C30" s="916"/>
      <c r="D30" s="668"/>
      <c r="E30" s="668"/>
      <c r="S30" s="1398"/>
      <c r="T30" s="908"/>
      <c r="U30" s="750"/>
      <c r="V30" s="3272"/>
      <c r="Y30" s="1032"/>
      <c r="Z30" s="1006"/>
    </row>
    <row r="31" spans="1:26" ht="18" customHeight="1">
      <c r="A31" s="750"/>
      <c r="B31" s="907"/>
      <c r="C31" s="916"/>
      <c r="D31" s="4695" t="s">
        <v>30</v>
      </c>
      <c r="E31" s="4696"/>
      <c r="F31" s="4699" t="s">
        <v>47</v>
      </c>
      <c r="G31" s="4701" t="s">
        <v>46</v>
      </c>
      <c r="H31" s="4689" t="s">
        <v>45</v>
      </c>
      <c r="I31" s="4687" t="s">
        <v>44</v>
      </c>
      <c r="J31" s="4689" t="s">
        <v>43</v>
      </c>
      <c r="K31" s="4687" t="s">
        <v>59</v>
      </c>
      <c r="L31" s="4691" t="s">
        <v>1213</v>
      </c>
      <c r="M31" s="4687" t="s">
        <v>40</v>
      </c>
      <c r="N31" s="4689" t="s">
        <v>39</v>
      </c>
      <c r="O31" s="4687" t="s">
        <v>38</v>
      </c>
      <c r="P31" s="4689" t="s">
        <v>37</v>
      </c>
      <c r="Q31" s="4718" t="s">
        <v>48</v>
      </c>
      <c r="R31" s="4710" t="s">
        <v>28</v>
      </c>
      <c r="S31" s="1398"/>
      <c r="T31" s="908"/>
      <c r="U31" s="750"/>
      <c r="V31" s="4729" t="s">
        <v>48</v>
      </c>
      <c r="W31" s="2790" t="s">
        <v>20</v>
      </c>
      <c r="X31" s="2800" t="str">
        <f>IF(('الصفحة 27'!K57-Q26)&lt;&gt;0,"خطأ"," ")</f>
        <v xml:space="preserve"> </v>
      </c>
      <c r="Y31" s="1032"/>
      <c r="Z31" s="1006"/>
    </row>
    <row r="32" spans="1:26" ht="18" customHeight="1">
      <c r="A32" s="750"/>
      <c r="B32" s="907"/>
      <c r="C32" s="916"/>
      <c r="D32" s="4697" t="s">
        <v>582</v>
      </c>
      <c r="E32" s="4698"/>
      <c r="F32" s="4700"/>
      <c r="G32" s="4702"/>
      <c r="H32" s="4690"/>
      <c r="I32" s="4688"/>
      <c r="J32" s="4690"/>
      <c r="K32" s="4688"/>
      <c r="L32" s="4692"/>
      <c r="M32" s="4688"/>
      <c r="N32" s="4690"/>
      <c r="O32" s="4688"/>
      <c r="P32" s="4690"/>
      <c r="Q32" s="4719"/>
      <c r="R32" s="4711"/>
      <c r="S32" s="917"/>
      <c r="T32" s="908"/>
      <c r="U32" s="750"/>
      <c r="V32" s="4729"/>
      <c r="W32" s="2791" t="s">
        <v>49</v>
      </c>
      <c r="X32" s="2799" t="str">
        <f>IF(('الصفحة 27'!L57-Q27)&lt;&gt;0,"خطأ"," ")</f>
        <v xml:space="preserve"> </v>
      </c>
      <c r="Y32" s="1032"/>
      <c r="Z32" s="1006"/>
    </row>
    <row r="33" spans="1:26" ht="15" customHeight="1">
      <c r="A33" s="750"/>
      <c r="B33" s="907"/>
      <c r="C33" s="916"/>
      <c r="D33" s="4693" t="s">
        <v>619</v>
      </c>
      <c r="E33" s="656" t="s">
        <v>20</v>
      </c>
      <c r="F33" s="2200"/>
      <c r="G33" s="2201"/>
      <c r="H33" s="2201"/>
      <c r="I33" s="2201"/>
      <c r="J33" s="2201"/>
      <c r="K33" s="2201"/>
      <c r="L33" s="2201"/>
      <c r="M33" s="2201"/>
      <c r="N33" s="2201"/>
      <c r="O33" s="2201"/>
      <c r="P33" s="2201"/>
      <c r="Q33" s="2202"/>
      <c r="R33" s="2907">
        <f>SUM(F33:Q33)</f>
        <v>0</v>
      </c>
      <c r="S33" s="917"/>
      <c r="T33" s="908"/>
      <c r="U33" s="750"/>
      <c r="Y33" s="1032"/>
      <c r="Z33" s="1006"/>
    </row>
    <row r="34" spans="1:26" ht="15" customHeight="1">
      <c r="A34" s="750"/>
      <c r="B34" s="907"/>
      <c r="C34" s="916"/>
      <c r="D34" s="4694"/>
      <c r="E34" s="657" t="s">
        <v>49</v>
      </c>
      <c r="F34" s="2203"/>
      <c r="G34" s="2204"/>
      <c r="H34" s="2204"/>
      <c r="I34" s="2204"/>
      <c r="J34" s="2204"/>
      <c r="K34" s="2204"/>
      <c r="L34" s="2204"/>
      <c r="M34" s="2204"/>
      <c r="N34" s="2204"/>
      <c r="O34" s="2204"/>
      <c r="P34" s="2204"/>
      <c r="Q34" s="2205"/>
      <c r="R34" s="2908">
        <f t="shared" ref="R34:R42" si="2">SUM(F34:Q34)</f>
        <v>0</v>
      </c>
      <c r="S34" s="917"/>
      <c r="T34" s="908"/>
      <c r="U34" s="750"/>
      <c r="Y34" s="2796"/>
      <c r="Z34" s="1006"/>
    </row>
    <row r="35" spans="1:26" ht="15" customHeight="1">
      <c r="A35" s="750"/>
      <c r="B35" s="907"/>
      <c r="C35" s="916"/>
      <c r="D35" s="4713" t="s">
        <v>233</v>
      </c>
      <c r="E35" s="656" t="s">
        <v>20</v>
      </c>
      <c r="F35" s="2206"/>
      <c r="G35" s="2207"/>
      <c r="H35" s="2207"/>
      <c r="I35" s="2207"/>
      <c r="J35" s="2207"/>
      <c r="K35" s="2207"/>
      <c r="L35" s="2207"/>
      <c r="M35" s="2207"/>
      <c r="N35" s="2207"/>
      <c r="O35" s="2207"/>
      <c r="P35" s="2207"/>
      <c r="Q35" s="2208"/>
      <c r="R35" s="2909">
        <f t="shared" si="2"/>
        <v>0</v>
      </c>
      <c r="S35" s="917"/>
      <c r="T35" s="908"/>
      <c r="U35" s="750"/>
      <c r="V35" s="2795"/>
      <c r="W35" s="2796"/>
      <c r="X35" s="2796"/>
      <c r="Y35" s="2796"/>
      <c r="Z35" s="1006"/>
    </row>
    <row r="36" spans="1:26" ht="15" customHeight="1">
      <c r="A36" s="750"/>
      <c r="B36" s="907"/>
      <c r="C36" s="916"/>
      <c r="D36" s="4714"/>
      <c r="E36" s="657" t="s">
        <v>49</v>
      </c>
      <c r="F36" s="2209"/>
      <c r="G36" s="2210"/>
      <c r="H36" s="2210"/>
      <c r="I36" s="2210"/>
      <c r="J36" s="2210"/>
      <c r="K36" s="2210"/>
      <c r="L36" s="2210"/>
      <c r="M36" s="2210"/>
      <c r="N36" s="2210"/>
      <c r="O36" s="2210"/>
      <c r="P36" s="2210"/>
      <c r="Q36" s="2211"/>
      <c r="R36" s="2910">
        <f t="shared" si="2"/>
        <v>0</v>
      </c>
      <c r="S36" s="917"/>
      <c r="T36" s="908"/>
      <c r="U36" s="750"/>
      <c r="V36" s="2795"/>
      <c r="W36" s="2796"/>
      <c r="X36" s="2796"/>
      <c r="Y36" s="2796"/>
      <c r="Z36" s="1006"/>
    </row>
    <row r="37" spans="1:26" ht="15" customHeight="1">
      <c r="A37" s="750"/>
      <c r="B37" s="907"/>
      <c r="C37" s="916"/>
      <c r="D37" s="4693" t="s">
        <v>710</v>
      </c>
      <c r="E37" s="656" t="s">
        <v>20</v>
      </c>
      <c r="F37" s="2206"/>
      <c r="G37" s="2207"/>
      <c r="H37" s="2207"/>
      <c r="I37" s="2207"/>
      <c r="J37" s="2207"/>
      <c r="K37" s="2207"/>
      <c r="L37" s="2207"/>
      <c r="M37" s="2207"/>
      <c r="N37" s="2207"/>
      <c r="O37" s="2207"/>
      <c r="P37" s="2207"/>
      <c r="Q37" s="2208"/>
      <c r="R37" s="2909">
        <f t="shared" si="2"/>
        <v>0</v>
      </c>
      <c r="S37" s="917"/>
      <c r="T37" s="908"/>
      <c r="U37" s="750"/>
      <c r="W37" s="2796"/>
      <c r="X37" s="2796"/>
      <c r="Y37" s="2796"/>
      <c r="Z37" s="1006"/>
    </row>
    <row r="38" spans="1:26" ht="15" customHeight="1">
      <c r="A38" s="750"/>
      <c r="B38" s="907"/>
      <c r="C38" s="916"/>
      <c r="D38" s="4717"/>
      <c r="E38" s="657" t="s">
        <v>49</v>
      </c>
      <c r="F38" s="2209"/>
      <c r="G38" s="2210"/>
      <c r="H38" s="2210"/>
      <c r="I38" s="2210"/>
      <c r="J38" s="2210"/>
      <c r="K38" s="2210"/>
      <c r="L38" s="2210"/>
      <c r="M38" s="2210"/>
      <c r="N38" s="2210"/>
      <c r="O38" s="2210"/>
      <c r="P38" s="2210"/>
      <c r="Q38" s="2211"/>
      <c r="R38" s="2910">
        <f t="shared" si="2"/>
        <v>0</v>
      </c>
      <c r="S38" s="917"/>
      <c r="T38" s="908"/>
      <c r="U38" s="750"/>
      <c r="W38" s="2796"/>
      <c r="X38" s="2796"/>
      <c r="Y38" s="2796"/>
      <c r="Z38" s="1006"/>
    </row>
    <row r="39" spans="1:26" ht="15" customHeight="1">
      <c r="A39" s="750"/>
      <c r="B39" s="907"/>
      <c r="C39" s="916"/>
      <c r="D39" s="4713" t="s">
        <v>698</v>
      </c>
      <c r="E39" s="656" t="s">
        <v>20</v>
      </c>
      <c r="F39" s="2206">
        <v>2</v>
      </c>
      <c r="G39" s="2207"/>
      <c r="H39" s="2207"/>
      <c r="I39" s="2207">
        <v>2</v>
      </c>
      <c r="J39" s="2207">
        <v>1</v>
      </c>
      <c r="K39" s="2207">
        <v>1</v>
      </c>
      <c r="L39" s="2207"/>
      <c r="M39" s="2207"/>
      <c r="N39" s="2207"/>
      <c r="O39" s="2207"/>
      <c r="P39" s="2207"/>
      <c r="Q39" s="2208"/>
      <c r="R39" s="2909">
        <f t="shared" si="2"/>
        <v>6</v>
      </c>
      <c r="S39" s="917"/>
      <c r="T39" s="908"/>
      <c r="U39" s="750"/>
      <c r="V39" s="2795"/>
      <c r="W39" s="2796"/>
      <c r="X39" s="2796"/>
      <c r="Y39" s="2796"/>
      <c r="Z39" s="1006"/>
    </row>
    <row r="40" spans="1:26" ht="15" customHeight="1">
      <c r="A40" s="750"/>
      <c r="B40" s="907"/>
      <c r="C40" s="916"/>
      <c r="D40" s="4714"/>
      <c r="E40" s="657" t="s">
        <v>49</v>
      </c>
      <c r="F40" s="2209">
        <v>2</v>
      </c>
      <c r="G40" s="2210"/>
      <c r="H40" s="2210"/>
      <c r="I40" s="2210">
        <v>2</v>
      </c>
      <c r="J40" s="2210">
        <v>1</v>
      </c>
      <c r="K40" s="2210">
        <v>1</v>
      </c>
      <c r="L40" s="2210"/>
      <c r="M40" s="2210"/>
      <c r="N40" s="2210"/>
      <c r="O40" s="2210"/>
      <c r="P40" s="2210"/>
      <c r="Q40" s="2211"/>
      <c r="R40" s="2910">
        <f t="shared" si="2"/>
        <v>6</v>
      </c>
      <c r="S40" s="917"/>
      <c r="T40" s="908"/>
      <c r="U40" s="750"/>
      <c r="V40" s="2795"/>
      <c r="W40" s="2796"/>
      <c r="X40" s="2796"/>
      <c r="Y40" s="2796"/>
      <c r="Z40" s="1006"/>
    </row>
    <row r="41" spans="1:26" ht="15" customHeight="1">
      <c r="A41" s="750"/>
      <c r="B41" s="907"/>
      <c r="C41" s="916"/>
      <c r="D41" s="4693" t="s">
        <v>1113</v>
      </c>
      <c r="E41" s="656" t="s">
        <v>20</v>
      </c>
      <c r="F41" s="2206"/>
      <c r="G41" s="2207"/>
      <c r="H41" s="2207"/>
      <c r="I41" s="2207"/>
      <c r="J41" s="2207"/>
      <c r="K41" s="2207"/>
      <c r="L41" s="2207"/>
      <c r="M41" s="2207"/>
      <c r="N41" s="2207"/>
      <c r="O41" s="2207"/>
      <c r="P41" s="2207"/>
      <c r="Q41" s="2208"/>
      <c r="R41" s="2909">
        <f t="shared" si="2"/>
        <v>0</v>
      </c>
      <c r="S41" s="917"/>
      <c r="T41" s="908"/>
      <c r="U41" s="750"/>
      <c r="V41" s="2795"/>
      <c r="W41" s="2796"/>
      <c r="X41" s="2796"/>
      <c r="Y41" s="2796"/>
      <c r="Z41" s="1006"/>
    </row>
    <row r="42" spans="1:26" ht="15" customHeight="1">
      <c r="A42" s="750"/>
      <c r="B42" s="907"/>
      <c r="C42" s="916"/>
      <c r="D42" s="4717"/>
      <c r="E42" s="657" t="s">
        <v>49</v>
      </c>
      <c r="F42" s="2203"/>
      <c r="G42" s="2204"/>
      <c r="H42" s="2204"/>
      <c r="I42" s="2204"/>
      <c r="J42" s="2204"/>
      <c r="K42" s="2204"/>
      <c r="L42" s="2204"/>
      <c r="M42" s="2204"/>
      <c r="N42" s="2204"/>
      <c r="O42" s="2204"/>
      <c r="P42" s="2204"/>
      <c r="Q42" s="2205"/>
      <c r="R42" s="2908">
        <f t="shared" si="2"/>
        <v>0</v>
      </c>
      <c r="S42" s="917"/>
      <c r="T42" s="908"/>
      <c r="U42" s="750"/>
      <c r="V42" s="2795"/>
      <c r="W42" s="2796"/>
      <c r="X42" s="2796"/>
      <c r="Y42" s="2796"/>
      <c r="Z42" s="1006"/>
    </row>
    <row r="43" spans="1:26" ht="15" customHeight="1">
      <c r="A43" s="750"/>
      <c r="B43" s="907"/>
      <c r="C43" s="916"/>
      <c r="D43" s="4715" t="s">
        <v>28</v>
      </c>
      <c r="E43" s="2075" t="s">
        <v>20</v>
      </c>
      <c r="F43" s="2912">
        <f>F41+F39+F37+F35+F33</f>
        <v>2</v>
      </c>
      <c r="G43" s="2912">
        <f t="shared" ref="G43:R43" si="3">G41+G39+G37+G35+G33</f>
        <v>0</v>
      </c>
      <c r="H43" s="2912">
        <f t="shared" si="3"/>
        <v>0</v>
      </c>
      <c r="I43" s="2912">
        <f t="shared" si="3"/>
        <v>2</v>
      </c>
      <c r="J43" s="2912">
        <f t="shared" si="3"/>
        <v>1</v>
      </c>
      <c r="K43" s="2912">
        <f t="shared" si="3"/>
        <v>1</v>
      </c>
      <c r="L43" s="2912">
        <f t="shared" si="3"/>
        <v>0</v>
      </c>
      <c r="M43" s="2912">
        <f t="shared" si="3"/>
        <v>0</v>
      </c>
      <c r="N43" s="2912">
        <f t="shared" si="3"/>
        <v>0</v>
      </c>
      <c r="O43" s="2912">
        <f t="shared" si="3"/>
        <v>0</v>
      </c>
      <c r="P43" s="2912">
        <f t="shared" si="3"/>
        <v>0</v>
      </c>
      <c r="Q43" s="2912">
        <f t="shared" si="3"/>
        <v>0</v>
      </c>
      <c r="R43" s="2912">
        <f t="shared" si="3"/>
        <v>6</v>
      </c>
      <c r="S43" s="917"/>
      <c r="T43" s="908"/>
      <c r="U43" s="750"/>
      <c r="V43" s="2795"/>
      <c r="W43" s="2796"/>
      <c r="X43" s="2796"/>
      <c r="Y43" s="2796"/>
      <c r="Z43" s="1006"/>
    </row>
    <row r="44" spans="1:26" ht="15" customHeight="1">
      <c r="A44" s="750"/>
      <c r="B44" s="907"/>
      <c r="C44" s="916"/>
      <c r="D44" s="4716"/>
      <c r="E44" s="2076" t="s">
        <v>49</v>
      </c>
      <c r="F44" s="2911">
        <f t="shared" ref="F44:R44" si="4">F42+F40+F38+F36+F34</f>
        <v>2</v>
      </c>
      <c r="G44" s="2911">
        <f t="shared" si="4"/>
        <v>0</v>
      </c>
      <c r="H44" s="2911">
        <f t="shared" si="4"/>
        <v>0</v>
      </c>
      <c r="I44" s="2911">
        <f t="shared" si="4"/>
        <v>2</v>
      </c>
      <c r="J44" s="2911">
        <f t="shared" si="4"/>
        <v>1</v>
      </c>
      <c r="K44" s="2911">
        <f t="shared" si="4"/>
        <v>1</v>
      </c>
      <c r="L44" s="2911">
        <f t="shared" si="4"/>
        <v>0</v>
      </c>
      <c r="M44" s="2911">
        <f t="shared" si="4"/>
        <v>0</v>
      </c>
      <c r="N44" s="2911">
        <f t="shared" si="4"/>
        <v>0</v>
      </c>
      <c r="O44" s="2911">
        <f t="shared" si="4"/>
        <v>0</v>
      </c>
      <c r="P44" s="2911">
        <f t="shared" si="4"/>
        <v>0</v>
      </c>
      <c r="Q44" s="2911">
        <f t="shared" si="4"/>
        <v>0</v>
      </c>
      <c r="R44" s="2911">
        <f t="shared" si="4"/>
        <v>6</v>
      </c>
      <c r="S44" s="917"/>
      <c r="T44" s="908"/>
      <c r="U44" s="750"/>
      <c r="V44" s="2795"/>
      <c r="W44" s="2796"/>
      <c r="X44" s="2796"/>
      <c r="Y44" s="2796"/>
      <c r="Z44" s="1006"/>
    </row>
    <row r="45" spans="1:26" ht="15" customHeight="1">
      <c r="A45" s="750"/>
      <c r="B45" s="907"/>
      <c r="C45" s="916"/>
      <c r="D45" s="4724"/>
      <c r="E45" s="2913"/>
      <c r="F45" s="2537" t="str">
        <f>IF(('الصفحة 1'!$Q$14&gt;0),IF((F$26&gt;0),IF(((F$26)&lt;&gt;(F43)),"خطء",""),""),"")</f>
        <v/>
      </c>
      <c r="G45" s="2537" t="str">
        <f>IF(('الصفحة 1'!$Q$14&gt;0),IF((G$26&gt;0),IF(((G$26)&lt;&gt;(G43)),"خطء",""),""),"")</f>
        <v/>
      </c>
      <c r="H45" s="2537" t="str">
        <f>IF(('الصفحة 1'!$Q$14&gt;0),IF((H$26&gt;0),IF(((H$26)&lt;&gt;(H43)),"خطء",""),""),"")</f>
        <v/>
      </c>
      <c r="I45" s="2537" t="str">
        <f>IF(('الصفحة 1'!$Q$14&gt;0),IF((I$26&gt;0),IF(((I$26)&lt;&gt;(I43)),"خطء",""),""),"")</f>
        <v/>
      </c>
      <c r="J45" s="2537" t="str">
        <f>IF(('الصفحة 1'!$Q$14&gt;0),IF((J$26&gt;0),IF(((J$26)&lt;&gt;(J43)),"خطء",""),""),"")</f>
        <v/>
      </c>
      <c r="K45" s="2537" t="str">
        <f>IF(('الصفحة 1'!$Q$14&gt;0),IF((K$26&gt;0),IF(((K$26)&lt;&gt;(K43)),"خطء",""),""),"")</f>
        <v/>
      </c>
      <c r="L45" s="2537" t="str">
        <f>IF(('الصفحة 1'!$Q$14&gt;0),IF((L$26&gt;0),IF(((L$26)&lt;&gt;(L43)),"خطء",""),""),"")</f>
        <v/>
      </c>
      <c r="M45" s="2537" t="str">
        <f>IF(('الصفحة 1'!$Q$14&gt;0),IF((M$26&gt;0),IF(((M$26)&lt;&gt;(M43)),"خطء",""),""),"")</f>
        <v/>
      </c>
      <c r="N45" s="2537" t="str">
        <f>IF(('الصفحة 1'!$Q$14&gt;0),IF((N$26&gt;0),IF(((N$26)&lt;&gt;(N43)),"خطء",""),""),"")</f>
        <v/>
      </c>
      <c r="O45" s="2537" t="str">
        <f>IF(('الصفحة 1'!$Q$14&gt;0),IF((O$26&gt;0),IF(((O$26)&lt;&gt;(O43)),"خطء",""),""),"")</f>
        <v/>
      </c>
      <c r="P45" s="2537" t="str">
        <f>IF(('الصفحة 1'!$Q$14&gt;0),IF((P$26&gt;0),IF(((P$26)&lt;&gt;(P43)),"خطء",""),""),"")</f>
        <v/>
      </c>
      <c r="Q45" s="2537" t="str">
        <f>IF(('الصفحة 1'!$Q$14&gt;0),IF((Q$26&gt;0),IF(((Q$26)&lt;&gt;(Q43)),"خطء",""),""),"")</f>
        <v/>
      </c>
      <c r="R45" s="2537" t="str">
        <f>IF(('الصفحة 1'!$Q$14&gt;0),IF((R$26&gt;0),IF(((R$26)&lt;&gt;(R43)),"خطء",""),""),"")</f>
        <v/>
      </c>
      <c r="S45" s="917"/>
      <c r="T45" s="908"/>
      <c r="U45" s="750"/>
      <c r="V45" s="2795"/>
      <c r="W45" s="2796"/>
      <c r="X45" s="2796"/>
      <c r="Y45" s="2796"/>
      <c r="Z45" s="1006"/>
    </row>
    <row r="46" spans="1:26" ht="15" customHeight="1">
      <c r="A46" s="750"/>
      <c r="B46" s="907"/>
      <c r="C46" s="916"/>
      <c r="D46" s="4725"/>
      <c r="E46" s="1469"/>
      <c r="F46" s="2537" t="str">
        <f>IF(('الصفحة 1'!$Q$14&gt;0),IF((F$27&gt;0),IF(((F$27)&lt;&gt;(F44)),"خطء",""),""),"")</f>
        <v/>
      </c>
      <c r="G46" s="2537" t="str">
        <f>IF(('الصفحة 1'!$Q$14&gt;0),IF((G$27&gt;0),IF(((G$27)&lt;&gt;(G44)),"خطء",""),""),"")</f>
        <v/>
      </c>
      <c r="H46" s="2537" t="str">
        <f>IF(('الصفحة 1'!$Q$14&gt;0),IF((H$27&gt;0),IF(((H$27)&lt;&gt;(H44)),"خطء",""),""),"")</f>
        <v/>
      </c>
      <c r="I46" s="2537" t="str">
        <f>IF(('الصفحة 1'!$Q$14&gt;0),IF((I$27&gt;0),IF(((I$27)&lt;&gt;(I44)),"خطء",""),""),"")</f>
        <v/>
      </c>
      <c r="J46" s="2537" t="str">
        <f>IF(('الصفحة 1'!$Q$14&gt;0),IF((J$27&gt;0),IF(((J$27)&lt;&gt;(J44)),"خطء",""),""),"")</f>
        <v/>
      </c>
      <c r="K46" s="2537" t="str">
        <f>IF(('الصفحة 1'!$Q$14&gt;0),IF((K$27&gt;0),IF(((K$27)&lt;&gt;(K44)),"خطء",""),""),"")</f>
        <v/>
      </c>
      <c r="L46" s="2537" t="str">
        <f>IF(('الصفحة 1'!$Q$14&gt;0),IF((L$27&gt;0),IF(((L$27)&lt;&gt;(L44)),"خطء",""),""),"")</f>
        <v/>
      </c>
      <c r="M46" s="2537" t="str">
        <f>IF(('الصفحة 1'!$Q$14&gt;0),IF((M$27&gt;0),IF(((M$27)&lt;&gt;(M44)),"خطء",""),""),"")</f>
        <v/>
      </c>
      <c r="N46" s="2537" t="str">
        <f>IF(('الصفحة 1'!$Q$14&gt;0),IF((N$27&gt;0),IF(((N$27)&lt;&gt;(N44)),"خطء",""),""),"")</f>
        <v/>
      </c>
      <c r="O46" s="2537" t="str">
        <f>IF(('الصفحة 1'!$Q$14&gt;0),IF((O$27&gt;0),IF(((O$27)&lt;&gt;(O44)),"خطء",""),""),"")</f>
        <v/>
      </c>
      <c r="P46" s="2537" t="str">
        <f>IF(('الصفحة 1'!$Q$14&gt;0),IF((P$27&gt;0),IF(((P$27)&lt;&gt;(P44)),"خطء",""),""),"")</f>
        <v/>
      </c>
      <c r="Q46" s="2537" t="str">
        <f>IF(('الصفحة 1'!$Q$14&gt;0),IF((Q$27&gt;0),IF(((Q$27)&lt;&gt;(Q44)),"خطء",""),""),"")</f>
        <v/>
      </c>
      <c r="R46" s="2537" t="str">
        <f>IF(('الصفحة 1'!$Q$14&gt;0),IF((R$27&gt;0),IF(((R$27)&lt;&gt;(R44)),"خطء",""),""),"")</f>
        <v/>
      </c>
      <c r="S46" s="917"/>
      <c r="T46" s="908"/>
      <c r="U46" s="750"/>
      <c r="V46" s="2795"/>
      <c r="W46" s="2796"/>
      <c r="X46" s="2796"/>
      <c r="Y46" s="2796"/>
      <c r="Z46" s="1006"/>
    </row>
    <row r="47" spans="1:26" ht="15" customHeight="1">
      <c r="A47" s="750"/>
      <c r="B47" s="907"/>
      <c r="C47" s="916"/>
      <c r="D47" s="4726"/>
      <c r="E47" s="2905"/>
      <c r="F47" s="2906"/>
      <c r="G47" s="2906"/>
      <c r="H47" s="2906"/>
      <c r="I47" s="2906"/>
      <c r="J47" s="2906"/>
      <c r="K47" s="2906"/>
      <c r="L47" s="2906"/>
      <c r="M47" s="2906"/>
      <c r="N47" s="2906"/>
      <c r="O47" s="2906"/>
      <c r="P47" s="2906"/>
      <c r="Q47" s="2906"/>
      <c r="R47" s="1922"/>
      <c r="S47" s="917"/>
      <c r="T47" s="908"/>
      <c r="U47" s="750"/>
      <c r="V47" s="2795"/>
      <c r="W47" s="2796"/>
      <c r="X47" s="2796"/>
      <c r="Y47" s="2796"/>
      <c r="Z47" s="1006"/>
    </row>
    <row r="48" spans="1:26" ht="15" customHeight="1">
      <c r="A48" s="750"/>
      <c r="B48" s="907"/>
      <c r="C48" s="916"/>
      <c r="D48" s="4726"/>
      <c r="E48" s="2905"/>
      <c r="F48" s="2906"/>
      <c r="G48" s="2906"/>
      <c r="H48" s="2906"/>
      <c r="I48" s="2906"/>
      <c r="J48" s="2906"/>
      <c r="K48" s="2906"/>
      <c r="L48" s="2906"/>
      <c r="M48" s="2906"/>
      <c r="N48" s="2906"/>
      <c r="O48" s="2906"/>
      <c r="P48" s="2906"/>
      <c r="Q48" s="2906"/>
      <c r="R48" s="1922"/>
      <c r="S48" s="917"/>
      <c r="T48" s="908"/>
      <c r="U48" s="750"/>
      <c r="V48" s="2795"/>
      <c r="W48" s="2796"/>
      <c r="X48" s="2796"/>
      <c r="Y48" s="2796"/>
      <c r="Z48" s="1006"/>
    </row>
    <row r="49" spans="1:26" ht="15" customHeight="1">
      <c r="A49" s="750"/>
      <c r="B49" s="907"/>
      <c r="C49" s="916"/>
      <c r="D49" s="4723"/>
      <c r="E49" s="1469"/>
      <c r="F49" s="1922"/>
      <c r="G49" s="1922"/>
      <c r="H49" s="1922"/>
      <c r="I49" s="1922"/>
      <c r="J49" s="1922"/>
      <c r="K49" s="1922"/>
      <c r="L49" s="1922"/>
      <c r="M49" s="1922"/>
      <c r="N49" s="1922"/>
      <c r="O49" s="1922"/>
      <c r="P49" s="1922"/>
      <c r="Q49" s="1922"/>
      <c r="R49" s="1922"/>
      <c r="S49" s="917"/>
      <c r="T49" s="908"/>
      <c r="U49" s="750"/>
      <c r="V49" s="2795"/>
      <c r="W49" s="2796"/>
      <c r="X49" s="2796"/>
      <c r="Y49" s="2796"/>
      <c r="Z49" s="1006"/>
    </row>
    <row r="50" spans="1:26" ht="15" customHeight="1">
      <c r="A50" s="750"/>
      <c r="B50" s="907"/>
      <c r="C50" s="916"/>
      <c r="D50" s="4723"/>
      <c r="E50" s="1469"/>
      <c r="F50" s="1922"/>
      <c r="G50" s="1922"/>
      <c r="H50" s="1922"/>
      <c r="I50" s="1922"/>
      <c r="J50" s="1922"/>
      <c r="K50" s="1922"/>
      <c r="L50" s="1922"/>
      <c r="M50" s="1922"/>
      <c r="N50" s="1922"/>
      <c r="O50" s="1922"/>
      <c r="P50" s="1922"/>
      <c r="Q50" s="1922"/>
      <c r="R50" s="1922"/>
      <c r="S50" s="917"/>
      <c r="T50" s="908"/>
      <c r="U50" s="750"/>
      <c r="V50" s="2795"/>
      <c r="W50" s="2796"/>
      <c r="X50" s="2796"/>
      <c r="Y50" s="2796"/>
      <c r="Z50" s="1006"/>
    </row>
    <row r="51" spans="1:26" ht="12" customHeight="1">
      <c r="A51" s="750"/>
      <c r="B51" s="907"/>
      <c r="C51" s="916"/>
      <c r="D51" s="668"/>
      <c r="E51" s="668"/>
      <c r="F51" s="668"/>
      <c r="G51" s="668"/>
      <c r="H51" s="668"/>
      <c r="I51" s="668"/>
      <c r="J51" s="668"/>
      <c r="K51" s="668"/>
      <c r="L51" s="668"/>
      <c r="M51" s="668"/>
      <c r="N51" s="668"/>
      <c r="O51" s="668"/>
      <c r="P51" s="668"/>
      <c r="Q51" s="668"/>
      <c r="R51" s="668"/>
      <c r="S51" s="917"/>
      <c r="T51" s="908"/>
      <c r="U51" s="750"/>
      <c r="V51" s="2795"/>
      <c r="W51" s="2796"/>
      <c r="X51" s="2796"/>
      <c r="Y51" s="2796"/>
      <c r="Z51" s="1006"/>
    </row>
    <row r="52" spans="1:26" ht="12" customHeight="1">
      <c r="A52" s="750"/>
      <c r="B52" s="907"/>
      <c r="C52" s="916"/>
      <c r="D52" s="668"/>
      <c r="E52" s="668"/>
      <c r="F52" s="668"/>
      <c r="G52" s="668"/>
      <c r="H52" s="668"/>
      <c r="I52" s="668"/>
      <c r="J52" s="668"/>
      <c r="K52" s="668"/>
      <c r="L52" s="668"/>
      <c r="M52" s="668"/>
      <c r="N52" s="668"/>
      <c r="O52" s="668"/>
      <c r="P52" s="668"/>
      <c r="Q52" s="668"/>
      <c r="R52" s="668"/>
      <c r="S52" s="917"/>
      <c r="T52" s="908"/>
      <c r="U52" s="750"/>
      <c r="V52" s="2795"/>
      <c r="W52" s="2796"/>
      <c r="X52" s="2796"/>
      <c r="Y52" s="2796"/>
      <c r="Z52" s="1006"/>
    </row>
    <row r="53" spans="1:26" ht="12" customHeight="1">
      <c r="A53" s="750"/>
      <c r="B53" s="907"/>
      <c r="C53" s="916"/>
      <c r="D53" s="668"/>
      <c r="E53" s="668"/>
      <c r="F53" s="668"/>
      <c r="G53" s="668"/>
      <c r="H53" s="668"/>
      <c r="I53" s="668"/>
      <c r="J53" s="668"/>
      <c r="K53" s="668"/>
      <c r="L53" s="668"/>
      <c r="M53" s="668"/>
      <c r="N53" s="668"/>
      <c r="O53" s="668"/>
      <c r="P53" s="668"/>
      <c r="Q53" s="668"/>
      <c r="R53" s="668"/>
      <c r="S53" s="917"/>
      <c r="T53" s="908"/>
      <c r="U53" s="750"/>
      <c r="V53" s="2795"/>
      <c r="W53" s="2796"/>
      <c r="X53" s="2796"/>
      <c r="Y53" s="2796"/>
      <c r="Z53" s="1006"/>
    </row>
    <row r="54" spans="1:26" ht="12" customHeight="1">
      <c r="A54" s="750"/>
      <c r="B54" s="907"/>
      <c r="C54" s="916"/>
      <c r="D54" s="668"/>
      <c r="E54" s="668"/>
      <c r="F54" s="668"/>
      <c r="G54" s="668"/>
      <c r="H54" s="668"/>
      <c r="I54" s="668"/>
      <c r="J54" s="668"/>
      <c r="K54" s="668"/>
      <c r="L54" s="668"/>
      <c r="M54" s="668"/>
      <c r="N54" s="668"/>
      <c r="O54" s="668"/>
      <c r="P54" s="668"/>
      <c r="Q54" s="668"/>
      <c r="R54" s="668"/>
      <c r="S54" s="917"/>
      <c r="T54" s="908"/>
      <c r="U54" s="750"/>
      <c r="V54" s="2795"/>
      <c r="W54" s="2796"/>
      <c r="X54" s="2796"/>
      <c r="Y54" s="2796"/>
      <c r="Z54" s="1006"/>
    </row>
    <row r="55" spans="1:26" ht="2.1" customHeight="1">
      <c r="A55" s="750"/>
      <c r="B55" s="907"/>
      <c r="C55" s="916"/>
      <c r="D55" s="668"/>
      <c r="E55" s="668"/>
      <c r="F55" s="668"/>
      <c r="G55" s="668"/>
      <c r="H55" s="668"/>
      <c r="I55" s="668"/>
      <c r="J55" s="668"/>
      <c r="K55" s="668"/>
      <c r="L55" s="668"/>
      <c r="M55" s="668"/>
      <c r="N55" s="668"/>
      <c r="O55" s="668"/>
      <c r="P55" s="668"/>
      <c r="Q55" s="668"/>
      <c r="R55" s="668"/>
      <c r="S55" s="917"/>
      <c r="T55" s="908"/>
      <c r="U55" s="750"/>
      <c r="V55" s="2795"/>
      <c r="W55" s="2796"/>
      <c r="X55" s="2796"/>
      <c r="Y55" s="2796"/>
      <c r="Z55" s="1006"/>
    </row>
    <row r="56" spans="1:26" ht="2.1" customHeight="1">
      <c r="A56" s="750"/>
      <c r="B56" s="907"/>
      <c r="C56" s="916"/>
      <c r="D56" s="668"/>
      <c r="E56" s="668"/>
      <c r="F56" s="668"/>
      <c r="G56" s="668"/>
      <c r="H56" s="668"/>
      <c r="I56" s="668"/>
      <c r="J56" s="668"/>
      <c r="K56" s="668"/>
      <c r="L56" s="668"/>
      <c r="M56" s="668"/>
      <c r="N56" s="668"/>
      <c r="O56" s="668"/>
      <c r="P56" s="668"/>
      <c r="Q56" s="668"/>
      <c r="R56" s="668"/>
      <c r="S56" s="917"/>
      <c r="T56" s="908"/>
      <c r="U56" s="750"/>
      <c r="V56" s="2795"/>
      <c r="W56" s="2796"/>
      <c r="X56" s="2796"/>
      <c r="Y56" s="2796"/>
      <c r="Z56" s="1006"/>
    </row>
    <row r="57" spans="1:26" ht="2.1" customHeight="1">
      <c r="A57" s="750"/>
      <c r="B57" s="907"/>
      <c r="C57" s="916"/>
      <c r="D57" s="668"/>
      <c r="E57" s="668"/>
      <c r="F57" s="668"/>
      <c r="G57" s="668"/>
      <c r="H57" s="668"/>
      <c r="I57" s="668"/>
      <c r="J57" s="668"/>
      <c r="K57" s="668"/>
      <c r="L57" s="668"/>
      <c r="M57" s="668"/>
      <c r="N57" s="668"/>
      <c r="O57" s="668"/>
      <c r="P57" s="668"/>
      <c r="Q57" s="668"/>
      <c r="R57" s="668"/>
      <c r="S57" s="917"/>
      <c r="T57" s="908"/>
      <c r="U57" s="750"/>
      <c r="V57" s="2795"/>
      <c r="W57" s="2796"/>
      <c r="X57" s="2796"/>
      <c r="Y57" s="2796"/>
      <c r="Z57" s="1006"/>
    </row>
    <row r="58" spans="1:26" ht="2.1" customHeight="1">
      <c r="A58" s="750"/>
      <c r="B58" s="907"/>
      <c r="C58" s="916"/>
      <c r="D58" s="668"/>
      <c r="E58" s="668"/>
      <c r="F58" s="668"/>
      <c r="G58" s="668"/>
      <c r="H58" s="668"/>
      <c r="I58" s="668"/>
      <c r="J58" s="668"/>
      <c r="K58" s="668"/>
      <c r="L58" s="668"/>
      <c r="M58" s="668"/>
      <c r="N58" s="668"/>
      <c r="O58" s="668"/>
      <c r="P58" s="668"/>
      <c r="Q58" s="668"/>
      <c r="R58" s="668"/>
      <c r="S58" s="917"/>
      <c r="T58" s="908"/>
      <c r="U58" s="750"/>
      <c r="V58" s="2795"/>
      <c r="W58" s="2796"/>
      <c r="X58" s="2796"/>
      <c r="Y58" s="2796"/>
      <c r="Z58" s="1006"/>
    </row>
    <row r="59" spans="1:26" ht="2.1" customHeight="1">
      <c r="A59" s="750"/>
      <c r="B59" s="907"/>
      <c r="C59" s="916"/>
      <c r="D59" s="668"/>
      <c r="E59" s="668"/>
      <c r="F59" s="668"/>
      <c r="G59" s="668"/>
      <c r="H59" s="668"/>
      <c r="I59" s="668"/>
      <c r="J59" s="668"/>
      <c r="K59" s="668"/>
      <c r="L59" s="668"/>
      <c r="M59" s="668"/>
      <c r="N59" s="668"/>
      <c r="O59" s="668"/>
      <c r="P59" s="668"/>
      <c r="Q59" s="668"/>
      <c r="R59" s="668"/>
      <c r="S59" s="917"/>
      <c r="T59" s="908"/>
      <c r="U59" s="750"/>
      <c r="V59" s="2795"/>
      <c r="W59" s="2796"/>
      <c r="X59" s="2796"/>
      <c r="Y59" s="2796"/>
      <c r="Z59" s="1006"/>
    </row>
    <row r="60" spans="1:26" ht="2.1" customHeight="1">
      <c r="A60" s="750"/>
      <c r="B60" s="907"/>
      <c r="C60" s="916"/>
      <c r="D60" s="668"/>
      <c r="E60" s="668"/>
      <c r="F60" s="668"/>
      <c r="G60" s="668"/>
      <c r="H60" s="668"/>
      <c r="I60" s="668"/>
      <c r="J60" s="668"/>
      <c r="K60" s="668"/>
      <c r="L60" s="668"/>
      <c r="M60" s="668"/>
      <c r="N60" s="668"/>
      <c r="O60" s="668"/>
      <c r="P60" s="668"/>
      <c r="Q60" s="668"/>
      <c r="R60" s="668"/>
      <c r="S60" s="917"/>
      <c r="T60" s="908"/>
      <c r="U60" s="750"/>
      <c r="V60" s="2795"/>
      <c r="W60" s="2796"/>
      <c r="X60" s="2796"/>
      <c r="Y60" s="2796"/>
      <c r="Z60" s="1006"/>
    </row>
    <row r="61" spans="1:26" ht="2.1" customHeight="1">
      <c r="A61" s="750"/>
      <c r="B61" s="907"/>
      <c r="C61" s="916"/>
      <c r="D61" s="668"/>
      <c r="E61" s="668"/>
      <c r="F61" s="668"/>
      <c r="G61" s="668"/>
      <c r="H61" s="668"/>
      <c r="I61" s="668"/>
      <c r="J61" s="668"/>
      <c r="K61" s="668"/>
      <c r="L61" s="668"/>
      <c r="M61" s="668"/>
      <c r="N61" s="668"/>
      <c r="O61" s="668"/>
      <c r="P61" s="668"/>
      <c r="Q61" s="668"/>
      <c r="R61" s="668"/>
      <c r="S61" s="917"/>
      <c r="T61" s="908"/>
      <c r="U61" s="750"/>
      <c r="V61" s="2795"/>
      <c r="W61" s="2796"/>
      <c r="X61" s="2796"/>
      <c r="Y61" s="2796"/>
      <c r="Z61" s="1006"/>
    </row>
    <row r="62" spans="1:26" ht="2.1" customHeight="1">
      <c r="A62" s="750"/>
      <c r="B62" s="907"/>
      <c r="C62" s="916"/>
      <c r="D62" s="668"/>
      <c r="E62" s="668"/>
      <c r="F62" s="668"/>
      <c r="G62" s="668"/>
      <c r="H62" s="668"/>
      <c r="I62" s="668"/>
      <c r="J62" s="668"/>
      <c r="K62" s="668"/>
      <c r="L62" s="668"/>
      <c r="M62" s="668"/>
      <c r="N62" s="668"/>
      <c r="O62" s="668"/>
      <c r="P62" s="668"/>
      <c r="Q62" s="668"/>
      <c r="R62" s="668"/>
      <c r="S62" s="917"/>
      <c r="T62" s="908"/>
      <c r="U62" s="750"/>
      <c r="V62" s="2795"/>
      <c r="W62" s="2796"/>
      <c r="X62" s="2796"/>
      <c r="Y62" s="2796"/>
      <c r="Z62" s="1006"/>
    </row>
    <row r="63" spans="1:26" ht="12" customHeight="1">
      <c r="A63" s="750"/>
      <c r="B63" s="907"/>
      <c r="C63" s="916"/>
      <c r="D63" s="668"/>
      <c r="E63" s="668"/>
      <c r="F63" s="668"/>
      <c r="G63" s="668"/>
      <c r="H63" s="668"/>
      <c r="I63" s="668"/>
      <c r="J63" s="668"/>
      <c r="K63" s="668"/>
      <c r="L63" s="668"/>
      <c r="M63" s="668"/>
      <c r="N63" s="668"/>
      <c r="O63" s="668"/>
      <c r="P63" s="668"/>
      <c r="Q63" s="668"/>
      <c r="R63" s="668"/>
      <c r="S63" s="917"/>
      <c r="T63" s="908"/>
      <c r="U63" s="750"/>
      <c r="V63" s="2795"/>
      <c r="W63" s="2796"/>
      <c r="X63" s="2796"/>
      <c r="Y63" s="2796"/>
      <c r="Z63" s="1006"/>
    </row>
    <row r="64" spans="1:26" ht="2.1" customHeight="1">
      <c r="A64" s="750"/>
      <c r="B64" s="907"/>
      <c r="C64" s="916"/>
      <c r="D64" s="668"/>
      <c r="E64" s="668"/>
      <c r="F64" s="668"/>
      <c r="G64" s="668"/>
      <c r="H64" s="668"/>
      <c r="I64" s="668"/>
      <c r="J64" s="668"/>
      <c r="K64" s="668"/>
      <c r="L64" s="668"/>
      <c r="M64" s="668"/>
      <c r="N64" s="668"/>
      <c r="O64" s="668"/>
      <c r="P64" s="668"/>
      <c r="Q64" s="668"/>
      <c r="R64" s="668"/>
      <c r="S64" s="917"/>
      <c r="T64" s="908"/>
      <c r="U64" s="750"/>
      <c r="V64" s="2795"/>
      <c r="W64" s="2796"/>
      <c r="X64" s="2796"/>
      <c r="Y64" s="2796"/>
      <c r="Z64" s="1006"/>
    </row>
    <row r="65" spans="1:26" ht="2.1" customHeight="1" thickBot="1">
      <c r="A65" s="750"/>
      <c r="B65" s="907"/>
      <c r="C65" s="870"/>
      <c r="D65" s="920"/>
      <c r="E65" s="921"/>
      <c r="F65" s="922"/>
      <c r="G65" s="922"/>
      <c r="H65" s="922"/>
      <c r="I65" s="922"/>
      <c r="J65" s="922"/>
      <c r="K65" s="922"/>
      <c r="L65" s="922"/>
      <c r="M65" s="922"/>
      <c r="N65" s="922"/>
      <c r="O65" s="922"/>
      <c r="P65" s="922"/>
      <c r="Q65" s="922"/>
      <c r="R65" s="923"/>
      <c r="S65" s="924"/>
      <c r="T65" s="908"/>
      <c r="U65" s="750"/>
      <c r="V65" s="2795"/>
      <c r="W65" s="2796"/>
      <c r="X65" s="2796"/>
      <c r="Y65" s="2796"/>
      <c r="Z65" s="1006"/>
    </row>
    <row r="66" spans="1:26" ht="14.1" customHeight="1" thickBot="1">
      <c r="A66" s="750"/>
      <c r="B66" s="911"/>
      <c r="C66" s="4176">
        <v>33</v>
      </c>
      <c r="D66" s="4176"/>
      <c r="E66" s="4176"/>
      <c r="F66" s="4176"/>
      <c r="G66" s="4176"/>
      <c r="H66" s="4176"/>
      <c r="I66" s="4176"/>
      <c r="J66" s="4176"/>
      <c r="K66" s="4176"/>
      <c r="L66" s="4176"/>
      <c r="M66" s="4176"/>
      <c r="N66" s="4176"/>
      <c r="O66" s="4176"/>
      <c r="P66" s="4176"/>
      <c r="Q66" s="4176"/>
      <c r="R66" s="4176"/>
      <c r="S66" s="4176"/>
      <c r="T66" s="912"/>
      <c r="U66" s="750"/>
      <c r="V66" s="2795"/>
      <c r="W66" s="2796"/>
      <c r="X66" s="2796"/>
      <c r="Y66" s="2796"/>
      <c r="Z66" s="1006"/>
    </row>
    <row r="67" spans="1:26" ht="14.1" customHeight="1">
      <c r="A67" s="750"/>
      <c r="B67" s="3143" t="str">
        <f>'صفحة الدفتـر'!$B$68</f>
        <v>السنة الدراسية  2022 - 2023</v>
      </c>
      <c r="C67" s="1028"/>
      <c r="D67" s="751"/>
      <c r="E67" s="751"/>
      <c r="F67" s="751"/>
      <c r="G67" s="751"/>
      <c r="H67" s="751"/>
      <c r="I67" s="751"/>
      <c r="J67" s="751"/>
      <c r="K67" s="751"/>
      <c r="L67" s="751"/>
      <c r="M67" s="751"/>
      <c r="N67" s="751"/>
      <c r="O67" s="751"/>
      <c r="P67" s="751"/>
      <c r="Q67" s="751"/>
      <c r="R67" s="751"/>
      <c r="S67" s="751"/>
      <c r="T67" s="751"/>
      <c r="U67" s="750"/>
      <c r="V67" s="1006"/>
      <c r="W67" s="751"/>
      <c r="X67" s="751"/>
      <c r="Y67" s="751"/>
      <c r="Z67" s="1006"/>
    </row>
    <row r="68" spans="1:26" ht="14.4" hidden="1"/>
    <row r="69" spans="1:26" ht="15" hidden="1" customHeight="1"/>
    <row r="70" spans="1:26" ht="15" hidden="1" customHeight="1"/>
    <row r="71" spans="1:26" ht="15" hidden="1" customHeight="1"/>
    <row r="72" spans="1:26" ht="15" hidden="1" customHeight="1"/>
    <row r="73" spans="1:26" ht="15" hidden="1" customHeight="1"/>
    <row r="74" spans="1:26" ht="15" hidden="1" customHeight="1"/>
    <row r="75" spans="1:26" ht="15" hidden="1" customHeight="1"/>
    <row r="76" spans="1:26" ht="15" hidden="1" customHeight="1"/>
    <row r="77" spans="1:26" ht="15" hidden="1" customHeight="1"/>
    <row r="78" spans="1:26" ht="15" hidden="1" customHeight="1"/>
    <row r="79" spans="1:26" ht="15" hidden="1" customHeight="1"/>
    <row r="80" spans="1:26"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sheetData>
  <sheetProtection password="D8D3" sheet="1" objects="1" scenarios="1" pivotTables="0"/>
  <mergeCells count="56">
    <mergeCell ref="D14:D15"/>
    <mergeCell ref="D16:D17"/>
    <mergeCell ref="D18:D19"/>
    <mergeCell ref="V16:V17"/>
    <mergeCell ref="C66:S66"/>
    <mergeCell ref="D20:D21"/>
    <mergeCell ref="D22:D23"/>
    <mergeCell ref="D24:D25"/>
    <mergeCell ref="D26:D27"/>
    <mergeCell ref="V31:V32"/>
    <mergeCell ref="P29:Q29"/>
    <mergeCell ref="D31:E31"/>
    <mergeCell ref="F31:F32"/>
    <mergeCell ref="G31:G32"/>
    <mergeCell ref="R31:R32"/>
    <mergeCell ref="D32:E32"/>
    <mergeCell ref="D10:D11"/>
    <mergeCell ref="D12:D13"/>
    <mergeCell ref="V10:V11"/>
    <mergeCell ref="L8:L9"/>
    <mergeCell ref="M8:M9"/>
    <mergeCell ref="N8:N9"/>
    <mergeCell ref="O8:O9"/>
    <mergeCell ref="P8:P9"/>
    <mergeCell ref="Q8:Q9"/>
    <mergeCell ref="V2:Y4"/>
    <mergeCell ref="P6:Q6"/>
    <mergeCell ref="V5:Y6"/>
    <mergeCell ref="D8:E8"/>
    <mergeCell ref="F8:F9"/>
    <mergeCell ref="G8:G9"/>
    <mergeCell ref="H8:H9"/>
    <mergeCell ref="I8:I9"/>
    <mergeCell ref="J8:J9"/>
    <mergeCell ref="K8:K9"/>
    <mergeCell ref="R8:R9"/>
    <mergeCell ref="D9:E9"/>
    <mergeCell ref="D33:D34"/>
    <mergeCell ref="D35:D36"/>
    <mergeCell ref="D37:D38"/>
    <mergeCell ref="M31:M32"/>
    <mergeCell ref="N31:N32"/>
    <mergeCell ref="O31:O32"/>
    <mergeCell ref="P31:P32"/>
    <mergeCell ref="Q31:Q32"/>
    <mergeCell ref="H31:H32"/>
    <mergeCell ref="I31:I32"/>
    <mergeCell ref="J31:J32"/>
    <mergeCell ref="K31:K32"/>
    <mergeCell ref="L31:L32"/>
    <mergeCell ref="D49:D50"/>
    <mergeCell ref="D39:D40"/>
    <mergeCell ref="D41:D42"/>
    <mergeCell ref="D43:D44"/>
    <mergeCell ref="D45:D46"/>
    <mergeCell ref="D47:D48"/>
  </mergeCells>
  <conditionalFormatting sqref="F47:R47 F18:R18 F22:R22 F10:R10 F12:R12 F14:R14 F16:R16 F20:R20 F24:R24 F49:R49 F41:R41 F33:R33 F35:R35 F37:R37 F39:R39 F45:R45">
    <cfRule type="cellIs" dxfId="575" priority="230" stopIfTrue="1" operator="equal">
      <formula>0</formula>
    </cfRule>
  </conditionalFormatting>
  <conditionalFormatting sqref="N13:P13">
    <cfRule type="cellIs" dxfId="574" priority="227" stopIfTrue="1" operator="greaterThan">
      <formula>N12</formula>
    </cfRule>
    <cfRule type="cellIs" dxfId="573" priority="228" stopIfTrue="1" operator="equal">
      <formula>0</formula>
    </cfRule>
  </conditionalFormatting>
  <conditionalFormatting sqref="Q13">
    <cfRule type="cellIs" dxfId="572" priority="225" stopIfTrue="1" operator="greaterThan">
      <formula>Q12</formula>
    </cfRule>
    <cfRule type="cellIs" dxfId="571" priority="226" stopIfTrue="1" operator="equal">
      <formula>0</formula>
    </cfRule>
  </conditionalFormatting>
  <conditionalFormatting sqref="N15:P15">
    <cfRule type="cellIs" dxfId="570" priority="223" stopIfTrue="1" operator="greaterThan">
      <formula>N14</formula>
    </cfRule>
    <cfRule type="cellIs" dxfId="569" priority="224" stopIfTrue="1" operator="equal">
      <formula>0</formula>
    </cfRule>
  </conditionalFormatting>
  <conditionalFormatting sqref="Q15">
    <cfRule type="cellIs" dxfId="568" priority="221" stopIfTrue="1" operator="greaterThan">
      <formula>Q14</formula>
    </cfRule>
    <cfRule type="cellIs" dxfId="567" priority="222" stopIfTrue="1" operator="equal">
      <formula>0</formula>
    </cfRule>
  </conditionalFormatting>
  <conditionalFormatting sqref="N17:P17">
    <cfRule type="cellIs" dxfId="566" priority="219" stopIfTrue="1" operator="greaterThan">
      <formula>N16</formula>
    </cfRule>
    <cfRule type="cellIs" dxfId="565" priority="220" stopIfTrue="1" operator="equal">
      <formula>0</formula>
    </cfRule>
  </conditionalFormatting>
  <conditionalFormatting sqref="Q17">
    <cfRule type="cellIs" dxfId="564" priority="217" stopIfTrue="1" operator="greaterThan">
      <formula>Q16</formula>
    </cfRule>
    <cfRule type="cellIs" dxfId="563" priority="218" stopIfTrue="1" operator="equal">
      <formula>0</formula>
    </cfRule>
  </conditionalFormatting>
  <conditionalFormatting sqref="N19:P19">
    <cfRule type="cellIs" dxfId="562" priority="215" stopIfTrue="1" operator="greaterThan">
      <formula>N18</formula>
    </cfRule>
    <cfRule type="cellIs" dxfId="561" priority="216" stopIfTrue="1" operator="equal">
      <formula>0</formula>
    </cfRule>
  </conditionalFormatting>
  <conditionalFormatting sqref="N21:P21">
    <cfRule type="cellIs" dxfId="560" priority="213" stopIfTrue="1" operator="greaterThan">
      <formula>N20</formula>
    </cfRule>
    <cfRule type="cellIs" dxfId="559" priority="214" stopIfTrue="1" operator="equal">
      <formula>0</formula>
    </cfRule>
  </conditionalFormatting>
  <conditionalFormatting sqref="N23:P23">
    <cfRule type="cellIs" dxfId="558" priority="211" stopIfTrue="1" operator="greaterThan">
      <formula>N22</formula>
    </cfRule>
    <cfRule type="cellIs" dxfId="557" priority="212" stopIfTrue="1" operator="equal">
      <formula>0</formula>
    </cfRule>
  </conditionalFormatting>
  <conditionalFormatting sqref="N25:P25">
    <cfRule type="cellIs" dxfId="556" priority="209" stopIfTrue="1" operator="greaterThan">
      <formula>N24</formula>
    </cfRule>
    <cfRule type="cellIs" dxfId="555" priority="210" stopIfTrue="1" operator="equal">
      <formula>0</formula>
    </cfRule>
  </conditionalFormatting>
  <conditionalFormatting sqref="Q19:R19 Q23:R23">
    <cfRule type="cellIs" dxfId="554" priority="207" stopIfTrue="1" operator="greaterThan">
      <formula>Q18</formula>
    </cfRule>
    <cfRule type="cellIs" dxfId="553" priority="208" stopIfTrue="1" operator="equal">
      <formula>0</formula>
    </cfRule>
  </conditionalFormatting>
  <conditionalFormatting sqref="Q21 Q25">
    <cfRule type="cellIs" dxfId="552" priority="205" stopIfTrue="1" operator="greaterThan">
      <formula>Q20</formula>
    </cfRule>
    <cfRule type="cellIs" dxfId="551" priority="206" stopIfTrue="1" operator="equal">
      <formula>0</formula>
    </cfRule>
  </conditionalFormatting>
  <conditionalFormatting sqref="K13:M13">
    <cfRule type="cellIs" dxfId="550" priority="203" stopIfTrue="1" operator="greaterThan">
      <formula>K12</formula>
    </cfRule>
    <cfRule type="cellIs" dxfId="549" priority="204" stopIfTrue="1" operator="equal">
      <formula>0</formula>
    </cfRule>
  </conditionalFormatting>
  <conditionalFormatting sqref="K15:M15">
    <cfRule type="cellIs" dxfId="548" priority="201" stopIfTrue="1" operator="greaterThan">
      <formula>K14</formula>
    </cfRule>
    <cfRule type="cellIs" dxfId="547" priority="202" stopIfTrue="1" operator="equal">
      <formula>0</formula>
    </cfRule>
  </conditionalFormatting>
  <conditionalFormatting sqref="K17:M17">
    <cfRule type="cellIs" dxfId="546" priority="199" stopIfTrue="1" operator="greaterThan">
      <formula>K16</formula>
    </cfRule>
    <cfRule type="cellIs" dxfId="545" priority="200" stopIfTrue="1" operator="equal">
      <formula>0</formula>
    </cfRule>
  </conditionalFormatting>
  <conditionalFormatting sqref="K19:M19">
    <cfRule type="cellIs" dxfId="544" priority="197" stopIfTrue="1" operator="greaterThan">
      <formula>K18</formula>
    </cfRule>
    <cfRule type="cellIs" dxfId="543" priority="198" stopIfTrue="1" operator="equal">
      <formula>0</formula>
    </cfRule>
  </conditionalFormatting>
  <conditionalFormatting sqref="K21:M21">
    <cfRule type="cellIs" dxfId="542" priority="195" stopIfTrue="1" operator="greaterThan">
      <formula>K20</formula>
    </cfRule>
    <cfRule type="cellIs" dxfId="541" priority="196" stopIfTrue="1" operator="equal">
      <formula>0</formula>
    </cfRule>
  </conditionalFormatting>
  <conditionalFormatting sqref="K23:M23">
    <cfRule type="cellIs" dxfId="540" priority="193" stopIfTrue="1" operator="greaterThan">
      <formula>K22</formula>
    </cfRule>
    <cfRule type="cellIs" dxfId="539" priority="194" stopIfTrue="1" operator="equal">
      <formula>0</formula>
    </cfRule>
  </conditionalFormatting>
  <conditionalFormatting sqref="K25:M25">
    <cfRule type="cellIs" dxfId="538" priority="191" stopIfTrue="1" operator="greaterThan">
      <formula>K24</formula>
    </cfRule>
    <cfRule type="cellIs" dxfId="537" priority="192" stopIfTrue="1" operator="equal">
      <formula>0</formula>
    </cfRule>
  </conditionalFormatting>
  <conditionalFormatting sqref="H13:J13">
    <cfRule type="cellIs" dxfId="536" priority="189" stopIfTrue="1" operator="greaterThan">
      <formula>H12</formula>
    </cfRule>
    <cfRule type="cellIs" dxfId="535" priority="190" stopIfTrue="1" operator="equal">
      <formula>0</formula>
    </cfRule>
  </conditionalFormatting>
  <conditionalFormatting sqref="H15:J15">
    <cfRule type="cellIs" dxfId="534" priority="187" stopIfTrue="1" operator="greaterThan">
      <formula>H14</formula>
    </cfRule>
    <cfRule type="cellIs" dxfId="533" priority="188" stopIfTrue="1" operator="equal">
      <formula>0</formula>
    </cfRule>
  </conditionalFormatting>
  <conditionalFormatting sqref="H17:J17">
    <cfRule type="cellIs" dxfId="532" priority="185" stopIfTrue="1" operator="greaterThan">
      <formula>H16</formula>
    </cfRule>
    <cfRule type="cellIs" dxfId="531" priority="186" stopIfTrue="1" operator="equal">
      <formula>0</formula>
    </cfRule>
  </conditionalFormatting>
  <conditionalFormatting sqref="H19:J19">
    <cfRule type="cellIs" dxfId="530" priority="183" stopIfTrue="1" operator="greaterThan">
      <formula>H18</formula>
    </cfRule>
    <cfRule type="cellIs" dxfId="529" priority="184" stopIfTrue="1" operator="equal">
      <formula>0</formula>
    </cfRule>
  </conditionalFormatting>
  <conditionalFormatting sqref="H21:J21">
    <cfRule type="cellIs" dxfId="528" priority="181" stopIfTrue="1" operator="greaterThan">
      <formula>H20</formula>
    </cfRule>
    <cfRule type="cellIs" dxfId="527" priority="182" stopIfTrue="1" operator="equal">
      <formula>0</formula>
    </cfRule>
  </conditionalFormatting>
  <conditionalFormatting sqref="H23:J23">
    <cfRule type="cellIs" dxfId="526" priority="179" stopIfTrue="1" operator="greaterThan">
      <formula>H22</formula>
    </cfRule>
    <cfRule type="cellIs" dxfId="525" priority="180" stopIfTrue="1" operator="equal">
      <formula>0</formula>
    </cfRule>
  </conditionalFormatting>
  <conditionalFormatting sqref="H25:J25">
    <cfRule type="cellIs" dxfId="524" priority="177" stopIfTrue="1" operator="greaterThan">
      <formula>H24</formula>
    </cfRule>
    <cfRule type="cellIs" dxfId="523" priority="178" stopIfTrue="1" operator="equal">
      <formula>0</formula>
    </cfRule>
  </conditionalFormatting>
  <conditionalFormatting sqref="F13:H13">
    <cfRule type="cellIs" dxfId="522" priority="175" stopIfTrue="1" operator="greaterThan">
      <formula>F12</formula>
    </cfRule>
    <cfRule type="cellIs" dxfId="521" priority="176" stopIfTrue="1" operator="equal">
      <formula>0</formula>
    </cfRule>
  </conditionalFormatting>
  <conditionalFormatting sqref="F15:H15">
    <cfRule type="cellIs" dxfId="520" priority="173" stopIfTrue="1" operator="greaterThan">
      <formula>F14</formula>
    </cfRule>
    <cfRule type="cellIs" dxfId="519" priority="174" stopIfTrue="1" operator="equal">
      <formula>0</formula>
    </cfRule>
  </conditionalFormatting>
  <conditionalFormatting sqref="F17:H17">
    <cfRule type="cellIs" dxfId="518" priority="171" stopIfTrue="1" operator="greaterThan">
      <formula>F16</formula>
    </cfRule>
    <cfRule type="cellIs" dxfId="517" priority="172" stopIfTrue="1" operator="equal">
      <formula>0</formula>
    </cfRule>
  </conditionalFormatting>
  <conditionalFormatting sqref="F19:H19">
    <cfRule type="cellIs" dxfId="516" priority="169" stopIfTrue="1" operator="greaterThan">
      <formula>F18</formula>
    </cfRule>
    <cfRule type="cellIs" dxfId="515" priority="170" stopIfTrue="1" operator="equal">
      <formula>0</formula>
    </cfRule>
  </conditionalFormatting>
  <conditionalFormatting sqref="F21:H21">
    <cfRule type="cellIs" dxfId="514" priority="167" stopIfTrue="1" operator="greaterThan">
      <formula>F20</formula>
    </cfRule>
    <cfRule type="cellIs" dxfId="513" priority="168" stopIfTrue="1" operator="equal">
      <formula>0</formula>
    </cfRule>
  </conditionalFormatting>
  <conditionalFormatting sqref="F23:H23">
    <cfRule type="cellIs" dxfId="512" priority="165" stopIfTrue="1" operator="greaterThan">
      <formula>F22</formula>
    </cfRule>
    <cfRule type="cellIs" dxfId="511" priority="166" stopIfTrue="1" operator="equal">
      <formula>0</formula>
    </cfRule>
  </conditionalFormatting>
  <conditionalFormatting sqref="F25:H25">
    <cfRule type="cellIs" dxfId="510" priority="163" stopIfTrue="1" operator="greaterThan">
      <formula>F24</formula>
    </cfRule>
    <cfRule type="cellIs" dxfId="509" priority="164" stopIfTrue="1" operator="equal">
      <formula>0</formula>
    </cfRule>
  </conditionalFormatting>
  <conditionalFormatting sqref="N11:P11">
    <cfRule type="cellIs" dxfId="508" priority="161" stopIfTrue="1" operator="greaterThan">
      <formula>N10</formula>
    </cfRule>
    <cfRule type="cellIs" dxfId="507" priority="162" stopIfTrue="1" operator="equal">
      <formula>0</formula>
    </cfRule>
  </conditionalFormatting>
  <conditionalFormatting sqref="Q11">
    <cfRule type="cellIs" dxfId="506" priority="159" stopIfTrue="1" operator="greaterThan">
      <formula>Q10</formula>
    </cfRule>
    <cfRule type="cellIs" dxfId="505" priority="160" stopIfTrue="1" operator="equal">
      <formula>0</formula>
    </cfRule>
  </conditionalFormatting>
  <conditionalFormatting sqref="K11:M11">
    <cfRule type="cellIs" dxfId="504" priority="157" stopIfTrue="1" operator="greaterThan">
      <formula>K10</formula>
    </cfRule>
    <cfRule type="cellIs" dxfId="503" priority="158" stopIfTrue="1" operator="equal">
      <formula>0</formula>
    </cfRule>
  </conditionalFormatting>
  <conditionalFormatting sqref="H11:J11">
    <cfRule type="cellIs" dxfId="502" priority="155" stopIfTrue="1" operator="greaterThan">
      <formula>H10</formula>
    </cfRule>
    <cfRule type="cellIs" dxfId="501" priority="156" stopIfTrue="1" operator="equal">
      <formula>0</formula>
    </cfRule>
  </conditionalFormatting>
  <conditionalFormatting sqref="F11:H11">
    <cfRule type="cellIs" dxfId="500" priority="153" stopIfTrue="1" operator="greaterThan">
      <formula>F10</formula>
    </cfRule>
    <cfRule type="cellIs" dxfId="499" priority="154" stopIfTrue="1" operator="equal">
      <formula>0</formula>
    </cfRule>
  </conditionalFormatting>
  <conditionalFormatting sqref="Q13">
    <cfRule type="cellIs" dxfId="498" priority="151" stopIfTrue="1" operator="greaterThan">
      <formula>Q12</formula>
    </cfRule>
    <cfRule type="cellIs" dxfId="497" priority="152" stopIfTrue="1" operator="equal">
      <formula>0</formula>
    </cfRule>
  </conditionalFormatting>
  <conditionalFormatting sqref="R13">
    <cfRule type="cellIs" dxfId="496" priority="149" stopIfTrue="1" operator="greaterThan">
      <formula>R12</formula>
    </cfRule>
    <cfRule type="cellIs" dxfId="495" priority="150" stopIfTrue="1" operator="equal">
      <formula>0</formula>
    </cfRule>
  </conditionalFormatting>
  <conditionalFormatting sqref="Q15">
    <cfRule type="cellIs" dxfId="494" priority="147" stopIfTrue="1" operator="greaterThan">
      <formula>Q14</formula>
    </cfRule>
    <cfRule type="cellIs" dxfId="493" priority="148" stopIfTrue="1" operator="equal">
      <formula>0</formula>
    </cfRule>
  </conditionalFormatting>
  <conditionalFormatting sqref="R15">
    <cfRule type="cellIs" dxfId="492" priority="145" stopIfTrue="1" operator="greaterThan">
      <formula>R14</formula>
    </cfRule>
    <cfRule type="cellIs" dxfId="491" priority="146" stopIfTrue="1" operator="equal">
      <formula>0</formula>
    </cfRule>
  </conditionalFormatting>
  <conditionalFormatting sqref="Q17">
    <cfRule type="cellIs" dxfId="490" priority="143" stopIfTrue="1" operator="greaterThan">
      <formula>Q16</formula>
    </cfRule>
    <cfRule type="cellIs" dxfId="489" priority="144" stopIfTrue="1" operator="equal">
      <formula>0</formula>
    </cfRule>
  </conditionalFormatting>
  <conditionalFormatting sqref="R17">
    <cfRule type="cellIs" dxfId="488" priority="141" stopIfTrue="1" operator="greaterThan">
      <formula>R16</formula>
    </cfRule>
    <cfRule type="cellIs" dxfId="487" priority="142" stopIfTrue="1" operator="equal">
      <formula>0</formula>
    </cfRule>
  </conditionalFormatting>
  <conditionalFormatting sqref="Q19">
    <cfRule type="cellIs" dxfId="486" priority="139" stopIfTrue="1" operator="greaterThan">
      <formula>Q18</formula>
    </cfRule>
    <cfRule type="cellIs" dxfId="485" priority="140" stopIfTrue="1" operator="equal">
      <formula>0</formula>
    </cfRule>
  </conditionalFormatting>
  <conditionalFormatting sqref="Q21">
    <cfRule type="cellIs" dxfId="484" priority="137" stopIfTrue="1" operator="greaterThan">
      <formula>Q20</formula>
    </cfRule>
    <cfRule type="cellIs" dxfId="483" priority="138" stopIfTrue="1" operator="equal">
      <formula>0</formula>
    </cfRule>
  </conditionalFormatting>
  <conditionalFormatting sqref="Q23">
    <cfRule type="cellIs" dxfId="482" priority="135" stopIfTrue="1" operator="greaterThan">
      <formula>Q22</formula>
    </cfRule>
    <cfRule type="cellIs" dxfId="481" priority="136" stopIfTrue="1" operator="equal">
      <formula>0</formula>
    </cfRule>
  </conditionalFormatting>
  <conditionalFormatting sqref="Q25">
    <cfRule type="cellIs" dxfId="480" priority="133" stopIfTrue="1" operator="greaterThan">
      <formula>Q24</formula>
    </cfRule>
    <cfRule type="cellIs" dxfId="479" priority="134" stopIfTrue="1" operator="equal">
      <formula>0</formula>
    </cfRule>
  </conditionalFormatting>
  <conditionalFormatting sqref="R21 R25">
    <cfRule type="cellIs" dxfId="478" priority="131" stopIfTrue="1" operator="greaterThan">
      <formula>R20</formula>
    </cfRule>
    <cfRule type="cellIs" dxfId="477" priority="132" stopIfTrue="1" operator="equal">
      <formula>0</formula>
    </cfRule>
  </conditionalFormatting>
  <conditionalFormatting sqref="Q11">
    <cfRule type="cellIs" dxfId="476" priority="129" stopIfTrue="1" operator="greaterThan">
      <formula>Q10</formula>
    </cfRule>
    <cfRule type="cellIs" dxfId="475" priority="130" stopIfTrue="1" operator="equal">
      <formula>0</formula>
    </cfRule>
  </conditionalFormatting>
  <conditionalFormatting sqref="R11">
    <cfRule type="cellIs" dxfId="474" priority="127" stopIfTrue="1" operator="greaterThan">
      <formula>R10</formula>
    </cfRule>
    <cfRule type="cellIs" dxfId="473" priority="128" stopIfTrue="1" operator="equal">
      <formula>0</formula>
    </cfRule>
  </conditionalFormatting>
  <conditionalFormatting sqref="F28:R28">
    <cfRule type="cellIs" dxfId="472" priority="123" stopIfTrue="1" operator="greaterThan">
      <formula>F29</formula>
    </cfRule>
    <cfRule type="cellIs" dxfId="471" priority="124" stopIfTrue="1" operator="equal">
      <formula>0</formula>
    </cfRule>
  </conditionalFormatting>
  <conditionalFormatting sqref="N36:P36">
    <cfRule type="cellIs" dxfId="470" priority="120" stopIfTrue="1" operator="greaterThan">
      <formula>N35</formula>
    </cfRule>
    <cfRule type="cellIs" dxfId="469" priority="121" stopIfTrue="1" operator="equal">
      <formula>0</formula>
    </cfRule>
  </conditionalFormatting>
  <conditionalFormatting sqref="Q36">
    <cfRule type="cellIs" dxfId="468" priority="118" stopIfTrue="1" operator="greaterThan">
      <formula>Q35</formula>
    </cfRule>
    <cfRule type="cellIs" dxfId="467" priority="119" stopIfTrue="1" operator="equal">
      <formula>0</formula>
    </cfRule>
  </conditionalFormatting>
  <conditionalFormatting sqref="N38:P38">
    <cfRule type="cellIs" dxfId="466" priority="116" stopIfTrue="1" operator="greaterThan">
      <formula>N37</formula>
    </cfRule>
    <cfRule type="cellIs" dxfId="465" priority="117" stopIfTrue="1" operator="equal">
      <formula>0</formula>
    </cfRule>
  </conditionalFormatting>
  <conditionalFormatting sqref="Q38">
    <cfRule type="cellIs" dxfId="464" priority="114" stopIfTrue="1" operator="greaterThan">
      <formula>Q37</formula>
    </cfRule>
    <cfRule type="cellIs" dxfId="463" priority="115" stopIfTrue="1" operator="equal">
      <formula>0</formula>
    </cfRule>
  </conditionalFormatting>
  <conditionalFormatting sqref="N40:P40">
    <cfRule type="cellIs" dxfId="462" priority="112" stopIfTrue="1" operator="greaterThan">
      <formula>N39</formula>
    </cfRule>
    <cfRule type="cellIs" dxfId="461" priority="113" stopIfTrue="1" operator="equal">
      <formula>0</formula>
    </cfRule>
  </conditionalFormatting>
  <conditionalFormatting sqref="Q40">
    <cfRule type="cellIs" dxfId="460" priority="110" stopIfTrue="1" operator="greaterThan">
      <formula>Q39</formula>
    </cfRule>
    <cfRule type="cellIs" dxfId="459" priority="111" stopIfTrue="1" operator="equal">
      <formula>0</formula>
    </cfRule>
  </conditionalFormatting>
  <conditionalFormatting sqref="N42:P42">
    <cfRule type="cellIs" dxfId="458" priority="108" stopIfTrue="1" operator="greaterThan">
      <formula>N41</formula>
    </cfRule>
    <cfRule type="cellIs" dxfId="457" priority="109" stopIfTrue="1" operator="equal">
      <formula>0</formula>
    </cfRule>
  </conditionalFormatting>
  <conditionalFormatting sqref="N46:P46">
    <cfRule type="cellIs" dxfId="456" priority="104" stopIfTrue="1" operator="greaterThan">
      <formula>N45</formula>
    </cfRule>
    <cfRule type="cellIs" dxfId="455" priority="105" stopIfTrue="1" operator="equal">
      <formula>0</formula>
    </cfRule>
  </conditionalFormatting>
  <conditionalFormatting sqref="N48:P48">
    <cfRule type="cellIs" dxfId="454" priority="102" stopIfTrue="1" operator="greaterThan">
      <formula>N47</formula>
    </cfRule>
    <cfRule type="cellIs" dxfId="453" priority="103" stopIfTrue="1" operator="equal">
      <formula>0</formula>
    </cfRule>
  </conditionalFormatting>
  <conditionalFormatting sqref="Q42:R42 Q46:R46 F50:R50">
    <cfRule type="cellIs" dxfId="452" priority="100" stopIfTrue="1" operator="greaterThan">
      <formula>F41</formula>
    </cfRule>
    <cfRule type="cellIs" dxfId="451" priority="101" stopIfTrue="1" operator="equal">
      <formula>0</formula>
    </cfRule>
  </conditionalFormatting>
  <conditionalFormatting sqref="Q48">
    <cfRule type="cellIs" dxfId="450" priority="98" stopIfTrue="1" operator="greaterThan">
      <formula>Q47</formula>
    </cfRule>
    <cfRule type="cellIs" dxfId="449" priority="99" stopIfTrue="1" operator="equal">
      <formula>0</formula>
    </cfRule>
  </conditionalFormatting>
  <conditionalFormatting sqref="K36:M36">
    <cfRule type="cellIs" dxfId="448" priority="96" stopIfTrue="1" operator="greaterThan">
      <formula>K35</formula>
    </cfRule>
    <cfRule type="cellIs" dxfId="447" priority="97" stopIfTrue="1" operator="equal">
      <formula>0</formula>
    </cfRule>
  </conditionalFormatting>
  <conditionalFormatting sqref="K38:M38">
    <cfRule type="cellIs" dxfId="446" priority="94" stopIfTrue="1" operator="greaterThan">
      <formula>K37</formula>
    </cfRule>
    <cfRule type="cellIs" dxfId="445" priority="95" stopIfTrue="1" operator="equal">
      <formula>0</formula>
    </cfRule>
  </conditionalFormatting>
  <conditionalFormatting sqref="K40:M40">
    <cfRule type="cellIs" dxfId="444" priority="92" stopIfTrue="1" operator="greaterThan">
      <formula>K39</formula>
    </cfRule>
    <cfRule type="cellIs" dxfId="443" priority="93" stopIfTrue="1" operator="equal">
      <formula>0</formula>
    </cfRule>
  </conditionalFormatting>
  <conditionalFormatting sqref="K42:M42">
    <cfRule type="cellIs" dxfId="442" priority="90" stopIfTrue="1" operator="greaterThan">
      <formula>K41</formula>
    </cfRule>
    <cfRule type="cellIs" dxfId="441" priority="91" stopIfTrue="1" operator="equal">
      <formula>0</formula>
    </cfRule>
  </conditionalFormatting>
  <conditionalFormatting sqref="K46:M46">
    <cfRule type="cellIs" dxfId="440" priority="86" stopIfTrue="1" operator="greaterThan">
      <formula>K45</formula>
    </cfRule>
    <cfRule type="cellIs" dxfId="439" priority="87" stopIfTrue="1" operator="equal">
      <formula>0</formula>
    </cfRule>
  </conditionalFormatting>
  <conditionalFormatting sqref="K48:M48">
    <cfRule type="cellIs" dxfId="438" priority="84" stopIfTrue="1" operator="greaterThan">
      <formula>K47</formula>
    </cfRule>
    <cfRule type="cellIs" dxfId="437" priority="85" stopIfTrue="1" operator="equal">
      <formula>0</formula>
    </cfRule>
  </conditionalFormatting>
  <conditionalFormatting sqref="H36:J36">
    <cfRule type="cellIs" dxfId="436" priority="82" stopIfTrue="1" operator="greaterThan">
      <formula>H35</formula>
    </cfRule>
    <cfRule type="cellIs" dxfId="435" priority="83" stopIfTrue="1" operator="equal">
      <formula>0</formula>
    </cfRule>
  </conditionalFormatting>
  <conditionalFormatting sqref="H38:J38">
    <cfRule type="cellIs" dxfId="434" priority="80" stopIfTrue="1" operator="greaterThan">
      <formula>H37</formula>
    </cfRule>
    <cfRule type="cellIs" dxfId="433" priority="81" stopIfTrue="1" operator="equal">
      <formula>0</formula>
    </cfRule>
  </conditionalFormatting>
  <conditionalFormatting sqref="H40:J40">
    <cfRule type="cellIs" dxfId="432" priority="78" stopIfTrue="1" operator="greaterThan">
      <formula>H39</formula>
    </cfRule>
    <cfRule type="cellIs" dxfId="431" priority="79" stopIfTrue="1" operator="equal">
      <formula>0</formula>
    </cfRule>
  </conditionalFormatting>
  <conditionalFormatting sqref="H42:J42">
    <cfRule type="cellIs" dxfId="430" priority="76" stopIfTrue="1" operator="greaterThan">
      <formula>H41</formula>
    </cfRule>
    <cfRule type="cellIs" dxfId="429" priority="77" stopIfTrue="1" operator="equal">
      <formula>0</formula>
    </cfRule>
  </conditionalFormatting>
  <conditionalFormatting sqref="H46:J46">
    <cfRule type="cellIs" dxfId="428" priority="72" stopIfTrue="1" operator="greaterThan">
      <formula>H45</formula>
    </cfRule>
    <cfRule type="cellIs" dxfId="427" priority="73" stopIfTrue="1" operator="equal">
      <formula>0</formula>
    </cfRule>
  </conditionalFormatting>
  <conditionalFormatting sqref="H48:J48">
    <cfRule type="cellIs" dxfId="426" priority="70" stopIfTrue="1" operator="greaterThan">
      <formula>H47</formula>
    </cfRule>
    <cfRule type="cellIs" dxfId="425" priority="71" stopIfTrue="1" operator="equal">
      <formula>0</formula>
    </cfRule>
  </conditionalFormatting>
  <conditionalFormatting sqref="F36:H36">
    <cfRule type="cellIs" dxfId="424" priority="68" stopIfTrue="1" operator="greaterThan">
      <formula>F35</formula>
    </cfRule>
    <cfRule type="cellIs" dxfId="423" priority="69" stopIfTrue="1" operator="equal">
      <formula>0</formula>
    </cfRule>
  </conditionalFormatting>
  <conditionalFormatting sqref="F38:H38">
    <cfRule type="cellIs" dxfId="422" priority="66" stopIfTrue="1" operator="greaterThan">
      <formula>F37</formula>
    </cfRule>
    <cfRule type="cellIs" dxfId="421" priority="67" stopIfTrue="1" operator="equal">
      <formula>0</formula>
    </cfRule>
  </conditionalFormatting>
  <conditionalFormatting sqref="F40:H40">
    <cfRule type="cellIs" dxfId="420" priority="64" stopIfTrue="1" operator="greaterThan">
      <formula>F39</formula>
    </cfRule>
    <cfRule type="cellIs" dxfId="419" priority="65" stopIfTrue="1" operator="equal">
      <formula>0</formula>
    </cfRule>
  </conditionalFormatting>
  <conditionalFormatting sqref="F42:H42">
    <cfRule type="cellIs" dxfId="418" priority="62" stopIfTrue="1" operator="greaterThan">
      <formula>F41</formula>
    </cfRule>
    <cfRule type="cellIs" dxfId="417" priority="63" stopIfTrue="1" operator="equal">
      <formula>0</formula>
    </cfRule>
  </conditionalFormatting>
  <conditionalFormatting sqref="F46:R46">
    <cfRule type="cellIs" dxfId="416" priority="58" stopIfTrue="1" operator="greaterThan">
      <formula>F45</formula>
    </cfRule>
    <cfRule type="cellIs" dxfId="415" priority="59" stopIfTrue="1" operator="equal">
      <formula>0</formula>
    </cfRule>
  </conditionalFormatting>
  <conditionalFormatting sqref="F48:H48">
    <cfRule type="cellIs" dxfId="414" priority="56" stopIfTrue="1" operator="greaterThan">
      <formula>F47</formula>
    </cfRule>
    <cfRule type="cellIs" dxfId="413" priority="57" stopIfTrue="1" operator="equal">
      <formula>0</formula>
    </cfRule>
  </conditionalFormatting>
  <conditionalFormatting sqref="N34:P34">
    <cfRule type="cellIs" dxfId="412" priority="54" stopIfTrue="1" operator="greaterThan">
      <formula>N33</formula>
    </cfRule>
    <cfRule type="cellIs" dxfId="411" priority="55" stopIfTrue="1" operator="equal">
      <formula>0</formula>
    </cfRule>
  </conditionalFormatting>
  <conditionalFormatting sqref="Q34">
    <cfRule type="cellIs" dxfId="410" priority="52" stopIfTrue="1" operator="greaterThan">
      <formula>Q33</formula>
    </cfRule>
    <cfRule type="cellIs" dxfId="409" priority="53" stopIfTrue="1" operator="equal">
      <formula>0</formula>
    </cfRule>
  </conditionalFormatting>
  <conditionalFormatting sqref="K34:M34">
    <cfRule type="cellIs" dxfId="408" priority="50" stopIfTrue="1" operator="greaterThan">
      <formula>K33</formula>
    </cfRule>
    <cfRule type="cellIs" dxfId="407" priority="51" stopIfTrue="1" operator="equal">
      <formula>0</formula>
    </cfRule>
  </conditionalFormatting>
  <conditionalFormatting sqref="H34:J34">
    <cfRule type="cellIs" dxfId="406" priority="48" stopIfTrue="1" operator="greaterThan">
      <formula>H33</formula>
    </cfRule>
    <cfRule type="cellIs" dxfId="405" priority="49" stopIfTrue="1" operator="equal">
      <formula>0</formula>
    </cfRule>
  </conditionalFormatting>
  <conditionalFormatting sqref="F34:H34">
    <cfRule type="cellIs" dxfId="404" priority="46" stopIfTrue="1" operator="greaterThan">
      <formula>F33</formula>
    </cfRule>
    <cfRule type="cellIs" dxfId="403" priority="47" stopIfTrue="1" operator="equal">
      <formula>0</formula>
    </cfRule>
  </conditionalFormatting>
  <conditionalFormatting sqref="Q36">
    <cfRule type="cellIs" dxfId="402" priority="44" stopIfTrue="1" operator="greaterThan">
      <formula>Q35</formula>
    </cfRule>
    <cfRule type="cellIs" dxfId="401" priority="45" stopIfTrue="1" operator="equal">
      <formula>0</formula>
    </cfRule>
  </conditionalFormatting>
  <conditionalFormatting sqref="R36">
    <cfRule type="cellIs" dxfId="400" priority="42" stopIfTrue="1" operator="greaterThan">
      <formula>R35</formula>
    </cfRule>
    <cfRule type="cellIs" dxfId="399" priority="43" stopIfTrue="1" operator="equal">
      <formula>0</formula>
    </cfRule>
  </conditionalFormatting>
  <conditionalFormatting sqref="Q38">
    <cfRule type="cellIs" dxfId="398" priority="40" stopIfTrue="1" operator="greaterThan">
      <formula>Q37</formula>
    </cfRule>
    <cfRule type="cellIs" dxfId="397" priority="41" stopIfTrue="1" operator="equal">
      <formula>0</formula>
    </cfRule>
  </conditionalFormatting>
  <conditionalFormatting sqref="R38">
    <cfRule type="cellIs" dxfId="396" priority="38" stopIfTrue="1" operator="greaterThan">
      <formula>R37</formula>
    </cfRule>
    <cfRule type="cellIs" dxfId="395" priority="39" stopIfTrue="1" operator="equal">
      <formula>0</formula>
    </cfRule>
  </conditionalFormatting>
  <conditionalFormatting sqref="Q40">
    <cfRule type="cellIs" dxfId="394" priority="36" stopIfTrue="1" operator="greaterThan">
      <formula>Q39</formula>
    </cfRule>
    <cfRule type="cellIs" dxfId="393" priority="37" stopIfTrue="1" operator="equal">
      <formula>0</formula>
    </cfRule>
  </conditionalFormatting>
  <conditionalFormatting sqref="R40">
    <cfRule type="cellIs" dxfId="392" priority="34" stopIfTrue="1" operator="greaterThan">
      <formula>R39</formula>
    </cfRule>
    <cfRule type="cellIs" dxfId="391" priority="35" stopIfTrue="1" operator="equal">
      <formula>0</formula>
    </cfRule>
  </conditionalFormatting>
  <conditionalFormatting sqref="Q42">
    <cfRule type="cellIs" dxfId="390" priority="32" stopIfTrue="1" operator="greaterThan">
      <formula>Q41</formula>
    </cfRule>
    <cfRule type="cellIs" dxfId="389" priority="33" stopIfTrue="1" operator="equal">
      <formula>0</formula>
    </cfRule>
  </conditionalFormatting>
  <conditionalFormatting sqref="Q46">
    <cfRule type="cellIs" dxfId="388" priority="28" stopIfTrue="1" operator="greaterThan">
      <formula>Q45</formula>
    </cfRule>
    <cfRule type="cellIs" dxfId="387" priority="29" stopIfTrue="1" operator="equal">
      <formula>0</formula>
    </cfRule>
  </conditionalFormatting>
  <conditionalFormatting sqref="Q48">
    <cfRule type="cellIs" dxfId="386" priority="26" stopIfTrue="1" operator="greaterThan">
      <formula>Q47</formula>
    </cfRule>
    <cfRule type="cellIs" dxfId="385" priority="27" stopIfTrue="1" operator="equal">
      <formula>0</formula>
    </cfRule>
  </conditionalFormatting>
  <conditionalFormatting sqref="R48">
    <cfRule type="cellIs" dxfId="384" priority="24" stopIfTrue="1" operator="greaterThan">
      <formula>R47</formula>
    </cfRule>
    <cfRule type="cellIs" dxfId="383" priority="25" stopIfTrue="1" operator="equal">
      <formula>0</formula>
    </cfRule>
  </conditionalFormatting>
  <conditionalFormatting sqref="Q34">
    <cfRule type="cellIs" dxfId="382" priority="22" stopIfTrue="1" operator="greaterThan">
      <formula>Q33</formula>
    </cfRule>
    <cfRule type="cellIs" dxfId="381" priority="23" stopIfTrue="1" operator="equal">
      <formula>0</formula>
    </cfRule>
  </conditionalFormatting>
  <conditionalFormatting sqref="R34">
    <cfRule type="cellIs" dxfId="380" priority="20" stopIfTrue="1" operator="greaterThan">
      <formula>R33</formula>
    </cfRule>
    <cfRule type="cellIs" dxfId="379" priority="21" stopIfTrue="1" operator="equal">
      <formula>0</formula>
    </cfRule>
  </conditionalFormatting>
  <conditionalFormatting sqref="F45:R45">
    <cfRule type="cellIs" dxfId="378" priority="16" stopIfTrue="1" operator="greaterThan">
      <formula>F46</formula>
    </cfRule>
    <cfRule type="cellIs" dxfId="377" priority="17" stopIfTrue="1" operator="equal">
      <formula>0</formula>
    </cfRule>
  </conditionalFormatting>
  <conditionalFormatting sqref="F46:R46">
    <cfRule type="cellIs" dxfId="376" priority="15" stopIfTrue="1" operator="equal">
      <formula>0</formula>
    </cfRule>
  </conditionalFormatting>
  <conditionalFormatting sqref="F46:R46">
    <cfRule type="cellIs" dxfId="375" priority="13" stopIfTrue="1" operator="greaterThan">
      <formula>F47</formula>
    </cfRule>
    <cfRule type="cellIs" dxfId="374" priority="14" stopIfTrue="1" operator="equal">
      <formula>0</formula>
    </cfRule>
  </conditionalFormatting>
  <conditionalFormatting sqref="F26:R26">
    <cfRule type="cellIs" dxfId="373" priority="11" operator="notEqual">
      <formula>F43</formula>
    </cfRule>
    <cfRule type="cellIs" dxfId="372" priority="12" operator="equal">
      <formula>0</formula>
    </cfRule>
  </conditionalFormatting>
  <conditionalFormatting sqref="F27:R27">
    <cfRule type="cellIs" dxfId="371" priority="8" operator="notEqual">
      <formula>F44</formula>
    </cfRule>
    <cfRule type="cellIs" dxfId="370" priority="9" operator="greaterThan">
      <formula>F26</formula>
    </cfRule>
    <cfRule type="cellIs" dxfId="369" priority="10" operator="equal">
      <formula>0</formula>
    </cfRule>
  </conditionalFormatting>
  <conditionalFormatting sqref="F43:R43">
    <cfRule type="cellIs" dxfId="368" priority="6" operator="notEqual">
      <formula>F26</formula>
    </cfRule>
    <cfRule type="cellIs" dxfId="367" priority="7" operator="equal">
      <formula>0</formula>
    </cfRule>
  </conditionalFormatting>
  <conditionalFormatting sqref="F44:R44">
    <cfRule type="cellIs" dxfId="366" priority="3" operator="notEqual">
      <formula>F27</formula>
    </cfRule>
    <cfRule type="cellIs" dxfId="365" priority="4" operator="greaterThan">
      <formula>F43</formula>
    </cfRule>
    <cfRule type="cellIs" dxfId="364" priority="5" operator="equal">
      <formula>0</formula>
    </cfRule>
  </conditionalFormatting>
  <conditionalFormatting sqref="F22:Q23">
    <cfRule type="cellIs" dxfId="363" priority="2" operator="greaterThan">
      <formula>0</formula>
    </cfRule>
  </conditionalFormatting>
  <conditionalFormatting sqref="F20:Q21">
    <cfRule type="cellIs" dxfId="362" priority="1" operator="greaterThan">
      <formula>0</formula>
    </cfRule>
  </conditionalFormatting>
  <dataValidations count="2">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F28:R28 F45:R46"/>
    <dataValidation type="whole" operator="greaterThanOrEqual" allowBlank="1" showInputMessage="1" showErrorMessage="1" errorTitle="الأساتذة و المؤهل العلمي" error="ضع عدد المناسب للأساتذة حسب المؤهل العلمي الحالي و مادة التدريس الحالية " sqref="F10:R27 F33:R44 F47:R50">
      <formula1>0</formula1>
    </dataValidation>
  </dataValidations>
  <printOptions horizontalCentered="1" verticalCentered="1"/>
  <pageMargins left="0.19685039370078741" right="0.19685039370078741" top="0.19685039370078741" bottom="0.19685039370078741" header="0" footer="0.31496062992125984"/>
  <pageSetup paperSize="9" orientation="portrait" r:id="rId1"/>
  <headerFooter>
    <oddFooter xml:space="preserve">&amp;R&amp;"-,Gras"&amp;8&amp;K00-033Echamil V.08    &amp;F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rgb="FF993366"/>
  </sheetPr>
  <dimension ref="A1:X77"/>
  <sheetViews>
    <sheetView showGridLines="0" rightToLeft="1" topLeftCell="A55" workbookViewId="0">
      <selection activeCell="F73" sqref="F73"/>
    </sheetView>
  </sheetViews>
  <sheetFormatPr baseColWidth="10" defaultColWidth="0" defaultRowHeight="14.4" zeroHeight="1"/>
  <cols>
    <col min="1" max="1" width="2.6640625" customWidth="1"/>
    <col min="2" max="2" width="1.6640625" customWidth="1"/>
    <col min="3" max="3" width="0.88671875" customWidth="1"/>
    <col min="4" max="4" width="25.6640625" customWidth="1"/>
    <col min="5" max="5" width="7.5546875" customWidth="1"/>
    <col min="6" max="6" width="6.6640625" customWidth="1"/>
    <col min="7" max="7" width="4.6640625" customWidth="1"/>
    <col min="8" max="10" width="6.6640625" customWidth="1"/>
    <col min="11" max="11" width="5.6640625" customWidth="1"/>
    <col min="12" max="12" width="6.6640625" customWidth="1"/>
    <col min="13" max="13" width="5.6640625" customWidth="1"/>
    <col min="14" max="14" width="6.6640625" customWidth="1"/>
    <col min="15" max="15" width="0.88671875" customWidth="1"/>
    <col min="16" max="16" width="1.6640625" customWidth="1"/>
    <col min="17" max="17" width="2.88671875" customWidth="1"/>
    <col min="18" max="18" width="28.44140625" style="1052" customWidth="1"/>
    <col min="19" max="19" width="24.88671875" style="1042" customWidth="1"/>
    <col min="20" max="20" width="1.5546875" style="1041" customWidth="1"/>
    <col min="21" max="21" width="17.44140625" style="1041" customWidth="1"/>
    <col min="22" max="22" width="2.109375" style="1041" customWidth="1"/>
    <col min="23" max="23" width="3" style="1033" customWidth="1"/>
    <col min="24" max="24" width="7.44140625" style="1033" hidden="1" customWidth="1"/>
  </cols>
  <sheetData>
    <row r="1" spans="1:24" ht="14.1" customHeight="1" thickBot="1">
      <c r="A1" s="750"/>
      <c r="B1" s="751"/>
      <c r="C1" s="751"/>
      <c r="D1" s="751"/>
      <c r="E1" s="751"/>
      <c r="F1" s="751"/>
      <c r="G1" s="751"/>
      <c r="H1" s="751"/>
      <c r="I1" s="751"/>
      <c r="J1" s="751"/>
      <c r="K1" s="751"/>
      <c r="L1" s="751"/>
      <c r="M1" s="751"/>
      <c r="N1" s="751"/>
      <c r="O1" s="751"/>
      <c r="P1" s="751"/>
      <c r="Q1" s="750"/>
      <c r="R1" s="1050"/>
      <c r="S1" s="1051"/>
      <c r="T1" s="1040"/>
      <c r="U1" s="1040"/>
      <c r="V1" s="1040"/>
      <c r="W1" s="1036"/>
    </row>
    <row r="2" spans="1:24" ht="8.1" customHeight="1" thickBot="1">
      <c r="A2" s="750"/>
      <c r="B2" s="904"/>
      <c r="C2" s="905"/>
      <c r="D2" s="905"/>
      <c r="E2" s="905"/>
      <c r="F2" s="905"/>
      <c r="G2" s="905"/>
      <c r="H2" s="905"/>
      <c r="I2" s="905"/>
      <c r="J2" s="905"/>
      <c r="K2" s="905"/>
      <c r="L2" s="905"/>
      <c r="M2" s="905"/>
      <c r="N2" s="905"/>
      <c r="O2" s="905"/>
      <c r="P2" s="906"/>
      <c r="Q2" s="752"/>
      <c r="R2" s="4032" t="s">
        <v>603</v>
      </c>
      <c r="S2" s="4032"/>
      <c r="T2" s="4032"/>
      <c r="U2" s="4032"/>
      <c r="V2" s="4032"/>
      <c r="W2" s="1036"/>
    </row>
    <row r="3" spans="1:24" ht="2.1" customHeight="1">
      <c r="A3" s="750"/>
      <c r="B3" s="907"/>
      <c r="C3" s="862"/>
      <c r="D3" s="858"/>
      <c r="E3" s="859"/>
      <c r="F3" s="859"/>
      <c r="G3" s="859"/>
      <c r="H3" s="863"/>
      <c r="I3" s="859"/>
      <c r="J3" s="859"/>
      <c r="K3" s="859"/>
      <c r="L3" s="859"/>
      <c r="M3" s="859"/>
      <c r="N3" s="859"/>
      <c r="O3" s="913"/>
      <c r="P3" s="925"/>
      <c r="Q3" s="752"/>
      <c r="R3" s="4032"/>
      <c r="S3" s="4032"/>
      <c r="T3" s="4032"/>
      <c r="U3" s="4032"/>
      <c r="V3" s="4032"/>
      <c r="W3" s="1036"/>
    </row>
    <row r="4" spans="1:24" ht="12" customHeight="1">
      <c r="A4" s="750"/>
      <c r="B4" s="909"/>
      <c r="C4" s="928"/>
      <c r="D4" s="2882" t="s">
        <v>1466</v>
      </c>
      <c r="E4" s="633"/>
      <c r="F4" s="636"/>
      <c r="G4" s="636"/>
      <c r="H4" s="634"/>
      <c r="I4" s="634"/>
      <c r="J4" s="634"/>
      <c r="K4" s="637"/>
      <c r="L4" s="637"/>
      <c r="M4" s="637"/>
      <c r="N4" s="2883" t="s">
        <v>1467</v>
      </c>
      <c r="O4" s="929"/>
      <c r="P4" s="925"/>
      <c r="Q4" s="752"/>
      <c r="R4" s="4032"/>
      <c r="S4" s="4032"/>
      <c r="T4" s="4032"/>
      <c r="U4" s="4032"/>
      <c r="V4" s="4032"/>
      <c r="W4" s="1036"/>
    </row>
    <row r="5" spans="1:24" ht="2.1" customHeight="1">
      <c r="A5" s="750"/>
      <c r="B5" s="909"/>
      <c r="C5" s="864"/>
      <c r="D5" s="638"/>
      <c r="E5" s="633"/>
      <c r="F5" s="636"/>
      <c r="G5" s="636"/>
      <c r="H5" s="634"/>
      <c r="I5" s="634"/>
      <c r="J5" s="634"/>
      <c r="K5" s="637"/>
      <c r="L5" s="637"/>
      <c r="M5" s="637"/>
      <c r="N5" s="637"/>
      <c r="O5" s="914"/>
      <c r="P5" s="925"/>
      <c r="Q5" s="752"/>
      <c r="R5" s="4032"/>
      <c r="S5" s="4032"/>
      <c r="T5" s="4032"/>
      <c r="U5" s="4032"/>
      <c r="V5" s="4032"/>
      <c r="W5" s="1036"/>
    </row>
    <row r="6" spans="1:24" ht="18" customHeight="1">
      <c r="A6" s="750"/>
      <c r="B6" s="907"/>
      <c r="C6" s="974"/>
      <c r="D6" s="975" t="s">
        <v>1251</v>
      </c>
      <c r="E6" s="976"/>
      <c r="F6" s="976"/>
      <c r="G6" s="976"/>
      <c r="H6" s="977"/>
      <c r="I6" s="976"/>
      <c r="J6" s="976"/>
      <c r="K6" s="976"/>
      <c r="L6" s="976"/>
      <c r="M6" s="976"/>
      <c r="N6" s="976"/>
      <c r="O6" s="978"/>
      <c r="P6" s="919"/>
      <c r="Q6" s="970"/>
      <c r="R6" s="4032"/>
      <c r="S6" s="4032"/>
      <c r="T6" s="4032"/>
      <c r="U6" s="4032"/>
      <c r="V6" s="4032"/>
      <c r="W6" s="1036"/>
    </row>
    <row r="7" spans="1:24" ht="2.1" customHeight="1">
      <c r="A7" s="750"/>
      <c r="B7" s="926"/>
      <c r="C7" s="918"/>
      <c r="D7" s="635"/>
      <c r="E7" s="634"/>
      <c r="F7" s="634"/>
      <c r="G7" s="634"/>
      <c r="H7" s="634"/>
      <c r="I7" s="634"/>
      <c r="J7" s="634"/>
      <c r="K7" s="634"/>
      <c r="L7" s="634"/>
      <c r="M7" s="634"/>
      <c r="N7" s="634"/>
      <c r="O7" s="919"/>
      <c r="P7" s="925"/>
      <c r="Q7" s="970"/>
      <c r="R7" s="4744" t="s">
        <v>771</v>
      </c>
      <c r="S7" s="4744"/>
      <c r="T7" s="4744"/>
      <c r="U7" s="4744"/>
      <c r="V7" s="4744"/>
      <c r="W7" s="1036"/>
    </row>
    <row r="8" spans="1:24" ht="12" customHeight="1">
      <c r="A8" s="750"/>
      <c r="B8" s="926"/>
      <c r="C8" s="918"/>
      <c r="D8" s="1331" t="s">
        <v>125</v>
      </c>
      <c r="E8" s="4741" t="s">
        <v>124</v>
      </c>
      <c r="F8" s="4736" t="s">
        <v>123</v>
      </c>
      <c r="G8" s="4737"/>
      <c r="H8" s="4737"/>
      <c r="I8" s="4737"/>
      <c r="J8" s="4737"/>
      <c r="K8" s="4737"/>
      <c r="L8" s="4737"/>
      <c r="M8" s="4738"/>
      <c r="N8" s="4741" t="s">
        <v>122</v>
      </c>
      <c r="O8" s="919"/>
      <c r="P8" s="925"/>
      <c r="Q8" s="970"/>
      <c r="R8" s="4744"/>
      <c r="S8" s="4744"/>
      <c r="T8" s="4744"/>
      <c r="U8" s="4744"/>
      <c r="V8" s="4744"/>
      <c r="W8" s="1036"/>
    </row>
    <row r="9" spans="1:24" ht="12" customHeight="1">
      <c r="A9" s="750"/>
      <c r="B9" s="926"/>
      <c r="C9" s="918"/>
      <c r="D9" s="1332"/>
      <c r="E9" s="4742"/>
      <c r="F9" s="4739" t="s">
        <v>121</v>
      </c>
      <c r="G9" s="4740"/>
      <c r="H9" s="4739" t="s">
        <v>120</v>
      </c>
      <c r="I9" s="4740"/>
      <c r="J9" s="4739" t="s">
        <v>119</v>
      </c>
      <c r="K9" s="4740"/>
      <c r="L9" s="4739" t="s">
        <v>118</v>
      </c>
      <c r="M9" s="4740"/>
      <c r="N9" s="4742"/>
      <c r="O9" s="919"/>
      <c r="P9" s="925"/>
      <c r="Q9" s="970"/>
      <c r="R9" s="4744"/>
      <c r="S9" s="4744"/>
      <c r="T9" s="4744"/>
      <c r="U9" s="4744"/>
      <c r="V9" s="4744"/>
      <c r="W9" s="1036"/>
    </row>
    <row r="10" spans="1:24" ht="12" customHeight="1">
      <c r="A10" s="750"/>
      <c r="B10" s="926"/>
      <c r="C10" s="918"/>
      <c r="D10" s="1333" t="s">
        <v>117</v>
      </c>
      <c r="E10" s="4743"/>
      <c r="F10" s="1334" t="s">
        <v>20</v>
      </c>
      <c r="G10" s="1335" t="s">
        <v>29</v>
      </c>
      <c r="H10" s="1334" t="s">
        <v>20</v>
      </c>
      <c r="I10" s="1335" t="s">
        <v>29</v>
      </c>
      <c r="J10" s="1334" t="s">
        <v>20</v>
      </c>
      <c r="K10" s="1335" t="s">
        <v>29</v>
      </c>
      <c r="L10" s="1334" t="s">
        <v>20</v>
      </c>
      <c r="M10" s="1335" t="s">
        <v>29</v>
      </c>
      <c r="N10" s="4743"/>
      <c r="O10" s="919"/>
      <c r="P10" s="925"/>
      <c r="Q10" s="970"/>
      <c r="R10" s="2538" t="s">
        <v>583</v>
      </c>
      <c r="S10" s="2539" t="s">
        <v>124</v>
      </c>
      <c r="T10" s="2540"/>
      <c r="U10" s="2541" t="s">
        <v>123</v>
      </c>
      <c r="V10" s="1053"/>
      <c r="W10" s="1036"/>
    </row>
    <row r="11" spans="1:24" ht="12" customHeight="1">
      <c r="A11" s="750"/>
      <c r="B11" s="926"/>
      <c r="C11" s="918"/>
      <c r="D11" s="685" t="s">
        <v>116</v>
      </c>
      <c r="E11" s="526">
        <v>1</v>
      </c>
      <c r="F11" s="526">
        <v>1</v>
      </c>
      <c r="G11" s="523">
        <v>1</v>
      </c>
      <c r="H11" s="531"/>
      <c r="I11" s="530"/>
      <c r="J11" s="2868"/>
      <c r="K11" s="2869"/>
      <c r="L11" s="766">
        <f>F11+H11+J11</f>
        <v>1</v>
      </c>
      <c r="M11" s="767">
        <f>G11+I11+K11</f>
        <v>1</v>
      </c>
      <c r="N11" s="630">
        <f>E11-(F11+H11+J11)</f>
        <v>0</v>
      </c>
      <c r="O11" s="919"/>
      <c r="P11" s="925"/>
      <c r="Q11" s="970"/>
      <c r="R11" s="2542" t="s">
        <v>116</v>
      </c>
      <c r="S11" s="2543" t="str">
        <f>IF(('الصفحة 1'!$Q$14&gt;0),((IF((E11=""),"مدير متوسطة",IF((E11=0)," ",IF((E11&gt;0),""))))),"")</f>
        <v/>
      </c>
      <c r="T11" s="2544"/>
      <c r="U11" s="3141" t="str">
        <f>IF(('الصفحة 1'!$Q$14&gt;0),(IF((E11=0),(IF((L11&gt;0),("المناصب المفتوحة في الإطار ؟"),(IF((L11=""),(""),(IF((L11=0),(""),(""))))))),(""))),(""))</f>
        <v/>
      </c>
      <c r="V11" s="1054"/>
      <c r="W11" s="1036"/>
    </row>
    <row r="12" spans="1:24" ht="12" customHeight="1">
      <c r="A12" s="750"/>
      <c r="B12" s="926"/>
      <c r="C12" s="918"/>
      <c r="D12" s="4732" t="s">
        <v>115</v>
      </c>
      <c r="E12" s="4733"/>
      <c r="F12" s="4733"/>
      <c r="G12" s="4733"/>
      <c r="H12" s="4733"/>
      <c r="I12" s="4733"/>
      <c r="J12" s="4733"/>
      <c r="K12" s="4733"/>
      <c r="L12" s="4733"/>
      <c r="M12" s="4733"/>
      <c r="N12" s="4734"/>
      <c r="O12" s="919"/>
      <c r="P12" s="925"/>
      <c r="Q12" s="970"/>
      <c r="R12" s="4730" t="s">
        <v>115</v>
      </c>
      <c r="S12" s="4731"/>
      <c r="T12" s="4731"/>
      <c r="U12" s="4731"/>
      <c r="W12" s="1036"/>
    </row>
    <row r="13" spans="1:24" ht="12" customHeight="1">
      <c r="A13" s="750"/>
      <c r="B13" s="926"/>
      <c r="C13" s="918"/>
      <c r="D13" s="686" t="s">
        <v>712</v>
      </c>
      <c r="E13" s="543">
        <v>0</v>
      </c>
      <c r="F13" s="543">
        <v>0</v>
      </c>
      <c r="G13" s="544">
        <v>0</v>
      </c>
      <c r="H13" s="1344"/>
      <c r="I13" s="1345"/>
      <c r="J13" s="2870"/>
      <c r="K13" s="2871"/>
      <c r="L13" s="971">
        <f t="shared" ref="L13:M16" si="0">F13+H13+J13</f>
        <v>0</v>
      </c>
      <c r="M13" s="972">
        <f t="shared" si="0"/>
        <v>0</v>
      </c>
      <c r="N13" s="699">
        <f t="shared" ref="N13:N18" si="1">E13-(F13+H13+J13)</f>
        <v>0</v>
      </c>
      <c r="O13" s="919"/>
      <c r="P13" s="925"/>
      <c r="Q13" s="970"/>
      <c r="R13" s="2545" t="s">
        <v>712</v>
      </c>
      <c r="S13" s="2543" t="str">
        <f>IF(('الصفحة 1'!$Q$14&gt;0),((IF((E13=""),"مستشار رئيس للتربية",IF((E13=0)," ",IF((E13&gt;0),""))))),"")</f>
        <v xml:space="preserve"> </v>
      </c>
      <c r="T13" s="2544"/>
      <c r="U13" s="2546" t="str">
        <f>IF(('الصفحة 1'!$Q$14&gt;0),(IF((E13=0),(IF((L13&gt;0),("المناصب المفتوحة في الإطار ؟"),(IF((L13=""),(""),(IF((L13=0),(""),(""))))))),(""))),(""))</f>
        <v/>
      </c>
      <c r="W13" s="1037"/>
      <c r="X13" s="1034"/>
    </row>
    <row r="14" spans="1:24" ht="12" customHeight="1">
      <c r="A14" s="750"/>
      <c r="B14" s="926"/>
      <c r="C14" s="918"/>
      <c r="D14" s="1336" t="s">
        <v>113</v>
      </c>
      <c r="E14" s="527">
        <v>1</v>
      </c>
      <c r="F14" s="527">
        <v>1</v>
      </c>
      <c r="G14" s="524">
        <v>1</v>
      </c>
      <c r="H14" s="1320"/>
      <c r="I14" s="1321"/>
      <c r="J14" s="2872"/>
      <c r="K14" s="2873"/>
      <c r="L14" s="768">
        <f t="shared" si="0"/>
        <v>1</v>
      </c>
      <c r="M14" s="769">
        <f t="shared" si="0"/>
        <v>1</v>
      </c>
      <c r="N14" s="631">
        <f t="shared" si="1"/>
        <v>0</v>
      </c>
      <c r="O14" s="919"/>
      <c r="P14" s="925"/>
      <c r="Q14" s="970"/>
      <c r="R14" s="2547" t="s">
        <v>113</v>
      </c>
      <c r="S14" s="2543" t="str">
        <f>IF(('الصفحة 1'!$Q$14&gt;0),((IF((E14=""),"مستشار التربية",IF((E14=0)," ",IF((E14&gt;0),""))))),"")</f>
        <v/>
      </c>
      <c r="T14" s="2544"/>
      <c r="U14" s="2546" t="str">
        <f>IF(('الصفحة 1'!$Q$14&gt;0),(IF((E14=0),(IF((L14&gt;0),("المناصب المفتوحة في الإطار ؟"),(IF((L14=""),(""),(IF((L14=0),(""),(""))))))),(""))),(""))</f>
        <v/>
      </c>
      <c r="W14" s="1036"/>
    </row>
    <row r="15" spans="1:24" ht="12" customHeight="1">
      <c r="A15" s="750"/>
      <c r="B15" s="926"/>
      <c r="C15" s="918"/>
      <c r="D15" s="687" t="s">
        <v>714</v>
      </c>
      <c r="E15" s="527"/>
      <c r="F15" s="527"/>
      <c r="G15" s="524"/>
      <c r="H15" s="1320"/>
      <c r="I15" s="1321"/>
      <c r="J15" s="2872"/>
      <c r="K15" s="2873"/>
      <c r="L15" s="768">
        <f t="shared" si="0"/>
        <v>0</v>
      </c>
      <c r="M15" s="769">
        <f t="shared" si="0"/>
        <v>0</v>
      </c>
      <c r="N15" s="631">
        <f t="shared" si="1"/>
        <v>0</v>
      </c>
      <c r="O15" s="919"/>
      <c r="P15" s="925"/>
      <c r="Q15" s="970"/>
      <c r="R15" s="2548" t="s">
        <v>714</v>
      </c>
      <c r="S15" s="2543" t="str">
        <f>IF(('الصفحة 1'!$Q$14&gt;0),((IF((E15=""),"مشرف رئيسي للتربية  ",IF((E15=0)," ",IF((E15&gt;0),""))))),"")</f>
        <v xml:space="preserve">مشرف رئيسي للتربية  </v>
      </c>
      <c r="T15" s="2544"/>
      <c r="U15" s="2546" t="str">
        <f>IF(('الصفحة 1'!$Q$14&gt;0),(IF((E15=0),(IF((L15&gt;0),("المناصب المفتوحة في الإطار ؟"),(IF((L15=""),(""),(IF((L15=0),(""),(""))))))),(""))),(""))</f>
        <v/>
      </c>
      <c r="W15" s="1036"/>
    </row>
    <row r="16" spans="1:24" ht="12" customHeight="1">
      <c r="A16" s="750"/>
      <c r="B16" s="926"/>
      <c r="C16" s="918"/>
      <c r="D16" s="1336" t="s">
        <v>713</v>
      </c>
      <c r="E16" s="527">
        <v>8</v>
      </c>
      <c r="F16" s="527">
        <v>8</v>
      </c>
      <c r="G16" s="524">
        <v>7</v>
      </c>
      <c r="H16" s="1320"/>
      <c r="I16" s="1321"/>
      <c r="J16" s="2872"/>
      <c r="K16" s="2873"/>
      <c r="L16" s="768">
        <f t="shared" si="0"/>
        <v>8</v>
      </c>
      <c r="M16" s="769">
        <f t="shared" si="0"/>
        <v>7</v>
      </c>
      <c r="N16" s="631">
        <f t="shared" si="1"/>
        <v>0</v>
      </c>
      <c r="O16" s="919"/>
      <c r="P16" s="925"/>
      <c r="Q16" s="970"/>
      <c r="R16" s="2547" t="s">
        <v>713</v>
      </c>
      <c r="S16" s="2543" t="str">
        <f>IF(('الصفحة 1'!$Q$14&gt;0),((IF((E16=""),"مشرف  التربية ",IF((E16=0)," ",IF((E16&gt;0),""))))),"")</f>
        <v/>
      </c>
      <c r="T16" s="2544"/>
      <c r="U16" s="2546" t="str">
        <f>IF(('الصفحة 1'!$Q$14&gt;0),(IF((E16=0),(IF((L16&gt;0),("المناصب المفتوحة في الإطار ؟"),(IF((L16=""),(""),(IF((L16=0),(""),(""))))))),(""))),(""))</f>
        <v/>
      </c>
      <c r="W16" s="1036"/>
      <c r="X16" s="1034"/>
    </row>
    <row r="17" spans="1:23" ht="12" customHeight="1">
      <c r="A17" s="750"/>
      <c r="B17" s="926"/>
      <c r="C17" s="918"/>
      <c r="D17" s="1035" t="s">
        <v>711</v>
      </c>
      <c r="E17" s="527">
        <v>1</v>
      </c>
      <c r="F17" s="527">
        <v>1</v>
      </c>
      <c r="G17" s="524">
        <v>1</v>
      </c>
      <c r="H17" s="1320"/>
      <c r="I17" s="1321"/>
      <c r="J17" s="2872"/>
      <c r="K17" s="2873"/>
      <c r="L17" s="768">
        <f t="shared" ref="L17:M19" si="2">F17+H17+J17</f>
        <v>1</v>
      </c>
      <c r="M17" s="769">
        <f t="shared" si="2"/>
        <v>1</v>
      </c>
      <c r="N17" s="631">
        <f t="shared" si="1"/>
        <v>0</v>
      </c>
      <c r="O17" s="919"/>
      <c r="P17" s="925"/>
      <c r="Q17" s="970"/>
      <c r="R17" s="2549" t="s">
        <v>711</v>
      </c>
      <c r="S17" s="2543" t="str">
        <f>IF(('الصفحة 1'!$Q$14&gt;0),((IF((E17=""),"مساعد رئيسي للتربية ",IF((E17=0)," ",IF((E17&gt;0),""))))),"")</f>
        <v/>
      </c>
      <c r="T17" s="2544"/>
      <c r="U17" s="2546" t="str">
        <f>IF(('الصفحة 1'!$Q$14&gt;0),(IF((E17=0),(IF((L17&gt;0),("المناصب المفتوحة في الإطار ؟"),(IF((L17=""),(""),(IF((L17=0),(""),(""))))))),(""))),(""))</f>
        <v/>
      </c>
      <c r="W17" s="1036"/>
    </row>
    <row r="18" spans="1:23" ht="12" customHeight="1">
      <c r="A18" s="750"/>
      <c r="B18" s="926"/>
      <c r="C18" s="918"/>
      <c r="D18" s="2808" t="s">
        <v>111</v>
      </c>
      <c r="E18" s="528"/>
      <c r="F18" s="528"/>
      <c r="G18" s="525"/>
      <c r="H18" s="1322"/>
      <c r="I18" s="1323"/>
      <c r="J18" s="2874"/>
      <c r="K18" s="2875"/>
      <c r="L18" s="770">
        <f t="shared" si="2"/>
        <v>0</v>
      </c>
      <c r="M18" s="771">
        <f t="shared" si="2"/>
        <v>0</v>
      </c>
      <c r="N18" s="632">
        <f t="shared" si="1"/>
        <v>0</v>
      </c>
      <c r="O18" s="919"/>
      <c r="P18" s="925"/>
      <c r="Q18" s="970"/>
      <c r="R18" s="2816" t="s">
        <v>111</v>
      </c>
      <c r="S18" s="2543" t="str">
        <f>IF(('الصفحة 1'!$Q$14&gt;0),((IF((E18=""),"مساعد التربية",IF((E18=0)," ",IF((E18&gt;0),""))))),"")</f>
        <v>مساعد التربية</v>
      </c>
      <c r="T18" s="2544"/>
      <c r="U18" s="2546" t="str">
        <f>IF(('الصفحة 1'!$Q$14&gt;0),(IF((E18=0),(IF((L18&gt;0),("المناصب المفتوحة في الإطار ؟"),(IF((L18=""),(""),(IF((L18=0),(""),(""))))))),(""))),(""))</f>
        <v/>
      </c>
      <c r="W18" s="1036"/>
    </row>
    <row r="19" spans="1:23" ht="12" customHeight="1">
      <c r="A19" s="750"/>
      <c r="B19" s="926"/>
      <c r="C19" s="918"/>
      <c r="D19" s="2817" t="s">
        <v>1346</v>
      </c>
      <c r="E19" s="2809">
        <v>1</v>
      </c>
      <c r="F19" s="2809">
        <v>1</v>
      </c>
      <c r="G19" s="2810">
        <v>1</v>
      </c>
      <c r="H19" s="2811"/>
      <c r="I19" s="2812"/>
      <c r="J19" s="2876"/>
      <c r="K19" s="2877"/>
      <c r="L19" s="2813">
        <f t="shared" si="2"/>
        <v>1</v>
      </c>
      <c r="M19" s="2814">
        <f t="shared" si="2"/>
        <v>1</v>
      </c>
      <c r="N19" s="2815">
        <f>E19-(F19+H19+J19)</f>
        <v>0</v>
      </c>
      <c r="O19" s="919"/>
      <c r="P19" s="925"/>
      <c r="Q19" s="970"/>
      <c r="R19" s="2807" t="s">
        <v>1346</v>
      </c>
      <c r="S19" s="2543" t="str">
        <f>IF(('الصفحة 1'!$Q$14&gt;0),((IF((E19=""),"مستشار التوجيه والإرشاد المدرسي والمهني",IF((E19=0)," ",IF((E19&gt;0),""))))),"")</f>
        <v/>
      </c>
      <c r="T19" s="2544"/>
      <c r="U19" s="2546" t="str">
        <f>IF(('الصفحة 1'!$Q$14&gt;0),(IF((E19=0),(IF((L19&gt;0),("المناصب المفتوحة في الإطار ؟"),(IF((L19=""),(""),(IF((L19=0),(""),(""))))))),(""))),(""))</f>
        <v/>
      </c>
      <c r="W19" s="1036"/>
    </row>
    <row r="20" spans="1:23" ht="12" customHeight="1">
      <c r="A20" s="750"/>
      <c r="B20" s="926"/>
      <c r="C20" s="918"/>
      <c r="D20" s="4732" t="s">
        <v>110</v>
      </c>
      <c r="E20" s="4733"/>
      <c r="F20" s="4733"/>
      <c r="G20" s="4733"/>
      <c r="H20" s="4733"/>
      <c r="I20" s="4733"/>
      <c r="J20" s="4733"/>
      <c r="K20" s="4733"/>
      <c r="L20" s="4733"/>
      <c r="M20" s="4733"/>
      <c r="N20" s="4734"/>
      <c r="O20" s="919"/>
      <c r="P20" s="925"/>
      <c r="Q20" s="970"/>
      <c r="R20" s="4730" t="s">
        <v>110</v>
      </c>
      <c r="S20" s="4731"/>
      <c r="T20" s="4731"/>
      <c r="U20" s="4735"/>
      <c r="W20" s="1036"/>
    </row>
    <row r="21" spans="1:23" ht="11.4" customHeight="1">
      <c r="A21" s="750"/>
      <c r="B21" s="926"/>
      <c r="C21" s="918"/>
      <c r="D21" s="2801" t="s">
        <v>109</v>
      </c>
      <c r="E21" s="527"/>
      <c r="F21" s="527"/>
      <c r="G21" s="524"/>
      <c r="H21" s="1320"/>
      <c r="I21" s="1321"/>
      <c r="J21" s="2872"/>
      <c r="K21" s="2873"/>
      <c r="L21" s="768">
        <f>F21+H21+J21</f>
        <v>0</v>
      </c>
      <c r="M21" s="769">
        <f>G21+I21+K21</f>
        <v>0</v>
      </c>
      <c r="N21" s="631">
        <f>E21-(F21+H21+J21)</f>
        <v>0</v>
      </c>
      <c r="O21" s="919"/>
      <c r="P21" s="925"/>
      <c r="Q21" s="970"/>
      <c r="R21" s="2803" t="s">
        <v>109</v>
      </c>
      <c r="S21" s="2543" t="str">
        <f>IF(('الصفحة 1'!$Q$14&gt;0),((IF((E21=""),"مقتصد رئيسي",IF((E21=0)," ",IF((E21&gt;0),""))))),"")</f>
        <v>مقتصد رئيسي</v>
      </c>
      <c r="T21" s="2544"/>
      <c r="U21" s="2546" t="str">
        <f>IF(('الصفحة 1'!$Q$14&gt;0),(IF((E21=0),(IF((L21&gt;0),("المناصب المفتوحة في الإطار ؟"),(IF((L21=""),(""),(IF((L21=0),(""),(""))))))),(""))),(""))</f>
        <v/>
      </c>
      <c r="W21" s="1036"/>
    </row>
    <row r="22" spans="1:23" ht="11.4" customHeight="1">
      <c r="A22" s="750"/>
      <c r="B22" s="926"/>
      <c r="C22" s="918"/>
      <c r="D22" s="1336" t="s">
        <v>108</v>
      </c>
      <c r="E22" s="527">
        <v>1</v>
      </c>
      <c r="F22" s="527">
        <v>1</v>
      </c>
      <c r="G22" s="524"/>
      <c r="H22" s="1320"/>
      <c r="I22" s="1321"/>
      <c r="J22" s="2872"/>
      <c r="K22" s="2873"/>
      <c r="L22" s="768">
        <f t="shared" ref="L22:M25" si="3">F22+H22+J22</f>
        <v>1</v>
      </c>
      <c r="M22" s="769">
        <f t="shared" si="3"/>
        <v>0</v>
      </c>
      <c r="N22" s="631">
        <f>E22-(F22+H22+J22)</f>
        <v>0</v>
      </c>
      <c r="O22" s="919"/>
      <c r="P22" s="925"/>
      <c r="Q22" s="970"/>
      <c r="R22" s="2547" t="s">
        <v>108</v>
      </c>
      <c r="S22" s="2543" t="str">
        <f>IF(('الصفحة 1'!$Q$14&gt;0),((IF((E22=""),"مقتصد",IF((E22=0)," ",IF((E22&gt;0),""))))),"")</f>
        <v/>
      </c>
      <c r="T22" s="2544"/>
      <c r="U22" s="2546" t="str">
        <f>IF(('الصفحة 1'!$Q$14&gt;0),(IF((E22=0),(IF((L22&gt;0),("المناصب المفتوحة في الإطار ؟"),(IF((L22=""),(""),(IF((L22=0),(""),(""))))))),(""))),(""))</f>
        <v/>
      </c>
      <c r="W22" s="1036"/>
    </row>
    <row r="23" spans="1:23" ht="11.4" customHeight="1">
      <c r="A23" s="750"/>
      <c r="B23" s="926"/>
      <c r="C23" s="918"/>
      <c r="D23" s="2801" t="s">
        <v>107</v>
      </c>
      <c r="E23" s="527"/>
      <c r="F23" s="527"/>
      <c r="G23" s="524"/>
      <c r="H23" s="1320"/>
      <c r="I23" s="1321"/>
      <c r="J23" s="2872"/>
      <c r="K23" s="2873"/>
      <c r="L23" s="768">
        <f t="shared" si="3"/>
        <v>0</v>
      </c>
      <c r="M23" s="769">
        <f t="shared" si="3"/>
        <v>0</v>
      </c>
      <c r="N23" s="631">
        <f>E23-(F23+H23+J23)</f>
        <v>0</v>
      </c>
      <c r="O23" s="919"/>
      <c r="P23" s="925"/>
      <c r="Q23" s="970"/>
      <c r="R23" s="2548" t="s">
        <v>107</v>
      </c>
      <c r="S23" s="2543" t="str">
        <f>IF(('الصفحة 1'!$Q$14&gt;0),((IF((E23=""),"نائب مقتصد مسير",IF((E23=0)," ",IF((E23&gt;0),""))))),"")</f>
        <v>نائب مقتصد مسير</v>
      </c>
      <c r="T23" s="2544"/>
      <c r="U23" s="2546" t="str">
        <f>IF(('الصفحة 1'!$Q$14&gt;0),(IF((E23=0),(IF((L23&gt;0),("المناصب المفتوحة في الإطار ؟"),(IF((L23=""),(""),(IF((L23=0),(""),(""))))))),(""))),(""))</f>
        <v/>
      </c>
      <c r="W23" s="1036"/>
    </row>
    <row r="24" spans="1:23" ht="11.4" customHeight="1">
      <c r="A24" s="750"/>
      <c r="B24" s="926"/>
      <c r="C24" s="918"/>
      <c r="D24" s="1336" t="s">
        <v>106</v>
      </c>
      <c r="E24" s="527">
        <v>1</v>
      </c>
      <c r="F24" s="527">
        <v>1</v>
      </c>
      <c r="G24" s="524">
        <v>1</v>
      </c>
      <c r="H24" s="1320"/>
      <c r="I24" s="1321"/>
      <c r="J24" s="2872"/>
      <c r="K24" s="2873"/>
      <c r="L24" s="768">
        <f t="shared" si="3"/>
        <v>1</v>
      </c>
      <c r="M24" s="769">
        <f t="shared" si="3"/>
        <v>1</v>
      </c>
      <c r="N24" s="631">
        <f>E24-(F24+H24+J24)</f>
        <v>0</v>
      </c>
      <c r="O24" s="919"/>
      <c r="P24" s="925"/>
      <c r="Q24" s="970"/>
      <c r="R24" s="2547" t="s">
        <v>106</v>
      </c>
      <c r="S24" s="2543" t="str">
        <f>IF(('الصفحة 1'!$Q$14&gt;0),((IF((E24=""),"نائب مقتصد",IF((E24=0)," ",IF((E24&gt;0),""))))),"")</f>
        <v/>
      </c>
      <c r="T24" s="2544"/>
      <c r="U24" s="2546" t="str">
        <f>IF(('الصفحة 1'!$Q$14&gt;0),(IF((E24=0),(IF((L24&gt;0),("المناصب المفتوحة في الإطار ؟"),(IF((L24=""),(""),(IF((L24=0),(""),(""))))))),(""))),(""))</f>
        <v/>
      </c>
      <c r="W24" s="1036"/>
    </row>
    <row r="25" spans="1:23" ht="11.4" customHeight="1">
      <c r="A25" s="750"/>
      <c r="B25" s="926"/>
      <c r="C25" s="918"/>
      <c r="D25" s="2802" t="s">
        <v>105</v>
      </c>
      <c r="E25" s="541">
        <v>1</v>
      </c>
      <c r="F25" s="541">
        <v>1</v>
      </c>
      <c r="G25" s="542"/>
      <c r="H25" s="1342"/>
      <c r="I25" s="1343"/>
      <c r="J25" s="2894"/>
      <c r="K25" s="2895"/>
      <c r="L25" s="965">
        <f t="shared" si="3"/>
        <v>1</v>
      </c>
      <c r="M25" s="966">
        <f t="shared" si="3"/>
        <v>0</v>
      </c>
      <c r="N25" s="700">
        <f>E25-(F25+H25+J25)</f>
        <v>0</v>
      </c>
      <c r="O25" s="919"/>
      <c r="P25" s="925"/>
      <c r="Q25" s="970"/>
      <c r="R25" s="2548" t="s">
        <v>105</v>
      </c>
      <c r="S25" s="2543" t="str">
        <f>IF(('الصفحة 1'!$Q$14&gt;0),((IF((E25=""),"مساعد رئيسي م الإقتصادية",IF((E25=0)," ",IF((E25&gt;0),""))))),"")</f>
        <v/>
      </c>
      <c r="T25" s="2544"/>
      <c r="U25" s="2546" t="str">
        <f>IF(('الصفحة 1'!$Q$14&gt;0),(IF((E25=0),(IF((L25&gt;0),("المناصب المفتوحة في الإطار ؟"),(IF((L25=""),(""),(IF((L25=0),(""),(""))))))),(""))),(""))</f>
        <v/>
      </c>
      <c r="W25" s="1036"/>
    </row>
    <row r="26" spans="1:23" ht="12" customHeight="1">
      <c r="A26" s="750"/>
      <c r="B26" s="926"/>
      <c r="C26" s="918"/>
      <c r="D26" s="4732" t="s">
        <v>103</v>
      </c>
      <c r="E26" s="4733"/>
      <c r="F26" s="4733"/>
      <c r="G26" s="4733"/>
      <c r="H26" s="4733"/>
      <c r="I26" s="4733"/>
      <c r="J26" s="4733"/>
      <c r="K26" s="4733"/>
      <c r="L26" s="4733"/>
      <c r="M26" s="4733"/>
      <c r="N26" s="4734"/>
      <c r="O26" s="919"/>
      <c r="P26" s="925"/>
      <c r="Q26" s="970"/>
      <c r="R26" s="4730" t="s">
        <v>103</v>
      </c>
      <c r="S26" s="4731"/>
      <c r="T26" s="4731"/>
      <c r="U26" s="4735"/>
      <c r="W26" s="1036"/>
    </row>
    <row r="27" spans="1:23" ht="11.4" customHeight="1">
      <c r="A27" s="750"/>
      <c r="B27" s="926"/>
      <c r="C27" s="918"/>
      <c r="D27" s="687" t="s">
        <v>102</v>
      </c>
      <c r="E27" s="527">
        <v>1</v>
      </c>
      <c r="F27" s="527">
        <v>1</v>
      </c>
      <c r="G27" s="524">
        <v>1</v>
      </c>
      <c r="H27" s="1320"/>
      <c r="I27" s="1321"/>
      <c r="J27" s="2872"/>
      <c r="K27" s="2873"/>
      <c r="L27" s="768">
        <f t="shared" ref="L27:M29" si="4">F27+H27+J27</f>
        <v>1</v>
      </c>
      <c r="M27" s="769">
        <f t="shared" si="4"/>
        <v>1</v>
      </c>
      <c r="N27" s="631">
        <f>E27-(F27+H27+J27)</f>
        <v>0</v>
      </c>
      <c r="O27" s="919"/>
      <c r="P27" s="925"/>
      <c r="Q27" s="970"/>
      <c r="R27" s="2548" t="s">
        <v>102</v>
      </c>
      <c r="S27" s="2543" t="str">
        <f>IF(('الصفحة 1'!$Q$14&gt;0),((IF((E27=""),"عون إدارة رئيسي",IF((E27=0)," ",IF((E27&gt;0),""))))),"")</f>
        <v/>
      </c>
      <c r="T27" s="2544"/>
      <c r="U27" s="2546" t="str">
        <f>IF(('الصفحة 1'!$Q$14&gt;0),(IF((E27=0),(IF((L27&gt;0),("المناصب المفتوحة في الإطار ؟"),(IF((L27=""),(""),(IF((L27=0),(""),(""))))))),(""))),(""))</f>
        <v/>
      </c>
      <c r="W27" s="1036"/>
    </row>
    <row r="28" spans="1:23" ht="11.4" customHeight="1">
      <c r="A28" s="750"/>
      <c r="B28" s="926"/>
      <c r="C28" s="918"/>
      <c r="D28" s="1336" t="s">
        <v>101</v>
      </c>
      <c r="E28" s="527">
        <v>1</v>
      </c>
      <c r="F28" s="527">
        <v>1</v>
      </c>
      <c r="G28" s="524">
        <v>1</v>
      </c>
      <c r="H28" s="1320"/>
      <c r="I28" s="1321"/>
      <c r="J28" s="2872"/>
      <c r="K28" s="2873"/>
      <c r="L28" s="768">
        <f t="shared" si="4"/>
        <v>1</v>
      </c>
      <c r="M28" s="769">
        <f t="shared" si="4"/>
        <v>1</v>
      </c>
      <c r="N28" s="631">
        <f>E28-(F28+H28+J28)</f>
        <v>0</v>
      </c>
      <c r="O28" s="919"/>
      <c r="P28" s="925"/>
      <c r="Q28" s="970"/>
      <c r="R28" s="2547" t="s">
        <v>101</v>
      </c>
      <c r="S28" s="2543" t="str">
        <f>IF(('الصفحة 1'!$Q$14&gt;0),((IF((E28=""),"عون إدارة ",IF((E28=0)," ",IF((E28&gt;0),""))))),"")</f>
        <v/>
      </c>
      <c r="T28" s="2544"/>
      <c r="U28" s="2546" t="str">
        <f>IF(('الصفحة 1'!$Q$14&gt;0),(IF((E28=0),(IF((L28&gt;0),("المناصب المفتوحة في الإطار ؟"),(IF((L28=""),(""),(IF((L28=0),(""),(""))))))),(""))),(""))</f>
        <v/>
      </c>
      <c r="W28" s="1036"/>
    </row>
    <row r="29" spans="1:23" ht="11.4" customHeight="1">
      <c r="A29" s="750"/>
      <c r="B29" s="926"/>
      <c r="C29" s="918"/>
      <c r="D29" s="688" t="s">
        <v>100</v>
      </c>
      <c r="E29" s="541"/>
      <c r="F29" s="541"/>
      <c r="G29" s="542"/>
      <c r="H29" s="1342"/>
      <c r="I29" s="1343"/>
      <c r="J29" s="2878"/>
      <c r="K29" s="2879"/>
      <c r="L29" s="965">
        <f t="shared" si="4"/>
        <v>0</v>
      </c>
      <c r="M29" s="966">
        <f t="shared" si="4"/>
        <v>0</v>
      </c>
      <c r="N29" s="700">
        <f>E29-(F29+H29+J29)</f>
        <v>0</v>
      </c>
      <c r="O29" s="919"/>
      <c r="P29" s="925"/>
      <c r="Q29" s="970"/>
      <c r="R29" s="2550" t="s">
        <v>100</v>
      </c>
      <c r="S29" s="2543" t="str">
        <f>IF(('الصفحة 1'!$Q$14&gt;0),((IF((E29=""),"كاتب",IF((E29=0)," ",IF((E29&gt;0),""))))),"")</f>
        <v>كاتب</v>
      </c>
      <c r="T29" s="2544"/>
      <c r="U29" s="2546" t="str">
        <f>IF(('الصفحة 1'!$Q$14&gt;0),(IF((E29=0),(IF((L29&gt;0),("المناصب المفتوحة في الإطار ؟"),(IF((L29=""),(""),(IF((L29=0),(""),(""))))))),(""))),(""))</f>
        <v/>
      </c>
      <c r="W29" s="1036"/>
    </row>
    <row r="30" spans="1:23" ht="12" customHeight="1">
      <c r="A30" s="750"/>
      <c r="B30" s="926"/>
      <c r="C30" s="918"/>
      <c r="D30" s="4732" t="s">
        <v>99</v>
      </c>
      <c r="E30" s="4733"/>
      <c r="F30" s="4733"/>
      <c r="G30" s="4733"/>
      <c r="H30" s="4733"/>
      <c r="I30" s="4733"/>
      <c r="J30" s="4733"/>
      <c r="K30" s="4733"/>
      <c r="L30" s="4733"/>
      <c r="M30" s="4733"/>
      <c r="N30" s="4734"/>
      <c r="O30" s="919"/>
      <c r="P30" s="925"/>
      <c r="Q30" s="970"/>
      <c r="R30" s="4730" t="s">
        <v>99</v>
      </c>
      <c r="S30" s="4731"/>
      <c r="T30" s="4731"/>
      <c r="U30" s="4735"/>
      <c r="W30" s="1036"/>
    </row>
    <row r="31" spans="1:23" ht="11.4" customHeight="1">
      <c r="A31" s="750"/>
      <c r="B31" s="926"/>
      <c r="C31" s="918"/>
      <c r="D31" s="687" t="s">
        <v>98</v>
      </c>
      <c r="E31" s="527">
        <v>1</v>
      </c>
      <c r="F31" s="527">
        <v>1</v>
      </c>
      <c r="G31" s="524">
        <v>1</v>
      </c>
      <c r="H31" s="1320"/>
      <c r="I31" s="1321"/>
      <c r="J31" s="527"/>
      <c r="K31" s="524"/>
      <c r="L31" s="768">
        <f t="shared" ref="L31:M34" si="5">F31+H31+J31</f>
        <v>1</v>
      </c>
      <c r="M31" s="769">
        <f t="shared" si="5"/>
        <v>1</v>
      </c>
      <c r="N31" s="631">
        <f>E31-(F31+H31+J31)</f>
        <v>0</v>
      </c>
      <c r="O31" s="919"/>
      <c r="P31" s="925"/>
      <c r="Q31" s="970"/>
      <c r="R31" s="2548" t="s">
        <v>98</v>
      </c>
      <c r="S31" s="2543" t="str">
        <f>IF(('الصفحة 1'!$Q$14&gt;0),((IF((E31=""),"ملحق المخبر",IF((E31=0)," ",IF((E31&gt;0),""))))),"")</f>
        <v/>
      </c>
      <c r="T31" s="2544"/>
      <c r="U31" s="2546" t="str">
        <f>IF(('الصفحة 1'!$Q$14&gt;0),(IF((E31=0),(IF((L31&gt;0),("المناصب المفتوحة في الإطار ؟"),(IF((L31=""),(""),(IF((L31=0),(""),(""))))))),(""))),(""))</f>
        <v/>
      </c>
      <c r="W31" s="1036"/>
    </row>
    <row r="32" spans="1:23" ht="11.4" customHeight="1">
      <c r="A32" s="750"/>
      <c r="B32" s="926"/>
      <c r="C32" s="918"/>
      <c r="D32" s="1336" t="s">
        <v>97</v>
      </c>
      <c r="E32" s="527"/>
      <c r="F32" s="527"/>
      <c r="G32" s="524"/>
      <c r="H32" s="1320"/>
      <c r="I32" s="1321"/>
      <c r="J32" s="527"/>
      <c r="K32" s="524"/>
      <c r="L32" s="768">
        <f t="shared" si="5"/>
        <v>0</v>
      </c>
      <c r="M32" s="769">
        <f t="shared" si="5"/>
        <v>0</v>
      </c>
      <c r="N32" s="631">
        <f>E32-(F32+H32+J32)</f>
        <v>0</v>
      </c>
      <c r="O32" s="919"/>
      <c r="P32" s="925"/>
      <c r="Q32" s="970"/>
      <c r="R32" s="2547" t="s">
        <v>97</v>
      </c>
      <c r="S32" s="2543" t="str">
        <f>IF(('الصفحة 1'!$Q$14&gt;0),((IF((E32=""),"تقني للمخبر",IF((E32=0)," ",IF((E32&gt;0),""))))),"")</f>
        <v>تقني للمخبر</v>
      </c>
      <c r="T32" s="2544"/>
      <c r="U32" s="2546" t="str">
        <f>IF(('الصفحة 1'!$Q$14&gt;0),(IF((E32=0),(IF((L32&gt;0),("المناصب المفتوحة في الإطار ؟"),(IF((L32=""),(""),(IF((L32=0),(""),(""))))))),(""))),(""))</f>
        <v/>
      </c>
      <c r="W32" s="1036"/>
    </row>
    <row r="33" spans="1:23" ht="11.4" customHeight="1">
      <c r="A33" s="750"/>
      <c r="B33" s="926"/>
      <c r="C33" s="918"/>
      <c r="D33" s="687" t="s">
        <v>1347</v>
      </c>
      <c r="E33" s="527"/>
      <c r="F33" s="527"/>
      <c r="G33" s="524"/>
      <c r="H33" s="1320"/>
      <c r="I33" s="1321"/>
      <c r="J33" s="527"/>
      <c r="K33" s="524"/>
      <c r="L33" s="768">
        <f t="shared" si="5"/>
        <v>0</v>
      </c>
      <c r="M33" s="769">
        <f t="shared" si="5"/>
        <v>0</v>
      </c>
      <c r="N33" s="631">
        <f>E33-(F33+H33+J33)</f>
        <v>0</v>
      </c>
      <c r="O33" s="919"/>
      <c r="P33" s="925"/>
      <c r="Q33" s="970"/>
      <c r="R33" s="2548" t="s">
        <v>1347</v>
      </c>
      <c r="S33" s="2543" t="str">
        <f>IF(('الصفحة 1'!$Q$14&gt;0),((IF((E33=""),"معاون تقني للمخبر والصيانة",IF((E33=0)," ",IF((E33&gt;0),""))))),"")</f>
        <v>معاون تقني للمخبر والصيانة</v>
      </c>
      <c r="T33" s="2544"/>
      <c r="U33" s="2546" t="str">
        <f>IF(('الصفحة 1'!$Q$14&gt;0),(IF((E33=0),(IF((L33&gt;0),("المناصب المفتوحة في الإطار ؟"),(IF((L33=""),(""),(IF((L33=0),(""),(""))))))),(""))),(""))</f>
        <v/>
      </c>
      <c r="W33" s="1036"/>
    </row>
    <row r="34" spans="1:23" ht="11.4" customHeight="1">
      <c r="A34" s="750"/>
      <c r="B34" s="926"/>
      <c r="C34" s="918"/>
      <c r="D34" s="1337" t="s">
        <v>1348</v>
      </c>
      <c r="E34" s="541"/>
      <c r="F34" s="541"/>
      <c r="G34" s="542"/>
      <c r="H34" s="1342"/>
      <c r="I34" s="1343"/>
      <c r="J34" s="541"/>
      <c r="K34" s="542"/>
      <c r="L34" s="965">
        <f t="shared" si="5"/>
        <v>0</v>
      </c>
      <c r="M34" s="966">
        <f t="shared" si="5"/>
        <v>0</v>
      </c>
      <c r="N34" s="700">
        <f>E34-(F34+H34+J34)</f>
        <v>0</v>
      </c>
      <c r="O34" s="919"/>
      <c r="P34" s="925"/>
      <c r="Q34" s="970"/>
      <c r="R34" s="2551" t="s">
        <v>1348</v>
      </c>
      <c r="S34" s="2543" t="str">
        <f>IF(('الصفحة 1'!$Q$14&gt;0),((IF((E34=""),"عون تقني للمخبر والصيانة",IF((E34=0)," ",IF((E34&gt;0),""))))),"")</f>
        <v>عون تقني للمخبر والصيانة</v>
      </c>
      <c r="T34" s="2544"/>
      <c r="U34" s="2546" t="str">
        <f>IF(('الصفحة 1'!$Q$14&gt;0),(IF((E34=0),(IF((L34&gt;0),("المناصب المفتوحة في الإطار ؟"),(IF((L34=""),(""),(IF((L34=0),(""),(""))))))),(""))),(""))</f>
        <v/>
      </c>
      <c r="W34" s="1036"/>
    </row>
    <row r="35" spans="1:23" ht="12" customHeight="1">
      <c r="A35" s="750"/>
      <c r="B35" s="926"/>
      <c r="C35" s="918"/>
      <c r="D35" s="4745" t="s">
        <v>94</v>
      </c>
      <c r="E35" s="4746"/>
      <c r="F35" s="4746"/>
      <c r="G35" s="4746"/>
      <c r="H35" s="4746"/>
      <c r="I35" s="4746"/>
      <c r="J35" s="4746"/>
      <c r="K35" s="4746"/>
      <c r="L35" s="4746"/>
      <c r="M35" s="4746"/>
      <c r="N35" s="4747"/>
      <c r="O35" s="919"/>
      <c r="P35" s="925"/>
      <c r="Q35" s="970"/>
      <c r="R35" s="4730" t="s">
        <v>94</v>
      </c>
      <c r="S35" s="4731"/>
      <c r="T35" s="4731"/>
      <c r="U35" s="4735"/>
      <c r="W35" s="1036"/>
    </row>
    <row r="36" spans="1:23" ht="11.4" customHeight="1">
      <c r="A36" s="750"/>
      <c r="B36" s="926"/>
      <c r="C36" s="918"/>
      <c r="D36" s="2830" t="s">
        <v>1349</v>
      </c>
      <c r="E36" s="2831"/>
      <c r="F36" s="2831"/>
      <c r="G36" s="2832"/>
      <c r="H36" s="2833"/>
      <c r="I36" s="2834"/>
      <c r="J36" s="2880"/>
      <c r="K36" s="2881"/>
      <c r="L36" s="2835">
        <f t="shared" ref="L36:M39" si="6">F36+H36+J36</f>
        <v>0</v>
      </c>
      <c r="M36" s="2836">
        <f t="shared" si="6"/>
        <v>0</v>
      </c>
      <c r="N36" s="2837">
        <f>E36-(F36+H36+J36)</f>
        <v>0</v>
      </c>
      <c r="O36" s="919"/>
      <c r="P36" s="925"/>
      <c r="Q36" s="970"/>
      <c r="R36" s="2545" t="s">
        <v>1349</v>
      </c>
      <c r="S36" s="2543" t="str">
        <f>IF(('الصفحة 1'!$Q$14&gt;0),((IF((E36=""),"مساعد تمريض رئيسي للصحة العمومية",IF((E36=0)," ",IF((E36&gt;0),""))))),"")</f>
        <v>مساعد تمريض رئيسي للصحة العمومية</v>
      </c>
      <c r="T36" s="2544"/>
      <c r="U36" s="2546" t="str">
        <f>IF(('الصفحة 1'!$Q$14&gt;0),(IF((E36=0),(IF((L36&gt;0),("المناصب المفتوحة في الإطار ؟"),(IF((L36=""),(""),(IF((L36=0),(""),(""))))))),(""))),(""))</f>
        <v/>
      </c>
      <c r="W36" s="1036"/>
    </row>
    <row r="37" spans="1:23" ht="11.4" customHeight="1">
      <c r="A37" s="750"/>
      <c r="B37" s="926"/>
      <c r="C37" s="918"/>
      <c r="D37" s="2838" t="s">
        <v>1350</v>
      </c>
      <c r="E37" s="2831"/>
      <c r="F37" s="2831"/>
      <c r="G37" s="2832"/>
      <c r="H37" s="2833"/>
      <c r="I37" s="2834"/>
      <c r="J37" s="2880"/>
      <c r="K37" s="2881"/>
      <c r="L37" s="2835">
        <f t="shared" si="6"/>
        <v>0</v>
      </c>
      <c r="M37" s="2836">
        <f t="shared" si="6"/>
        <v>0</v>
      </c>
      <c r="N37" s="2837">
        <f>E37-(F37+H37+J37)</f>
        <v>0</v>
      </c>
      <c r="O37" s="919"/>
      <c r="P37" s="925"/>
      <c r="Q37" s="753"/>
      <c r="R37" s="2827" t="s">
        <v>1350</v>
      </c>
      <c r="S37" s="2543" t="str">
        <f>IF(('الصفحة 1'!$Q$14&gt;0),((IF((E37=""),"مساعد رئيسي للصحة العمومية",IF((E37=0)," ",IF((E37&gt;0),""))))),"")</f>
        <v>مساعد رئيسي للصحة العمومية</v>
      </c>
      <c r="T37" s="2544"/>
      <c r="U37" s="2546" t="str">
        <f>IF(('الصفحة 1'!$Q$14&gt;0),(IF((E37=0),(IF((L37&gt;0),("المناصب المفتوحة في الإطار ؟"),(IF((L37=""),(""),(IF((L37=0),(""),(""))))))),(""))),(""))</f>
        <v/>
      </c>
      <c r="W37" s="1036"/>
    </row>
    <row r="38" spans="1:23" ht="11.4" customHeight="1">
      <c r="A38" s="750"/>
      <c r="B38" s="926"/>
      <c r="C38" s="918"/>
      <c r="D38" s="2830" t="s">
        <v>93</v>
      </c>
      <c r="E38" s="2831"/>
      <c r="F38" s="2831"/>
      <c r="G38" s="2832"/>
      <c r="H38" s="2833"/>
      <c r="I38" s="2834"/>
      <c r="J38" s="2880"/>
      <c r="K38" s="2881"/>
      <c r="L38" s="2835">
        <f t="shared" si="6"/>
        <v>0</v>
      </c>
      <c r="M38" s="2836">
        <f t="shared" si="6"/>
        <v>0</v>
      </c>
      <c r="N38" s="2837">
        <f>E38-(F38+H38+J38)</f>
        <v>0</v>
      </c>
      <c r="O38" s="919"/>
      <c r="P38" s="925"/>
      <c r="Q38" s="970"/>
      <c r="R38" s="2545" t="s">
        <v>93</v>
      </c>
      <c r="S38" s="2543" t="str">
        <f>IF(('الصفحة 1'!$Q$14&gt;0),((IF((E38=""),"ممرض مؤهل",IF((E38=0)," ",IF((E38&gt;0),""))))),"")</f>
        <v>ممرض مؤهل</v>
      </c>
      <c r="T38" s="2544"/>
      <c r="U38" s="2546" t="str">
        <f>IF(('الصفحة 1'!$Q$14&gt;0),(IF((E38=0),(IF((L38&gt;0),("المناصب المفتوحة في الإطار ؟"),(IF((L38=""),(""),(IF((L38=0),(""),(""))))))),(""))),(""))</f>
        <v/>
      </c>
      <c r="W38" s="1036"/>
    </row>
    <row r="39" spans="1:23" ht="11.4" customHeight="1">
      <c r="A39" s="750"/>
      <c r="B39" s="907"/>
      <c r="C39" s="918"/>
      <c r="D39" s="2839" t="s">
        <v>92</v>
      </c>
      <c r="E39" s="2809"/>
      <c r="F39" s="2809"/>
      <c r="G39" s="2810"/>
      <c r="H39" s="2811"/>
      <c r="I39" s="2812"/>
      <c r="J39" s="2876"/>
      <c r="K39" s="2877"/>
      <c r="L39" s="2813">
        <f t="shared" si="6"/>
        <v>0</v>
      </c>
      <c r="M39" s="2814">
        <f t="shared" si="6"/>
        <v>0</v>
      </c>
      <c r="N39" s="2815">
        <f>E39-(F39+H39+J39)</f>
        <v>0</v>
      </c>
      <c r="O39" s="919"/>
      <c r="P39" s="925"/>
      <c r="Q39" s="753"/>
      <c r="R39" s="2551" t="s">
        <v>92</v>
      </c>
      <c r="S39" s="2543" t="str">
        <f>IF(('الصفحة 1'!$Q$14&gt;0),((IF((E39=""),"عـون تمريض",IF((E39=0)," ",IF((E39&gt;0),""))))),"")</f>
        <v>عـون تمريض</v>
      </c>
      <c r="T39" s="2544"/>
      <c r="U39" s="2546" t="str">
        <f>IF(('الصفحة 1'!$Q$14&gt;0),(IF((E39=0),(IF((L39&gt;0),("المناصب المفتوحة في الإطار ؟"),(IF((L39=""),(""),(IF((L39=0),(""),(""))))))),(""))),(""))</f>
        <v/>
      </c>
      <c r="W39" s="1036"/>
    </row>
    <row r="40" spans="1:23" ht="12" customHeight="1">
      <c r="A40" s="750"/>
      <c r="B40" s="907"/>
      <c r="C40" s="918"/>
      <c r="D40" s="4732" t="s">
        <v>91</v>
      </c>
      <c r="E40" s="4733"/>
      <c r="F40" s="4733"/>
      <c r="G40" s="4733"/>
      <c r="H40" s="4733"/>
      <c r="I40" s="4733"/>
      <c r="J40" s="4733"/>
      <c r="K40" s="4733"/>
      <c r="L40" s="4733"/>
      <c r="M40" s="4733"/>
      <c r="N40" s="4734"/>
      <c r="O40" s="919"/>
      <c r="P40" s="925"/>
      <c r="Q40" s="753"/>
      <c r="R40" s="4730" t="s">
        <v>91</v>
      </c>
      <c r="S40" s="4731"/>
      <c r="T40" s="4731"/>
      <c r="U40" s="4735"/>
      <c r="W40" s="1036"/>
    </row>
    <row r="41" spans="1:23" ht="11.4" customHeight="1">
      <c r="A41" s="750"/>
      <c r="B41" s="907"/>
      <c r="C41" s="918"/>
      <c r="D41" s="2861" t="s">
        <v>1351</v>
      </c>
      <c r="E41" s="2831"/>
      <c r="F41" s="2831"/>
      <c r="G41" s="2832"/>
      <c r="H41" s="2833"/>
      <c r="I41" s="2834"/>
      <c r="J41" s="2831"/>
      <c r="K41" s="2832"/>
      <c r="L41" s="2835">
        <f>F41+H41+J41</f>
        <v>0</v>
      </c>
      <c r="M41" s="2836">
        <f>G41+I41+K41</f>
        <v>0</v>
      </c>
      <c r="N41" s="2837">
        <f>E41-(F41+H41+J41)</f>
        <v>0</v>
      </c>
      <c r="O41" s="919"/>
      <c r="P41" s="925"/>
      <c r="Q41" s="753"/>
      <c r="R41" s="2862" t="s">
        <v>1351</v>
      </c>
      <c r="S41" s="2543" t="str">
        <f>IF(('الصفحة 1'!$Q$14&gt;0),((IF((E41=""),"مساعد وثائقي آمين محفوظات",IF((E41=0)," ",IF((E41&gt;0),""))))),"")</f>
        <v>مساعد وثائقي آمين محفوظات</v>
      </c>
      <c r="T41" s="2544"/>
      <c r="U41" s="2546" t="str">
        <f>IF(('الصفحة 1'!$Q$14&gt;0),(IF((E41=0),(IF((L41&gt;0),("المناصب المفتوحة في الإطار ؟"),(IF((L41=""),(""),(IF((L41=0),(""),(""))))))),(""))),(""))</f>
        <v/>
      </c>
      <c r="W41" s="1036"/>
    </row>
    <row r="42" spans="1:23" ht="11.4" customHeight="1">
      <c r="A42" s="750"/>
      <c r="B42" s="907"/>
      <c r="C42" s="918"/>
      <c r="D42" s="2863" t="s">
        <v>90</v>
      </c>
      <c r="E42" s="528">
        <v>1</v>
      </c>
      <c r="F42" s="528">
        <v>1</v>
      </c>
      <c r="G42" s="525">
        <v>1</v>
      </c>
      <c r="H42" s="1322"/>
      <c r="I42" s="1323"/>
      <c r="J42" s="528"/>
      <c r="K42" s="525"/>
      <c r="L42" s="770">
        <f>F42+H42+J42</f>
        <v>1</v>
      </c>
      <c r="M42" s="771">
        <f>G42+I42+K42</f>
        <v>1</v>
      </c>
      <c r="N42" s="632">
        <f>E42-(F42+H42+J42)</f>
        <v>0</v>
      </c>
      <c r="O42" s="919"/>
      <c r="P42" s="925"/>
      <c r="Q42" s="753"/>
      <c r="R42" s="2552" t="s">
        <v>90</v>
      </c>
      <c r="S42" s="2543" t="str">
        <f>IF(('الصفحة 1'!$Q$14&gt;0),((IF((E42=""),"عون حفظ البيانات",IF((E42=0)," ",IF((E42&gt;0),""))))),"")</f>
        <v/>
      </c>
      <c r="T42" s="2544"/>
      <c r="U42" s="2546" t="str">
        <f>IF(('الصفحة 1'!$Q$14&gt;0),(IF((E42=0),(IF((L42&gt;0),("المناصب المفتوحة في الإطار ؟"),(IF((L42=""),(""),(IF((L42=0),(""),(""))))))),(""))),(""))</f>
        <v/>
      </c>
      <c r="W42" s="1036"/>
    </row>
    <row r="43" spans="1:23" ht="12" customHeight="1">
      <c r="A43" s="750"/>
      <c r="B43" s="907"/>
      <c r="C43" s="918"/>
      <c r="D43" s="4748" t="s">
        <v>89</v>
      </c>
      <c r="E43" s="4749"/>
      <c r="F43" s="4749"/>
      <c r="G43" s="4749"/>
      <c r="H43" s="4749"/>
      <c r="I43" s="4749"/>
      <c r="J43" s="4749"/>
      <c r="K43" s="4749"/>
      <c r="L43" s="4749"/>
      <c r="M43" s="4749"/>
      <c r="N43" s="4750"/>
      <c r="O43" s="919"/>
      <c r="P43" s="925"/>
      <c r="Q43" s="753"/>
      <c r="R43" s="4730" t="s">
        <v>89</v>
      </c>
      <c r="S43" s="4731"/>
      <c r="T43" s="4731"/>
      <c r="U43" s="4735"/>
      <c r="W43" s="1036"/>
    </row>
    <row r="44" spans="1:23" ht="11.1" customHeight="1">
      <c r="A44" s="750"/>
      <c r="B44" s="907"/>
      <c r="C44" s="918"/>
      <c r="D44" s="690" t="s">
        <v>88</v>
      </c>
      <c r="E44" s="527"/>
      <c r="F44" s="527"/>
      <c r="G44" s="524"/>
      <c r="H44" s="1320"/>
      <c r="I44" s="1321"/>
      <c r="J44" s="527"/>
      <c r="K44" s="524"/>
      <c r="L44" s="768">
        <f t="shared" ref="L44:L55" si="7">F44+H44+J44</f>
        <v>0</v>
      </c>
      <c r="M44" s="769">
        <f t="shared" ref="M44:M55" si="8">G44+I44+K44</f>
        <v>0</v>
      </c>
      <c r="N44" s="631">
        <f t="shared" ref="N44:N55" si="9">E44-(F44+H44+J44)</f>
        <v>0</v>
      </c>
      <c r="O44" s="919"/>
      <c r="P44" s="925"/>
      <c r="Q44" s="753"/>
      <c r="R44" s="2554" t="s">
        <v>88</v>
      </c>
      <c r="S44" s="2543" t="str">
        <f>IF(('الصفحة 1'!$Q$14&gt;0),((IF((E44=""),"خارج الصنف- مسؤول مخزن",IF((E44=0)," ",IF((E44&gt;0),""))))),"")</f>
        <v>خارج الصنف- مسؤول مخزن</v>
      </c>
      <c r="T44" s="2544"/>
      <c r="U44" s="2546" t="str">
        <f>IF(('الصفحة 1'!$Q$14&gt;0),(IF((E44=0),(IF((L44&gt;0),("المناصب المفتوحة في الإطار ؟"),(IF((L44=""),(""),(IF((L44=0),(""),(""))))))),(""))),(""))</f>
        <v/>
      </c>
      <c r="W44" s="1036"/>
    </row>
    <row r="45" spans="1:23" ht="11.1" customHeight="1">
      <c r="A45" s="750"/>
      <c r="B45" s="907"/>
      <c r="C45" s="918"/>
      <c r="D45" s="1340" t="s">
        <v>87</v>
      </c>
      <c r="E45" s="527"/>
      <c r="F45" s="527"/>
      <c r="G45" s="524"/>
      <c r="H45" s="1320"/>
      <c r="I45" s="1321"/>
      <c r="J45" s="527"/>
      <c r="K45" s="524"/>
      <c r="L45" s="768">
        <f t="shared" si="7"/>
        <v>0</v>
      </c>
      <c r="M45" s="769">
        <f t="shared" si="8"/>
        <v>0</v>
      </c>
      <c r="N45" s="631">
        <f t="shared" si="9"/>
        <v>0</v>
      </c>
      <c r="O45" s="919"/>
      <c r="P45" s="925"/>
      <c r="Q45" s="753"/>
      <c r="R45" s="2557" t="s">
        <v>87</v>
      </c>
      <c r="S45" s="2543" t="str">
        <f>IF(('الصفحة 1'!$Q$14&gt;0),((IF((E45=""),"عامل مهني- صنف 1- مخزني",IF((E45=0)," ",IF((E45&gt;0),""))))),"")</f>
        <v>عامل مهني- صنف 1- مخزني</v>
      </c>
      <c r="T45" s="2544"/>
      <c r="U45" s="2546" t="str">
        <f>IF(('الصفحة 1'!$Q$14&gt;0),(IF((E45=0),(IF((L45&gt;0),("المناصب المفتوحة في الإطار ؟"),(IF((L45=""),(""),(IF((L45=0),(""),(""))))))),(""))),(""))</f>
        <v/>
      </c>
      <c r="W45" s="1036"/>
    </row>
    <row r="46" spans="1:23" ht="11.1" customHeight="1">
      <c r="A46" s="750"/>
      <c r="B46" s="907"/>
      <c r="C46" s="918"/>
      <c r="D46" s="2884" t="s">
        <v>86</v>
      </c>
      <c r="E46" s="528"/>
      <c r="F46" s="528"/>
      <c r="G46" s="525"/>
      <c r="H46" s="1322"/>
      <c r="I46" s="1323"/>
      <c r="J46" s="528"/>
      <c r="K46" s="525"/>
      <c r="L46" s="770">
        <f t="shared" si="7"/>
        <v>0</v>
      </c>
      <c r="M46" s="771">
        <f t="shared" si="8"/>
        <v>0</v>
      </c>
      <c r="N46" s="632">
        <f t="shared" si="9"/>
        <v>0</v>
      </c>
      <c r="O46" s="919"/>
      <c r="P46" s="925"/>
      <c r="Q46" s="753"/>
      <c r="R46" s="2887" t="s">
        <v>86</v>
      </c>
      <c r="S46" s="2543" t="str">
        <f>IF(('الصفحة 1'!$Q$14&gt;0),((IF((E46=""),"عامل مهني- مستوى 3- مخزني",IF((E46=0)," ",IF((E46&gt;0),""))))),"")</f>
        <v>عامل مهني- مستوى 3- مخزني</v>
      </c>
      <c r="T46" s="2544"/>
      <c r="U46" s="2546" t="str">
        <f>IF(('الصفحة 1'!$Q$14&gt;0),(IF((E46=0),(IF((L46&gt;0),("المناصب المفتوحة في الإطار ؟"),(IF((L46=""),(""),(IF((L46=0),(""),(""))))))),(""))),(""))</f>
        <v/>
      </c>
      <c r="W46" s="1036"/>
    </row>
    <row r="47" spans="1:23" ht="11.1" customHeight="1">
      <c r="A47" s="750"/>
      <c r="B47" s="907"/>
      <c r="C47" s="918"/>
      <c r="D47" s="2885" t="s">
        <v>85</v>
      </c>
      <c r="E47" s="526"/>
      <c r="F47" s="526"/>
      <c r="G47" s="523"/>
      <c r="H47" s="1318"/>
      <c r="I47" s="1319"/>
      <c r="J47" s="526"/>
      <c r="K47" s="523"/>
      <c r="L47" s="766">
        <f t="shared" si="7"/>
        <v>0</v>
      </c>
      <c r="M47" s="767">
        <f t="shared" si="8"/>
        <v>0</v>
      </c>
      <c r="N47" s="630">
        <f t="shared" si="9"/>
        <v>0</v>
      </c>
      <c r="O47" s="919"/>
      <c r="P47" s="925"/>
      <c r="Q47" s="753"/>
      <c r="R47" s="2888" t="s">
        <v>85</v>
      </c>
      <c r="S47" s="2543" t="str">
        <f>IF(('الصفحة 1'!$Q$14&gt;0),((IF((E47=""),"خارج الصنف - مسؤول مطبخ",IF((E47=0)," ",IF((E47&gt;0),""))))),"")</f>
        <v>خارج الصنف - مسؤول مطبخ</v>
      </c>
      <c r="T47" s="2544"/>
      <c r="U47" s="2546" t="str">
        <f>IF(('الصفحة 1'!$Q$14&gt;0),(IF((E47=0),(IF((L47&gt;0),("المناصب المفتوحة في الإطار ؟"),(IF((L47=""),(""),(IF((L47=0),(""),(""))))))),(""))),(""))</f>
        <v/>
      </c>
      <c r="W47" s="1036"/>
    </row>
    <row r="48" spans="1:23" ht="11.1" customHeight="1">
      <c r="A48" s="750"/>
      <c r="B48" s="907"/>
      <c r="C48" s="918"/>
      <c r="D48" s="690" t="s">
        <v>84</v>
      </c>
      <c r="E48" s="527"/>
      <c r="F48" s="527"/>
      <c r="G48" s="524"/>
      <c r="H48" s="1320"/>
      <c r="I48" s="1321"/>
      <c r="J48" s="527"/>
      <c r="K48" s="524"/>
      <c r="L48" s="768">
        <f t="shared" si="7"/>
        <v>0</v>
      </c>
      <c r="M48" s="769">
        <f t="shared" si="8"/>
        <v>0</v>
      </c>
      <c r="N48" s="631">
        <f t="shared" si="9"/>
        <v>0</v>
      </c>
      <c r="O48" s="919"/>
      <c r="P48" s="925"/>
      <c r="Q48" s="753"/>
      <c r="R48" s="2554" t="s">
        <v>84</v>
      </c>
      <c r="S48" s="2543" t="str">
        <f>IF(('الصفحة 1'!$Q$14&gt;0),((IF((E48=""),"عامل مهني - صنف 1 - طباخ",IF((E48=0)," ",IF((E48&gt;0),""))))),"")</f>
        <v>عامل مهني - صنف 1 - طباخ</v>
      </c>
      <c r="T48" s="2544"/>
      <c r="U48" s="2546" t="str">
        <f>IF(('الصفحة 1'!$Q$14&gt;0),(IF((E48=0),(IF((L48&gt;0),("المناصب المفتوحة في الإطار ؟"),(IF((L48=""),(""),(IF((L48=0),(""),(""))))))),(""))),(""))</f>
        <v/>
      </c>
      <c r="W48" s="1036"/>
    </row>
    <row r="49" spans="1:23" ht="11.1" customHeight="1">
      <c r="A49" s="750"/>
      <c r="B49" s="907"/>
      <c r="C49" s="918"/>
      <c r="D49" s="1340" t="s">
        <v>83</v>
      </c>
      <c r="E49" s="527"/>
      <c r="F49" s="527"/>
      <c r="G49" s="524"/>
      <c r="H49" s="1320"/>
      <c r="I49" s="1321"/>
      <c r="J49" s="527"/>
      <c r="K49" s="524"/>
      <c r="L49" s="768">
        <f t="shared" si="7"/>
        <v>0</v>
      </c>
      <c r="M49" s="769">
        <f t="shared" si="8"/>
        <v>0</v>
      </c>
      <c r="N49" s="631">
        <f t="shared" si="9"/>
        <v>0</v>
      </c>
      <c r="O49" s="919"/>
      <c r="P49" s="925"/>
      <c r="Q49" s="753"/>
      <c r="R49" s="2557" t="s">
        <v>83</v>
      </c>
      <c r="S49" s="2543" t="str">
        <f>IF(('الصفحة 1'!$Q$14&gt;0),((IF((E49=""),"عامل مهني- صنف 2 - طباخ",IF((E49=0)," ",IF((E49&gt;0),""))))),"")</f>
        <v>عامل مهني- صنف 2 - طباخ</v>
      </c>
      <c r="T49" s="2544"/>
      <c r="U49" s="2546" t="str">
        <f>IF(('الصفحة 1'!$Q$14&gt;0),(IF((E49=0),(IF((L49&gt;0),("المناصب المفتوحة في الإطار ؟"),(IF((L49=""),(""),(IF((L49=0),(""),(""))))))),(""))),(""))</f>
        <v/>
      </c>
      <c r="W49" s="1036"/>
    </row>
    <row r="50" spans="1:23" ht="11.1" customHeight="1">
      <c r="A50" s="750"/>
      <c r="B50" s="907"/>
      <c r="C50" s="918"/>
      <c r="D50" s="690" t="s">
        <v>82</v>
      </c>
      <c r="E50" s="527"/>
      <c r="F50" s="527"/>
      <c r="G50" s="524"/>
      <c r="H50" s="1320"/>
      <c r="I50" s="1321"/>
      <c r="J50" s="527"/>
      <c r="K50" s="524"/>
      <c r="L50" s="768">
        <f t="shared" si="7"/>
        <v>0</v>
      </c>
      <c r="M50" s="769">
        <f t="shared" si="8"/>
        <v>0</v>
      </c>
      <c r="N50" s="631">
        <f t="shared" si="9"/>
        <v>0</v>
      </c>
      <c r="O50" s="919"/>
      <c r="P50" s="925"/>
      <c r="Q50" s="753"/>
      <c r="R50" s="2554" t="s">
        <v>82</v>
      </c>
      <c r="S50" s="2543" t="str">
        <f>IF(('الصفحة 1'!$Q$14&gt;0),((IF((E50=""),"عامل مهني- م 3 - طباخ ص 1",IF((E50=0)," ",IF((E50&gt;0),""))))),"")</f>
        <v>عامل مهني- م 3 - طباخ ص 1</v>
      </c>
      <c r="T50" s="2544"/>
      <c r="U50" s="2546" t="str">
        <f>IF(('الصفحة 1'!$Q$14&gt;0),(IF((E50=0),(IF((L50&gt;0),("المناصب المفتوحة في الإطار ؟"),(IF((L50=""),(""),(IF((L50=0),(""),(""))))))),(""))),(""))</f>
        <v/>
      </c>
      <c r="W50" s="1036"/>
    </row>
    <row r="51" spans="1:23" ht="11.1" customHeight="1">
      <c r="A51" s="750"/>
      <c r="B51" s="907"/>
      <c r="C51" s="918"/>
      <c r="D51" s="1339" t="s">
        <v>81</v>
      </c>
      <c r="E51" s="528"/>
      <c r="F51" s="528"/>
      <c r="G51" s="525"/>
      <c r="H51" s="1322"/>
      <c r="I51" s="1323"/>
      <c r="J51" s="528"/>
      <c r="K51" s="525"/>
      <c r="L51" s="770">
        <f t="shared" si="7"/>
        <v>0</v>
      </c>
      <c r="M51" s="771">
        <f t="shared" si="8"/>
        <v>0</v>
      </c>
      <c r="N51" s="632">
        <f t="shared" si="9"/>
        <v>0</v>
      </c>
      <c r="O51" s="919"/>
      <c r="P51" s="925"/>
      <c r="Q51" s="753"/>
      <c r="R51" s="2555" t="s">
        <v>81</v>
      </c>
      <c r="S51" s="2543" t="str">
        <f>IF(('الصفحة 1'!$Q$14&gt;0),((IF((E51=""),"عامل مهني- م 3 - طباخ ص 2",IF((E51=0)," ",IF((E51&gt;0),""))))),"")</f>
        <v>عامل مهني- م 3 - طباخ ص 2</v>
      </c>
      <c r="T51" s="2544"/>
      <c r="U51" s="2546" t="str">
        <f>IF(('الصفحة 1'!$Q$14&gt;0),(IF((E51=0),(IF((L51&gt;0),("المناصب المفتوحة في الإطار ؟"),(IF((L51=""),(""),(IF((L51=0),(""),(""))))))),(""))),(""))</f>
        <v/>
      </c>
      <c r="W51" s="1036"/>
    </row>
    <row r="52" spans="1:23" ht="11.1" customHeight="1">
      <c r="A52" s="750"/>
      <c r="B52" s="907"/>
      <c r="C52" s="918"/>
      <c r="D52" s="691" t="s">
        <v>80</v>
      </c>
      <c r="E52" s="526"/>
      <c r="F52" s="526"/>
      <c r="G52" s="523"/>
      <c r="H52" s="1318"/>
      <c r="I52" s="1319"/>
      <c r="J52" s="526"/>
      <c r="K52" s="523"/>
      <c r="L52" s="766">
        <f t="shared" si="7"/>
        <v>0</v>
      </c>
      <c r="M52" s="767">
        <f t="shared" si="8"/>
        <v>0</v>
      </c>
      <c r="N52" s="630">
        <f t="shared" si="9"/>
        <v>0</v>
      </c>
      <c r="O52" s="919"/>
      <c r="P52" s="925"/>
      <c r="Q52" s="753"/>
      <c r="R52" s="2556" t="s">
        <v>80</v>
      </c>
      <c r="S52" s="2543" t="str">
        <f>IF(('الصفحة 1'!$Q$14&gt;0),((IF((E52=""),"ع مهني- ص1 - مسؤولة غسيل",IF((E52=0)," ",IF((E52&gt;0),""))))),"")</f>
        <v>ع مهني- ص1 - مسؤولة غسيل</v>
      </c>
      <c r="T52" s="2544"/>
      <c r="U52" s="2546" t="str">
        <f>IF(('الصفحة 1'!$Q$14&gt;0),(IF((E52=0),(IF((L52&gt;0),("المناصب المفتوحة في الإطار ؟"),(IF((L52=""),(""),(IF((L52=0),(""),(""))))))),(""))),(""))</f>
        <v/>
      </c>
      <c r="W52" s="1036"/>
    </row>
    <row r="53" spans="1:23" ht="11.1" customHeight="1">
      <c r="A53" s="750"/>
      <c r="B53" s="907"/>
      <c r="C53" s="918"/>
      <c r="D53" s="1340" t="s">
        <v>79</v>
      </c>
      <c r="E53" s="527"/>
      <c r="F53" s="527"/>
      <c r="G53" s="524"/>
      <c r="H53" s="1320"/>
      <c r="I53" s="1321"/>
      <c r="J53" s="527"/>
      <c r="K53" s="524"/>
      <c r="L53" s="768">
        <f t="shared" si="7"/>
        <v>0</v>
      </c>
      <c r="M53" s="769">
        <f t="shared" si="8"/>
        <v>0</v>
      </c>
      <c r="N53" s="631">
        <f t="shared" si="9"/>
        <v>0</v>
      </c>
      <c r="O53" s="919"/>
      <c r="P53" s="925"/>
      <c r="Q53" s="753"/>
      <c r="R53" s="2557" t="s">
        <v>79</v>
      </c>
      <c r="S53" s="2543" t="str">
        <f>IF(('الصفحة 1'!$Q$14&gt;0),((IF((E53=""),"ع مهني - م 3 - مسؤولة غسيل",IF((E53=0)," ",IF((E53&gt;0),""))))),"")</f>
        <v>ع مهني - م 3 - مسؤولة غسيل</v>
      </c>
      <c r="T53" s="2544"/>
      <c r="U53" s="2546" t="str">
        <f>IF(('الصفحة 1'!$Q$14&gt;0),(IF((E53=0),(IF((L53&gt;0),("المناصب المفتوحة في الإطار ؟"),(IF((L53=""),(""),(IF((L53=0),(""),(""))))))),(""))),(""))</f>
        <v/>
      </c>
      <c r="W53" s="1036"/>
    </row>
    <row r="54" spans="1:23" ht="11.1" customHeight="1">
      <c r="A54" s="750"/>
      <c r="B54" s="907"/>
      <c r="C54" s="918"/>
      <c r="D54" s="690" t="s">
        <v>78</v>
      </c>
      <c r="E54" s="527"/>
      <c r="F54" s="527"/>
      <c r="G54" s="524"/>
      <c r="H54" s="1320"/>
      <c r="I54" s="1321"/>
      <c r="J54" s="527"/>
      <c r="K54" s="524"/>
      <c r="L54" s="768">
        <f t="shared" si="7"/>
        <v>0</v>
      </c>
      <c r="M54" s="769">
        <f t="shared" si="8"/>
        <v>0</v>
      </c>
      <c r="N54" s="631">
        <f t="shared" si="9"/>
        <v>0</v>
      </c>
      <c r="O54" s="919"/>
      <c r="P54" s="925"/>
      <c r="Q54" s="753"/>
      <c r="R54" s="2554" t="s">
        <v>78</v>
      </c>
      <c r="S54" s="2543" t="str">
        <f>IF(('الصفحة 1'!$Q$14&gt;0),((IF((E54=""),"ع مهني - ص 2 - بياضة مرقعة",IF((E54=0)," ",IF((E54&gt;0),""))))),"")</f>
        <v>ع مهني - ص 2 - بياضة مرقعة</v>
      </c>
      <c r="T54" s="2544"/>
      <c r="U54" s="2546" t="str">
        <f>IF(('الصفحة 1'!$Q$14&gt;0),(IF((E54=0),(IF((L54&gt;0),("المناصب المفتوحة في الإطار ؟"),(IF((L54=""),(""),(IF((L54=0),(""),(""))))))),(""))),(""))</f>
        <v/>
      </c>
      <c r="W54" s="1036"/>
    </row>
    <row r="55" spans="1:23" ht="11.1" customHeight="1">
      <c r="A55" s="750"/>
      <c r="B55" s="907"/>
      <c r="C55" s="918"/>
      <c r="D55" s="1341" t="s">
        <v>77</v>
      </c>
      <c r="E55" s="541"/>
      <c r="F55" s="541"/>
      <c r="G55" s="542"/>
      <c r="H55" s="1342"/>
      <c r="I55" s="1343"/>
      <c r="J55" s="541"/>
      <c r="K55" s="542"/>
      <c r="L55" s="965">
        <f t="shared" si="7"/>
        <v>0</v>
      </c>
      <c r="M55" s="966">
        <f t="shared" si="8"/>
        <v>0</v>
      </c>
      <c r="N55" s="700">
        <f t="shared" si="9"/>
        <v>0</v>
      </c>
      <c r="O55" s="919"/>
      <c r="P55" s="925"/>
      <c r="Q55" s="753"/>
      <c r="R55" s="2558" t="s">
        <v>77</v>
      </c>
      <c r="S55" s="2543" t="str">
        <f>IF(('الصفحة 1'!$Q$14&gt;0),((IF((E55=""),"ع مهني - م 2 - بياضة مرقعة",IF((E55=0)," ",IF((E55&gt;0),""))))),"")</f>
        <v>ع مهني - م 2 - بياضة مرقعة</v>
      </c>
      <c r="T55" s="2544"/>
      <c r="U55" s="2546" t="str">
        <f>IF(('الصفحة 1'!$Q$14&gt;0),(IF((E55=0),(IF((L55&gt;0),("المناصب المفتوحة في الإطار ؟"),(IF((L55=""),(""),(IF((L55=0),(""),(""))))))),(""))),(""))</f>
        <v/>
      </c>
      <c r="W55" s="1036"/>
    </row>
    <row r="56" spans="1:23" ht="12" customHeight="1">
      <c r="A56" s="750"/>
      <c r="B56" s="907"/>
      <c r="C56" s="918"/>
      <c r="D56" s="4732" t="s">
        <v>76</v>
      </c>
      <c r="E56" s="4733"/>
      <c r="F56" s="4733"/>
      <c r="G56" s="4733"/>
      <c r="H56" s="4733"/>
      <c r="I56" s="4733"/>
      <c r="J56" s="4733"/>
      <c r="K56" s="4733"/>
      <c r="L56" s="4733"/>
      <c r="M56" s="4733"/>
      <c r="N56" s="4734"/>
      <c r="O56" s="919"/>
      <c r="P56" s="925"/>
      <c r="Q56" s="753"/>
      <c r="R56" s="4730" t="s">
        <v>76</v>
      </c>
      <c r="S56" s="4731"/>
      <c r="T56" s="4731"/>
      <c r="U56" s="4735"/>
      <c r="W56" s="1036"/>
    </row>
    <row r="57" spans="1:23" ht="11.1" customHeight="1">
      <c r="A57" s="750"/>
      <c r="B57" s="907"/>
      <c r="C57" s="918"/>
      <c r="D57" s="690" t="s">
        <v>75</v>
      </c>
      <c r="E57" s="527"/>
      <c r="F57" s="527"/>
      <c r="G57" s="524"/>
      <c r="H57" s="1320"/>
      <c r="I57" s="1321"/>
      <c r="J57" s="527"/>
      <c r="K57" s="524"/>
      <c r="L57" s="768">
        <f>F57+H57+J57</f>
        <v>0</v>
      </c>
      <c r="M57" s="769">
        <f>G57+I57+K57</f>
        <v>0</v>
      </c>
      <c r="N57" s="631">
        <f>E57-(F57+H57+J57)</f>
        <v>0</v>
      </c>
      <c r="O57" s="919"/>
      <c r="P57" s="925"/>
      <c r="Q57" s="753"/>
      <c r="R57" s="2554" t="s">
        <v>75</v>
      </c>
      <c r="S57" s="2543" t="str">
        <f>IF(('الصفحة 1'!$Q$14&gt;0),((IF((E57=""),"عون الوقاية - مستوى 2",IF((E57=0)," ",IF((E57&gt;0),""))))),"")</f>
        <v>عون الوقاية - مستوى 2</v>
      </c>
      <c r="T57" s="2544"/>
      <c r="U57" s="2546" t="str">
        <f>IF(('الصفحة 1'!$Q$14&gt;0),(IF((E57=0),(IF((L57&gt;0),("المناصب المفتوحة في الإطار ؟"),(IF((L57=""),(""),(IF((L57=0),(""),(""))))))),(""))),(""))</f>
        <v/>
      </c>
      <c r="W57" s="1036"/>
    </row>
    <row r="58" spans="1:23" ht="11.1" customHeight="1">
      <c r="A58" s="750"/>
      <c r="B58" s="907"/>
      <c r="C58" s="918"/>
      <c r="D58" s="1341" t="s">
        <v>74</v>
      </c>
      <c r="E58" s="541"/>
      <c r="F58" s="541"/>
      <c r="G58" s="542"/>
      <c r="H58" s="1342"/>
      <c r="I58" s="1343"/>
      <c r="J58" s="541"/>
      <c r="K58" s="542"/>
      <c r="L58" s="965">
        <f>F58+H58+J58</f>
        <v>0</v>
      </c>
      <c r="M58" s="966">
        <f>G58+I58+K58</f>
        <v>0</v>
      </c>
      <c r="N58" s="700">
        <f>E58-(F58+H58+J58)</f>
        <v>0</v>
      </c>
      <c r="O58" s="919"/>
      <c r="P58" s="925"/>
      <c r="Q58" s="753"/>
      <c r="R58" s="2558" t="s">
        <v>74</v>
      </c>
      <c r="S58" s="2543" t="str">
        <f>IF(('الصفحة 1'!$Q$14&gt;0),((IF((E58=""),"عون الوقاية - مستوى 1",IF((E58=0)," ",IF((E58&gt;0),""))))),"")</f>
        <v>عون الوقاية - مستوى 1</v>
      </c>
      <c r="T58" s="2544"/>
      <c r="U58" s="2546" t="str">
        <f>IF(('الصفحة 1'!$Q$14&gt;0),(IF((E58=0),(IF((L58&gt;0),("المناصب المفتوحة في الإطار ؟"),(IF((L58=""),(""),(IF((L58=0),(""),(""))))))),(""))),(""))</f>
        <v/>
      </c>
      <c r="W58" s="1036"/>
    </row>
    <row r="59" spans="1:23" ht="12" customHeight="1">
      <c r="A59" s="750"/>
      <c r="B59" s="907"/>
      <c r="C59" s="918"/>
      <c r="D59" s="4732" t="s">
        <v>73</v>
      </c>
      <c r="E59" s="4733"/>
      <c r="F59" s="4733"/>
      <c r="G59" s="4733"/>
      <c r="H59" s="4733"/>
      <c r="I59" s="4733"/>
      <c r="J59" s="4733"/>
      <c r="K59" s="4733"/>
      <c r="L59" s="4733"/>
      <c r="M59" s="4733"/>
      <c r="N59" s="4734"/>
      <c r="O59" s="919"/>
      <c r="P59" s="925"/>
      <c r="Q59" s="753"/>
      <c r="R59" s="4730" t="s">
        <v>73</v>
      </c>
      <c r="S59" s="4731"/>
      <c r="T59" s="4731"/>
      <c r="U59" s="4735"/>
      <c r="W59" s="1036"/>
    </row>
    <row r="60" spans="1:23" ht="11.1" customHeight="1">
      <c r="A60" s="750"/>
      <c r="B60" s="907"/>
      <c r="C60" s="918"/>
      <c r="D60" s="690" t="s">
        <v>72</v>
      </c>
      <c r="E60" s="527"/>
      <c r="F60" s="527"/>
      <c r="G60" s="524"/>
      <c r="H60" s="1320"/>
      <c r="I60" s="1321"/>
      <c r="J60" s="527"/>
      <c r="K60" s="524"/>
      <c r="L60" s="768">
        <f t="shared" ref="L60:M62" si="10">F60+H60+J60</f>
        <v>0</v>
      </c>
      <c r="M60" s="769">
        <f t="shared" si="10"/>
        <v>0</v>
      </c>
      <c r="N60" s="631">
        <f>E60-(F60+H60+J60)</f>
        <v>0</v>
      </c>
      <c r="O60" s="919"/>
      <c r="P60" s="925"/>
      <c r="Q60" s="753"/>
      <c r="R60" s="2554" t="s">
        <v>72</v>
      </c>
      <c r="S60" s="2543" t="str">
        <f>IF(('الصفحة 1'!$Q$14&gt;0),((IF((E60=""),"سائق سيارة - صنف 1",IF((E60=0)," ",IF((E60&gt;0),""))))),"")</f>
        <v>سائق سيارة - صنف 1</v>
      </c>
      <c r="T60" s="2544"/>
      <c r="U60" s="2546" t="str">
        <f>IF(('الصفحة 1'!$Q$14&gt;0),(IF((E60=0),(IF((L60&gt;0),("المناصب المفتوحة في الإطار ؟"),(IF((L60=""),(""),(IF((L60=0),(""),(""))))))),(""))),(""))</f>
        <v/>
      </c>
      <c r="W60" s="1036"/>
    </row>
    <row r="61" spans="1:23" ht="11.1" customHeight="1">
      <c r="A61" s="750"/>
      <c r="B61" s="907"/>
      <c r="C61" s="918"/>
      <c r="D61" s="1340" t="s">
        <v>71</v>
      </c>
      <c r="E61" s="527"/>
      <c r="F61" s="527"/>
      <c r="G61" s="524"/>
      <c r="H61" s="1320"/>
      <c r="I61" s="1321"/>
      <c r="J61" s="527"/>
      <c r="K61" s="524"/>
      <c r="L61" s="768">
        <f t="shared" si="10"/>
        <v>0</v>
      </c>
      <c r="M61" s="769">
        <f t="shared" si="10"/>
        <v>0</v>
      </c>
      <c r="N61" s="631">
        <f>E61-(F61+H61+J61)</f>
        <v>0</v>
      </c>
      <c r="O61" s="919"/>
      <c r="P61" s="925"/>
      <c r="Q61" s="753"/>
      <c r="R61" s="2557" t="s">
        <v>71</v>
      </c>
      <c r="S61" s="2543" t="str">
        <f>IF(('الصفحة 1'!$Q$14&gt;0),((IF((E61=""),"سائق سيارة - مستوى 2",IF((E61=0)," ",IF((E61&gt;0),""))))),"")</f>
        <v>سائق سيارة - مستوى 2</v>
      </c>
      <c r="T61" s="2544"/>
      <c r="U61" s="2546" t="str">
        <f>IF(('الصفحة 1'!$Q$14&gt;0),(IF((E61=0),(IF((L61&gt;0),("المناصب المفتوحة في الإطار ؟"),(IF((L61=""),(""),(IF((L61=0),(""),(""))))))),(""))),(""))</f>
        <v/>
      </c>
      <c r="W61" s="1036"/>
    </row>
    <row r="62" spans="1:23" ht="11.1" customHeight="1">
      <c r="A62" s="750"/>
      <c r="B62" s="907"/>
      <c r="C62" s="918"/>
      <c r="D62" s="2886" t="s">
        <v>70</v>
      </c>
      <c r="E62" s="541"/>
      <c r="F62" s="541"/>
      <c r="G62" s="542"/>
      <c r="H62" s="1342"/>
      <c r="I62" s="1343"/>
      <c r="J62" s="541"/>
      <c r="K62" s="542"/>
      <c r="L62" s="965">
        <f t="shared" si="10"/>
        <v>0</v>
      </c>
      <c r="M62" s="966">
        <f t="shared" si="10"/>
        <v>0</v>
      </c>
      <c r="N62" s="700">
        <f>E62-(F62+H62+J62)</f>
        <v>0</v>
      </c>
      <c r="O62" s="919"/>
      <c r="P62" s="925"/>
      <c r="Q62" s="753"/>
      <c r="R62" s="2889" t="s">
        <v>70</v>
      </c>
      <c r="S62" s="2543" t="str">
        <f>IF(('الصفحة 1'!$Q$14&gt;0),((IF((E62=""),"سائق سيارة - مستوى 1",IF((E62=0)," ",IF((E62&gt;0),""))))),"")</f>
        <v>سائق سيارة - مستوى 1</v>
      </c>
      <c r="T62" s="2544"/>
      <c r="U62" s="2546" t="str">
        <f>IF(('الصفحة 1'!$Q$14&gt;0),(IF((E62=0),(IF((L62&gt;0),("المناصب المفتوحة في الإطار ؟"),(IF((L62=""),(""),(IF((L62=0),(""),(""))))))),(""))),(""))</f>
        <v/>
      </c>
      <c r="W62" s="1036"/>
    </row>
    <row r="63" spans="1:23" ht="12" customHeight="1">
      <c r="A63" s="750"/>
      <c r="B63" s="907"/>
      <c r="C63" s="918"/>
      <c r="D63" s="4732" t="s">
        <v>69</v>
      </c>
      <c r="E63" s="4733"/>
      <c r="F63" s="4733"/>
      <c r="G63" s="4733"/>
      <c r="H63" s="4733"/>
      <c r="I63" s="4733"/>
      <c r="J63" s="4733"/>
      <c r="K63" s="4733"/>
      <c r="L63" s="4733"/>
      <c r="M63" s="4733"/>
      <c r="N63" s="4734"/>
      <c r="O63" s="919"/>
      <c r="P63" s="925"/>
      <c r="Q63" s="753"/>
      <c r="R63" s="4730" t="s">
        <v>69</v>
      </c>
      <c r="S63" s="4731"/>
      <c r="T63" s="4731"/>
      <c r="U63" s="4735"/>
      <c r="W63" s="1036"/>
    </row>
    <row r="64" spans="1:23" ht="11.1" customHeight="1">
      <c r="A64" s="750"/>
      <c r="B64" s="907"/>
      <c r="C64" s="918"/>
      <c r="D64" s="2106" t="s">
        <v>68</v>
      </c>
      <c r="E64" s="527">
        <v>2</v>
      </c>
      <c r="F64" s="527"/>
      <c r="G64" s="524"/>
      <c r="H64" s="1320"/>
      <c r="I64" s="1321"/>
      <c r="J64" s="527"/>
      <c r="K64" s="524"/>
      <c r="L64" s="768">
        <f>F64+H64+J64</f>
        <v>0</v>
      </c>
      <c r="M64" s="769">
        <f>G64+I64+K64</f>
        <v>0</v>
      </c>
      <c r="N64" s="631">
        <f>E64-(F64+H64+J64)</f>
        <v>2</v>
      </c>
      <c r="O64" s="919"/>
      <c r="P64" s="925"/>
      <c r="Q64" s="753"/>
      <c r="R64" s="2554" t="s">
        <v>68</v>
      </c>
      <c r="S64" s="2543" t="str">
        <f>IF(('الصفحة 1'!$Q$14&gt;0),((IF((E64=""),"عامل مهني - صنف 1",IF((E64=0)," ",IF((E64&gt;0),""))))),"")</f>
        <v/>
      </c>
      <c r="T64" s="2544"/>
      <c r="U64" s="2546" t="str">
        <f>IF(('الصفحة 1'!$Q$14&gt;0),(IF((E64=0),(IF((L64&gt;0),("المناصب المفتوحة في الإطار ؟"),(IF((L64=""),(""),(IF((L64=0),(""),(""))))))),(""))),(""))</f>
        <v/>
      </c>
      <c r="W64" s="1036"/>
    </row>
    <row r="65" spans="1:23" ht="11.1" customHeight="1">
      <c r="A65" s="750"/>
      <c r="B65" s="907"/>
      <c r="C65" s="918"/>
      <c r="D65" s="2107" t="s">
        <v>67</v>
      </c>
      <c r="E65" s="527"/>
      <c r="F65" s="527"/>
      <c r="G65" s="524"/>
      <c r="H65" s="1320"/>
      <c r="I65" s="1321"/>
      <c r="J65" s="527"/>
      <c r="K65" s="524"/>
      <c r="L65" s="768">
        <f t="shared" ref="L65:L73" si="11">F65+H65+J65</f>
        <v>0</v>
      </c>
      <c r="M65" s="769">
        <f t="shared" ref="M65:M73" si="12">G65+I65+K65</f>
        <v>0</v>
      </c>
      <c r="N65" s="631">
        <f t="shared" ref="N65:N73" si="13">E65-(F65+H65+J65)</f>
        <v>0</v>
      </c>
      <c r="O65" s="919"/>
      <c r="P65" s="925"/>
      <c r="Q65" s="753"/>
      <c r="R65" s="2557" t="s">
        <v>67</v>
      </c>
      <c r="S65" s="2543" t="str">
        <f>IF(('الصفحة 1'!$Q$14&gt;0),((IF((E65=""),"عامل مهني - م 3 - صنف 1",IF((E65=0)," ",IF((E65&gt;0),""))))),"")</f>
        <v>عامل مهني - م 3 - صنف 1</v>
      </c>
      <c r="T65" s="2544"/>
      <c r="U65" s="2546" t="str">
        <f>IF(('الصفحة 1'!$Q$14&gt;0),(IF((E65=0),(IF((L65&gt;0),("المناصب المفتوحة في الإطار ؟"),(IF((L65=""),(""),(IF((L65=0),(""),(""))))))),(""))),(""))</f>
        <v/>
      </c>
      <c r="W65" s="1036"/>
    </row>
    <row r="66" spans="1:23" ht="11.1" customHeight="1">
      <c r="A66" s="750"/>
      <c r="B66" s="907"/>
      <c r="C66" s="918"/>
      <c r="D66" s="2864" t="s">
        <v>1352</v>
      </c>
      <c r="E66" s="527">
        <v>1</v>
      </c>
      <c r="F66" s="527"/>
      <c r="G66" s="524"/>
      <c r="H66" s="1320"/>
      <c r="I66" s="1321"/>
      <c r="J66" s="527"/>
      <c r="K66" s="524"/>
      <c r="L66" s="768">
        <f t="shared" si="11"/>
        <v>0</v>
      </c>
      <c r="M66" s="769">
        <f t="shared" si="12"/>
        <v>0</v>
      </c>
      <c r="N66" s="631">
        <f t="shared" si="13"/>
        <v>1</v>
      </c>
      <c r="O66" s="919"/>
      <c r="P66" s="925"/>
      <c r="Q66" s="753"/>
      <c r="R66" s="2865" t="s">
        <v>1352</v>
      </c>
      <c r="S66" s="2543" t="str">
        <f>IF(('الصفحة 1'!$Q$14&gt;0),((IF((E66=""),"عامل مهني - مستوى 3",IF((E66=0)," ",IF((E66&gt;0),""))))),"")</f>
        <v/>
      </c>
      <c r="T66" s="2544"/>
      <c r="U66" s="2546" t="str">
        <f>IF(('الصفحة 1'!$Q$14&gt;0),(IF((E66=0),(IF((L66&gt;0),("المناصب المفتوحة في الإطار ؟"),(IF((L66=""),(""),(IF((L66=0),(""),(""))))))),(""))),(""))</f>
        <v/>
      </c>
      <c r="W66" s="1036"/>
    </row>
    <row r="67" spans="1:23" ht="11.1" customHeight="1">
      <c r="A67" s="750"/>
      <c r="B67" s="907"/>
      <c r="C67" s="918"/>
      <c r="D67" s="2107" t="s">
        <v>1353</v>
      </c>
      <c r="E67" s="527">
        <v>3</v>
      </c>
      <c r="F67" s="527"/>
      <c r="G67" s="524"/>
      <c r="H67" s="1320"/>
      <c r="I67" s="1321"/>
      <c r="J67" s="527"/>
      <c r="K67" s="524"/>
      <c r="L67" s="768">
        <f t="shared" si="11"/>
        <v>0</v>
      </c>
      <c r="M67" s="769">
        <f t="shared" si="12"/>
        <v>0</v>
      </c>
      <c r="N67" s="631">
        <f t="shared" si="13"/>
        <v>3</v>
      </c>
      <c r="O67" s="919"/>
      <c r="P67" s="925"/>
      <c r="Q67" s="753"/>
      <c r="R67" s="2557" t="s">
        <v>1353</v>
      </c>
      <c r="S67" s="2543" t="str">
        <f>IF(('الصفحة 1'!$Q$14&gt;0),((IF((E67=""),"عامل مهني - مستوى 2",IF((E67=0)," ",IF((E67&gt;0),""))))),"")</f>
        <v/>
      </c>
      <c r="T67" s="2544"/>
      <c r="U67" s="2546" t="str">
        <f>IF(('الصفحة 1'!$Q$14&gt;0),(IF((E67=0),(IF((L67&gt;0),("المناصب المفتوحة في الإطار ؟"),(IF((L67=""),(""),(IF((L67=0),(""),(""))))))),(""))),(""))</f>
        <v/>
      </c>
      <c r="W67" s="1036"/>
    </row>
    <row r="68" spans="1:23" ht="11.1" customHeight="1">
      <c r="A68" s="750"/>
      <c r="B68" s="907"/>
      <c r="C68" s="918"/>
      <c r="D68" s="2106" t="s">
        <v>66</v>
      </c>
      <c r="E68" s="527"/>
      <c r="F68" s="527"/>
      <c r="G68" s="524"/>
      <c r="H68" s="1320"/>
      <c r="I68" s="1321"/>
      <c r="J68" s="527"/>
      <c r="K68" s="524"/>
      <c r="L68" s="768">
        <f t="shared" si="11"/>
        <v>0</v>
      </c>
      <c r="M68" s="769">
        <f t="shared" si="12"/>
        <v>0</v>
      </c>
      <c r="N68" s="631">
        <f t="shared" si="13"/>
        <v>0</v>
      </c>
      <c r="O68" s="919"/>
      <c r="P68" s="925"/>
      <c r="Q68" s="753"/>
      <c r="R68" s="2554" t="s">
        <v>66</v>
      </c>
      <c r="S68" s="2543" t="str">
        <f>IF(('الصفحة 1'!$Q$14&gt;0),((IF((E68=""),"ع مهني - ص2 - بواب مؤسسة",IF((E68=0)," ",IF((E68&gt;0),""))))),"")</f>
        <v>ع مهني - ص2 - بواب مؤسسة</v>
      </c>
      <c r="T68" s="2544"/>
      <c r="U68" s="2546" t="str">
        <f>IF(('الصفحة 1'!$Q$14&gt;0),(IF((E68=0),(IF((L68&gt;0),("المناصب المفتوحة في الإطار ؟"),(IF((L68=""),(""),(IF((L68=0),(""),(""))))))),(""))),(""))</f>
        <v/>
      </c>
      <c r="W68" s="1036"/>
    </row>
    <row r="69" spans="1:23" ht="11.1" customHeight="1">
      <c r="A69" s="750"/>
      <c r="B69" s="907"/>
      <c r="C69" s="918"/>
      <c r="D69" s="2107" t="s">
        <v>65</v>
      </c>
      <c r="E69" s="527"/>
      <c r="F69" s="527"/>
      <c r="G69" s="524"/>
      <c r="H69" s="1320"/>
      <c r="I69" s="1321"/>
      <c r="J69" s="527"/>
      <c r="K69" s="524"/>
      <c r="L69" s="768">
        <f t="shared" si="11"/>
        <v>0</v>
      </c>
      <c r="M69" s="769">
        <f t="shared" si="12"/>
        <v>0</v>
      </c>
      <c r="N69" s="631">
        <f t="shared" si="13"/>
        <v>0</v>
      </c>
      <c r="O69" s="919"/>
      <c r="P69" s="925"/>
      <c r="Q69" s="753"/>
      <c r="R69" s="2557" t="s">
        <v>65</v>
      </c>
      <c r="S69" s="2543" t="str">
        <f>IF(('الصفحة 1'!$Q$14&gt;0),((IF((E69=""),"ع م-م 2- ص 2- بواب مؤسسة",IF((E69=0)," ",IF((E69&gt;0),""))))),"")</f>
        <v>ع م-م 2- ص 2- بواب مؤسسة</v>
      </c>
      <c r="T69" s="2544"/>
      <c r="U69" s="2546" t="str">
        <f>IF(('الصفحة 1'!$Q$14&gt;0),(IF((E69=0),(IF((L69&gt;0),("المناصب المفتوحة في الإطار ؟"),(IF((L69=""),(""),(IF((L69=0),(""),(""))))))),(""))),(""))</f>
        <v/>
      </c>
      <c r="W69" s="1036"/>
    </row>
    <row r="70" spans="1:23" ht="11.1" customHeight="1">
      <c r="A70" s="750"/>
      <c r="B70" s="907"/>
      <c r="C70" s="918"/>
      <c r="D70" s="2108" t="s">
        <v>64</v>
      </c>
      <c r="E70" s="527"/>
      <c r="F70" s="527"/>
      <c r="G70" s="524"/>
      <c r="H70" s="1320"/>
      <c r="I70" s="1321"/>
      <c r="J70" s="527"/>
      <c r="K70" s="524"/>
      <c r="L70" s="768">
        <f t="shared" si="11"/>
        <v>0</v>
      </c>
      <c r="M70" s="769">
        <f t="shared" si="12"/>
        <v>0</v>
      </c>
      <c r="N70" s="631">
        <f t="shared" si="13"/>
        <v>0</v>
      </c>
      <c r="O70" s="919"/>
      <c r="P70" s="925"/>
      <c r="Q70" s="753"/>
      <c r="R70" s="2559" t="s">
        <v>64</v>
      </c>
      <c r="S70" s="2543" t="str">
        <f>IF(('الصفحة 1'!$Q$14&gt;0),((IF((E70=""),"عامل مهني - صنف 2",IF((E70=0)," ",IF((E70&gt;0),""))))),"")</f>
        <v>عامل مهني - صنف 2</v>
      </c>
      <c r="T70" s="2544"/>
      <c r="U70" s="2546" t="str">
        <f>IF(('الصفحة 1'!$Q$14&gt;0),(IF((E70=0),(IF((L70&gt;0),("المناصب المفتوحة في الإطار ؟"),(IF((L70=""),(""),(IF((L70=0),(""),(""))))))),(""))),(""))</f>
        <v/>
      </c>
      <c r="W70" s="1036"/>
    </row>
    <row r="71" spans="1:23" ht="11.1" customHeight="1">
      <c r="A71" s="750"/>
      <c r="B71" s="907"/>
      <c r="C71" s="918"/>
      <c r="D71" s="2107" t="s">
        <v>63</v>
      </c>
      <c r="E71" s="527"/>
      <c r="F71" s="527"/>
      <c r="G71" s="524"/>
      <c r="H71" s="1320"/>
      <c r="I71" s="1321"/>
      <c r="J71" s="527"/>
      <c r="K71" s="524"/>
      <c r="L71" s="768">
        <f t="shared" si="11"/>
        <v>0</v>
      </c>
      <c r="M71" s="769">
        <f t="shared" si="12"/>
        <v>0</v>
      </c>
      <c r="N71" s="631">
        <f t="shared" si="13"/>
        <v>0</v>
      </c>
      <c r="O71" s="919"/>
      <c r="P71" s="925"/>
      <c r="Q71" s="753"/>
      <c r="R71" s="2557" t="s">
        <v>63</v>
      </c>
      <c r="S71" s="2543" t="str">
        <f>IF(('الصفحة 1'!$Q$14&gt;0),((IF((E71=""),"عامل مهني م 2 - صنف 2",IF((E71=0)," ",IF((E71&gt;0),""))))),"")</f>
        <v>عامل مهني م 2 - صنف 2</v>
      </c>
      <c r="T71" s="2544"/>
      <c r="U71" s="2546" t="str">
        <f>IF(('الصفحة 1'!$Q$14&gt;0),(IF((E71=0),(IF((L71&gt;0),("المناصب المفتوحة في الإطار ؟"),(IF((L71=""),(""),(IF((L71=0),(""),(""))))))),(""))),(""))</f>
        <v/>
      </c>
      <c r="W71" s="1036"/>
    </row>
    <row r="72" spans="1:23" ht="11.1" customHeight="1">
      <c r="A72" s="750"/>
      <c r="B72" s="907"/>
      <c r="C72" s="918"/>
      <c r="D72" s="2108" t="s">
        <v>62</v>
      </c>
      <c r="E72" s="527">
        <v>1</v>
      </c>
      <c r="F72" s="527"/>
      <c r="G72" s="524"/>
      <c r="H72" s="1320"/>
      <c r="I72" s="1321"/>
      <c r="J72" s="527"/>
      <c r="K72" s="524"/>
      <c r="L72" s="768">
        <f t="shared" si="11"/>
        <v>0</v>
      </c>
      <c r="M72" s="769">
        <f t="shared" si="12"/>
        <v>0</v>
      </c>
      <c r="N72" s="631">
        <f t="shared" si="13"/>
        <v>1</v>
      </c>
      <c r="O72" s="919"/>
      <c r="P72" s="925"/>
      <c r="Q72" s="753"/>
      <c r="R72" s="2559" t="s">
        <v>62</v>
      </c>
      <c r="S72" s="2543" t="str">
        <f>IF(('الصفحة 1'!$Q$14&gt;0),((IF((E72=""),"عامل مهني - صنف 3",IF((E72=0)," ",IF((E72&gt;0),""))))),"")</f>
        <v/>
      </c>
      <c r="T72" s="2544"/>
      <c r="U72" s="2546" t="str">
        <f>IF(('الصفحة 1'!$Q$14&gt;0),(IF((E72=0),(IF((L72&gt;0),("المناصب المفتوحة في الإطار ؟"),(IF((L72=""),(""),(IF((L72=0),(""),(""))))))),(""))),(""))</f>
        <v/>
      </c>
      <c r="W72" s="1036"/>
    </row>
    <row r="73" spans="1:23" ht="11.1" customHeight="1">
      <c r="A73" s="750"/>
      <c r="B73" s="907"/>
      <c r="C73" s="918"/>
      <c r="D73" s="2109" t="s">
        <v>61</v>
      </c>
      <c r="E73" s="528">
        <v>10</v>
      </c>
      <c r="F73" s="528"/>
      <c r="G73" s="525"/>
      <c r="H73" s="1322"/>
      <c r="I73" s="1323"/>
      <c r="J73" s="528"/>
      <c r="K73" s="525"/>
      <c r="L73" s="770">
        <f t="shared" si="11"/>
        <v>0</v>
      </c>
      <c r="M73" s="771">
        <f t="shared" si="12"/>
        <v>0</v>
      </c>
      <c r="N73" s="632">
        <f t="shared" si="13"/>
        <v>10</v>
      </c>
      <c r="O73" s="919"/>
      <c r="P73" s="925"/>
      <c r="Q73" s="753"/>
      <c r="R73" s="2555" t="s">
        <v>61</v>
      </c>
      <c r="S73" s="2543" t="str">
        <f>IF(('الصفحة 1'!$Q$14&gt;0),((IF((E73=""),"عامل مهني - مستوى 1",IF((E73=0)," ",IF((E73&gt;0),""))))),"")</f>
        <v/>
      </c>
      <c r="T73" s="2544"/>
      <c r="U73" s="2546" t="str">
        <f>IF(('الصفحة 1'!$Q$14&gt;0),(IF((E73=0),(IF((L73&gt;0),("المناصب المفتوحة في الإطار ؟"),(IF((L73=""),(""),(IF((L73=0),(""),(""))))))),(""))),(""))</f>
        <v/>
      </c>
      <c r="W73" s="1036"/>
    </row>
    <row r="74" spans="1:23" ht="14.1" customHeight="1">
      <c r="A74" s="750"/>
      <c r="B74" s="907"/>
      <c r="C74" s="918"/>
      <c r="D74" s="973" t="s">
        <v>28</v>
      </c>
      <c r="E74" s="772">
        <f t="shared" ref="E74:M74" si="14">SUM(E64:E73)+SUM(E60:E62)+SUM(E57:E58)+SUM(E44:E55)+SUM(E41:E42)+SUM(E36:E39)+SUM(E31:E34)+SUM(E27:E29)+SUM(E21:E25)+SUM(E13:E19)+SUM(E11)</f>
        <v>36</v>
      </c>
      <c r="F74" s="772">
        <f t="shared" si="14"/>
        <v>19</v>
      </c>
      <c r="G74" s="773">
        <f t="shared" si="14"/>
        <v>16</v>
      </c>
      <c r="H74" s="772">
        <f t="shared" si="14"/>
        <v>0</v>
      </c>
      <c r="I74" s="773">
        <f t="shared" si="14"/>
        <v>0</v>
      </c>
      <c r="J74" s="772">
        <f t="shared" si="14"/>
        <v>0</v>
      </c>
      <c r="K74" s="773">
        <f t="shared" si="14"/>
        <v>0</v>
      </c>
      <c r="L74" s="772">
        <f t="shared" si="14"/>
        <v>19</v>
      </c>
      <c r="M74" s="773">
        <f t="shared" si="14"/>
        <v>16</v>
      </c>
      <c r="N74" s="774">
        <f>SUM(N64:N73)+SUM(N60:N62)+SUM(N57:N58)+SUM(N44:N55)+SUM(N41:N42)+SUM(N36:N39)+SUM(N31:N34)+SUM(N27:N29)+SUM(N21:N25)+SUM(N13:N19)+SUM(N11)</f>
        <v>17</v>
      </c>
      <c r="O74" s="919"/>
      <c r="P74" s="925"/>
      <c r="Q74" s="753"/>
      <c r="R74" s="2560" t="s">
        <v>28</v>
      </c>
      <c r="S74" s="2543"/>
      <c r="T74" s="2544"/>
      <c r="U74" s="2546" t="str">
        <f>IF(('الصفحة 1'!$Q$14&gt;0),(IF((E74=0),(IF((L74&gt;0),("المناصب المفتوحة في الإطار ؟"),(IF((L74=""),(""),(IF((L74=0),(""),(""))))))),(""))),(""))</f>
        <v/>
      </c>
      <c r="W74" s="1036"/>
    </row>
    <row r="75" spans="1:23" ht="2.1" customHeight="1" thickBot="1">
      <c r="A75" s="750"/>
      <c r="B75" s="907"/>
      <c r="C75" s="870"/>
      <c r="D75" s="920"/>
      <c r="E75" s="930"/>
      <c r="F75" s="930"/>
      <c r="G75" s="930"/>
      <c r="H75" s="930"/>
      <c r="I75" s="930"/>
      <c r="J75" s="930"/>
      <c r="K75" s="930"/>
      <c r="L75" s="930"/>
      <c r="M75" s="930"/>
      <c r="N75" s="930"/>
      <c r="O75" s="931"/>
      <c r="P75" s="925"/>
      <c r="Q75" s="753"/>
      <c r="W75" s="1036"/>
    </row>
    <row r="76" spans="1:23" ht="12" customHeight="1" thickBot="1">
      <c r="A76" s="750"/>
      <c r="B76" s="911"/>
      <c r="C76" s="4176">
        <v>34</v>
      </c>
      <c r="D76" s="4176"/>
      <c r="E76" s="4176"/>
      <c r="F76" s="4176"/>
      <c r="G76" s="4176"/>
      <c r="H76" s="4176"/>
      <c r="I76" s="4176"/>
      <c r="J76" s="4176"/>
      <c r="K76" s="4176"/>
      <c r="L76" s="4176"/>
      <c r="M76" s="4176"/>
      <c r="N76" s="4176"/>
      <c r="O76" s="4176"/>
      <c r="P76" s="927"/>
      <c r="Q76" s="753"/>
      <c r="W76" s="1036"/>
    </row>
    <row r="77" spans="1:23" ht="14.1" customHeight="1">
      <c r="A77" s="750"/>
      <c r="B77" s="1027" t="str">
        <f>'صفحة الدفتـر'!$B$68</f>
        <v>السنة الدراسية  2022 - 2023</v>
      </c>
      <c r="C77" s="751"/>
      <c r="D77" s="751"/>
      <c r="E77" s="751"/>
      <c r="F77" s="751"/>
      <c r="G77" s="751"/>
      <c r="H77" s="751"/>
      <c r="I77" s="751"/>
      <c r="J77" s="751"/>
      <c r="K77" s="751"/>
      <c r="L77" s="751"/>
      <c r="M77" s="751"/>
      <c r="N77" s="751"/>
      <c r="O77" s="751"/>
      <c r="P77" s="751"/>
      <c r="Q77" s="751"/>
      <c r="R77" s="1050"/>
      <c r="S77" s="1051"/>
      <c r="T77" s="1040"/>
      <c r="U77" s="1040"/>
      <c r="V77" s="1040"/>
      <c r="W77" s="1036"/>
    </row>
  </sheetData>
  <sheetProtection password="D8D3" sheet="1" objects="1" scenarios="1"/>
  <mergeCells count="30">
    <mergeCell ref="R7:V9"/>
    <mergeCell ref="R2:V6"/>
    <mergeCell ref="D59:N59"/>
    <mergeCell ref="D63:N63"/>
    <mergeCell ref="D40:N40"/>
    <mergeCell ref="R40:U40"/>
    <mergeCell ref="R43:U43"/>
    <mergeCell ref="R56:U56"/>
    <mergeCell ref="R63:U63"/>
    <mergeCell ref="R59:U59"/>
    <mergeCell ref="R26:U26"/>
    <mergeCell ref="R30:U30"/>
    <mergeCell ref="D35:N35"/>
    <mergeCell ref="D43:N43"/>
    <mergeCell ref="D56:N56"/>
    <mergeCell ref="R35:U35"/>
    <mergeCell ref="C76:O76"/>
    <mergeCell ref="F8:M8"/>
    <mergeCell ref="L9:M9"/>
    <mergeCell ref="F9:G9"/>
    <mergeCell ref="H9:I9"/>
    <mergeCell ref="J9:K9"/>
    <mergeCell ref="E8:E10"/>
    <mergeCell ref="N8:N10"/>
    <mergeCell ref="R12:U12"/>
    <mergeCell ref="D12:N12"/>
    <mergeCell ref="D20:N20"/>
    <mergeCell ref="D26:N26"/>
    <mergeCell ref="D30:N30"/>
    <mergeCell ref="R20:U20"/>
  </mergeCells>
  <conditionalFormatting sqref="H11 J11 E11:F11 N11 H22:H25 J22:J25 N22:N25 N64:N73 H27:H29 J27:J29 E27:F29 N27:N29 H31:H34 J31:J34 E31:F34 N31:N34 H38:H39 J38:J39 E38:F39 N38:N39 H42 J42 E42:F42 N42 E44:F55 H44:H55 J44:J55 N44:N55 H57:H58 J57:J58 E57:F58 N57:N58 H60:H62 J60:J62 E60:F62 N60:N62 H64:H73 J64:J73 E64:F73 E22:F25 H13:H19 J13:J19 E13:F19 N13:N19">
    <cfRule type="cellIs" dxfId="361" priority="264" stopIfTrue="1" operator="equal">
      <formula>0</formula>
    </cfRule>
  </conditionalFormatting>
  <conditionalFormatting sqref="I11">
    <cfRule type="cellIs" dxfId="360" priority="262" stopIfTrue="1" operator="greaterThan">
      <formula>H11</formula>
    </cfRule>
    <cfRule type="cellIs" dxfId="359" priority="263" stopIfTrue="1" operator="equal">
      <formula>0</formula>
    </cfRule>
  </conditionalFormatting>
  <conditionalFormatting sqref="K11">
    <cfRule type="cellIs" dxfId="358" priority="259" stopIfTrue="1" operator="greaterThan">
      <formula>J11</formula>
    </cfRule>
    <cfRule type="cellIs" dxfId="357" priority="260" stopIfTrue="1" operator="equal">
      <formula>0</formula>
    </cfRule>
  </conditionalFormatting>
  <conditionalFormatting sqref="L11 N74 L27:L29 L31:L34 L38:L39 L42 L44:L55 L57:L58 L60:L62 H74 J74 L64:L74 E74:F74 L22:L25 L13:L19">
    <cfRule type="cellIs" dxfId="356" priority="258" stopIfTrue="1" operator="equal">
      <formula>0</formula>
    </cfRule>
  </conditionalFormatting>
  <conditionalFormatting sqref="M11">
    <cfRule type="cellIs" dxfId="355" priority="256" stopIfTrue="1" operator="greaterThan">
      <formula>L11</formula>
    </cfRule>
    <cfRule type="cellIs" dxfId="354" priority="257" stopIfTrue="1" operator="equal">
      <formula>0</formula>
    </cfRule>
  </conditionalFormatting>
  <conditionalFormatting sqref="G11">
    <cfRule type="cellIs" dxfId="353" priority="253" stopIfTrue="1" operator="greaterThan">
      <formula>F11</formula>
    </cfRule>
    <cfRule type="cellIs" dxfId="352" priority="254" stopIfTrue="1" operator="equal">
      <formula>0</formula>
    </cfRule>
  </conditionalFormatting>
  <conditionalFormatting sqref="I13:I17">
    <cfRule type="cellIs" dxfId="351" priority="248" stopIfTrue="1" operator="greaterThan">
      <formula>H13</formula>
    </cfRule>
    <cfRule type="cellIs" dxfId="350" priority="249" stopIfTrue="1" operator="equal">
      <formula>0</formula>
    </cfRule>
  </conditionalFormatting>
  <conditionalFormatting sqref="K13:K17">
    <cfRule type="cellIs" dxfId="349" priority="245" stopIfTrue="1" operator="greaterThan">
      <formula>J13</formula>
    </cfRule>
    <cfRule type="cellIs" dxfId="348" priority="246" stopIfTrue="1" operator="equal">
      <formula>0</formula>
    </cfRule>
  </conditionalFormatting>
  <conditionalFormatting sqref="M13:M17">
    <cfRule type="cellIs" dxfId="347" priority="242" stopIfTrue="1" operator="greaterThan">
      <formula>L13</formula>
    </cfRule>
    <cfRule type="cellIs" dxfId="346" priority="243" stopIfTrue="1" operator="equal">
      <formula>0</formula>
    </cfRule>
  </conditionalFormatting>
  <conditionalFormatting sqref="G13:G17">
    <cfRule type="cellIs" dxfId="345" priority="239" stopIfTrue="1" operator="greaterThan">
      <formula>F13</formula>
    </cfRule>
    <cfRule type="cellIs" dxfId="344" priority="240" stopIfTrue="1" operator="equal">
      <formula>0</formula>
    </cfRule>
  </conditionalFormatting>
  <conditionalFormatting sqref="I22:I23 I18:I19">
    <cfRule type="cellIs" dxfId="343" priority="234" stopIfTrue="1" operator="greaterThan">
      <formula>H18</formula>
    </cfRule>
    <cfRule type="cellIs" dxfId="342" priority="235" stopIfTrue="1" operator="equal">
      <formula>0</formula>
    </cfRule>
  </conditionalFormatting>
  <conditionalFormatting sqref="K22:K23 K18:K19">
    <cfRule type="cellIs" dxfId="341" priority="231" stopIfTrue="1" operator="greaterThan">
      <formula>J18</formula>
    </cfRule>
    <cfRule type="cellIs" dxfId="340" priority="232" stopIfTrue="1" operator="equal">
      <formula>0</formula>
    </cfRule>
  </conditionalFormatting>
  <conditionalFormatting sqref="M22:M23 M18:M19">
    <cfRule type="cellIs" dxfId="339" priority="228" stopIfTrue="1" operator="greaterThan">
      <formula>L18</formula>
    </cfRule>
    <cfRule type="cellIs" dxfId="338" priority="229" stopIfTrue="1" operator="equal">
      <formula>0</formula>
    </cfRule>
  </conditionalFormatting>
  <conditionalFormatting sqref="G22:G23 G18:G19">
    <cfRule type="cellIs" dxfId="337" priority="225" stopIfTrue="1" operator="greaterThan">
      <formula>F18</formula>
    </cfRule>
    <cfRule type="cellIs" dxfId="336" priority="226" stopIfTrue="1" operator="equal">
      <formula>0</formula>
    </cfRule>
  </conditionalFormatting>
  <conditionalFormatting sqref="I22:I25">
    <cfRule type="cellIs" dxfId="335" priority="220" stopIfTrue="1" operator="greaterThan">
      <formula>H22</formula>
    </cfRule>
    <cfRule type="cellIs" dxfId="334" priority="221" stopIfTrue="1" operator="equal">
      <formula>0</formula>
    </cfRule>
  </conditionalFormatting>
  <conditionalFormatting sqref="K22:K25">
    <cfRule type="cellIs" dxfId="333" priority="217" stopIfTrue="1" operator="greaterThan">
      <formula>J22</formula>
    </cfRule>
    <cfRule type="cellIs" dxfId="332" priority="218" stopIfTrue="1" operator="equal">
      <formula>0</formula>
    </cfRule>
  </conditionalFormatting>
  <conditionalFormatting sqref="M22:M25">
    <cfRule type="cellIs" dxfId="331" priority="214" stopIfTrue="1" operator="greaterThan">
      <formula>L22</formula>
    </cfRule>
    <cfRule type="cellIs" dxfId="330" priority="215" stopIfTrue="1" operator="equal">
      <formula>0</formula>
    </cfRule>
  </conditionalFormatting>
  <conditionalFormatting sqref="G22:G25">
    <cfRule type="cellIs" dxfId="329" priority="211" stopIfTrue="1" operator="greaterThan">
      <formula>F22</formula>
    </cfRule>
    <cfRule type="cellIs" dxfId="328" priority="212" stopIfTrue="1" operator="equal">
      <formula>0</formula>
    </cfRule>
  </conditionalFormatting>
  <conditionalFormatting sqref="I27:I29">
    <cfRule type="cellIs" dxfId="327" priority="206" stopIfTrue="1" operator="greaterThan">
      <formula>H27</formula>
    </cfRule>
    <cfRule type="cellIs" dxfId="326" priority="207" stopIfTrue="1" operator="equal">
      <formula>0</formula>
    </cfRule>
  </conditionalFormatting>
  <conditionalFormatting sqref="K27:K29">
    <cfRule type="cellIs" dxfId="325" priority="203" stopIfTrue="1" operator="greaterThan">
      <formula>J27</formula>
    </cfRule>
    <cfRule type="cellIs" dxfId="324" priority="204" stopIfTrue="1" operator="equal">
      <formula>0</formula>
    </cfRule>
  </conditionalFormatting>
  <conditionalFormatting sqref="M27:M29">
    <cfRule type="cellIs" dxfId="323" priority="200" stopIfTrue="1" operator="greaterThan">
      <formula>L27</formula>
    </cfRule>
    <cfRule type="cellIs" dxfId="322" priority="201" stopIfTrue="1" operator="equal">
      <formula>0</formula>
    </cfRule>
  </conditionalFormatting>
  <conditionalFormatting sqref="G27:G29">
    <cfRule type="cellIs" dxfId="321" priority="197" stopIfTrue="1" operator="greaterThan">
      <formula>F27</formula>
    </cfRule>
    <cfRule type="cellIs" dxfId="320" priority="198" stopIfTrue="1" operator="equal">
      <formula>0</formula>
    </cfRule>
  </conditionalFormatting>
  <conditionalFormatting sqref="I31:I34">
    <cfRule type="cellIs" dxfId="319" priority="192" stopIfTrue="1" operator="greaterThan">
      <formula>H31</formula>
    </cfRule>
    <cfRule type="cellIs" dxfId="318" priority="193" stopIfTrue="1" operator="equal">
      <formula>0</formula>
    </cfRule>
  </conditionalFormatting>
  <conditionalFormatting sqref="K31:K34">
    <cfRule type="cellIs" dxfId="317" priority="189" stopIfTrue="1" operator="greaterThan">
      <formula>J31</formula>
    </cfRule>
    <cfRule type="cellIs" dxfId="316" priority="190" stopIfTrue="1" operator="equal">
      <formula>0</formula>
    </cfRule>
  </conditionalFormatting>
  <conditionalFormatting sqref="M31:M34">
    <cfRule type="cellIs" dxfId="315" priority="186" stopIfTrue="1" operator="greaterThan">
      <formula>L31</formula>
    </cfRule>
    <cfRule type="cellIs" dxfId="314" priority="187" stopIfTrue="1" operator="equal">
      <formula>0</formula>
    </cfRule>
  </conditionalFormatting>
  <conditionalFormatting sqref="G31:G34">
    <cfRule type="cellIs" dxfId="313" priority="183" stopIfTrue="1" operator="greaterThan">
      <formula>F31</formula>
    </cfRule>
    <cfRule type="cellIs" dxfId="312" priority="184" stopIfTrue="1" operator="equal">
      <formula>0</formula>
    </cfRule>
  </conditionalFormatting>
  <conditionalFormatting sqref="I38:I39">
    <cfRule type="cellIs" dxfId="311" priority="178" stopIfTrue="1" operator="greaterThan">
      <formula>H38</formula>
    </cfRule>
    <cfRule type="cellIs" dxfId="310" priority="179" stopIfTrue="1" operator="equal">
      <formula>0</formula>
    </cfRule>
  </conditionalFormatting>
  <conditionalFormatting sqref="K38:K39">
    <cfRule type="cellIs" dxfId="309" priority="175" stopIfTrue="1" operator="greaterThan">
      <formula>J38</formula>
    </cfRule>
    <cfRule type="cellIs" dxfId="308" priority="176" stopIfTrue="1" operator="equal">
      <formula>0</formula>
    </cfRule>
  </conditionalFormatting>
  <conditionalFormatting sqref="M38:M39">
    <cfRule type="cellIs" dxfId="307" priority="172" stopIfTrue="1" operator="greaterThan">
      <formula>L38</formula>
    </cfRule>
    <cfRule type="cellIs" dxfId="306" priority="173" stopIfTrue="1" operator="equal">
      <formula>0</formula>
    </cfRule>
  </conditionalFormatting>
  <conditionalFormatting sqref="G38:G39">
    <cfRule type="cellIs" dxfId="305" priority="169" stopIfTrue="1" operator="greaterThan">
      <formula>F38</formula>
    </cfRule>
    <cfRule type="cellIs" dxfId="304" priority="170" stopIfTrue="1" operator="equal">
      <formula>0</formula>
    </cfRule>
  </conditionalFormatting>
  <conditionalFormatting sqref="I42">
    <cfRule type="cellIs" dxfId="303" priority="164" stopIfTrue="1" operator="greaterThan">
      <formula>H42</formula>
    </cfRule>
    <cfRule type="cellIs" dxfId="302" priority="165" stopIfTrue="1" operator="equal">
      <formula>0</formula>
    </cfRule>
  </conditionalFormatting>
  <conditionalFormatting sqref="K42">
    <cfRule type="cellIs" dxfId="301" priority="161" stopIfTrue="1" operator="greaterThan">
      <formula>J42</formula>
    </cfRule>
    <cfRule type="cellIs" dxfId="300" priority="162" stopIfTrue="1" operator="equal">
      <formula>0</formula>
    </cfRule>
  </conditionalFormatting>
  <conditionalFormatting sqref="M42">
    <cfRule type="cellIs" dxfId="299" priority="158" stopIfTrue="1" operator="greaterThan">
      <formula>L42</formula>
    </cfRule>
    <cfRule type="cellIs" dxfId="298" priority="159" stopIfTrue="1" operator="equal">
      <formula>0</formula>
    </cfRule>
  </conditionalFormatting>
  <conditionalFormatting sqref="G42">
    <cfRule type="cellIs" dxfId="297" priority="155" stopIfTrue="1" operator="greaterThan">
      <formula>F42</formula>
    </cfRule>
    <cfRule type="cellIs" dxfId="296" priority="156" stopIfTrue="1" operator="equal">
      <formula>0</formula>
    </cfRule>
  </conditionalFormatting>
  <conditionalFormatting sqref="I44:I46">
    <cfRule type="cellIs" dxfId="295" priority="150" stopIfTrue="1" operator="greaterThan">
      <formula>H44</formula>
    </cfRule>
    <cfRule type="cellIs" dxfId="294" priority="151" stopIfTrue="1" operator="equal">
      <formula>0</formula>
    </cfRule>
  </conditionalFormatting>
  <conditionalFormatting sqref="K44:K46">
    <cfRule type="cellIs" dxfId="293" priority="147" stopIfTrue="1" operator="greaterThan">
      <formula>J44</formula>
    </cfRule>
    <cfRule type="cellIs" dxfId="292" priority="148" stopIfTrue="1" operator="equal">
      <formula>0</formula>
    </cfRule>
  </conditionalFormatting>
  <conditionalFormatting sqref="M44:M46">
    <cfRule type="cellIs" dxfId="291" priority="144" stopIfTrue="1" operator="greaterThan">
      <formula>L44</formula>
    </cfRule>
    <cfRule type="cellIs" dxfId="290" priority="145" stopIfTrue="1" operator="equal">
      <formula>0</formula>
    </cfRule>
  </conditionalFormatting>
  <conditionalFormatting sqref="G44:G46">
    <cfRule type="cellIs" dxfId="289" priority="141" stopIfTrue="1" operator="greaterThan">
      <formula>F44</formula>
    </cfRule>
    <cfRule type="cellIs" dxfId="288" priority="142" stopIfTrue="1" operator="equal">
      <formula>0</formula>
    </cfRule>
  </conditionalFormatting>
  <conditionalFormatting sqref="I47:I51">
    <cfRule type="cellIs" dxfId="287" priority="136" stopIfTrue="1" operator="greaterThan">
      <formula>H47</formula>
    </cfRule>
    <cfRule type="cellIs" dxfId="286" priority="137" stopIfTrue="1" operator="equal">
      <formula>0</formula>
    </cfRule>
  </conditionalFormatting>
  <conditionalFormatting sqref="K47:K51">
    <cfRule type="cellIs" dxfId="285" priority="133" stopIfTrue="1" operator="greaterThan">
      <formula>J47</formula>
    </cfRule>
    <cfRule type="cellIs" dxfId="284" priority="134" stopIfTrue="1" operator="equal">
      <formula>0</formula>
    </cfRule>
  </conditionalFormatting>
  <conditionalFormatting sqref="M47:M51">
    <cfRule type="cellIs" dxfId="283" priority="130" stopIfTrue="1" operator="greaterThan">
      <formula>L47</formula>
    </cfRule>
    <cfRule type="cellIs" dxfId="282" priority="131" stopIfTrue="1" operator="equal">
      <formula>0</formula>
    </cfRule>
  </conditionalFormatting>
  <conditionalFormatting sqref="G47:G51">
    <cfRule type="cellIs" dxfId="281" priority="127" stopIfTrue="1" operator="greaterThan">
      <formula>F47</formula>
    </cfRule>
    <cfRule type="cellIs" dxfId="280" priority="128" stopIfTrue="1" operator="equal">
      <formula>0</formula>
    </cfRule>
  </conditionalFormatting>
  <conditionalFormatting sqref="I52:I55">
    <cfRule type="cellIs" dxfId="279" priority="122" stopIfTrue="1" operator="greaterThan">
      <formula>H52</formula>
    </cfRule>
    <cfRule type="cellIs" dxfId="278" priority="123" stopIfTrue="1" operator="equal">
      <formula>0</formula>
    </cfRule>
  </conditionalFormatting>
  <conditionalFormatting sqref="K52:K55">
    <cfRule type="cellIs" dxfId="277" priority="119" stopIfTrue="1" operator="greaterThan">
      <formula>J52</formula>
    </cfRule>
    <cfRule type="cellIs" dxfId="276" priority="120" stopIfTrue="1" operator="equal">
      <formula>0</formula>
    </cfRule>
  </conditionalFormatting>
  <conditionalFormatting sqref="M52:M55">
    <cfRule type="cellIs" dxfId="275" priority="116" stopIfTrue="1" operator="greaterThan">
      <formula>L52</formula>
    </cfRule>
    <cfRule type="cellIs" dxfId="274" priority="117" stopIfTrue="1" operator="equal">
      <formula>0</formula>
    </cfRule>
  </conditionalFormatting>
  <conditionalFormatting sqref="G52:G55">
    <cfRule type="cellIs" dxfId="273" priority="113" stopIfTrue="1" operator="greaterThan">
      <formula>F52</formula>
    </cfRule>
    <cfRule type="cellIs" dxfId="272" priority="114" stopIfTrue="1" operator="equal">
      <formula>0</formula>
    </cfRule>
  </conditionalFormatting>
  <conditionalFormatting sqref="I57:I58">
    <cfRule type="cellIs" dxfId="271" priority="108" stopIfTrue="1" operator="greaterThan">
      <formula>H57</formula>
    </cfRule>
    <cfRule type="cellIs" dxfId="270" priority="109" stopIfTrue="1" operator="equal">
      <formula>0</formula>
    </cfRule>
  </conditionalFormatting>
  <conditionalFormatting sqref="K57:K58">
    <cfRule type="cellIs" dxfId="269" priority="105" stopIfTrue="1" operator="greaterThan">
      <formula>J57</formula>
    </cfRule>
    <cfRule type="cellIs" dxfId="268" priority="106" stopIfTrue="1" operator="equal">
      <formula>0</formula>
    </cfRule>
  </conditionalFormatting>
  <conditionalFormatting sqref="M57:M58">
    <cfRule type="cellIs" dxfId="267" priority="102" stopIfTrue="1" operator="greaterThan">
      <formula>L57</formula>
    </cfRule>
    <cfRule type="cellIs" dxfId="266" priority="103" stopIfTrue="1" operator="equal">
      <formula>0</formula>
    </cfRule>
  </conditionalFormatting>
  <conditionalFormatting sqref="G57:G58">
    <cfRule type="cellIs" dxfId="265" priority="99" stopIfTrue="1" operator="greaterThan">
      <formula>F57</formula>
    </cfRule>
    <cfRule type="cellIs" dxfId="264" priority="100" stopIfTrue="1" operator="equal">
      <formula>0</formula>
    </cfRule>
  </conditionalFormatting>
  <conditionalFormatting sqref="I60:I62">
    <cfRule type="cellIs" dxfId="263" priority="94" stopIfTrue="1" operator="greaterThan">
      <formula>H60</formula>
    </cfRule>
    <cfRule type="cellIs" dxfId="262" priority="95" stopIfTrue="1" operator="equal">
      <formula>0</formula>
    </cfRule>
  </conditionalFormatting>
  <conditionalFormatting sqref="K60:K62">
    <cfRule type="cellIs" dxfId="261" priority="91" stopIfTrue="1" operator="greaterThan">
      <formula>J60</formula>
    </cfRule>
    <cfRule type="cellIs" dxfId="260" priority="92" stopIfTrue="1" operator="equal">
      <formula>0</formula>
    </cfRule>
  </conditionalFormatting>
  <conditionalFormatting sqref="M60:M62">
    <cfRule type="cellIs" dxfId="259" priority="88" stopIfTrue="1" operator="greaterThan">
      <formula>L60</formula>
    </cfRule>
    <cfRule type="cellIs" dxfId="258" priority="89" stopIfTrue="1" operator="equal">
      <formula>0</formula>
    </cfRule>
  </conditionalFormatting>
  <conditionalFormatting sqref="G60:G62">
    <cfRule type="cellIs" dxfId="257" priority="85" stopIfTrue="1" operator="greaterThan">
      <formula>F60</formula>
    </cfRule>
    <cfRule type="cellIs" dxfId="256" priority="86" stopIfTrue="1" operator="equal">
      <formula>0</formula>
    </cfRule>
  </conditionalFormatting>
  <conditionalFormatting sqref="I64:I73">
    <cfRule type="cellIs" dxfId="255" priority="80" stopIfTrue="1" operator="greaterThan">
      <formula>H64</formula>
    </cfRule>
    <cfRule type="cellIs" dxfId="254" priority="81" stopIfTrue="1" operator="equal">
      <formula>0</formula>
    </cfRule>
  </conditionalFormatting>
  <conditionalFormatting sqref="K64:K73">
    <cfRule type="cellIs" dxfId="253" priority="77" stopIfTrue="1" operator="greaterThan">
      <formula>J64</formula>
    </cfRule>
    <cfRule type="cellIs" dxfId="252" priority="78" stopIfTrue="1" operator="equal">
      <formula>0</formula>
    </cfRule>
  </conditionalFormatting>
  <conditionalFormatting sqref="M64:M73">
    <cfRule type="cellIs" dxfId="251" priority="74" stopIfTrue="1" operator="greaterThan">
      <formula>L64</formula>
    </cfRule>
    <cfRule type="cellIs" dxfId="250" priority="75" stopIfTrue="1" operator="equal">
      <formula>0</formula>
    </cfRule>
  </conditionalFormatting>
  <conditionalFormatting sqref="G64:G73">
    <cfRule type="cellIs" dxfId="249" priority="71" stopIfTrue="1" operator="greaterThan">
      <formula>F64</formula>
    </cfRule>
    <cfRule type="cellIs" dxfId="248" priority="72" stopIfTrue="1" operator="equal">
      <formula>0</formula>
    </cfRule>
  </conditionalFormatting>
  <conditionalFormatting sqref="G74 I74 K74 M74">
    <cfRule type="cellIs" dxfId="247" priority="66" stopIfTrue="1" operator="greaterThan">
      <formula>F74</formula>
    </cfRule>
    <cfRule type="cellIs" dxfId="246" priority="67" stopIfTrue="1" operator="equal">
      <formula>0</formula>
    </cfRule>
  </conditionalFormatting>
  <conditionalFormatting sqref="N11 N42 N27:N29 N31:N34 N64:N74 N44:N55 N57:N58 N60:N62 N38:N39 N22:N25 N13:N19">
    <cfRule type="cellIs" dxfId="245" priority="63" stopIfTrue="1" operator="lessThan">
      <formula>0</formula>
    </cfRule>
  </conditionalFormatting>
  <conditionalFormatting sqref="I17:I19">
    <cfRule type="cellIs" dxfId="244" priority="61" stopIfTrue="1" operator="greaterThan">
      <formula>H17</formula>
    </cfRule>
    <cfRule type="cellIs" dxfId="243" priority="62" stopIfTrue="1" operator="equal">
      <formula>0</formula>
    </cfRule>
  </conditionalFormatting>
  <conditionalFormatting sqref="K17:K19">
    <cfRule type="cellIs" dxfId="242" priority="59" stopIfTrue="1" operator="greaterThan">
      <formula>J17</formula>
    </cfRule>
    <cfRule type="cellIs" dxfId="241" priority="60" stopIfTrue="1" operator="equal">
      <formula>0</formula>
    </cfRule>
  </conditionalFormatting>
  <conditionalFormatting sqref="M17:M19">
    <cfRule type="cellIs" dxfId="240" priority="57" stopIfTrue="1" operator="greaterThan">
      <formula>L17</formula>
    </cfRule>
    <cfRule type="cellIs" dxfId="239" priority="58" stopIfTrue="1" operator="equal">
      <formula>0</formula>
    </cfRule>
  </conditionalFormatting>
  <conditionalFormatting sqref="G17:G19">
    <cfRule type="cellIs" dxfId="238" priority="55" stopIfTrue="1" operator="greaterThan">
      <formula>F17</formula>
    </cfRule>
    <cfRule type="cellIs" dxfId="237" priority="56" stopIfTrue="1" operator="equal">
      <formula>0</formula>
    </cfRule>
  </conditionalFormatting>
  <conditionalFormatting sqref="H21 J21 N21 E21:F21">
    <cfRule type="cellIs" dxfId="236" priority="54" stopIfTrue="1" operator="equal">
      <formula>0</formula>
    </cfRule>
  </conditionalFormatting>
  <conditionalFormatting sqref="L21">
    <cfRule type="cellIs" dxfId="235" priority="53" stopIfTrue="1" operator="equal">
      <formula>0</formula>
    </cfRule>
  </conditionalFormatting>
  <conditionalFormatting sqref="I21">
    <cfRule type="cellIs" dxfId="234" priority="51" stopIfTrue="1" operator="greaterThan">
      <formula>H21</formula>
    </cfRule>
    <cfRule type="cellIs" dxfId="233" priority="52" stopIfTrue="1" operator="equal">
      <formula>0</formula>
    </cfRule>
  </conditionalFormatting>
  <conditionalFormatting sqref="K21">
    <cfRule type="cellIs" dxfId="232" priority="49" stopIfTrue="1" operator="greaterThan">
      <formula>J21</formula>
    </cfRule>
    <cfRule type="cellIs" dxfId="231" priority="50" stopIfTrue="1" operator="equal">
      <formula>0</formula>
    </cfRule>
  </conditionalFormatting>
  <conditionalFormatting sqref="M21">
    <cfRule type="cellIs" dxfId="230" priority="47" stopIfTrue="1" operator="greaterThan">
      <formula>L21</formula>
    </cfRule>
    <cfRule type="cellIs" dxfId="229" priority="48" stopIfTrue="1" operator="equal">
      <formula>0</formula>
    </cfRule>
  </conditionalFormatting>
  <conditionalFormatting sqref="G21">
    <cfRule type="cellIs" dxfId="228" priority="45" stopIfTrue="1" operator="greaterThan">
      <formula>F21</formula>
    </cfRule>
    <cfRule type="cellIs" dxfId="227" priority="46" stopIfTrue="1" operator="equal">
      <formula>0</formula>
    </cfRule>
  </conditionalFormatting>
  <conditionalFormatting sqref="I21">
    <cfRule type="cellIs" dxfId="226" priority="43" stopIfTrue="1" operator="greaterThan">
      <formula>H21</formula>
    </cfRule>
    <cfRule type="cellIs" dxfId="225" priority="44" stopIfTrue="1" operator="equal">
      <formula>0</formula>
    </cfRule>
  </conditionalFormatting>
  <conditionalFormatting sqref="K21">
    <cfRule type="cellIs" dxfId="224" priority="41" stopIfTrue="1" operator="greaterThan">
      <formula>J21</formula>
    </cfRule>
    <cfRule type="cellIs" dxfId="223" priority="42" stopIfTrue="1" operator="equal">
      <formula>0</formula>
    </cfRule>
  </conditionalFormatting>
  <conditionalFormatting sqref="M21">
    <cfRule type="cellIs" dxfId="222" priority="39" stopIfTrue="1" operator="greaterThan">
      <formula>L21</formula>
    </cfRule>
    <cfRule type="cellIs" dxfId="221" priority="40" stopIfTrue="1" operator="equal">
      <formula>0</formula>
    </cfRule>
  </conditionalFormatting>
  <conditionalFormatting sqref="G21">
    <cfRule type="cellIs" dxfId="220" priority="37" stopIfTrue="1" operator="greaterThan">
      <formula>F21</formula>
    </cfRule>
    <cfRule type="cellIs" dxfId="219" priority="38" stopIfTrue="1" operator="equal">
      <formula>0</formula>
    </cfRule>
  </conditionalFormatting>
  <conditionalFormatting sqref="N21">
    <cfRule type="cellIs" dxfId="218" priority="36" stopIfTrue="1" operator="lessThan">
      <formula>0</formula>
    </cfRule>
  </conditionalFormatting>
  <conditionalFormatting sqref="H37 J37 E37:F37 N37">
    <cfRule type="cellIs" dxfId="217" priority="35" stopIfTrue="1" operator="equal">
      <formula>0</formula>
    </cfRule>
  </conditionalFormatting>
  <conditionalFormatting sqref="L37">
    <cfRule type="cellIs" dxfId="216" priority="34" stopIfTrue="1" operator="equal">
      <formula>0</formula>
    </cfRule>
  </conditionalFormatting>
  <conditionalFormatting sqref="I37">
    <cfRule type="cellIs" dxfId="215" priority="32" stopIfTrue="1" operator="greaterThan">
      <formula>H37</formula>
    </cfRule>
    <cfRule type="cellIs" dxfId="214" priority="33" stopIfTrue="1" operator="equal">
      <formula>0</formula>
    </cfRule>
  </conditionalFormatting>
  <conditionalFormatting sqref="K37">
    <cfRule type="cellIs" dxfId="213" priority="30" stopIfTrue="1" operator="greaterThan">
      <formula>J37</formula>
    </cfRule>
    <cfRule type="cellIs" dxfId="212" priority="31" stopIfTrue="1" operator="equal">
      <formula>0</formula>
    </cfRule>
  </conditionalFormatting>
  <conditionalFormatting sqref="M37">
    <cfRule type="cellIs" dxfId="211" priority="28" stopIfTrue="1" operator="greaterThan">
      <formula>L37</formula>
    </cfRule>
    <cfRule type="cellIs" dxfId="210" priority="29" stopIfTrue="1" operator="equal">
      <formula>0</formula>
    </cfRule>
  </conditionalFormatting>
  <conditionalFormatting sqref="G37">
    <cfRule type="cellIs" dxfId="209" priority="26" stopIfTrue="1" operator="greaterThan">
      <formula>F37</formula>
    </cfRule>
    <cfRule type="cellIs" dxfId="208" priority="27" stopIfTrue="1" operator="equal">
      <formula>0</formula>
    </cfRule>
  </conditionalFormatting>
  <conditionalFormatting sqref="N37">
    <cfRule type="cellIs" dxfId="207" priority="25" stopIfTrue="1" operator="lessThan">
      <formula>0</formula>
    </cfRule>
  </conditionalFormatting>
  <conditionalFormatting sqref="H36 J36 E36:F36 N36">
    <cfRule type="cellIs" dxfId="206" priority="24" stopIfTrue="1" operator="equal">
      <formula>0</formula>
    </cfRule>
  </conditionalFormatting>
  <conditionalFormatting sqref="L36">
    <cfRule type="cellIs" dxfId="205" priority="23" stopIfTrue="1" operator="equal">
      <formula>0</formula>
    </cfRule>
  </conditionalFormatting>
  <conditionalFormatting sqref="I36">
    <cfRule type="cellIs" dxfId="204" priority="21" stopIfTrue="1" operator="greaterThan">
      <formula>H36</formula>
    </cfRule>
    <cfRule type="cellIs" dxfId="203" priority="22" stopIfTrue="1" operator="equal">
      <formula>0</formula>
    </cfRule>
  </conditionalFormatting>
  <conditionalFormatting sqref="K36">
    <cfRule type="cellIs" dxfId="202" priority="19" stopIfTrue="1" operator="greaterThan">
      <formula>J36</formula>
    </cfRule>
    <cfRule type="cellIs" dxfId="201" priority="20" stopIfTrue="1" operator="equal">
      <formula>0</formula>
    </cfRule>
  </conditionalFormatting>
  <conditionalFormatting sqref="M36">
    <cfRule type="cellIs" dxfId="200" priority="17" stopIfTrue="1" operator="greaterThan">
      <formula>L36</formula>
    </cfRule>
    <cfRule type="cellIs" dxfId="199" priority="18" stopIfTrue="1" operator="equal">
      <formula>0</formula>
    </cfRule>
  </conditionalFormatting>
  <conditionalFormatting sqref="G36">
    <cfRule type="cellIs" dxfId="198" priority="15" stopIfTrue="1" operator="greaterThan">
      <formula>F36</formula>
    </cfRule>
    <cfRule type="cellIs" dxfId="197" priority="16" stopIfTrue="1" operator="equal">
      <formula>0</formula>
    </cfRule>
  </conditionalFormatting>
  <conditionalFormatting sqref="N36">
    <cfRule type="cellIs" dxfId="196" priority="14" stopIfTrue="1" operator="lessThan">
      <formula>0</formula>
    </cfRule>
  </conditionalFormatting>
  <conditionalFormatting sqref="H41 J41 E41:F41 N41">
    <cfRule type="cellIs" dxfId="195" priority="13" stopIfTrue="1" operator="equal">
      <formula>0</formula>
    </cfRule>
  </conditionalFormatting>
  <conditionalFormatting sqref="L41">
    <cfRule type="cellIs" dxfId="194" priority="12" stopIfTrue="1" operator="equal">
      <formula>0</formula>
    </cfRule>
  </conditionalFormatting>
  <conditionalFormatting sqref="I41">
    <cfRule type="cellIs" dxfId="193" priority="10" stopIfTrue="1" operator="greaterThan">
      <formula>H41</formula>
    </cfRule>
    <cfRule type="cellIs" dxfId="192" priority="11" stopIfTrue="1" operator="equal">
      <formula>0</formula>
    </cfRule>
  </conditionalFormatting>
  <conditionalFormatting sqref="K41">
    <cfRule type="cellIs" dxfId="191" priority="8" stopIfTrue="1" operator="greaterThan">
      <formula>J41</formula>
    </cfRule>
    <cfRule type="cellIs" dxfId="190" priority="9" stopIfTrue="1" operator="equal">
      <formula>0</formula>
    </cfRule>
  </conditionalFormatting>
  <conditionalFormatting sqref="M41">
    <cfRule type="cellIs" dxfId="189" priority="6" stopIfTrue="1" operator="greaterThan">
      <formula>L41</formula>
    </cfRule>
    <cfRule type="cellIs" dxfId="188" priority="7" stopIfTrue="1" operator="equal">
      <formula>0</formula>
    </cfRule>
  </conditionalFormatting>
  <conditionalFormatting sqref="G41">
    <cfRule type="cellIs" dxfId="187" priority="4" stopIfTrue="1" operator="greaterThan">
      <formula>F41</formula>
    </cfRule>
    <cfRule type="cellIs" dxfId="186" priority="5" stopIfTrue="1" operator="equal">
      <formula>0</formula>
    </cfRule>
  </conditionalFormatting>
  <conditionalFormatting sqref="N41">
    <cfRule type="cellIs" dxfId="185" priority="3" stopIfTrue="1" operator="lessThan">
      <formula>0</formula>
    </cfRule>
  </conditionalFormatting>
  <conditionalFormatting sqref="E21">
    <cfRule type="cellIs" dxfId="184" priority="2" operator="greaterThan">
      <formula>1</formula>
    </cfRule>
  </conditionalFormatting>
  <conditionalFormatting sqref="E22">
    <cfRule type="cellIs" dxfId="183" priority="1" operator="greaterThan">
      <formula>1</formula>
    </cfRule>
  </conditionalFormatting>
  <dataValidations count="40">
    <dataValidation type="whole" operator="greaterThanOrEqual" allowBlank="1" showInputMessage="1" showErrorMessage="1" errorTitle="مدير المتوسطة" error="ضع المعلومات المطلوبة من منصب مفتوح و المشغول حسب الوضعية الإدارية الحالية" sqref="F11:M11">
      <formula1>0</formula1>
    </dataValidation>
    <dataValidation type="whole" operator="greaterThanOrEqual" allowBlank="1" showInputMessage="1" showErrorMessage="1" errorTitle="الموظفين العاملين بالإدارة" error="ضع المعلومات المطلوبة من مناصب مفتوحة و مشغولة حسب الوضعية الإدارية الحالية" sqref="F13:N19 F27:N29">
      <formula1>0</formula1>
    </dataValidation>
    <dataValidation type="whole" operator="greaterThanOrEqual" allowBlank="1" showInputMessage="1" showErrorMessage="1" errorTitle="موظفو المصالح الإقتصادية" error="ضع المعلومات المطلوبة من مناصب مفتوحة و مشغولة حسب الوضعية الإدارية الحالية" sqref="F21:N25">
      <formula1>0</formula1>
    </dataValidation>
    <dataValidation type="whole" operator="greaterThanOrEqual" allowBlank="1" showInputMessage="1" showErrorMessage="1" errorTitle="موظفو الثوثيق" error="ضع المعلومات المطلوبة من منصب مفتوح و مشغول حسب الوضعية الإدارية الحالية" sqref="F42:N42">
      <formula1>0</formula1>
    </dataValidation>
    <dataValidation type="whole" operator="greaterThanOrEqual" allowBlank="1" showInputMessage="1" showErrorMessage="1" errorTitle="العمال المهنيين" error="ضع المعلومات المطلوبة من مناصب مفتوحة و مشغولة حسب الوضعية الإدارية الحالية" sqref="F64:N74 E74">
      <formula1>0</formula1>
    </dataValidation>
    <dataValidation type="whole" operator="greaterThanOrEqual" allowBlank="1" showInputMessage="1" showErrorMessage="1" errorTitle="سائقو السيارات" error="ضع المعلومات المطلوبة من مناصب مفتوحة و مشغولة حسب الوضعية الإدارية الحالية" sqref="F60:N62">
      <formula1>0</formula1>
    </dataValidation>
    <dataValidation type="whole" operator="greaterThanOrEqual" allowBlank="1" showInputMessage="1" showErrorMessage="1" errorTitle="أعوان الرقابة و الأمن" error="ضع المعلومات المطلوبة من مناصب مفتوحة و مشغولة حسب الوضعية الإدارية الحالية" sqref="F57:N58">
      <formula1>0</formula1>
    </dataValidation>
    <dataValidation type="whole" operator="greaterThanOrEqual" allowBlank="1" showInputMessage="1" showErrorMessage="1" errorTitle="الموظفين المهنيين" error="ضع المعلومات المطلوبة من مناصب مفتوحة و مشغولة حسب الوضعية الإدارية الحالية" sqref="F44:N55">
      <formula1>0</formula1>
    </dataValidation>
    <dataValidation type="whole" operator="greaterThanOrEqual" allowBlank="1" showInputMessage="1" showErrorMessage="1" errorTitle="موظفو الصحة" error="ضع المعلومات المطلوبة من مناصب مفتوحة و مشغولة حسب الوضعية الإدارية الحالية" sqref="F36:N39 F41:N41">
      <formula1>0</formula1>
    </dataValidation>
    <dataValidation type="whole" operator="greaterThanOrEqual" allowBlank="1" showInputMessage="1" showErrorMessage="1" errorTitle="موظفو المخابر" error="ضع المعلومات المطلوبة من مناصب مفتوحة و مشغولة حسب الوضعية الإدارية الحالية" sqref="F31:N34">
      <formula1>0</formula1>
    </dataValidation>
    <dataValidation type="whole" allowBlank="1" showInputMessage="1" showErrorMessage="1" errorTitle="مدير المتوسطة" error="ضع المعلومات المطلوبة من منصب مفتوح و المشغول حسب الوضعية الإدارية الحالية" sqref="N11">
      <formula1>-200000</formula1>
      <formula2>200000</formula2>
    </dataValidation>
    <dataValidation type="whole" allowBlank="1" showInputMessage="1" showErrorMessage="1" errorTitle="مدير المتوسطة" error="ضع المعلومات المطلوبة من منصب مفتوح و المشغول حسب الوضعية الإدارية الحالية" sqref="E11">
      <formula1>0</formula1>
      <formula2>1</formula2>
    </dataValidation>
    <dataValidation type="whole" allowBlank="1" showInputMessage="1" showErrorMessage="1" errorTitle="الموظفين العاملين بالإدارة" error="ضع المعلومات المطلوبة من مناصب مفتوحة و مشغولة حسب الوضعية الإدارية الحالية" sqref="E14 E15">
      <formula1>0</formula1>
      <formula2>12</formula2>
    </dataValidation>
    <dataValidation type="whole" allowBlank="1" showInputMessage="1" showErrorMessage="1" errorTitle="الموظفين العاملين بالإدارة" error="ضع المعلومات المطلوبة من مناصب مفتوحة و مشغولة حسب الوضعية الإدارية الحالية" sqref="E16 E18">
      <formula1>0</formula1>
      <formula2>24</formula2>
    </dataValidation>
    <dataValidation type="whole" allowBlank="1" showInputMessage="1" showErrorMessage="1" errorTitle="الموظفين العاملين بالإدارة" error="ضع المعلومات المطلوبة من مناصب مفتوحة و مشغولة حسب الوضعية الإدارية الحالية" sqref="E17 E27 E28">
      <formula1>0</formula1>
      <formula2>20</formula2>
    </dataValidation>
    <dataValidation type="whole" allowBlank="1" showInputMessage="1" showErrorMessage="1" errorTitle="الموظفين العاملين بالإدارة" error="ضع المعلومات المطلوبة من مناصب مفتوحة و مشغولة حسب الوضعية الإدارية الحالية" sqref="E29">
      <formula1>0</formula1>
      <formula2>20</formula2>
    </dataValidation>
    <dataValidation type="whole" allowBlank="1" showInputMessage="1" showErrorMessage="1" errorTitle="الموظفين العاملين بالإدارة" error="ضع المعلومات المطلوبة من مناصب مفتوحة و مشغولة حسب الوضعية الإدارية الحالية" sqref="E19">
      <formula1>0</formula1>
      <formula2>10</formula2>
    </dataValidation>
    <dataValidation type="whole" allowBlank="1" showInputMessage="1" showErrorMessage="1" errorTitle="موظفو المصالح الإقتصادية" error="ضع المعلومات المطلوبة من مناصب مفتوحة و مشغولة حسب الوضعية الإدارية الحالية" sqref="E21 E22">
      <formula1>0</formula1>
      <formula2>4</formula2>
    </dataValidation>
    <dataValidation type="whole" allowBlank="1" showInputMessage="1" showErrorMessage="1" errorTitle="موظفو المصالح الإقتصادية" error="ضع المعلومات المطلوبة من مناصب مفتوحة و مشغولة حسب الوضعية الإدارية الحالية" sqref="E23 E24">
      <formula1>0</formula1>
      <formula2>8</formula2>
    </dataValidation>
    <dataValidation type="whole" allowBlank="1" showInputMessage="1" showErrorMessage="1" errorTitle="موظفو المصالح الإقتصادية" error="ضع المعلومات المطلوبة من مناصب مفتوحة و مشغولة حسب الوضعية الإدارية الحالية" sqref="E25">
      <formula1>0</formula1>
      <formula2>10</formula2>
    </dataValidation>
    <dataValidation type="whole" allowBlank="1" showInputMessage="1" showErrorMessage="1" errorTitle="موظفو المخابر" error="ضع المعلومات المطلوبة من مناصب مفتوحة و مشغولة حسب الوضعية الإدارية الحالية" sqref="E32 E33">
      <formula1>0</formula1>
      <formula2>10</formula2>
    </dataValidation>
    <dataValidation type="whole" allowBlank="1" showInputMessage="1" showErrorMessage="1" errorTitle="موظفو المخابر" error="ضع المعلومات المطلوبة من مناصب مفتوحة و مشغولة حسب الوضعية الإدارية الحالية" sqref="E34">
      <formula1>0</formula1>
      <formula2>10</formula2>
    </dataValidation>
    <dataValidation type="whole" allowBlank="1" showInputMessage="1" showErrorMessage="1" errorTitle="موظفو الصحة" error="ضع المعلومات المطلوبة من مناصب مفتوحة و مشغولة حسب الوضعية الإدارية الحالية" sqref="E41">
      <formula1>0</formula1>
      <formula2>10</formula2>
    </dataValidation>
    <dataValidation type="whole" allowBlank="1" showInputMessage="1" showErrorMessage="1" errorTitle="موظفو الثوثيق" error="ضع المعلومات المطلوبة من منصب مفتوح و مشغول حسب الوضعية الإدارية الحالية" sqref="E42">
      <formula1>0</formula1>
      <formula2>10</formula2>
    </dataValidation>
    <dataValidation type="whole" allowBlank="1" showInputMessage="1" showErrorMessage="1" errorTitle="الموظفين المهنيين" error="ضع المعلومات المطلوبة من مناصب مفتوحة و مشغولة حسب الوضعية الإدارية الحالية" sqref="E44 E45">
      <formula1>0</formula1>
      <formula2>20</formula2>
    </dataValidation>
    <dataValidation type="whole" allowBlank="1" showInputMessage="1" showErrorMessage="1" errorTitle="الموظفين المهنيين" error="ضع المعلومات المطلوبة من مناصب مفتوحة و مشغولة حسب الوضعية الإدارية الحالية" sqref="E46">
      <formula1>0</formula1>
      <formula2>20</formula2>
    </dataValidation>
    <dataValidation type="whole" allowBlank="1" showInputMessage="1" showErrorMessage="1" errorTitle="الموظفين المهنيين" error="ضع المعلومات المطلوبة من مناصب مفتوحة و مشغولة حسب الوضعية الإدارية الحالية" sqref="E49 E50 E51 E52 E53 E54">
      <formula1>0</formula1>
      <formula2>10</formula2>
    </dataValidation>
    <dataValidation type="whole" allowBlank="1" showInputMessage="1" showErrorMessage="1" errorTitle="الموظفين المهنيين" error="ضع المعلومات المطلوبة من مناصب مفتوحة و مشغولة حسب الوضعية الإدارية الحالية" sqref="E55">
      <formula1>0</formula1>
      <formula2>10</formula2>
    </dataValidation>
    <dataValidation type="whole" allowBlank="1" showInputMessage="1" showErrorMessage="1" errorTitle="أعوان الرقابة و الأمن" error="ضع المعلومات المطلوبة من مناصب مفتوحة و مشغولة حسب الوضعية الإدارية الحالية" sqref="E58">
      <formula1>0</formula1>
      <formula2>12</formula2>
    </dataValidation>
    <dataValidation type="whole" allowBlank="1" showInputMessage="1" showErrorMessage="1" errorTitle="سائقو السيارات" error="ضع المعلومات المطلوبة من مناصب مفتوحة و مشغولة حسب الوضعية الإدارية الحالية" sqref="E62">
      <formula1>0</formula1>
      <formula2>10</formula2>
    </dataValidation>
    <dataValidation type="whole" allowBlank="1" showInputMessage="1" showErrorMessage="1" errorTitle="سائقو السيارات" error="ضع المعلومات المطلوبة من مناصب مفتوحة و مشغولة حسب الوضعية الإدارية الحالية" sqref="E61">
      <formula1>0</formula1>
      <formula2>10</formula2>
    </dataValidation>
    <dataValidation type="whole" allowBlank="1" showInputMessage="1" showErrorMessage="1" errorTitle="العمال المهنيين" error="ضع المعلومات المطلوبة من مناصب مفتوحة و مشغولة حسب الوضعية الإدارية الحالية" sqref="E73">
      <formula1>0</formula1>
      <formula2>20</formula2>
    </dataValidation>
    <dataValidation type="whole" allowBlank="1" showInputMessage="1" showErrorMessage="1" errorTitle="الموظفين العاملين بالإدارة" error="ضع المعلومات المطلوبة من مناصب مفتوحة و مشغولة حسب الوضعية الإدارية الحالية" sqref="E13">
      <formula1>0</formula1>
      <formula2>12</formula2>
    </dataValidation>
    <dataValidation type="whole" allowBlank="1" showInputMessage="1" showErrorMessage="1" errorTitle="موظفو المخابر" error="ضع المعلومات المطلوبة من مناصب مفتوحة و مشغولة حسب الوضعية الإدارية الحالية" sqref="E31">
      <formula1>0</formula1>
      <formula2>10</formula2>
    </dataValidation>
    <dataValidation type="whole" allowBlank="1" showInputMessage="1" showErrorMessage="1" errorTitle="موظفو الصحة" error="ضع المعلومات المطلوبة من مناصب مفتوحة و مشغولة حسب الوضعية الإدارية الحالية" sqref="E36 E37 E38 E39">
      <formula1>0</formula1>
      <formula2>10</formula2>
    </dataValidation>
    <dataValidation type="whole" allowBlank="1" showInputMessage="1" showErrorMessage="1" errorTitle="الموظفين المهنيين" error="ضع المعلومات المطلوبة من مناصب مفتوحة و مشغولة حسب الوضعية الإدارية الحالية" sqref="E47 E48">
      <formula1>0</formula1>
      <formula2>10</formula2>
    </dataValidation>
    <dataValidation type="whole" allowBlank="1" showInputMessage="1" showErrorMessage="1" errorTitle="أعوان الرقابة و الأمن" error="ضع المعلومات المطلوبة من مناصب مفتوحة و مشغولة حسب الوضعية الإدارية الحالية" sqref="E57">
      <formula1>0</formula1>
      <formula2>10</formula2>
    </dataValidation>
    <dataValidation type="whole" allowBlank="1" showInputMessage="1" showErrorMessage="1" errorTitle="سائقو السيارات" error="ضع المعلومات المطلوبة من مناصب مفتوحة و مشغولة حسب الوضعية الإدارية الحالية" sqref="E60">
      <formula1>0</formula1>
      <formula2>10</formula2>
    </dataValidation>
    <dataValidation type="whole" allowBlank="1" showInputMessage="1" showErrorMessage="1" errorTitle="العمال المهنيين" error="ضع المعلومات المطلوبة من مناصب مفتوحة و مشغولة حسب الوضعية الإدارية الحالية" sqref="E65 E66 E67 E68 E69 E70 E71 E72">
      <formula1>0</formula1>
      <formula2>20</formula2>
    </dataValidation>
    <dataValidation type="whole" allowBlank="1" showInputMessage="1" showErrorMessage="1" errorTitle="العمال المهنيين" error="ضع المعلومات المطلوبة من مناصب مفتوحة و مشغولة حسب الوضعية الإدارية الحالية" sqref="E64">
      <formula1>0</formula1>
      <formula2>20</formula2>
    </dataValidation>
  </dataValidations>
  <printOptions horizontalCentered="1" verticalCentered="1"/>
  <pageMargins left="0.19685039370078741" right="0.19685039370078741" top="0.19685039370078741" bottom="0.19685039370078741" header="0" footer="0.31496062992125984"/>
  <pageSetup paperSize="9" orientation="portrait" r:id="rId1"/>
  <headerFooter>
    <oddFooter xml:space="preserve">&amp;R&amp;"-,Gras"&amp;8&amp;K00-033Echamil V.08    &amp;F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rgb="FF993366"/>
  </sheetPr>
  <dimension ref="A1:Y77"/>
  <sheetViews>
    <sheetView showGridLines="0" rightToLeft="1" topLeftCell="A58" zoomScaleNormal="100" workbookViewId="0">
      <selection activeCell="L67" sqref="L67"/>
    </sheetView>
  </sheetViews>
  <sheetFormatPr baseColWidth="10" defaultColWidth="0" defaultRowHeight="14.4" zeroHeight="1"/>
  <cols>
    <col min="1" max="1" width="2.6640625" customWidth="1"/>
    <col min="2" max="2" width="1.6640625" customWidth="1"/>
    <col min="3" max="3" width="0.88671875" customWidth="1"/>
    <col min="4" max="4" width="25.6640625" customWidth="1"/>
    <col min="5" max="16" width="5.44140625" customWidth="1"/>
    <col min="17" max="17" width="0.88671875" customWidth="1"/>
    <col min="18" max="18" width="1.6640625" customWidth="1"/>
    <col min="19" max="19" width="2.6640625" customWidth="1"/>
    <col min="20" max="24" width="11.44140625" customWidth="1"/>
    <col min="25" max="25" width="5.6640625" customWidth="1"/>
  </cols>
  <sheetData>
    <row r="1" spans="1:25" ht="14.1" customHeight="1" thickBot="1">
      <c r="A1" s="788"/>
      <c r="B1" s="789"/>
      <c r="C1" s="789"/>
      <c r="D1" s="789"/>
      <c r="E1" s="789"/>
      <c r="F1" s="789"/>
      <c r="G1" s="789"/>
      <c r="H1" s="789"/>
      <c r="I1" s="789"/>
      <c r="J1" s="789"/>
      <c r="K1" s="789"/>
      <c r="L1" s="789"/>
      <c r="M1" s="789"/>
      <c r="N1" s="789"/>
      <c r="O1" s="789"/>
      <c r="P1" s="789"/>
      <c r="Q1" s="789"/>
      <c r="R1" s="789"/>
      <c r="S1" s="788"/>
      <c r="T1" s="969"/>
      <c r="U1" s="969"/>
      <c r="V1" s="969"/>
      <c r="W1" s="969"/>
      <c r="X1" s="969"/>
      <c r="Y1" s="969"/>
    </row>
    <row r="2" spans="1:25" ht="8.1" customHeight="1" thickBot="1">
      <c r="A2" s="788"/>
      <c r="B2" s="900"/>
      <c r="C2" s="891"/>
      <c r="D2" s="891"/>
      <c r="E2" s="891"/>
      <c r="F2" s="891"/>
      <c r="G2" s="891"/>
      <c r="H2" s="891"/>
      <c r="I2" s="891"/>
      <c r="J2" s="891"/>
      <c r="K2" s="891"/>
      <c r="L2" s="891"/>
      <c r="M2" s="891"/>
      <c r="N2" s="891"/>
      <c r="O2" s="891"/>
      <c r="P2" s="891"/>
      <c r="Q2" s="891"/>
      <c r="R2" s="892"/>
      <c r="S2" s="790"/>
      <c r="T2" s="3142"/>
      <c r="U2" s="3142"/>
      <c r="V2" s="3142"/>
      <c r="W2" s="3142"/>
      <c r="X2" s="1385"/>
      <c r="Y2" s="969"/>
    </row>
    <row r="3" spans="1:25" ht="2.1" customHeight="1">
      <c r="A3" s="788"/>
      <c r="B3" s="894"/>
      <c r="C3" s="876"/>
      <c r="D3" s="877"/>
      <c r="E3" s="878"/>
      <c r="F3" s="878"/>
      <c r="G3" s="878"/>
      <c r="H3" s="878"/>
      <c r="I3" s="879"/>
      <c r="J3" s="879"/>
      <c r="K3" s="878"/>
      <c r="L3" s="878"/>
      <c r="M3" s="878"/>
      <c r="N3" s="878"/>
      <c r="O3" s="878"/>
      <c r="P3" s="878"/>
      <c r="Q3" s="880"/>
      <c r="R3" s="872"/>
      <c r="S3" s="790"/>
      <c r="T3" s="3142"/>
      <c r="U3" s="3142"/>
      <c r="V3" s="3142"/>
      <c r="W3" s="3142"/>
      <c r="X3" s="1385"/>
      <c r="Y3" s="969"/>
    </row>
    <row r="4" spans="1:25" ht="12" customHeight="1">
      <c r="A4" s="788"/>
      <c r="B4" s="893"/>
      <c r="C4" s="928"/>
      <c r="D4" s="2882" t="s">
        <v>1466</v>
      </c>
      <c r="E4" s="633"/>
      <c r="F4" s="636"/>
      <c r="G4" s="636"/>
      <c r="H4" s="634"/>
      <c r="I4" s="634"/>
      <c r="J4" s="634"/>
      <c r="K4" s="637"/>
      <c r="L4" s="637"/>
      <c r="M4" s="637"/>
      <c r="N4" s="2104"/>
      <c r="O4" s="2104"/>
      <c r="P4" s="2883" t="s">
        <v>1467</v>
      </c>
      <c r="Q4" s="929"/>
      <c r="R4" s="872"/>
      <c r="S4" s="790"/>
      <c r="T4" s="3142"/>
      <c r="U4" s="3142"/>
      <c r="V4" s="3142"/>
      <c r="W4" s="3142"/>
      <c r="X4" s="1385"/>
      <c r="Y4" s="969"/>
    </row>
    <row r="5" spans="1:25" ht="2.1" customHeight="1">
      <c r="A5" s="788"/>
      <c r="B5" s="894"/>
      <c r="C5" s="883"/>
      <c r="D5" s="650"/>
      <c r="E5" s="659"/>
      <c r="F5" s="659"/>
      <c r="G5" s="659"/>
      <c r="H5" s="659"/>
      <c r="I5" s="652"/>
      <c r="J5" s="652"/>
      <c r="K5" s="652"/>
      <c r="L5" s="652"/>
      <c r="M5" s="652"/>
      <c r="N5" s="652"/>
      <c r="O5" s="652"/>
      <c r="P5" s="692"/>
      <c r="Q5" s="882"/>
      <c r="R5" s="872"/>
      <c r="S5" s="791"/>
      <c r="T5" s="3142"/>
      <c r="U5" s="3142"/>
      <c r="V5" s="3142"/>
      <c r="W5" s="3142"/>
      <c r="X5" s="1385"/>
      <c r="Y5" s="969"/>
    </row>
    <row r="6" spans="1:25" ht="12" customHeight="1">
      <c r="A6" s="788"/>
      <c r="B6" s="894"/>
      <c r="C6" s="954"/>
      <c r="D6" s="979" t="s">
        <v>1405</v>
      </c>
      <c r="E6" s="955"/>
      <c r="F6" s="955"/>
      <c r="G6" s="955"/>
      <c r="H6" s="955"/>
      <c r="I6" s="776"/>
      <c r="J6" s="776"/>
      <c r="K6" s="955"/>
      <c r="L6" s="955"/>
      <c r="M6" s="955"/>
      <c r="N6" s="955"/>
      <c r="O6" s="955"/>
      <c r="P6" s="955"/>
      <c r="Q6" s="962"/>
      <c r="R6" s="873"/>
      <c r="S6" s="791"/>
      <c r="T6" s="3142"/>
      <c r="U6" s="3142"/>
      <c r="V6" s="3142"/>
      <c r="W6" s="3142"/>
      <c r="X6" s="1385"/>
      <c r="Y6" s="969"/>
    </row>
    <row r="7" spans="1:25" ht="2.1" customHeight="1">
      <c r="A7" s="788"/>
      <c r="B7" s="894"/>
      <c r="C7" s="2111"/>
      <c r="D7" s="2112"/>
      <c r="E7" s="2113"/>
      <c r="F7" s="2113"/>
      <c r="G7" s="2113"/>
      <c r="H7" s="2113"/>
      <c r="I7" s="2114"/>
      <c r="J7" s="2114"/>
      <c r="K7" s="2113"/>
      <c r="L7" s="2113"/>
      <c r="M7" s="2113"/>
      <c r="N7" s="2113"/>
      <c r="O7" s="2113"/>
      <c r="P7" s="2113"/>
      <c r="Q7" s="2115"/>
      <c r="R7" s="873"/>
      <c r="S7" s="791"/>
      <c r="Y7" s="1031"/>
    </row>
    <row r="8" spans="1:25" ht="2.1" customHeight="1">
      <c r="A8" s="788"/>
      <c r="B8" s="895"/>
      <c r="C8" s="884"/>
      <c r="D8" s="2267"/>
      <c r="E8" s="649"/>
      <c r="F8" s="649"/>
      <c r="G8" s="649"/>
      <c r="H8" s="649"/>
      <c r="I8" s="649"/>
      <c r="J8" s="649"/>
      <c r="K8" s="649"/>
      <c r="L8" s="649"/>
      <c r="M8" s="649"/>
      <c r="N8" s="649"/>
      <c r="O8" s="649"/>
      <c r="P8" s="649"/>
      <c r="Q8" s="873"/>
      <c r="R8" s="872"/>
      <c r="S8" s="791"/>
      <c r="Y8" s="969"/>
    </row>
    <row r="9" spans="1:25" ht="12" customHeight="1">
      <c r="A9" s="788"/>
      <c r="B9" s="895"/>
      <c r="C9" s="884"/>
      <c r="D9" s="1346" t="s">
        <v>586</v>
      </c>
      <c r="E9" s="4751" t="s">
        <v>163</v>
      </c>
      <c r="F9" s="4752"/>
      <c r="G9" s="4751" t="s">
        <v>162</v>
      </c>
      <c r="H9" s="4752"/>
      <c r="I9" s="4751" t="s">
        <v>161</v>
      </c>
      <c r="J9" s="4752"/>
      <c r="K9" s="4751" t="s">
        <v>160</v>
      </c>
      <c r="L9" s="4752"/>
      <c r="M9" s="4751" t="s">
        <v>159</v>
      </c>
      <c r="N9" s="4752"/>
      <c r="O9" s="4755" t="s">
        <v>158</v>
      </c>
      <c r="P9" s="4756"/>
      <c r="Q9" s="873"/>
      <c r="R9" s="872"/>
      <c r="S9" s="791"/>
      <c r="Y9" s="969"/>
    </row>
    <row r="10" spans="1:25" ht="12" customHeight="1">
      <c r="A10" s="788"/>
      <c r="B10" s="895"/>
      <c r="C10" s="884"/>
      <c r="D10" s="1347" t="s">
        <v>117</v>
      </c>
      <c r="E10" s="1348" t="s">
        <v>20</v>
      </c>
      <c r="F10" s="1349" t="s">
        <v>565</v>
      </c>
      <c r="G10" s="1348" t="s">
        <v>20</v>
      </c>
      <c r="H10" s="1349" t="s">
        <v>565</v>
      </c>
      <c r="I10" s="1348" t="s">
        <v>20</v>
      </c>
      <c r="J10" s="1349" t="s">
        <v>565</v>
      </c>
      <c r="K10" s="1348" t="s">
        <v>20</v>
      </c>
      <c r="L10" s="1349" t="s">
        <v>565</v>
      </c>
      <c r="M10" s="1348" t="s">
        <v>20</v>
      </c>
      <c r="N10" s="1349" t="s">
        <v>565</v>
      </c>
      <c r="O10" s="1348" t="s">
        <v>20</v>
      </c>
      <c r="P10" s="1349" t="s">
        <v>565</v>
      </c>
      <c r="Q10" s="873"/>
      <c r="R10" s="872"/>
      <c r="S10" s="791"/>
      <c r="Y10" s="969"/>
    </row>
    <row r="11" spans="1:25" ht="12" customHeight="1">
      <c r="A11" s="788"/>
      <c r="B11" s="895"/>
      <c r="C11" s="884"/>
      <c r="D11" s="693" t="s">
        <v>116</v>
      </c>
      <c r="E11" s="526"/>
      <c r="F11" s="523"/>
      <c r="G11" s="526"/>
      <c r="H11" s="523"/>
      <c r="I11" s="526"/>
      <c r="J11" s="523"/>
      <c r="K11" s="526"/>
      <c r="L11" s="523"/>
      <c r="M11" s="526"/>
      <c r="N11" s="523"/>
      <c r="O11" s="526"/>
      <c r="P11" s="538"/>
      <c r="Q11" s="873"/>
      <c r="R11" s="872"/>
      <c r="S11" s="791"/>
      <c r="Y11" s="969"/>
    </row>
    <row r="12" spans="1:25" ht="12" customHeight="1">
      <c r="A12" s="788"/>
      <c r="B12" s="895"/>
      <c r="C12" s="884"/>
      <c r="D12" s="4753" t="s">
        <v>115</v>
      </c>
      <c r="E12" s="4733"/>
      <c r="F12" s="4733"/>
      <c r="G12" s="4733"/>
      <c r="H12" s="4733"/>
      <c r="I12" s="4733"/>
      <c r="J12" s="4733"/>
      <c r="K12" s="4733"/>
      <c r="L12" s="4733"/>
      <c r="M12" s="4733"/>
      <c r="N12" s="4733"/>
      <c r="O12" s="4733"/>
      <c r="P12" s="4754"/>
      <c r="Q12" s="873"/>
      <c r="R12" s="872"/>
      <c r="S12" s="791"/>
      <c r="Y12" s="969"/>
    </row>
    <row r="13" spans="1:25" ht="12" customHeight="1">
      <c r="A13" s="788"/>
      <c r="B13" s="895"/>
      <c r="C13" s="884"/>
      <c r="D13" s="686" t="s">
        <v>712</v>
      </c>
      <c r="E13" s="543"/>
      <c r="F13" s="544"/>
      <c r="G13" s="543"/>
      <c r="H13" s="544"/>
      <c r="I13" s="543"/>
      <c r="J13" s="544"/>
      <c r="K13" s="543"/>
      <c r="L13" s="544"/>
      <c r="M13" s="543"/>
      <c r="N13" s="544"/>
      <c r="O13" s="543"/>
      <c r="P13" s="545"/>
      <c r="Q13" s="873"/>
      <c r="R13" s="872"/>
      <c r="S13" s="791"/>
      <c r="Y13" s="969"/>
    </row>
    <row r="14" spans="1:25" ht="12" customHeight="1">
      <c r="A14" s="788"/>
      <c r="B14" s="895"/>
      <c r="C14" s="884"/>
      <c r="D14" s="1336" t="s">
        <v>113</v>
      </c>
      <c r="E14" s="527">
        <v>1</v>
      </c>
      <c r="F14" s="524"/>
      <c r="G14" s="527"/>
      <c r="H14" s="524"/>
      <c r="I14" s="527"/>
      <c r="J14" s="524"/>
      <c r="K14" s="527"/>
      <c r="L14" s="524"/>
      <c r="M14" s="527"/>
      <c r="N14" s="524"/>
      <c r="O14" s="527"/>
      <c r="P14" s="539"/>
      <c r="Q14" s="873"/>
      <c r="R14" s="872"/>
      <c r="S14" s="791"/>
      <c r="Y14" s="969"/>
    </row>
    <row r="15" spans="1:25" ht="12" customHeight="1">
      <c r="A15" s="788"/>
      <c r="B15" s="895"/>
      <c r="C15" s="884"/>
      <c r="D15" s="687" t="s">
        <v>714</v>
      </c>
      <c r="E15" s="527"/>
      <c r="F15" s="524"/>
      <c r="G15" s="527"/>
      <c r="H15" s="524"/>
      <c r="I15" s="527"/>
      <c r="J15" s="524"/>
      <c r="K15" s="527"/>
      <c r="L15" s="524"/>
      <c r="M15" s="527"/>
      <c r="N15" s="524"/>
      <c r="O15" s="527"/>
      <c r="P15" s="539"/>
      <c r="Q15" s="873"/>
      <c r="R15" s="872"/>
      <c r="S15" s="791"/>
      <c r="Y15" s="969"/>
    </row>
    <row r="16" spans="1:25" ht="12" customHeight="1">
      <c r="A16" s="788"/>
      <c r="B16" s="895"/>
      <c r="C16" s="884"/>
      <c r="D16" s="1336" t="s">
        <v>713</v>
      </c>
      <c r="E16" s="527"/>
      <c r="F16" s="524"/>
      <c r="G16" s="527">
        <v>8</v>
      </c>
      <c r="H16" s="524">
        <v>7</v>
      </c>
      <c r="I16" s="527"/>
      <c r="J16" s="524"/>
      <c r="K16" s="527"/>
      <c r="L16" s="524"/>
      <c r="M16" s="527"/>
      <c r="N16" s="524"/>
      <c r="O16" s="527"/>
      <c r="P16" s="539"/>
      <c r="Q16" s="873"/>
      <c r="R16" s="872"/>
      <c r="S16" s="791"/>
      <c r="Y16" s="969"/>
    </row>
    <row r="17" spans="1:25" ht="12" customHeight="1">
      <c r="A17" s="788"/>
      <c r="B17" s="895"/>
      <c r="C17" s="884"/>
      <c r="D17" s="1035" t="s">
        <v>711</v>
      </c>
      <c r="E17" s="527"/>
      <c r="F17" s="524"/>
      <c r="G17" s="527"/>
      <c r="H17" s="524"/>
      <c r="I17" s="527"/>
      <c r="J17" s="524"/>
      <c r="K17" s="527"/>
      <c r="L17" s="524"/>
      <c r="M17" s="527">
        <v>1</v>
      </c>
      <c r="N17" s="524">
        <v>1</v>
      </c>
      <c r="O17" s="527"/>
      <c r="P17" s="539"/>
      <c r="Q17" s="873"/>
      <c r="R17" s="872"/>
      <c r="S17" s="791"/>
      <c r="Y17" s="969"/>
    </row>
    <row r="18" spans="1:25" ht="12" customHeight="1">
      <c r="A18" s="788"/>
      <c r="B18" s="895"/>
      <c r="C18" s="884"/>
      <c r="D18" s="2808" t="s">
        <v>111</v>
      </c>
      <c r="E18" s="528"/>
      <c r="F18" s="525"/>
      <c r="G18" s="528"/>
      <c r="H18" s="525"/>
      <c r="I18" s="528"/>
      <c r="J18" s="525"/>
      <c r="K18" s="528"/>
      <c r="L18" s="525"/>
      <c r="M18" s="528"/>
      <c r="N18" s="525"/>
      <c r="O18" s="528"/>
      <c r="P18" s="547"/>
      <c r="Q18" s="873"/>
      <c r="R18" s="872"/>
      <c r="S18" s="791"/>
      <c r="Y18" s="969"/>
    </row>
    <row r="19" spans="1:25" ht="12" customHeight="1">
      <c r="A19" s="788"/>
      <c r="B19" s="895"/>
      <c r="C19" s="884"/>
      <c r="D19" s="2817" t="s">
        <v>1346</v>
      </c>
      <c r="E19" s="2809"/>
      <c r="F19" s="2810"/>
      <c r="G19" s="2809">
        <v>1</v>
      </c>
      <c r="H19" s="2810">
        <v>1</v>
      </c>
      <c r="I19" s="2809"/>
      <c r="J19" s="2810"/>
      <c r="K19" s="2809"/>
      <c r="L19" s="2810"/>
      <c r="M19" s="2809"/>
      <c r="N19" s="2810"/>
      <c r="O19" s="2809"/>
      <c r="P19" s="2822"/>
      <c r="Q19" s="873"/>
      <c r="R19" s="872"/>
      <c r="S19" s="791"/>
      <c r="Y19" s="1031"/>
    </row>
    <row r="20" spans="1:25" ht="12" customHeight="1">
      <c r="A20" s="788"/>
      <c r="B20" s="895"/>
      <c r="C20" s="884"/>
      <c r="D20" s="4753" t="s">
        <v>110</v>
      </c>
      <c r="E20" s="4733"/>
      <c r="F20" s="4733"/>
      <c r="G20" s="4733"/>
      <c r="H20" s="4733"/>
      <c r="I20" s="4733"/>
      <c r="J20" s="4733"/>
      <c r="K20" s="4733"/>
      <c r="L20" s="4733"/>
      <c r="M20" s="4733"/>
      <c r="N20" s="4733"/>
      <c r="O20" s="4733"/>
      <c r="P20" s="4754"/>
      <c r="Q20" s="873"/>
      <c r="R20" s="872"/>
      <c r="S20" s="791"/>
      <c r="Y20" s="969"/>
    </row>
    <row r="21" spans="1:25" ht="14.1" customHeight="1">
      <c r="A21" s="788"/>
      <c r="B21" s="895"/>
      <c r="C21" s="884"/>
      <c r="D21" s="687" t="s">
        <v>109</v>
      </c>
      <c r="E21" s="527"/>
      <c r="F21" s="524"/>
      <c r="G21" s="527"/>
      <c r="H21" s="524"/>
      <c r="I21" s="527"/>
      <c r="J21" s="524"/>
      <c r="K21" s="527"/>
      <c r="L21" s="524"/>
      <c r="M21" s="527"/>
      <c r="N21" s="524"/>
      <c r="O21" s="527"/>
      <c r="P21" s="539"/>
      <c r="Q21" s="873"/>
      <c r="R21" s="872"/>
      <c r="S21" s="791"/>
      <c r="Y21" s="1031"/>
    </row>
    <row r="22" spans="1:25" ht="12" customHeight="1">
      <c r="A22" s="788"/>
      <c r="B22" s="895"/>
      <c r="C22" s="884"/>
      <c r="D22" s="1336" t="s">
        <v>108</v>
      </c>
      <c r="E22" s="527"/>
      <c r="F22" s="524"/>
      <c r="G22" s="527">
        <v>1</v>
      </c>
      <c r="H22" s="524"/>
      <c r="I22" s="527"/>
      <c r="J22" s="524"/>
      <c r="K22" s="527"/>
      <c r="L22" s="524"/>
      <c r="M22" s="527"/>
      <c r="N22" s="524"/>
      <c r="O22" s="527"/>
      <c r="P22" s="539"/>
      <c r="Q22" s="873"/>
      <c r="R22" s="872"/>
      <c r="S22" s="791"/>
      <c r="Y22" s="969"/>
    </row>
    <row r="23" spans="1:25" ht="12" customHeight="1">
      <c r="A23" s="788"/>
      <c r="B23" s="895"/>
      <c r="C23" s="884"/>
      <c r="D23" s="2801" t="s">
        <v>107</v>
      </c>
      <c r="E23" s="527"/>
      <c r="F23" s="524"/>
      <c r="G23" s="527"/>
      <c r="H23" s="524"/>
      <c r="I23" s="527"/>
      <c r="J23" s="524"/>
      <c r="K23" s="527"/>
      <c r="L23" s="524"/>
      <c r="M23" s="527"/>
      <c r="N23" s="524"/>
      <c r="O23" s="527"/>
      <c r="P23" s="539"/>
      <c r="Q23" s="873"/>
      <c r="R23" s="872"/>
      <c r="S23" s="791"/>
      <c r="Y23" s="969"/>
    </row>
    <row r="24" spans="1:25" ht="12" customHeight="1">
      <c r="A24" s="788"/>
      <c r="B24" s="895"/>
      <c r="C24" s="884"/>
      <c r="D24" s="1336" t="s">
        <v>106</v>
      </c>
      <c r="E24" s="527">
        <v>1</v>
      </c>
      <c r="F24" s="524">
        <v>1</v>
      </c>
      <c r="G24" s="527"/>
      <c r="H24" s="524"/>
      <c r="I24" s="527"/>
      <c r="J24" s="524"/>
      <c r="K24" s="527"/>
      <c r="L24" s="524"/>
      <c r="M24" s="527"/>
      <c r="N24" s="524"/>
      <c r="O24" s="527"/>
      <c r="P24" s="539"/>
      <c r="Q24" s="873"/>
      <c r="R24" s="872"/>
      <c r="S24" s="791"/>
      <c r="Y24" s="969"/>
    </row>
    <row r="25" spans="1:25" ht="12" customHeight="1">
      <c r="A25" s="788"/>
      <c r="B25" s="895"/>
      <c r="C25" s="884"/>
      <c r="D25" s="2802" t="s">
        <v>105</v>
      </c>
      <c r="E25" s="541"/>
      <c r="F25" s="542"/>
      <c r="G25" s="541"/>
      <c r="H25" s="542"/>
      <c r="I25" s="541"/>
      <c r="J25" s="542"/>
      <c r="K25" s="541"/>
      <c r="L25" s="542"/>
      <c r="M25" s="541">
        <v>1</v>
      </c>
      <c r="N25" s="542"/>
      <c r="O25" s="541"/>
      <c r="P25" s="546"/>
      <c r="Q25" s="873"/>
      <c r="R25" s="872"/>
      <c r="S25" s="791"/>
      <c r="Y25" s="969"/>
    </row>
    <row r="26" spans="1:25" ht="12" customHeight="1">
      <c r="A26" s="788"/>
      <c r="B26" s="895"/>
      <c r="C26" s="884"/>
      <c r="D26" s="4753" t="s">
        <v>103</v>
      </c>
      <c r="E26" s="4733"/>
      <c r="F26" s="4733"/>
      <c r="G26" s="4733"/>
      <c r="H26" s="4733"/>
      <c r="I26" s="4733"/>
      <c r="J26" s="4733"/>
      <c r="K26" s="4733"/>
      <c r="L26" s="4733"/>
      <c r="M26" s="4733"/>
      <c r="N26" s="4733"/>
      <c r="O26" s="4733"/>
      <c r="P26" s="4754"/>
      <c r="Q26" s="873"/>
      <c r="R26" s="872"/>
      <c r="S26" s="791"/>
      <c r="Y26" s="969"/>
    </row>
    <row r="27" spans="1:25" ht="11.4" customHeight="1">
      <c r="A27" s="788"/>
      <c r="B27" s="894"/>
      <c r="C27" s="884"/>
      <c r="D27" s="694" t="s">
        <v>102</v>
      </c>
      <c r="E27" s="527">
        <v>1</v>
      </c>
      <c r="F27" s="524">
        <v>1</v>
      </c>
      <c r="G27" s="527"/>
      <c r="H27" s="524"/>
      <c r="I27" s="527"/>
      <c r="J27" s="524"/>
      <c r="K27" s="527"/>
      <c r="L27" s="524"/>
      <c r="M27" s="527"/>
      <c r="N27" s="524"/>
      <c r="O27" s="527"/>
      <c r="P27" s="539"/>
      <c r="Q27" s="873"/>
      <c r="R27" s="872"/>
      <c r="S27" s="793"/>
      <c r="Y27" s="969"/>
    </row>
    <row r="28" spans="1:25" ht="11.4" customHeight="1">
      <c r="A28" s="788"/>
      <c r="B28" s="894"/>
      <c r="C28" s="884"/>
      <c r="D28" s="1350" t="s">
        <v>101</v>
      </c>
      <c r="E28" s="527"/>
      <c r="F28" s="524"/>
      <c r="G28" s="527">
        <v>1</v>
      </c>
      <c r="H28" s="524">
        <v>1</v>
      </c>
      <c r="I28" s="527"/>
      <c r="J28" s="524"/>
      <c r="K28" s="527"/>
      <c r="L28" s="524"/>
      <c r="M28" s="527"/>
      <c r="N28" s="524"/>
      <c r="O28" s="527"/>
      <c r="P28" s="539"/>
      <c r="Q28" s="873"/>
      <c r="R28" s="872"/>
      <c r="S28" s="793"/>
      <c r="Y28" s="969"/>
    </row>
    <row r="29" spans="1:25" ht="11.4" customHeight="1">
      <c r="A29" s="788"/>
      <c r="B29" s="894"/>
      <c r="C29" s="884"/>
      <c r="D29" s="695" t="s">
        <v>100</v>
      </c>
      <c r="E29" s="541"/>
      <c r="F29" s="542"/>
      <c r="G29" s="541"/>
      <c r="H29" s="542"/>
      <c r="I29" s="541"/>
      <c r="J29" s="542"/>
      <c r="K29" s="541"/>
      <c r="L29" s="542"/>
      <c r="M29" s="541"/>
      <c r="N29" s="542"/>
      <c r="O29" s="541"/>
      <c r="P29" s="546"/>
      <c r="Q29" s="873"/>
      <c r="R29" s="872"/>
      <c r="S29" s="793"/>
      <c r="Y29" s="969"/>
    </row>
    <row r="30" spans="1:25" ht="12" customHeight="1">
      <c r="A30" s="788"/>
      <c r="B30" s="894"/>
      <c r="C30" s="884"/>
      <c r="D30" s="4753" t="s">
        <v>99</v>
      </c>
      <c r="E30" s="4733"/>
      <c r="F30" s="4733"/>
      <c r="G30" s="4733"/>
      <c r="H30" s="4733"/>
      <c r="I30" s="4733"/>
      <c r="J30" s="4733"/>
      <c r="K30" s="4733"/>
      <c r="L30" s="4733"/>
      <c r="M30" s="4733"/>
      <c r="N30" s="4733"/>
      <c r="O30" s="4733"/>
      <c r="P30" s="4754"/>
      <c r="Q30" s="873"/>
      <c r="R30" s="872"/>
      <c r="S30" s="793"/>
      <c r="Y30" s="969"/>
    </row>
    <row r="31" spans="1:25" ht="12" customHeight="1">
      <c r="A31" s="788"/>
      <c r="B31" s="894"/>
      <c r="C31" s="884"/>
      <c r="D31" s="694" t="s">
        <v>98</v>
      </c>
      <c r="E31" s="527"/>
      <c r="F31" s="524"/>
      <c r="G31" s="527"/>
      <c r="H31" s="524"/>
      <c r="I31" s="527"/>
      <c r="J31" s="524"/>
      <c r="K31" s="527"/>
      <c r="L31" s="524"/>
      <c r="M31" s="527">
        <v>1</v>
      </c>
      <c r="N31" s="524">
        <v>1</v>
      </c>
      <c r="O31" s="527"/>
      <c r="P31" s="539"/>
      <c r="Q31" s="873"/>
      <c r="R31" s="872"/>
      <c r="S31" s="793"/>
      <c r="Y31" s="969"/>
    </row>
    <row r="32" spans="1:25" ht="12" customHeight="1">
      <c r="A32" s="788"/>
      <c r="B32" s="894"/>
      <c r="C32" s="884"/>
      <c r="D32" s="1350" t="s">
        <v>97</v>
      </c>
      <c r="E32" s="527"/>
      <c r="F32" s="524"/>
      <c r="G32" s="527"/>
      <c r="H32" s="524"/>
      <c r="I32" s="527"/>
      <c r="J32" s="524"/>
      <c r="K32" s="527"/>
      <c r="L32" s="524"/>
      <c r="M32" s="527"/>
      <c r="N32" s="524"/>
      <c r="O32" s="527"/>
      <c r="P32" s="539"/>
      <c r="Q32" s="873"/>
      <c r="R32" s="872"/>
      <c r="S32" s="793"/>
      <c r="Y32" s="969"/>
    </row>
    <row r="33" spans="1:25" ht="12" customHeight="1">
      <c r="A33" s="788"/>
      <c r="B33" s="894"/>
      <c r="C33" s="884"/>
      <c r="D33" s="694" t="s">
        <v>1347</v>
      </c>
      <c r="E33" s="527"/>
      <c r="F33" s="524"/>
      <c r="G33" s="527"/>
      <c r="H33" s="524"/>
      <c r="I33" s="527"/>
      <c r="J33" s="524"/>
      <c r="K33" s="527"/>
      <c r="L33" s="524"/>
      <c r="M33" s="527"/>
      <c r="N33" s="524"/>
      <c r="O33" s="527"/>
      <c r="P33" s="539"/>
      <c r="Q33" s="873"/>
      <c r="R33" s="872"/>
      <c r="S33" s="793"/>
      <c r="Y33" s="969"/>
    </row>
    <row r="34" spans="1:25" ht="12" customHeight="1">
      <c r="A34" s="788"/>
      <c r="B34" s="894"/>
      <c r="C34" s="884"/>
      <c r="D34" s="1351" t="s">
        <v>1348</v>
      </c>
      <c r="E34" s="541"/>
      <c r="F34" s="542"/>
      <c r="G34" s="541"/>
      <c r="H34" s="542"/>
      <c r="I34" s="541"/>
      <c r="J34" s="542"/>
      <c r="K34" s="541"/>
      <c r="L34" s="542"/>
      <c r="M34" s="541"/>
      <c r="N34" s="542"/>
      <c r="O34" s="541"/>
      <c r="P34" s="546"/>
      <c r="Q34" s="873"/>
      <c r="R34" s="872"/>
      <c r="S34" s="793"/>
      <c r="Y34" s="969"/>
    </row>
    <row r="35" spans="1:25" ht="12" customHeight="1">
      <c r="A35" s="788"/>
      <c r="B35" s="894"/>
      <c r="C35" s="884"/>
      <c r="D35" s="4753" t="s">
        <v>94</v>
      </c>
      <c r="E35" s="4733"/>
      <c r="F35" s="4733"/>
      <c r="G35" s="4733"/>
      <c r="H35" s="4733"/>
      <c r="I35" s="4733"/>
      <c r="J35" s="4733"/>
      <c r="K35" s="4733"/>
      <c r="L35" s="4733"/>
      <c r="M35" s="4733"/>
      <c r="N35" s="4733"/>
      <c r="O35" s="4733"/>
      <c r="P35" s="4754"/>
      <c r="Q35" s="873"/>
      <c r="R35" s="872"/>
      <c r="S35" s="793"/>
      <c r="Y35" s="969"/>
    </row>
    <row r="36" spans="1:25" ht="11.4" customHeight="1">
      <c r="A36" s="788"/>
      <c r="B36" s="894"/>
      <c r="C36" s="884"/>
      <c r="D36" s="2840" t="s">
        <v>1349</v>
      </c>
      <c r="E36" s="2823"/>
      <c r="F36" s="2824"/>
      <c r="G36" s="2823"/>
      <c r="H36" s="2824"/>
      <c r="I36" s="2823"/>
      <c r="J36" s="2824"/>
      <c r="K36" s="2823"/>
      <c r="L36" s="2824"/>
      <c r="M36" s="2823"/>
      <c r="N36" s="2824"/>
      <c r="O36" s="2823"/>
      <c r="P36" s="2841"/>
      <c r="Q36" s="873"/>
      <c r="R36" s="872"/>
      <c r="S36" s="793"/>
      <c r="Y36" s="1031"/>
    </row>
    <row r="37" spans="1:25" ht="11.4" customHeight="1">
      <c r="A37" s="788"/>
      <c r="B37" s="894"/>
      <c r="C37" s="884"/>
      <c r="D37" s="2842" t="s">
        <v>1350</v>
      </c>
      <c r="E37" s="2831"/>
      <c r="F37" s="2832"/>
      <c r="G37" s="2831"/>
      <c r="H37" s="2832"/>
      <c r="I37" s="2831"/>
      <c r="J37" s="2832"/>
      <c r="K37" s="2831"/>
      <c r="L37" s="2832"/>
      <c r="M37" s="2831"/>
      <c r="N37" s="2832"/>
      <c r="O37" s="2831"/>
      <c r="P37" s="2843"/>
      <c r="Q37" s="873"/>
      <c r="R37" s="872"/>
      <c r="S37" s="793"/>
      <c r="Y37" s="1031"/>
    </row>
    <row r="38" spans="1:25" ht="11.4" customHeight="1">
      <c r="A38" s="788"/>
      <c r="B38" s="894"/>
      <c r="C38" s="884"/>
      <c r="D38" s="2844" t="s">
        <v>93</v>
      </c>
      <c r="E38" s="2831"/>
      <c r="F38" s="2832"/>
      <c r="G38" s="2831"/>
      <c r="H38" s="2832"/>
      <c r="I38" s="2831"/>
      <c r="J38" s="2832"/>
      <c r="K38" s="2831"/>
      <c r="L38" s="2832"/>
      <c r="M38" s="2831"/>
      <c r="N38" s="2832"/>
      <c r="O38" s="2831"/>
      <c r="P38" s="2843"/>
      <c r="Q38" s="873"/>
      <c r="R38" s="872"/>
      <c r="S38" s="793"/>
      <c r="Y38" s="969"/>
    </row>
    <row r="39" spans="1:25" ht="11.4" customHeight="1">
      <c r="A39" s="788"/>
      <c r="B39" s="894"/>
      <c r="C39" s="884"/>
      <c r="D39" s="2845" t="s">
        <v>92</v>
      </c>
      <c r="E39" s="2809"/>
      <c r="F39" s="2810"/>
      <c r="G39" s="2809"/>
      <c r="H39" s="2810"/>
      <c r="I39" s="2809"/>
      <c r="J39" s="2810"/>
      <c r="K39" s="2809"/>
      <c r="L39" s="2810"/>
      <c r="M39" s="2809"/>
      <c r="N39" s="2810"/>
      <c r="O39" s="2809"/>
      <c r="P39" s="2822"/>
      <c r="Q39" s="873"/>
      <c r="R39" s="872"/>
      <c r="S39" s="793"/>
      <c r="Y39" s="969"/>
    </row>
    <row r="40" spans="1:25" ht="12" customHeight="1">
      <c r="A40" s="788"/>
      <c r="B40" s="894"/>
      <c r="C40" s="884"/>
      <c r="D40" s="4753" t="s">
        <v>91</v>
      </c>
      <c r="E40" s="4733"/>
      <c r="F40" s="4733"/>
      <c r="G40" s="4733"/>
      <c r="H40" s="4733"/>
      <c r="I40" s="4733"/>
      <c r="J40" s="4733"/>
      <c r="K40" s="4733"/>
      <c r="L40" s="4733"/>
      <c r="M40" s="4733"/>
      <c r="N40" s="4733"/>
      <c r="O40" s="4733"/>
      <c r="P40" s="4754"/>
      <c r="Q40" s="873"/>
      <c r="R40" s="872"/>
      <c r="S40" s="793"/>
      <c r="Y40" s="969"/>
    </row>
    <row r="41" spans="1:25" ht="11.4" customHeight="1">
      <c r="A41" s="788"/>
      <c r="B41" s="894"/>
      <c r="C41" s="884"/>
      <c r="D41" s="2829" t="s">
        <v>1351</v>
      </c>
      <c r="E41" s="528"/>
      <c r="F41" s="525"/>
      <c r="G41" s="528"/>
      <c r="H41" s="525"/>
      <c r="I41" s="528"/>
      <c r="J41" s="525"/>
      <c r="K41" s="528"/>
      <c r="L41" s="525"/>
      <c r="M41" s="528"/>
      <c r="N41" s="525"/>
      <c r="O41" s="528"/>
      <c r="P41" s="547"/>
      <c r="Q41" s="873"/>
      <c r="R41" s="872"/>
      <c r="S41" s="793"/>
      <c r="Y41" s="1031"/>
    </row>
    <row r="42" spans="1:25" ht="11.4" customHeight="1">
      <c r="A42" s="788"/>
      <c r="B42" s="894"/>
      <c r="C42" s="884"/>
      <c r="D42" s="696" t="s">
        <v>90</v>
      </c>
      <c r="E42" s="528"/>
      <c r="F42" s="525"/>
      <c r="G42" s="528"/>
      <c r="H42" s="525"/>
      <c r="I42" s="528">
        <v>1</v>
      </c>
      <c r="J42" s="525">
        <v>1</v>
      </c>
      <c r="K42" s="528"/>
      <c r="L42" s="525"/>
      <c r="M42" s="528"/>
      <c r="N42" s="525"/>
      <c r="O42" s="528"/>
      <c r="P42" s="547"/>
      <c r="Q42" s="873"/>
      <c r="R42" s="872"/>
      <c r="S42" s="793"/>
      <c r="Y42" s="969"/>
    </row>
    <row r="43" spans="1:25" ht="12" customHeight="1">
      <c r="A43" s="788"/>
      <c r="B43" s="894"/>
      <c r="C43" s="884"/>
      <c r="D43" s="4757" t="s">
        <v>89</v>
      </c>
      <c r="E43" s="4749"/>
      <c r="F43" s="4749"/>
      <c r="G43" s="4749"/>
      <c r="H43" s="4749"/>
      <c r="I43" s="4749"/>
      <c r="J43" s="4749"/>
      <c r="K43" s="4749"/>
      <c r="L43" s="4749"/>
      <c r="M43" s="4749"/>
      <c r="N43" s="4749"/>
      <c r="O43" s="4749"/>
      <c r="P43" s="4758"/>
      <c r="Q43" s="873"/>
      <c r="R43" s="872"/>
      <c r="S43" s="793"/>
      <c r="Y43" s="969"/>
    </row>
    <row r="44" spans="1:25" ht="11.4" customHeight="1">
      <c r="A44" s="788"/>
      <c r="B44" s="894"/>
      <c r="C44" s="884"/>
      <c r="D44" s="694" t="s">
        <v>88</v>
      </c>
      <c r="E44" s="527"/>
      <c r="F44" s="524"/>
      <c r="G44" s="527"/>
      <c r="H44" s="524"/>
      <c r="I44" s="527"/>
      <c r="J44" s="524"/>
      <c r="K44" s="527"/>
      <c r="L44" s="524"/>
      <c r="M44" s="527"/>
      <c r="N44" s="524"/>
      <c r="O44" s="527"/>
      <c r="P44" s="539"/>
      <c r="Q44" s="873"/>
      <c r="R44" s="872"/>
      <c r="S44" s="793"/>
      <c r="Y44" s="969"/>
    </row>
    <row r="45" spans="1:25" ht="11.4" customHeight="1">
      <c r="A45" s="788"/>
      <c r="B45" s="894"/>
      <c r="C45" s="884"/>
      <c r="D45" s="1350" t="s">
        <v>87</v>
      </c>
      <c r="E45" s="527"/>
      <c r="F45" s="524"/>
      <c r="G45" s="527"/>
      <c r="H45" s="524"/>
      <c r="I45" s="527"/>
      <c r="J45" s="524"/>
      <c r="K45" s="527"/>
      <c r="L45" s="524"/>
      <c r="M45" s="527"/>
      <c r="N45" s="524"/>
      <c r="O45" s="527"/>
      <c r="P45" s="539"/>
      <c r="Q45" s="873"/>
      <c r="R45" s="872"/>
      <c r="S45" s="793"/>
      <c r="Y45" s="969"/>
    </row>
    <row r="46" spans="1:25" ht="11.4" customHeight="1">
      <c r="A46" s="788"/>
      <c r="B46" s="894"/>
      <c r="C46" s="884"/>
      <c r="D46" s="696" t="s">
        <v>86</v>
      </c>
      <c r="E46" s="528"/>
      <c r="F46" s="525"/>
      <c r="G46" s="528"/>
      <c r="H46" s="525"/>
      <c r="I46" s="528"/>
      <c r="J46" s="525"/>
      <c r="K46" s="528"/>
      <c r="L46" s="525"/>
      <c r="M46" s="528"/>
      <c r="N46" s="525"/>
      <c r="O46" s="528"/>
      <c r="P46" s="547"/>
      <c r="Q46" s="873"/>
      <c r="R46" s="872"/>
      <c r="S46" s="793"/>
      <c r="Y46" s="969"/>
    </row>
    <row r="47" spans="1:25" ht="11.4" customHeight="1">
      <c r="A47" s="788"/>
      <c r="B47" s="894"/>
      <c r="C47" s="884"/>
      <c r="D47" s="1352" t="s">
        <v>85</v>
      </c>
      <c r="E47" s="526"/>
      <c r="F47" s="523"/>
      <c r="G47" s="526"/>
      <c r="H47" s="523"/>
      <c r="I47" s="526"/>
      <c r="J47" s="523"/>
      <c r="K47" s="526"/>
      <c r="L47" s="523"/>
      <c r="M47" s="526"/>
      <c r="N47" s="523"/>
      <c r="O47" s="526"/>
      <c r="P47" s="538"/>
      <c r="Q47" s="873"/>
      <c r="R47" s="872"/>
      <c r="S47" s="793"/>
      <c r="Y47" s="969"/>
    </row>
    <row r="48" spans="1:25" ht="11.4" customHeight="1">
      <c r="A48" s="788"/>
      <c r="B48" s="894"/>
      <c r="C48" s="884"/>
      <c r="D48" s="694" t="s">
        <v>84</v>
      </c>
      <c r="E48" s="527"/>
      <c r="F48" s="524"/>
      <c r="G48" s="527"/>
      <c r="H48" s="524"/>
      <c r="I48" s="527"/>
      <c r="J48" s="524"/>
      <c r="K48" s="527"/>
      <c r="L48" s="524"/>
      <c r="M48" s="527"/>
      <c r="N48" s="524"/>
      <c r="O48" s="527"/>
      <c r="P48" s="539"/>
      <c r="Q48" s="873"/>
      <c r="R48" s="872"/>
      <c r="S48" s="793"/>
      <c r="Y48" s="969"/>
    </row>
    <row r="49" spans="1:25" ht="11.4" customHeight="1">
      <c r="A49" s="788"/>
      <c r="B49" s="894"/>
      <c r="C49" s="884"/>
      <c r="D49" s="1350" t="s">
        <v>83</v>
      </c>
      <c r="E49" s="527"/>
      <c r="F49" s="524"/>
      <c r="G49" s="527"/>
      <c r="H49" s="524"/>
      <c r="I49" s="527"/>
      <c r="J49" s="524"/>
      <c r="K49" s="527"/>
      <c r="L49" s="524"/>
      <c r="M49" s="527"/>
      <c r="N49" s="524"/>
      <c r="O49" s="527"/>
      <c r="P49" s="539"/>
      <c r="Q49" s="873"/>
      <c r="R49" s="872"/>
      <c r="S49" s="793"/>
      <c r="Y49" s="969"/>
    </row>
    <row r="50" spans="1:25" ht="11.4" customHeight="1">
      <c r="A50" s="788"/>
      <c r="B50" s="894"/>
      <c r="C50" s="884"/>
      <c r="D50" s="697" t="s">
        <v>82</v>
      </c>
      <c r="E50" s="527"/>
      <c r="F50" s="524"/>
      <c r="G50" s="527"/>
      <c r="H50" s="524"/>
      <c r="I50" s="527"/>
      <c r="J50" s="524"/>
      <c r="K50" s="527"/>
      <c r="L50" s="524"/>
      <c r="M50" s="527"/>
      <c r="N50" s="524"/>
      <c r="O50" s="527"/>
      <c r="P50" s="539"/>
      <c r="Q50" s="873"/>
      <c r="R50" s="872"/>
      <c r="S50" s="793"/>
      <c r="Y50" s="969"/>
    </row>
    <row r="51" spans="1:25" ht="11.4" customHeight="1">
      <c r="A51" s="788"/>
      <c r="B51" s="894"/>
      <c r="C51" s="884"/>
      <c r="D51" s="1353" t="s">
        <v>81</v>
      </c>
      <c r="E51" s="528"/>
      <c r="F51" s="525"/>
      <c r="G51" s="528"/>
      <c r="H51" s="525"/>
      <c r="I51" s="528"/>
      <c r="J51" s="525"/>
      <c r="K51" s="528"/>
      <c r="L51" s="525"/>
      <c r="M51" s="528"/>
      <c r="N51" s="525"/>
      <c r="O51" s="528"/>
      <c r="P51" s="547"/>
      <c r="Q51" s="873"/>
      <c r="R51" s="872"/>
      <c r="S51" s="793"/>
      <c r="Y51" s="969"/>
    </row>
    <row r="52" spans="1:25" ht="11.4" customHeight="1">
      <c r="A52" s="788"/>
      <c r="B52" s="894"/>
      <c r="C52" s="884"/>
      <c r="D52" s="698" t="s">
        <v>80</v>
      </c>
      <c r="E52" s="526"/>
      <c r="F52" s="523"/>
      <c r="G52" s="526"/>
      <c r="H52" s="523"/>
      <c r="I52" s="526"/>
      <c r="J52" s="523"/>
      <c r="K52" s="526"/>
      <c r="L52" s="523"/>
      <c r="M52" s="526"/>
      <c r="N52" s="523"/>
      <c r="O52" s="526"/>
      <c r="P52" s="538"/>
      <c r="Q52" s="873"/>
      <c r="R52" s="872"/>
      <c r="S52" s="793"/>
      <c r="Y52" s="969"/>
    </row>
    <row r="53" spans="1:25" ht="11.4" customHeight="1">
      <c r="A53" s="788"/>
      <c r="B53" s="894"/>
      <c r="C53" s="884"/>
      <c r="D53" s="1354" t="s">
        <v>79</v>
      </c>
      <c r="E53" s="527"/>
      <c r="F53" s="524"/>
      <c r="G53" s="527"/>
      <c r="H53" s="524"/>
      <c r="I53" s="527"/>
      <c r="J53" s="524"/>
      <c r="K53" s="527"/>
      <c r="L53" s="524"/>
      <c r="M53" s="527"/>
      <c r="N53" s="524"/>
      <c r="O53" s="527"/>
      <c r="P53" s="539"/>
      <c r="Q53" s="873"/>
      <c r="R53" s="872"/>
      <c r="S53" s="793"/>
      <c r="Y53" s="969"/>
    </row>
    <row r="54" spans="1:25" ht="11.4" customHeight="1">
      <c r="A54" s="788"/>
      <c r="B54" s="894"/>
      <c r="C54" s="884"/>
      <c r="D54" s="697" t="s">
        <v>78</v>
      </c>
      <c r="E54" s="527"/>
      <c r="F54" s="524"/>
      <c r="G54" s="527"/>
      <c r="H54" s="524"/>
      <c r="I54" s="527"/>
      <c r="J54" s="524"/>
      <c r="K54" s="527"/>
      <c r="L54" s="524"/>
      <c r="M54" s="527"/>
      <c r="N54" s="524"/>
      <c r="O54" s="527"/>
      <c r="P54" s="539"/>
      <c r="Q54" s="873"/>
      <c r="R54" s="872"/>
      <c r="S54" s="793"/>
      <c r="Y54" s="969"/>
    </row>
    <row r="55" spans="1:25" ht="11.4" customHeight="1">
      <c r="A55" s="788"/>
      <c r="B55" s="894"/>
      <c r="C55" s="884"/>
      <c r="D55" s="1355" t="s">
        <v>77</v>
      </c>
      <c r="E55" s="541"/>
      <c r="F55" s="542"/>
      <c r="G55" s="541"/>
      <c r="H55" s="542"/>
      <c r="I55" s="541"/>
      <c r="J55" s="542"/>
      <c r="K55" s="541"/>
      <c r="L55" s="542"/>
      <c r="M55" s="541"/>
      <c r="N55" s="542"/>
      <c r="O55" s="541"/>
      <c r="P55" s="546"/>
      <c r="Q55" s="873"/>
      <c r="R55" s="872"/>
      <c r="S55" s="793"/>
      <c r="Y55" s="969"/>
    </row>
    <row r="56" spans="1:25" ht="12" customHeight="1">
      <c r="A56" s="788"/>
      <c r="B56" s="894"/>
      <c r="C56" s="884"/>
      <c r="D56" s="4753" t="s">
        <v>76</v>
      </c>
      <c r="E56" s="4733"/>
      <c r="F56" s="4733"/>
      <c r="G56" s="4733"/>
      <c r="H56" s="4733"/>
      <c r="I56" s="4733"/>
      <c r="J56" s="4733"/>
      <c r="K56" s="4733"/>
      <c r="L56" s="4733"/>
      <c r="M56" s="4733"/>
      <c r="N56" s="4733"/>
      <c r="O56" s="4733"/>
      <c r="P56" s="4754"/>
      <c r="Q56" s="873"/>
      <c r="R56" s="872"/>
      <c r="S56" s="793"/>
      <c r="Y56" s="969"/>
    </row>
    <row r="57" spans="1:25" ht="11.4" customHeight="1">
      <c r="A57" s="788"/>
      <c r="B57" s="894"/>
      <c r="C57" s="884"/>
      <c r="D57" s="694" t="s">
        <v>75</v>
      </c>
      <c r="E57" s="527"/>
      <c r="F57" s="524"/>
      <c r="G57" s="527"/>
      <c r="H57" s="524"/>
      <c r="I57" s="527"/>
      <c r="J57" s="524"/>
      <c r="K57" s="527"/>
      <c r="L57" s="524"/>
      <c r="M57" s="527"/>
      <c r="N57" s="524"/>
      <c r="O57" s="527"/>
      <c r="P57" s="539"/>
      <c r="Q57" s="899"/>
      <c r="R57" s="932"/>
      <c r="S57" s="793"/>
      <c r="Y57" s="969"/>
    </row>
    <row r="58" spans="1:25" ht="11.4" customHeight="1">
      <c r="A58" s="788"/>
      <c r="B58" s="894"/>
      <c r="C58" s="884"/>
      <c r="D58" s="1351" t="s">
        <v>74</v>
      </c>
      <c r="E58" s="541"/>
      <c r="F58" s="542"/>
      <c r="G58" s="541"/>
      <c r="H58" s="542"/>
      <c r="I58" s="541"/>
      <c r="J58" s="542"/>
      <c r="K58" s="541"/>
      <c r="L58" s="542"/>
      <c r="M58" s="541"/>
      <c r="N58" s="542"/>
      <c r="O58" s="541"/>
      <c r="P58" s="546"/>
      <c r="Q58" s="899"/>
      <c r="R58" s="932"/>
      <c r="S58" s="793"/>
      <c r="Y58" s="969"/>
    </row>
    <row r="59" spans="1:25" ht="12" customHeight="1">
      <c r="A59" s="788"/>
      <c r="B59" s="894"/>
      <c r="C59" s="884"/>
      <c r="D59" s="4753" t="s">
        <v>73</v>
      </c>
      <c r="E59" s="4733"/>
      <c r="F59" s="4733"/>
      <c r="G59" s="4733"/>
      <c r="H59" s="4733"/>
      <c r="I59" s="4733"/>
      <c r="J59" s="4733"/>
      <c r="K59" s="4733"/>
      <c r="L59" s="4733"/>
      <c r="M59" s="4733"/>
      <c r="N59" s="4733"/>
      <c r="O59" s="4733"/>
      <c r="P59" s="4754"/>
      <c r="Q59" s="873"/>
      <c r="R59" s="872"/>
      <c r="S59" s="793"/>
      <c r="Y59" s="969"/>
    </row>
    <row r="60" spans="1:25" ht="11.4" customHeight="1">
      <c r="A60" s="788"/>
      <c r="B60" s="894"/>
      <c r="C60" s="884"/>
      <c r="D60" s="694" t="s">
        <v>72</v>
      </c>
      <c r="E60" s="527"/>
      <c r="F60" s="524"/>
      <c r="G60" s="527"/>
      <c r="H60" s="524"/>
      <c r="I60" s="527"/>
      <c r="J60" s="524"/>
      <c r="K60" s="527"/>
      <c r="L60" s="524"/>
      <c r="M60" s="527"/>
      <c r="N60" s="524"/>
      <c r="O60" s="527"/>
      <c r="P60" s="539"/>
      <c r="Q60" s="899"/>
      <c r="R60" s="932"/>
      <c r="S60" s="793"/>
      <c r="Y60" s="969"/>
    </row>
    <row r="61" spans="1:25" ht="11.4" customHeight="1">
      <c r="A61" s="788"/>
      <c r="B61" s="894"/>
      <c r="C61" s="884"/>
      <c r="D61" s="1350" t="s">
        <v>71</v>
      </c>
      <c r="E61" s="527"/>
      <c r="F61" s="524"/>
      <c r="G61" s="527"/>
      <c r="H61" s="524"/>
      <c r="I61" s="527"/>
      <c r="J61" s="524"/>
      <c r="K61" s="527"/>
      <c r="L61" s="524"/>
      <c r="M61" s="527"/>
      <c r="N61" s="524"/>
      <c r="O61" s="527"/>
      <c r="P61" s="539"/>
      <c r="Q61" s="899"/>
      <c r="R61" s="932"/>
      <c r="S61" s="793"/>
      <c r="Y61" s="969"/>
    </row>
    <row r="62" spans="1:25" ht="11.4" customHeight="1">
      <c r="A62" s="788"/>
      <c r="B62" s="894"/>
      <c r="C62" s="884"/>
      <c r="D62" s="695" t="s">
        <v>70</v>
      </c>
      <c r="E62" s="541"/>
      <c r="F62" s="542"/>
      <c r="G62" s="541"/>
      <c r="H62" s="542"/>
      <c r="I62" s="541"/>
      <c r="J62" s="542"/>
      <c r="K62" s="541"/>
      <c r="L62" s="542"/>
      <c r="M62" s="541"/>
      <c r="N62" s="542"/>
      <c r="O62" s="541"/>
      <c r="P62" s="546"/>
      <c r="Q62" s="899"/>
      <c r="R62" s="932"/>
      <c r="S62" s="793"/>
      <c r="Y62" s="969"/>
    </row>
    <row r="63" spans="1:25" ht="12" customHeight="1">
      <c r="A63" s="788"/>
      <c r="B63" s="894"/>
      <c r="C63" s="884"/>
      <c r="D63" s="4753" t="s">
        <v>69</v>
      </c>
      <c r="E63" s="4733"/>
      <c r="F63" s="4733"/>
      <c r="G63" s="4733"/>
      <c r="H63" s="4733"/>
      <c r="I63" s="4733"/>
      <c r="J63" s="4733"/>
      <c r="K63" s="4733"/>
      <c r="L63" s="4733"/>
      <c r="M63" s="4733"/>
      <c r="N63" s="4733"/>
      <c r="O63" s="4733"/>
      <c r="P63" s="4754"/>
      <c r="Q63" s="873"/>
      <c r="R63" s="872"/>
      <c r="S63" s="793"/>
      <c r="Y63" s="969"/>
    </row>
    <row r="64" spans="1:25" ht="11.4" customHeight="1">
      <c r="A64" s="788"/>
      <c r="B64" s="894"/>
      <c r="C64" s="884"/>
      <c r="D64" s="697" t="s">
        <v>68</v>
      </c>
      <c r="E64" s="527"/>
      <c r="F64" s="524"/>
      <c r="G64" s="527"/>
      <c r="H64" s="524"/>
      <c r="I64" s="527"/>
      <c r="J64" s="524"/>
      <c r="K64" s="527"/>
      <c r="L64" s="524"/>
      <c r="M64" s="527">
        <v>1</v>
      </c>
      <c r="N64" s="524"/>
      <c r="O64" s="527"/>
      <c r="P64" s="539"/>
      <c r="Q64" s="899"/>
      <c r="R64" s="932"/>
      <c r="S64" s="793"/>
      <c r="Y64" s="969"/>
    </row>
    <row r="65" spans="1:25" ht="11.4" customHeight="1">
      <c r="A65" s="788"/>
      <c r="B65" s="894"/>
      <c r="C65" s="884"/>
      <c r="D65" s="1354" t="s">
        <v>67</v>
      </c>
      <c r="E65" s="527"/>
      <c r="F65" s="524"/>
      <c r="G65" s="527"/>
      <c r="H65" s="524"/>
      <c r="I65" s="527"/>
      <c r="J65" s="524"/>
      <c r="K65" s="527"/>
      <c r="L65" s="524"/>
      <c r="M65" s="527"/>
      <c r="N65" s="524"/>
      <c r="O65" s="527"/>
      <c r="P65" s="539"/>
      <c r="Q65" s="899"/>
      <c r="R65" s="932"/>
      <c r="S65" s="793"/>
      <c r="Y65" s="969"/>
    </row>
    <row r="66" spans="1:25" ht="11.4" customHeight="1">
      <c r="A66" s="788"/>
      <c r="B66" s="894"/>
      <c r="C66" s="884"/>
      <c r="D66" s="2866" t="s">
        <v>1352</v>
      </c>
      <c r="E66" s="527"/>
      <c r="F66" s="524"/>
      <c r="G66" s="527">
        <v>1</v>
      </c>
      <c r="H66" s="524"/>
      <c r="I66" s="527"/>
      <c r="J66" s="524"/>
      <c r="K66" s="527"/>
      <c r="L66" s="524"/>
      <c r="M66" s="527"/>
      <c r="N66" s="524"/>
      <c r="O66" s="527"/>
      <c r="P66" s="539"/>
      <c r="Q66" s="899"/>
      <c r="R66" s="932"/>
      <c r="S66" s="793"/>
      <c r="Y66" s="1031"/>
    </row>
    <row r="67" spans="1:25" ht="11.4" customHeight="1">
      <c r="A67" s="788"/>
      <c r="B67" s="894"/>
      <c r="C67" s="884"/>
      <c r="D67" s="1354" t="s">
        <v>1353</v>
      </c>
      <c r="E67" s="527">
        <v>1</v>
      </c>
      <c r="F67" s="524"/>
      <c r="G67" s="527"/>
      <c r="H67" s="524"/>
      <c r="I67" s="527">
        <v>1</v>
      </c>
      <c r="J67" s="524"/>
      <c r="K67" s="527">
        <v>1</v>
      </c>
      <c r="L67" s="524"/>
      <c r="M67" s="527"/>
      <c r="N67" s="524"/>
      <c r="O67" s="527"/>
      <c r="P67" s="539"/>
      <c r="Q67" s="899"/>
      <c r="R67" s="932"/>
      <c r="S67" s="793"/>
      <c r="Y67" s="1031"/>
    </row>
    <row r="68" spans="1:25" ht="11.4" customHeight="1">
      <c r="A68" s="788"/>
      <c r="B68" s="894"/>
      <c r="C68" s="884"/>
      <c r="D68" s="697" t="s">
        <v>66</v>
      </c>
      <c r="E68" s="527"/>
      <c r="F68" s="524"/>
      <c r="G68" s="527"/>
      <c r="H68" s="524"/>
      <c r="I68" s="527"/>
      <c r="J68" s="524"/>
      <c r="K68" s="527"/>
      <c r="L68" s="524"/>
      <c r="M68" s="527"/>
      <c r="N68" s="524"/>
      <c r="O68" s="527"/>
      <c r="P68" s="539"/>
      <c r="Q68" s="899"/>
      <c r="R68" s="932"/>
      <c r="S68" s="793"/>
      <c r="Y68" s="969"/>
    </row>
    <row r="69" spans="1:25" ht="11.4" customHeight="1">
      <c r="A69" s="788"/>
      <c r="B69" s="894"/>
      <c r="C69" s="884"/>
      <c r="D69" s="1354" t="s">
        <v>172</v>
      </c>
      <c r="E69" s="527"/>
      <c r="F69" s="524"/>
      <c r="G69" s="527"/>
      <c r="H69" s="524"/>
      <c r="I69" s="527"/>
      <c r="J69" s="524"/>
      <c r="K69" s="527"/>
      <c r="L69" s="524"/>
      <c r="M69" s="527"/>
      <c r="N69" s="524"/>
      <c r="O69" s="527"/>
      <c r="P69" s="539"/>
      <c r="Q69" s="899"/>
      <c r="R69" s="932"/>
      <c r="S69" s="793"/>
      <c r="Y69" s="969"/>
    </row>
    <row r="70" spans="1:25" ht="11.4" customHeight="1">
      <c r="A70" s="788"/>
      <c r="B70" s="894"/>
      <c r="C70" s="884"/>
      <c r="D70" s="2110" t="s">
        <v>64</v>
      </c>
      <c r="E70" s="527"/>
      <c r="F70" s="524"/>
      <c r="G70" s="527"/>
      <c r="H70" s="524"/>
      <c r="I70" s="527"/>
      <c r="J70" s="524"/>
      <c r="K70" s="527"/>
      <c r="L70" s="524"/>
      <c r="M70" s="527"/>
      <c r="N70" s="524"/>
      <c r="O70" s="527"/>
      <c r="P70" s="539"/>
      <c r="Q70" s="899"/>
      <c r="R70" s="932"/>
      <c r="S70" s="793"/>
      <c r="Y70" s="969"/>
    </row>
    <row r="71" spans="1:25" ht="11.4" customHeight="1">
      <c r="A71" s="788"/>
      <c r="B71" s="894"/>
      <c r="C71" s="884"/>
      <c r="D71" s="1354" t="s">
        <v>63</v>
      </c>
      <c r="E71" s="527"/>
      <c r="F71" s="524"/>
      <c r="G71" s="527"/>
      <c r="H71" s="524"/>
      <c r="I71" s="527"/>
      <c r="J71" s="524"/>
      <c r="K71" s="527"/>
      <c r="L71" s="524"/>
      <c r="M71" s="527"/>
      <c r="N71" s="524"/>
      <c r="O71" s="527"/>
      <c r="P71" s="539"/>
      <c r="Q71" s="899"/>
      <c r="R71" s="932"/>
      <c r="S71" s="793"/>
      <c r="Y71" s="969"/>
    </row>
    <row r="72" spans="1:25" ht="11.4" customHeight="1">
      <c r="A72" s="788"/>
      <c r="B72" s="894"/>
      <c r="C72" s="884"/>
      <c r="D72" s="2110" t="s">
        <v>62</v>
      </c>
      <c r="E72" s="527"/>
      <c r="F72" s="524"/>
      <c r="G72" s="527"/>
      <c r="H72" s="524"/>
      <c r="I72" s="527"/>
      <c r="J72" s="524"/>
      <c r="K72" s="527">
        <v>1</v>
      </c>
      <c r="L72" s="524"/>
      <c r="M72" s="527"/>
      <c r="N72" s="524"/>
      <c r="O72" s="527"/>
      <c r="P72" s="539"/>
      <c r="Q72" s="899"/>
      <c r="R72" s="932"/>
      <c r="S72" s="793"/>
      <c r="Y72" s="969"/>
    </row>
    <row r="73" spans="1:25" ht="11.4" customHeight="1">
      <c r="A73" s="788"/>
      <c r="B73" s="894"/>
      <c r="C73" s="884"/>
      <c r="D73" s="1353" t="s">
        <v>61</v>
      </c>
      <c r="E73" s="528"/>
      <c r="F73" s="525"/>
      <c r="G73" s="528">
        <v>1</v>
      </c>
      <c r="H73" s="525"/>
      <c r="I73" s="528">
        <v>2</v>
      </c>
      <c r="J73" s="525"/>
      <c r="K73" s="528"/>
      <c r="L73" s="525"/>
      <c r="M73" s="528">
        <v>1</v>
      </c>
      <c r="N73" s="525"/>
      <c r="O73" s="528">
        <v>1</v>
      </c>
      <c r="P73" s="547"/>
      <c r="Q73" s="899"/>
      <c r="R73" s="932"/>
      <c r="S73" s="793"/>
      <c r="Y73" s="969"/>
    </row>
    <row r="74" spans="1:25" ht="12.9" customHeight="1">
      <c r="A74" s="788"/>
      <c r="B74" s="894"/>
      <c r="C74" s="884"/>
      <c r="D74" s="980" t="s">
        <v>28</v>
      </c>
      <c r="E74" s="981">
        <f t="shared" ref="E74:P74" si="0">SUM(E64:E73)+SUM(E60:E62)+SUM(E57:E58)+SUM(E44:E55)+SUM(E41:E42)+SUM(E36:E39)+SUM(E31:E34)+SUM(E27:E29)+SUM(E21:E25)+SUM(E13:E19)+SUM(E11)</f>
        <v>4</v>
      </c>
      <c r="F74" s="982">
        <f t="shared" si="0"/>
        <v>2</v>
      </c>
      <c r="G74" s="981">
        <f t="shared" si="0"/>
        <v>13</v>
      </c>
      <c r="H74" s="982">
        <f t="shared" si="0"/>
        <v>9</v>
      </c>
      <c r="I74" s="981">
        <f t="shared" si="0"/>
        <v>4</v>
      </c>
      <c r="J74" s="982">
        <f t="shared" si="0"/>
        <v>1</v>
      </c>
      <c r="K74" s="981">
        <f t="shared" si="0"/>
        <v>2</v>
      </c>
      <c r="L74" s="982">
        <f t="shared" si="0"/>
        <v>0</v>
      </c>
      <c r="M74" s="981">
        <f t="shared" si="0"/>
        <v>5</v>
      </c>
      <c r="N74" s="982">
        <f t="shared" si="0"/>
        <v>2</v>
      </c>
      <c r="O74" s="981">
        <f t="shared" si="0"/>
        <v>1</v>
      </c>
      <c r="P74" s="983">
        <f t="shared" si="0"/>
        <v>0</v>
      </c>
      <c r="Q74" s="873"/>
      <c r="R74" s="872"/>
      <c r="S74" s="793"/>
      <c r="Y74" s="969"/>
    </row>
    <row r="75" spans="1:25" ht="2.1" customHeight="1" thickBot="1">
      <c r="A75" s="788"/>
      <c r="B75" s="894"/>
      <c r="C75" s="885"/>
      <c r="D75" s="886"/>
      <c r="E75" s="933"/>
      <c r="F75" s="933"/>
      <c r="G75" s="933"/>
      <c r="H75" s="933"/>
      <c r="I75" s="933"/>
      <c r="J75" s="933"/>
      <c r="K75" s="933"/>
      <c r="L75" s="933"/>
      <c r="M75" s="933"/>
      <c r="N75" s="933"/>
      <c r="O75" s="933"/>
      <c r="P75" s="933"/>
      <c r="Q75" s="889"/>
      <c r="R75" s="872"/>
      <c r="S75" s="793"/>
      <c r="Y75" s="969"/>
    </row>
    <row r="76" spans="1:25" ht="12" customHeight="1" thickBot="1">
      <c r="A76" s="788"/>
      <c r="B76" s="896"/>
      <c r="C76" s="4399">
        <v>35</v>
      </c>
      <c r="D76" s="4399"/>
      <c r="E76" s="4399"/>
      <c r="F76" s="4399"/>
      <c r="G76" s="4399"/>
      <c r="H76" s="4399"/>
      <c r="I76" s="4399"/>
      <c r="J76" s="4399"/>
      <c r="K76" s="4399"/>
      <c r="L76" s="4399"/>
      <c r="M76" s="4399"/>
      <c r="N76" s="4399"/>
      <c r="O76" s="4399"/>
      <c r="P76" s="4399"/>
      <c r="Q76" s="4399"/>
      <c r="R76" s="875"/>
      <c r="S76" s="793"/>
      <c r="Y76" s="969"/>
    </row>
    <row r="77" spans="1:25" ht="14.1" customHeight="1">
      <c r="A77" s="788"/>
      <c r="B77" s="1027" t="str">
        <f>'صفحة الدفتـر'!$B$68</f>
        <v>السنة الدراسية  2022 - 2023</v>
      </c>
      <c r="C77" s="789"/>
      <c r="D77" s="789"/>
      <c r="E77" s="789"/>
      <c r="F77" s="789"/>
      <c r="G77" s="789"/>
      <c r="H77" s="789"/>
      <c r="I77" s="789"/>
      <c r="J77" s="789"/>
      <c r="K77" s="789"/>
      <c r="L77" s="789"/>
      <c r="M77" s="789"/>
      <c r="N77" s="789"/>
      <c r="O77" s="789"/>
      <c r="P77" s="789"/>
      <c r="Q77" s="789"/>
      <c r="R77" s="789"/>
      <c r="S77" s="789"/>
      <c r="T77" s="969"/>
      <c r="U77" s="969"/>
      <c r="V77" s="969"/>
      <c r="W77" s="969"/>
      <c r="X77" s="969"/>
      <c r="Y77" s="969"/>
    </row>
  </sheetData>
  <sheetProtection password="D8D3" sheet="1" objects="1" scenarios="1"/>
  <mergeCells count="17">
    <mergeCell ref="C76:Q76"/>
    <mergeCell ref="D20:P20"/>
    <mergeCell ref="M9:N9"/>
    <mergeCell ref="O9:P9"/>
    <mergeCell ref="D63:P63"/>
    <mergeCell ref="D59:P59"/>
    <mergeCell ref="D56:P56"/>
    <mergeCell ref="D43:P43"/>
    <mergeCell ref="D40:P40"/>
    <mergeCell ref="D35:P35"/>
    <mergeCell ref="D30:P30"/>
    <mergeCell ref="D26:P26"/>
    <mergeCell ref="E9:F9"/>
    <mergeCell ref="G9:H9"/>
    <mergeCell ref="I9:J9"/>
    <mergeCell ref="K9:L9"/>
    <mergeCell ref="D12:P12"/>
  </mergeCells>
  <conditionalFormatting sqref="E11 G11 I11 K11 M11 O11 E22:E25 G22:G25 I22:I25 K22:K25 M22:M25 O22:O25 E27:E29 G27:G29 I27:I29 K27:K29 M27:M29 O27:O29 E31:E34 G31:G34 I31:I34 K31:K34 M31:M34 O31:O34 E38:E39 G38:G39 I38:I39 K38:K39 M38:M39 O38:O39 E42 G42 I42 K42 M42 O42 E44:E55 G44:G55 I44:I55 K44:K55 M44:M55 O44:O55 E57:E58 G57:G58 I57:I58 K57:K58 M57:M58 O57:O58 E60:E62 G60:G62 I60:I62 K60:K62 M60:M62 O60:O62 E64:E73 G64:G73 I64:I73 K64:K73 M64:M73 O64:O73 E13:E19 G13:G19 I13:I19 K13:K19 M13:M19 O13:O19">
    <cfRule type="cellIs" dxfId="182" priority="59" stopIfTrue="1" operator="equal">
      <formula>0</formula>
    </cfRule>
  </conditionalFormatting>
  <conditionalFormatting sqref="F11 H11 J11 L11 N11 P11">
    <cfRule type="cellIs" dxfId="181" priority="57" stopIfTrue="1" operator="greaterThan">
      <formula>E11</formula>
    </cfRule>
    <cfRule type="cellIs" dxfId="180" priority="58" stopIfTrue="1" operator="equal">
      <formula>0</formula>
    </cfRule>
  </conditionalFormatting>
  <conditionalFormatting sqref="F13:F17 H13:H17 J13:J17 L13:L17 N13:N17 P13:P17">
    <cfRule type="cellIs" dxfId="179" priority="54" stopIfTrue="1" operator="greaterThan">
      <formula>E13</formula>
    </cfRule>
    <cfRule type="cellIs" dxfId="178" priority="55" stopIfTrue="1" operator="equal">
      <formula>0</formula>
    </cfRule>
  </conditionalFormatting>
  <conditionalFormatting sqref="H22:H23 J22:J23 L22:L23 N22:N23 P22:P23 F22:F23 P18:P19 N18:N19 L18:L19 J18:J19 H18:H19 F18:F19">
    <cfRule type="cellIs" dxfId="177" priority="51" stopIfTrue="1" operator="greaterThan">
      <formula>E18</formula>
    </cfRule>
    <cfRule type="cellIs" dxfId="176" priority="52" stopIfTrue="1" operator="equal">
      <formula>0</formula>
    </cfRule>
  </conditionalFormatting>
  <conditionalFormatting sqref="F22:F25 H22:H25 J22:J25 L22:L25 N22:N25 P22:P25">
    <cfRule type="cellIs" dxfId="175" priority="48" stopIfTrue="1" operator="greaterThan">
      <formula>E22</formula>
    </cfRule>
    <cfRule type="cellIs" dxfId="174" priority="49" stopIfTrue="1" operator="equal">
      <formula>0</formula>
    </cfRule>
  </conditionalFormatting>
  <conditionalFormatting sqref="F27:F29 H27:H29 J27:J29 L27:L29 N27:N29 P27:P29">
    <cfRule type="cellIs" dxfId="173" priority="45" stopIfTrue="1" operator="greaterThan">
      <formula>E27</formula>
    </cfRule>
    <cfRule type="cellIs" dxfId="172" priority="46" stopIfTrue="1" operator="equal">
      <formula>0</formula>
    </cfRule>
  </conditionalFormatting>
  <conditionalFormatting sqref="F31:F34 H31:H34 J31:J34 L31:L34 N31:N34 P31:P34">
    <cfRule type="cellIs" dxfId="171" priority="42" stopIfTrue="1" operator="greaterThan">
      <formula>E31</formula>
    </cfRule>
    <cfRule type="cellIs" dxfId="170" priority="43" stopIfTrue="1" operator="equal">
      <formula>0</formula>
    </cfRule>
  </conditionalFormatting>
  <conditionalFormatting sqref="F38:F39 H38:H39 J38:J39 L38:L39 N38:N39 P38:P39">
    <cfRule type="cellIs" dxfId="169" priority="39" stopIfTrue="1" operator="greaterThan">
      <formula>E38</formula>
    </cfRule>
    <cfRule type="cellIs" dxfId="168" priority="40" stopIfTrue="1" operator="equal">
      <formula>0</formula>
    </cfRule>
  </conditionalFormatting>
  <conditionalFormatting sqref="F42 H42 J42 L42 N42 P42">
    <cfRule type="cellIs" dxfId="167" priority="36" stopIfTrue="1" operator="greaterThan">
      <formula>E42</formula>
    </cfRule>
    <cfRule type="cellIs" dxfId="166" priority="37" stopIfTrue="1" operator="equal">
      <formula>0</formula>
    </cfRule>
  </conditionalFormatting>
  <conditionalFormatting sqref="F44:F46 H44:H46 J44:J46 L44:L46 N44:N46 P44:P46">
    <cfRule type="cellIs" dxfId="165" priority="33" stopIfTrue="1" operator="greaterThan">
      <formula>E44</formula>
    </cfRule>
    <cfRule type="cellIs" dxfId="164" priority="34" stopIfTrue="1" operator="equal">
      <formula>0</formula>
    </cfRule>
  </conditionalFormatting>
  <conditionalFormatting sqref="F47:F51 H47:H51 J47:J51 L47:L51 N47:N51 P47:P51">
    <cfRule type="cellIs" dxfId="163" priority="30" stopIfTrue="1" operator="greaterThan">
      <formula>E47</formula>
    </cfRule>
    <cfRule type="cellIs" dxfId="162" priority="31" stopIfTrue="1" operator="equal">
      <formula>0</formula>
    </cfRule>
  </conditionalFormatting>
  <conditionalFormatting sqref="F52:F55 H52:H55 J52:J55 L52:L55 N52:N55 P52:P55">
    <cfRule type="cellIs" dxfId="161" priority="27" stopIfTrue="1" operator="greaterThan">
      <formula>E52</formula>
    </cfRule>
    <cfRule type="cellIs" dxfId="160" priority="28" stopIfTrue="1" operator="equal">
      <formula>0</formula>
    </cfRule>
  </conditionalFormatting>
  <conditionalFormatting sqref="F57:F58 H57:H58 J57:J58 L57:L58 N57:N58 P57:P58">
    <cfRule type="cellIs" dxfId="159" priority="24" stopIfTrue="1" operator="greaterThan">
      <formula>E57</formula>
    </cfRule>
    <cfRule type="cellIs" dxfId="158" priority="25" stopIfTrue="1" operator="equal">
      <formula>0</formula>
    </cfRule>
  </conditionalFormatting>
  <conditionalFormatting sqref="F60:F62 H60:H62 J60:J62 L60:L62 N60:N62 P60:P62">
    <cfRule type="cellIs" dxfId="157" priority="21" stopIfTrue="1" operator="greaterThan">
      <formula>E60</formula>
    </cfRule>
    <cfRule type="cellIs" dxfId="156" priority="22" stopIfTrue="1" operator="equal">
      <formula>0</formula>
    </cfRule>
  </conditionalFormatting>
  <conditionalFormatting sqref="F64:F73 H64:H73 J64:J73 L64:L73 N64:N73 P64:P73">
    <cfRule type="cellIs" dxfId="155" priority="18" stopIfTrue="1" operator="greaterThan">
      <formula>E64</formula>
    </cfRule>
    <cfRule type="cellIs" dxfId="154" priority="19" stopIfTrue="1" operator="equal">
      <formula>0</formula>
    </cfRule>
  </conditionalFormatting>
  <conditionalFormatting sqref="E74 G74 I74 K74 M74 O74">
    <cfRule type="cellIs" dxfId="153" priority="17" stopIfTrue="1" operator="equal">
      <formula>0</formula>
    </cfRule>
  </conditionalFormatting>
  <conditionalFormatting sqref="F74 H74 J74 L74 N74 P74">
    <cfRule type="cellIs" dxfId="152" priority="15" stopIfTrue="1" operator="greaterThan">
      <formula>E74</formula>
    </cfRule>
    <cfRule type="cellIs" dxfId="151" priority="16" stopIfTrue="1" operator="equal">
      <formula>0</formula>
    </cfRule>
  </conditionalFormatting>
  <conditionalFormatting sqref="E21 G21 I21 K21 M21 O21">
    <cfRule type="cellIs" dxfId="150" priority="14" stopIfTrue="1" operator="equal">
      <formula>0</formula>
    </cfRule>
  </conditionalFormatting>
  <conditionalFormatting sqref="H21 J21 L21 N21 P21 F21">
    <cfRule type="cellIs" dxfId="149" priority="12" stopIfTrue="1" operator="greaterThan">
      <formula>E21</formula>
    </cfRule>
    <cfRule type="cellIs" dxfId="148" priority="13" stopIfTrue="1" operator="equal">
      <formula>0</formula>
    </cfRule>
  </conditionalFormatting>
  <conditionalFormatting sqref="F21 H21 J21 L21 N21 P21">
    <cfRule type="cellIs" dxfId="147" priority="10" stopIfTrue="1" operator="greaterThan">
      <formula>E21</formula>
    </cfRule>
    <cfRule type="cellIs" dxfId="146" priority="11" stopIfTrue="1" operator="equal">
      <formula>0</formula>
    </cfRule>
  </conditionalFormatting>
  <conditionalFormatting sqref="E37 G37 I37 K37 M37 O37">
    <cfRule type="cellIs" dxfId="145" priority="9" stopIfTrue="1" operator="equal">
      <formula>0</formula>
    </cfRule>
  </conditionalFormatting>
  <conditionalFormatting sqref="F37 H37 J37 L37 N37 P37">
    <cfRule type="cellIs" dxfId="144" priority="7" stopIfTrue="1" operator="greaterThan">
      <formula>E37</formula>
    </cfRule>
    <cfRule type="cellIs" dxfId="143" priority="8" stopIfTrue="1" operator="equal">
      <formula>0</formula>
    </cfRule>
  </conditionalFormatting>
  <conditionalFormatting sqref="E36 G36 I36 K36 M36 O36">
    <cfRule type="cellIs" dxfId="142" priority="6" stopIfTrue="1" operator="equal">
      <formula>0</formula>
    </cfRule>
  </conditionalFormatting>
  <conditionalFormatting sqref="F36 H36 J36 L36 N36 P36">
    <cfRule type="cellIs" dxfId="141" priority="4" stopIfTrue="1" operator="greaterThan">
      <formula>E36</formula>
    </cfRule>
    <cfRule type="cellIs" dxfId="140" priority="5" stopIfTrue="1" operator="equal">
      <formula>0</formula>
    </cfRule>
  </conditionalFormatting>
  <conditionalFormatting sqref="E41 G41 I41 K41 M41 O41">
    <cfRule type="cellIs" dxfId="139" priority="3" stopIfTrue="1" operator="equal">
      <formula>0</formula>
    </cfRule>
  </conditionalFormatting>
  <conditionalFormatting sqref="F41 H41 J41 L41 N41 P41">
    <cfRule type="cellIs" dxfId="138" priority="1" stopIfTrue="1" operator="greaterThan">
      <formula>E41</formula>
    </cfRule>
    <cfRule type="cellIs" dxfId="137" priority="2" stopIfTrue="1" operator="equal">
      <formula>0</formula>
    </cfRule>
  </conditionalFormatting>
  <dataValidations count="11">
    <dataValidation type="whole" operator="greaterThanOrEqual" allowBlank="1" showInputMessage="1" showErrorMessage="1" errorTitle="مدير المتوسطة" error="ضع المعلومة في الخانة المناسبة" sqref="E11:P11">
      <formula1>0</formula1>
    </dataValidation>
    <dataValidation type="whole" operator="greaterThanOrEqual" allowBlank="1" showInputMessage="1" showErrorMessage="1" errorTitle="الموظفين العاملين بالإدارة" error="ضع المعلومات المناسبة  وفق السن المطلوب" sqref="E27:P29">
      <formula1>0</formula1>
    </dataValidation>
    <dataValidation type="whole" operator="greaterThanOrEqual" allowBlank="1" showInputMessage="1" showErrorMessage="1" errorTitle="موظفو المصالح الإقتصادية" error="ضع المعلومات المناسبة  وفق السن المطلوب" sqref="E21:P25 E18:P19">
      <formula1>0</formula1>
    </dataValidation>
    <dataValidation type="whole" operator="greaterThanOrEqual" allowBlank="1" showInputMessage="1" showErrorMessage="1" errorTitle="موظفين بالإدارة متابعة التربوية" error="ضع المعلومات المناسبة  وفق السن المطلوب" sqref="E13:P17">
      <formula1>0</formula1>
    </dataValidation>
    <dataValidation type="whole" operator="greaterThanOrEqual" allowBlank="1" showInputMessage="1" showErrorMessage="1" errorTitle="موظفو المخابر" error="ضع المعلومات المناسبة  وفق السن المطلوب" sqref="E31:P34">
      <formula1>0</formula1>
    </dataValidation>
    <dataValidation type="whole" operator="greaterThanOrEqual" allowBlank="1" showInputMessage="1" showErrorMessage="1" errorTitle="موظفو الصحة" error="ضع المعلومات المناسبة  وفق السن المطلوب" sqref="E36:P39">
      <formula1>0</formula1>
    </dataValidation>
    <dataValidation type="whole" operator="greaterThanOrEqual" allowBlank="1" showInputMessage="1" showErrorMessage="1" errorTitle="الموظفين المهنيين" error="ضع المعلومات المناسبة  وفق السن المطلوب" sqref="E44:P55">
      <formula1>0</formula1>
    </dataValidation>
    <dataValidation type="whole" operator="greaterThanOrEqual" allowBlank="1" showInputMessage="1" showErrorMessage="1" errorTitle="أعوان الوقاية و الأمن" error="ضع المعلومات المناسبة  وفق السن المطلوب" sqref="E57:P58">
      <formula1>0</formula1>
    </dataValidation>
    <dataValidation type="whole" operator="greaterThanOrEqual" allowBlank="1" showInputMessage="1" showErrorMessage="1" errorTitle="سائقو السيارات" error="ضع المعلومات المناسبة  وفق السن المطلوب" sqref="E60:P62">
      <formula1>0</formula1>
    </dataValidation>
    <dataValidation type="whole" operator="greaterThanOrEqual" allowBlank="1" showInputMessage="1" showErrorMessage="1" errorTitle="العمال المهنيين" error="ضع المعلومات المناسبة  وفق السن المطلوب" sqref="E64:P74">
      <formula1>0</formula1>
    </dataValidation>
    <dataValidation type="whole" operator="greaterThanOrEqual" allowBlank="1" showInputMessage="1" showErrorMessage="1" errorTitle="موظفو الثوثيق" error="ضع المعلومات المناسبة  وفق السن المطلوب" sqref="E41:P42">
      <formula1>0</formula1>
    </dataValidation>
  </dataValidations>
  <printOptions horizontalCentered="1" verticalCentered="1"/>
  <pageMargins left="0.19685039370078741" right="0.19685039370078741" top="0.19685039370078741" bottom="0.19685039370078741" header="0" footer="0.31496062992125984"/>
  <pageSetup paperSize="9" orientation="portrait" r:id="rId1"/>
  <headerFooter>
    <oddFooter xml:space="preserve">&amp;R&amp;"-,Gras"&amp;8&amp;K00-033Echamil V.08   &amp;F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4">
    <tabColor rgb="FFFFC000"/>
  </sheetPr>
  <dimension ref="A1:IU109"/>
  <sheetViews>
    <sheetView showGridLines="0" rightToLeft="1" zoomScaleNormal="100" workbookViewId="0">
      <selection activeCell="N54" sqref="N54"/>
    </sheetView>
  </sheetViews>
  <sheetFormatPr baseColWidth="10" defaultColWidth="0" defaultRowHeight="14.4" zeroHeight="1"/>
  <cols>
    <col min="1" max="1" width="2.6640625" customWidth="1"/>
    <col min="2" max="2" width="1.6640625" customWidth="1"/>
    <col min="3" max="3" width="7.6640625" customWidth="1"/>
    <col min="4" max="4" width="12.6640625" customWidth="1"/>
    <col min="5" max="5" width="5.109375" customWidth="1"/>
    <col min="6" max="6" width="2.109375" customWidth="1"/>
    <col min="7" max="7" width="5.109375" customWidth="1"/>
    <col min="8" max="8" width="2.109375" customWidth="1"/>
    <col min="9" max="9" width="5.6640625" customWidth="1"/>
    <col min="10" max="10" width="6.6640625" customWidth="1"/>
    <col min="11" max="11" width="3.109375" customWidth="1"/>
    <col min="12" max="13" width="2.109375" customWidth="1"/>
    <col min="14" max="15" width="3.6640625" customWidth="1"/>
    <col min="16" max="16" width="2.109375" customWidth="1"/>
    <col min="17" max="17" width="3.6640625" customWidth="1"/>
    <col min="18" max="18" width="2.109375" customWidth="1"/>
    <col min="19" max="19" width="5.6640625" customWidth="1"/>
    <col min="20" max="20" width="7.33203125" customWidth="1"/>
    <col min="21" max="21" width="2.6640625" customWidth="1"/>
    <col min="22" max="22" width="2.109375" customWidth="1"/>
    <col min="23" max="23" width="4.88671875" customWidth="1"/>
    <col min="24" max="24" width="2.109375" customWidth="1"/>
    <col min="25" max="25" width="0.88671875" customWidth="1"/>
    <col min="26" max="26" width="1.6640625" customWidth="1"/>
    <col min="27" max="27" width="2.6640625" customWidth="1"/>
    <col min="28" max="28" width="20.33203125" style="1041" customWidth="1"/>
    <col min="29" max="29" width="0.88671875" style="1041" customWidth="1"/>
    <col min="30" max="30" width="22.109375" style="1041" customWidth="1"/>
    <col min="31" max="31" width="1.6640625" style="1041" customWidth="1"/>
    <col min="32" max="32" width="24.6640625" style="1041" customWidth="1"/>
    <col min="33" max="33" width="1.6640625" style="1041" customWidth="1"/>
    <col min="34" max="34" width="23.5546875" style="1041" customWidth="1"/>
    <col min="35" max="35" width="8" customWidth="1"/>
    <col min="36" max="255" width="0" hidden="1" customWidth="1"/>
    <col min="256" max="16384" width="5.44140625" hidden="1"/>
  </cols>
  <sheetData>
    <row r="1" spans="1:35" ht="25.5" customHeight="1" thickBot="1">
      <c r="A1" s="703"/>
      <c r="B1" s="825"/>
      <c r="C1" s="1019" t="s">
        <v>693</v>
      </c>
      <c r="D1" s="825"/>
      <c r="E1" s="825"/>
      <c r="F1" s="825"/>
      <c r="G1" s="825"/>
      <c r="H1" s="825"/>
      <c r="I1" s="825"/>
      <c r="J1" s="825"/>
      <c r="K1" s="825"/>
      <c r="L1" s="825"/>
      <c r="M1" s="825"/>
      <c r="N1" s="825"/>
      <c r="O1" s="825"/>
      <c r="P1" s="825"/>
      <c r="Q1" s="825"/>
      <c r="R1" s="825"/>
      <c r="S1" s="825"/>
      <c r="T1" s="825"/>
      <c r="U1" s="825"/>
      <c r="V1" s="825"/>
      <c r="W1" s="825"/>
      <c r="X1" s="825"/>
      <c r="Y1" s="825"/>
      <c r="Z1" s="825"/>
      <c r="AA1" s="703"/>
      <c r="AB1" s="3674" t="s">
        <v>1470</v>
      </c>
      <c r="AC1" s="3126"/>
      <c r="AD1" s="1630"/>
      <c r="AE1" s="3127"/>
      <c r="AF1" s="3309">
        <v>2022</v>
      </c>
      <c r="AG1" s="4010">
        <f>+AF1+1</f>
        <v>2023</v>
      </c>
      <c r="AH1" s="4010"/>
      <c r="AI1" s="1761"/>
    </row>
    <row r="2" spans="1:35" ht="8.1" customHeight="1" thickBot="1">
      <c r="A2" s="703"/>
      <c r="B2" s="727"/>
      <c r="C2" s="728"/>
      <c r="D2" s="728"/>
      <c r="E2" s="728"/>
      <c r="F2" s="728"/>
      <c r="G2" s="728"/>
      <c r="H2" s="728"/>
      <c r="I2" s="728"/>
      <c r="J2" s="728"/>
      <c r="K2" s="728"/>
      <c r="L2" s="728"/>
      <c r="M2" s="728"/>
      <c r="N2" s="728"/>
      <c r="O2" s="728"/>
      <c r="P2" s="728"/>
      <c r="Q2" s="728"/>
      <c r="R2" s="728"/>
      <c r="S2" s="728"/>
      <c r="T2" s="728"/>
      <c r="U2" s="728"/>
      <c r="V2" s="728"/>
      <c r="W2" s="728"/>
      <c r="X2" s="728"/>
      <c r="Y2" s="728"/>
      <c r="Z2" s="729"/>
      <c r="AA2" s="705"/>
      <c r="AB2" s="4032" t="s">
        <v>603</v>
      </c>
      <c r="AC2" s="4032"/>
      <c r="AD2" s="4032"/>
      <c r="AE2" s="4032"/>
      <c r="AF2" s="4032"/>
      <c r="AG2" s="4032"/>
      <c r="AH2" s="4032"/>
      <c r="AI2" s="705"/>
    </row>
    <row r="3" spans="1:35" ht="8.1" customHeight="1">
      <c r="A3" s="703"/>
      <c r="B3" s="719"/>
      <c r="C3" s="3849" t="s">
        <v>7</v>
      </c>
      <c r="D3" s="3850"/>
      <c r="E3" s="3850"/>
      <c r="F3" s="3850"/>
      <c r="G3" s="3850"/>
      <c r="H3" s="3850"/>
      <c r="I3" s="3851"/>
      <c r="J3" s="7"/>
      <c r="K3" s="7"/>
      <c r="L3" s="7"/>
      <c r="M3" s="7"/>
      <c r="N3" s="1"/>
      <c r="O3" s="3828" t="s">
        <v>868</v>
      </c>
      <c r="P3" s="3971"/>
      <c r="Q3" s="3971"/>
      <c r="R3" s="3971"/>
      <c r="S3" s="3971"/>
      <c r="T3" s="3971"/>
      <c r="U3" s="3971"/>
      <c r="V3" s="3971"/>
      <c r="W3" s="3971"/>
      <c r="X3" s="3971"/>
      <c r="Y3" s="3972"/>
      <c r="Z3" s="730"/>
      <c r="AA3" s="705"/>
      <c r="AB3" s="4032"/>
      <c r="AC3" s="4032"/>
      <c r="AD3" s="4032"/>
      <c r="AE3" s="4032"/>
      <c r="AF3" s="4032"/>
      <c r="AG3" s="4032"/>
      <c r="AH3" s="4032"/>
      <c r="AI3" s="705"/>
    </row>
    <row r="4" spans="1:35" ht="12.9" customHeight="1">
      <c r="A4" s="703"/>
      <c r="B4" s="731"/>
      <c r="C4" s="3852"/>
      <c r="D4" s="3853"/>
      <c r="E4" s="3853"/>
      <c r="F4" s="3853"/>
      <c r="G4" s="3853"/>
      <c r="H4" s="3853"/>
      <c r="I4" s="3854"/>
      <c r="J4" s="7"/>
      <c r="K4" s="7"/>
      <c r="L4" s="7"/>
      <c r="M4" s="7"/>
      <c r="N4" s="1"/>
      <c r="O4" s="3973"/>
      <c r="P4" s="3974"/>
      <c r="Q4" s="3974"/>
      <c r="R4" s="3974"/>
      <c r="S4" s="3974"/>
      <c r="T4" s="3974"/>
      <c r="U4" s="3974"/>
      <c r="V4" s="3974"/>
      <c r="W4" s="3974"/>
      <c r="X4" s="3974"/>
      <c r="Y4" s="3975"/>
      <c r="Z4" s="730"/>
      <c r="AA4" s="705"/>
      <c r="AB4" s="4032"/>
      <c r="AC4" s="4032"/>
      <c r="AD4" s="4032"/>
      <c r="AE4" s="4032"/>
      <c r="AF4" s="4032"/>
      <c r="AG4" s="4032"/>
      <c r="AH4" s="4032"/>
      <c r="AI4" s="705"/>
    </row>
    <row r="5" spans="1:35" ht="14.1" customHeight="1" thickBot="1">
      <c r="A5" s="703"/>
      <c r="B5" s="732"/>
      <c r="C5" s="3949" t="s">
        <v>5</v>
      </c>
      <c r="D5" s="3950"/>
      <c r="E5" s="3950"/>
      <c r="F5" s="3950"/>
      <c r="G5" s="3950"/>
      <c r="H5" s="3950"/>
      <c r="I5" s="3951"/>
      <c r="J5" s="7"/>
      <c r="K5" s="7"/>
      <c r="L5" s="7"/>
      <c r="M5" s="7"/>
      <c r="N5" s="1"/>
      <c r="O5" s="3973"/>
      <c r="P5" s="3974"/>
      <c r="Q5" s="3974"/>
      <c r="R5" s="3974"/>
      <c r="S5" s="3974"/>
      <c r="T5" s="3974"/>
      <c r="U5" s="3974"/>
      <c r="V5" s="3974"/>
      <c r="W5" s="3974"/>
      <c r="X5" s="3974"/>
      <c r="Y5" s="3975"/>
      <c r="Z5" s="730"/>
      <c r="AA5" s="706"/>
      <c r="AB5" s="4032"/>
      <c r="AC5" s="4032"/>
      <c r="AD5" s="4032"/>
      <c r="AE5" s="4032"/>
      <c r="AF5" s="4032"/>
      <c r="AG5" s="4032"/>
      <c r="AH5" s="4032"/>
      <c r="AI5" s="706"/>
    </row>
    <row r="6" spans="1:35" ht="12.9" customHeight="1" thickTop="1">
      <c r="A6" s="703"/>
      <c r="B6" s="732"/>
      <c r="C6" s="3958" t="s">
        <v>1468</v>
      </c>
      <c r="D6" s="3959"/>
      <c r="E6" s="3959"/>
      <c r="F6" s="3959"/>
      <c r="G6" s="3959"/>
      <c r="H6" s="3959"/>
      <c r="I6" s="3960"/>
      <c r="J6" s="7"/>
      <c r="K6" s="7"/>
      <c r="L6" s="7"/>
      <c r="M6" s="7"/>
      <c r="N6" s="1"/>
      <c r="O6" s="3973"/>
      <c r="P6" s="3974"/>
      <c r="Q6" s="3974"/>
      <c r="R6" s="3974"/>
      <c r="S6" s="3974"/>
      <c r="T6" s="3974"/>
      <c r="U6" s="3974"/>
      <c r="V6" s="3974"/>
      <c r="W6" s="3974"/>
      <c r="X6" s="3974"/>
      <c r="Y6" s="3975"/>
      <c r="Z6" s="730"/>
      <c r="AA6" s="706"/>
      <c r="AB6" s="4023" t="s">
        <v>1365</v>
      </c>
      <c r="AC6" s="4024"/>
      <c r="AD6" s="4024"/>
      <c r="AE6" s="4024"/>
      <c r="AF6" s="4024"/>
      <c r="AG6" s="4024"/>
      <c r="AH6" s="4025"/>
      <c r="AI6" s="706"/>
    </row>
    <row r="7" spans="1:35" ht="8.1" customHeight="1" thickBot="1">
      <c r="A7" s="703"/>
      <c r="B7" s="732"/>
      <c r="C7" s="3961"/>
      <c r="D7" s="3962"/>
      <c r="E7" s="3962"/>
      <c r="F7" s="3962"/>
      <c r="G7" s="3962"/>
      <c r="H7" s="3962"/>
      <c r="I7" s="3963"/>
      <c r="J7" s="7"/>
      <c r="K7" s="7"/>
      <c r="L7" s="7"/>
      <c r="M7" s="7"/>
      <c r="N7" s="1"/>
      <c r="O7" s="3976"/>
      <c r="P7" s="3977"/>
      <c r="Q7" s="3977"/>
      <c r="R7" s="3977"/>
      <c r="S7" s="3977"/>
      <c r="T7" s="3977"/>
      <c r="U7" s="3977"/>
      <c r="V7" s="3977"/>
      <c r="W7" s="3977"/>
      <c r="X7" s="3977"/>
      <c r="Y7" s="3978"/>
      <c r="Z7" s="717"/>
      <c r="AA7" s="703"/>
      <c r="AB7" s="4026"/>
      <c r="AC7" s="4027"/>
      <c r="AD7" s="4027"/>
      <c r="AE7" s="4027"/>
      <c r="AF7" s="4027"/>
      <c r="AG7" s="4027"/>
      <c r="AH7" s="4028"/>
      <c r="AI7" s="703"/>
    </row>
    <row r="8" spans="1:35" ht="9.9" customHeight="1" thickBot="1">
      <c r="A8" s="703"/>
      <c r="B8" s="732"/>
      <c r="C8" s="9"/>
      <c r="D8" s="9"/>
      <c r="E8" s="9"/>
      <c r="F8" s="9"/>
      <c r="G8" s="9"/>
      <c r="H8" s="9"/>
      <c r="I8" s="9"/>
      <c r="J8" s="9"/>
      <c r="K8" s="9"/>
      <c r="L8" s="9"/>
      <c r="M8" s="9"/>
      <c r="N8" s="9"/>
      <c r="O8" s="9"/>
      <c r="P8" s="9"/>
      <c r="Q8" s="8"/>
      <c r="R8" s="8"/>
      <c r="S8" s="8"/>
      <c r="T8" s="8"/>
      <c r="U8" s="8"/>
      <c r="V8" s="8"/>
      <c r="W8" s="8"/>
      <c r="X8" s="8"/>
      <c r="Y8" s="8"/>
      <c r="Z8" s="717"/>
      <c r="AA8" s="703"/>
      <c r="AB8" s="4026"/>
      <c r="AC8" s="4027"/>
      <c r="AD8" s="4027"/>
      <c r="AE8" s="4027"/>
      <c r="AF8" s="4027"/>
      <c r="AG8" s="4027"/>
      <c r="AH8" s="4028"/>
      <c r="AI8" s="703"/>
    </row>
    <row r="9" spans="1:35" ht="10.5" customHeight="1">
      <c r="A9" s="703"/>
      <c r="B9" s="732"/>
      <c r="C9" s="8"/>
      <c r="D9" s="8"/>
      <c r="E9" s="8"/>
      <c r="F9" s="8"/>
      <c r="G9" s="8"/>
      <c r="H9" s="8"/>
      <c r="I9" s="3964" t="s">
        <v>4</v>
      </c>
      <c r="J9" s="3965"/>
      <c r="K9" s="3965"/>
      <c r="L9" s="3965"/>
      <c r="M9" s="3965"/>
      <c r="N9" s="3965"/>
      <c r="O9" s="3966"/>
      <c r="P9" s="8"/>
      <c r="Q9" s="8"/>
      <c r="R9" s="8"/>
      <c r="Y9" s="8"/>
      <c r="Z9" s="717"/>
      <c r="AA9" s="703"/>
      <c r="AB9" s="4026"/>
      <c r="AC9" s="4027"/>
      <c r="AD9" s="4027"/>
      <c r="AE9" s="4027"/>
      <c r="AF9" s="4027"/>
      <c r="AG9" s="4027"/>
      <c r="AH9" s="4028"/>
      <c r="AI9" s="703"/>
    </row>
    <row r="10" spans="1:35" ht="12.9" customHeight="1" thickBot="1">
      <c r="A10" s="703"/>
      <c r="B10" s="732"/>
      <c r="C10" s="8"/>
      <c r="D10" s="8"/>
      <c r="E10" s="8"/>
      <c r="F10" s="8"/>
      <c r="G10" s="8"/>
      <c r="H10" s="8"/>
      <c r="I10" s="3967"/>
      <c r="J10" s="3968"/>
      <c r="K10" s="3968"/>
      <c r="L10" s="3968"/>
      <c r="M10" s="3968"/>
      <c r="N10" s="3968"/>
      <c r="O10" s="3969"/>
      <c r="P10" s="8"/>
      <c r="Q10" s="8"/>
      <c r="R10" s="8"/>
      <c r="S10" s="8"/>
      <c r="T10" s="8"/>
      <c r="U10" s="8"/>
      <c r="V10" s="8"/>
      <c r="W10" s="8"/>
      <c r="X10" s="8"/>
      <c r="Y10" s="8"/>
      <c r="Z10" s="717"/>
      <c r="AA10" s="703"/>
      <c r="AB10" s="4026"/>
      <c r="AC10" s="4027"/>
      <c r="AD10" s="4027"/>
      <c r="AE10" s="4027"/>
      <c r="AF10" s="4027"/>
      <c r="AG10" s="4027"/>
      <c r="AH10" s="4028"/>
      <c r="AI10" s="703"/>
    </row>
    <row r="11" spans="1:35" ht="12.9" customHeight="1">
      <c r="A11" s="703"/>
      <c r="B11" s="732"/>
      <c r="C11" s="1839" t="s">
        <v>775</v>
      </c>
      <c r="D11" s="3970"/>
      <c r="E11" s="3970"/>
      <c r="F11" s="8"/>
      <c r="G11" s="8"/>
      <c r="H11" s="8"/>
      <c r="I11" s="7"/>
      <c r="J11" s="3952" t="s">
        <v>692</v>
      </c>
      <c r="K11" s="3953"/>
      <c r="L11" s="3953"/>
      <c r="M11" s="3954"/>
      <c r="N11" s="8"/>
      <c r="O11" s="8"/>
      <c r="P11" s="8"/>
      <c r="Q11" s="8"/>
      <c r="R11" s="8"/>
      <c r="S11" s="8"/>
      <c r="T11" s="3955"/>
      <c r="U11" s="3956"/>
      <c r="V11" s="3956"/>
      <c r="W11" s="3956"/>
      <c r="X11" s="3957"/>
      <c r="Y11" s="8"/>
      <c r="Z11" s="717"/>
      <c r="AA11" s="703"/>
      <c r="AB11" s="4026"/>
      <c r="AC11" s="4027"/>
      <c r="AD11" s="4027"/>
      <c r="AE11" s="4027"/>
      <c r="AF11" s="4027"/>
      <c r="AG11" s="4027"/>
      <c r="AH11" s="4028"/>
      <c r="AI11" s="703"/>
    </row>
    <row r="12" spans="1:35" ht="8.1" customHeight="1" thickBot="1">
      <c r="A12" s="703"/>
      <c r="B12" s="732"/>
      <c r="C12" s="8"/>
      <c r="D12" s="8"/>
      <c r="E12" s="8"/>
      <c r="F12" s="8"/>
      <c r="G12" s="8"/>
      <c r="H12" s="8"/>
      <c r="I12" s="8"/>
      <c r="J12" s="8"/>
      <c r="K12" s="8"/>
      <c r="L12" s="8"/>
      <c r="M12" s="8"/>
      <c r="N12" s="8"/>
      <c r="O12" s="8"/>
      <c r="P12" s="8"/>
      <c r="Q12" s="8"/>
      <c r="R12" s="8"/>
      <c r="S12" s="8"/>
      <c r="T12" s="8"/>
      <c r="U12" s="8"/>
      <c r="V12" s="8"/>
      <c r="W12" s="8"/>
      <c r="X12" s="8"/>
      <c r="Y12" s="8"/>
      <c r="Z12" s="717"/>
      <c r="AA12" s="706"/>
      <c r="AB12" s="4026"/>
      <c r="AC12" s="4027"/>
      <c r="AD12" s="4027"/>
      <c r="AE12" s="4027"/>
      <c r="AF12" s="4027"/>
      <c r="AG12" s="4027"/>
      <c r="AH12" s="4028"/>
      <c r="AI12" s="706"/>
    </row>
    <row r="13" spans="1:35" ht="6" customHeight="1">
      <c r="A13" s="703"/>
      <c r="B13" s="732"/>
      <c r="C13" s="828"/>
      <c r="D13" s="713"/>
      <c r="E13" s="713"/>
      <c r="F13" s="713"/>
      <c r="G13" s="713"/>
      <c r="H13" s="713"/>
      <c r="I13" s="713"/>
      <c r="J13" s="713"/>
      <c r="K13" s="713"/>
      <c r="L13" s="713"/>
      <c r="M13" s="713"/>
      <c r="N13" s="713"/>
      <c r="O13" s="713"/>
      <c r="P13" s="713"/>
      <c r="Q13" s="713"/>
      <c r="R13" s="713"/>
      <c r="S13" s="713"/>
      <c r="T13" s="713"/>
      <c r="U13" s="713"/>
      <c r="V13" s="713"/>
      <c r="W13" s="713"/>
      <c r="X13" s="713"/>
      <c r="Y13" s="829"/>
      <c r="Z13" s="717"/>
      <c r="AA13" s="703"/>
      <c r="AB13" s="2591"/>
      <c r="AC13" s="2592"/>
      <c r="AD13" s="2592"/>
      <c r="AE13" s="2592"/>
      <c r="AF13" s="2592"/>
      <c r="AG13" s="2592"/>
      <c r="AH13" s="2593"/>
      <c r="AI13" s="703"/>
    </row>
    <row r="14" spans="1:35" ht="12.9" customHeight="1">
      <c r="A14" s="703"/>
      <c r="B14" s="732"/>
      <c r="C14" s="2005" t="s">
        <v>1456</v>
      </c>
      <c r="D14" s="775"/>
      <c r="E14" s="775"/>
      <c r="F14" s="775"/>
      <c r="G14" s="775"/>
      <c r="H14" s="1016"/>
      <c r="I14" s="2195"/>
      <c r="J14" s="1761"/>
      <c r="K14" s="1761"/>
      <c r="L14" s="1761"/>
      <c r="M14" s="1761"/>
      <c r="N14" s="2194" t="s">
        <v>601</v>
      </c>
      <c r="O14" s="3979">
        <v>4300</v>
      </c>
      <c r="P14" s="3980"/>
      <c r="Q14" s="3314">
        <f>$O$14</f>
        <v>4300</v>
      </c>
      <c r="R14" s="3313"/>
      <c r="S14" s="1580"/>
      <c r="T14" s="1761"/>
      <c r="U14" s="1761"/>
      <c r="V14" s="1761"/>
      <c r="W14" s="1761"/>
      <c r="X14" s="1761"/>
      <c r="Y14" s="1800"/>
      <c r="Z14" s="717"/>
      <c r="AA14" s="703"/>
      <c r="AB14" s="2916" t="s">
        <v>661</v>
      </c>
      <c r="AC14" s="2594"/>
      <c r="AD14" s="4029" t="str">
        <f>IF(($Q$14&gt;0),"الأمير عبد القادر ","")</f>
        <v xml:space="preserve">الأمير عبد القادر </v>
      </c>
      <c r="AE14" s="4030"/>
      <c r="AF14" s="4030"/>
      <c r="AG14" s="4031"/>
      <c r="AH14" s="2914" t="s">
        <v>659</v>
      </c>
      <c r="AI14" s="703"/>
    </row>
    <row r="15" spans="1:35" ht="3.9" customHeight="1">
      <c r="A15" s="703"/>
      <c r="B15" s="732"/>
      <c r="C15" s="719"/>
      <c r="D15" s="8"/>
      <c r="E15" s="8"/>
      <c r="F15" s="8"/>
      <c r="G15" s="8"/>
      <c r="H15" s="8"/>
      <c r="I15" s="8"/>
      <c r="J15" s="8"/>
      <c r="K15" s="8"/>
      <c r="L15" s="8"/>
      <c r="M15" s="8"/>
      <c r="N15" s="8"/>
      <c r="O15" s="8"/>
      <c r="P15" s="520"/>
      <c r="Q15" s="7"/>
      <c r="R15" s="520"/>
      <c r="S15" s="520"/>
      <c r="T15" s="520"/>
      <c r="U15" s="520"/>
      <c r="V15" s="520"/>
      <c r="W15" s="520"/>
      <c r="X15" s="520"/>
      <c r="Y15" s="717"/>
      <c r="Z15" s="717"/>
      <c r="AA15" s="703"/>
      <c r="AB15" s="2595"/>
      <c r="AC15" s="2594"/>
      <c r="AD15" s="2594"/>
      <c r="AE15" s="2594"/>
      <c r="AF15" s="2594"/>
      <c r="AG15" s="2594"/>
      <c r="AH15" s="2596"/>
      <c r="AI15" s="703"/>
    </row>
    <row r="16" spans="1:35" ht="17.100000000000001" customHeight="1" thickBot="1">
      <c r="A16" s="703"/>
      <c r="B16" s="732"/>
      <c r="C16" s="2142"/>
      <c r="D16" s="2145" t="s">
        <v>1231</v>
      </c>
      <c r="E16" s="3918" t="s">
        <v>1472</v>
      </c>
      <c r="F16" s="3919"/>
      <c r="G16" s="3919"/>
      <c r="H16" s="3919"/>
      <c r="I16" s="3919"/>
      <c r="J16" s="3920"/>
      <c r="K16" s="2969" t="str">
        <f>IF(($Q$14&gt;0),IF((E16=""),"تسمية",IF((E16&lt;&gt;""),"","تسمية")),"")</f>
        <v/>
      </c>
      <c r="L16" s="1801"/>
      <c r="M16" s="1801"/>
      <c r="N16" s="1801"/>
      <c r="O16" s="1801"/>
      <c r="P16" s="1758"/>
      <c r="Q16" s="1802"/>
      <c r="R16" s="1758"/>
      <c r="S16" s="1836" t="s">
        <v>685</v>
      </c>
      <c r="T16" s="3922">
        <v>4372</v>
      </c>
      <c r="U16" s="3923"/>
      <c r="V16" s="3923"/>
      <c r="W16" s="3923"/>
      <c r="X16" s="3924"/>
      <c r="Y16" s="734"/>
      <c r="Z16" s="717"/>
      <c r="AA16" s="703"/>
      <c r="AB16" s="2917" t="s">
        <v>661</v>
      </c>
      <c r="AC16" s="2597"/>
      <c r="AD16" s="4020" t="str">
        <f>IF(($Q$14&gt;0),"متوسطة الأمـيــر عبــــد القــــادر  الجزائر ","")</f>
        <v xml:space="preserve">متوسطة الأمـيــر عبــــد القــــادر  الجزائر </v>
      </c>
      <c r="AE16" s="4021"/>
      <c r="AF16" s="4021"/>
      <c r="AG16" s="4022"/>
      <c r="AH16" s="2915" t="s">
        <v>660</v>
      </c>
      <c r="AI16" s="703"/>
    </row>
    <row r="17" spans="1:35" ht="3.9" customHeight="1" thickTop="1">
      <c r="A17" s="703"/>
      <c r="B17" s="732"/>
      <c r="C17" s="831"/>
      <c r="D17" s="519"/>
      <c r="E17" s="519"/>
      <c r="F17" s="519"/>
      <c r="G17" s="519"/>
      <c r="H17" s="519"/>
      <c r="I17" s="519"/>
      <c r="J17" s="519"/>
      <c r="K17" s="1802"/>
      <c r="L17" s="1802"/>
      <c r="M17" s="1802"/>
      <c r="N17" s="1802"/>
      <c r="O17" s="1802"/>
      <c r="P17" s="1802"/>
      <c r="Q17" s="1802"/>
      <c r="R17" s="1802"/>
      <c r="S17" s="1802"/>
      <c r="T17" s="519"/>
      <c r="U17" s="519"/>
      <c r="V17" s="519"/>
      <c r="W17" s="519"/>
      <c r="X17" s="519"/>
      <c r="Y17" s="832"/>
      <c r="Z17" s="717"/>
      <c r="AA17" s="703"/>
      <c r="AB17" s="2598"/>
      <c r="AC17" s="2598"/>
      <c r="AD17" s="2598"/>
      <c r="AE17" s="2598"/>
      <c r="AF17" s="2598"/>
      <c r="AG17" s="2598"/>
      <c r="AH17" s="2598"/>
      <c r="AI17" s="703"/>
    </row>
    <row r="18" spans="1:35" ht="12.9" customHeight="1">
      <c r="A18" s="703"/>
      <c r="B18" s="732"/>
      <c r="C18" s="1830" t="s">
        <v>776</v>
      </c>
      <c r="D18" s="775"/>
      <c r="E18" s="826"/>
      <c r="F18" s="826"/>
      <c r="G18" s="3875" t="s">
        <v>1473</v>
      </c>
      <c r="H18" s="3876"/>
      <c r="I18" s="3876"/>
      <c r="J18" s="3948"/>
      <c r="K18" s="2970" t="str">
        <f>IF(($Q$14&gt;0),IF((G18=""),"البلدية",IF((G18&lt;&gt;""),"","البلدية")),"")</f>
        <v/>
      </c>
      <c r="L18" s="1760"/>
      <c r="M18" s="1760"/>
      <c r="N18" s="1760"/>
      <c r="O18" s="1760"/>
      <c r="P18" s="1534"/>
      <c r="Q18" s="1803"/>
      <c r="R18" s="1534"/>
      <c r="S18" s="1837" t="s">
        <v>684</v>
      </c>
      <c r="T18" s="3991">
        <v>24170</v>
      </c>
      <c r="U18" s="3993"/>
      <c r="V18" s="3993"/>
      <c r="W18" s="3991"/>
      <c r="X18" s="3992"/>
      <c r="Y18" s="830"/>
      <c r="Z18" s="717"/>
      <c r="AA18" s="703"/>
      <c r="AB18" s="3988" t="s">
        <v>604</v>
      </c>
      <c r="AC18" s="2598">
        <f>I14</f>
        <v>0</v>
      </c>
      <c r="AD18" s="3925" t="str">
        <f>IF(Q14&lt;1," ضرورة وضع رقم تسلسلي مطابق لرقم الدفـتـر"," ")</f>
        <v xml:space="preserve"> </v>
      </c>
      <c r="AE18" s="3926"/>
      <c r="AF18" s="3926"/>
      <c r="AG18" s="3926"/>
      <c r="AH18" s="3927"/>
      <c r="AI18" s="703"/>
    </row>
    <row r="19" spans="1:35" ht="3.9" customHeight="1">
      <c r="A19" s="703"/>
      <c r="B19" s="732"/>
      <c r="C19" s="831"/>
      <c r="D19" s="509"/>
      <c r="E19" s="509"/>
      <c r="F19" s="509"/>
      <c r="G19" s="509"/>
      <c r="H19" s="509"/>
      <c r="I19" s="509"/>
      <c r="J19" s="509"/>
      <c r="K19" s="509"/>
      <c r="L19" s="7"/>
      <c r="M19" s="509"/>
      <c r="N19" s="509"/>
      <c r="O19" s="509"/>
      <c r="P19" s="509"/>
      <c r="Q19" s="509"/>
      <c r="R19" s="509"/>
      <c r="S19" s="509"/>
      <c r="T19" s="509"/>
      <c r="U19" s="509"/>
      <c r="V19" s="509"/>
      <c r="W19" s="509"/>
      <c r="X19" s="509"/>
      <c r="Y19" s="833"/>
      <c r="Z19" s="717"/>
      <c r="AA19" s="703"/>
      <c r="AB19" s="3989"/>
      <c r="AC19" s="2598"/>
      <c r="AD19" s="3928"/>
      <c r="AE19" s="3929"/>
      <c r="AF19" s="3929"/>
      <c r="AG19" s="3929"/>
      <c r="AH19" s="3930"/>
      <c r="AI19" s="703"/>
    </row>
    <row r="20" spans="1:35" ht="17.100000000000001" customHeight="1">
      <c r="A20" s="703"/>
      <c r="B20" s="732"/>
      <c r="C20" s="1835" t="s">
        <v>600</v>
      </c>
      <c r="D20" s="508"/>
      <c r="G20" s="3875" t="s">
        <v>1474</v>
      </c>
      <c r="H20" s="3876"/>
      <c r="I20" s="3876"/>
      <c r="J20" s="3877"/>
      <c r="K20" s="2969" t="str">
        <f>IF(($Q$14&gt;0),IF((G20=""),"عنوان",IF((G20&lt;&gt;""),"","عنوان")),"")</f>
        <v/>
      </c>
      <c r="S20" s="1838" t="s">
        <v>880</v>
      </c>
      <c r="T20" s="3994" t="s">
        <v>1476</v>
      </c>
      <c r="U20" s="3995"/>
      <c r="V20" s="3995"/>
      <c r="W20" s="3995"/>
      <c r="X20" s="3996"/>
      <c r="Y20" s="1759"/>
      <c r="Z20" s="717"/>
      <c r="AA20" s="703"/>
      <c r="AB20" s="3990"/>
      <c r="AC20" s="2598"/>
      <c r="AD20" s="3931"/>
      <c r="AE20" s="3932"/>
      <c r="AF20" s="3932"/>
      <c r="AG20" s="3932"/>
      <c r="AH20" s="3933"/>
      <c r="AI20" s="703"/>
    </row>
    <row r="21" spans="1:35" ht="3.9" customHeight="1" thickBot="1">
      <c r="A21" s="703"/>
      <c r="B21" s="732"/>
      <c r="C21" s="834"/>
      <c r="D21" s="519"/>
      <c r="E21" s="519"/>
      <c r="F21" s="519"/>
      <c r="G21" s="519"/>
      <c r="H21" s="519"/>
      <c r="I21" s="519"/>
      <c r="J21" s="519"/>
      <c r="K21" s="519"/>
      <c r="L21" s="519"/>
      <c r="M21" s="519"/>
      <c r="N21" s="519"/>
      <c r="O21" s="519"/>
      <c r="P21" s="519"/>
      <c r="Q21" s="519"/>
      <c r="R21" s="519"/>
      <c r="S21" s="519"/>
      <c r="T21" s="519"/>
      <c r="U21" s="519"/>
      <c r="V21" s="519"/>
      <c r="W21" s="519"/>
      <c r="X21" s="519"/>
      <c r="Y21" s="832"/>
      <c r="Z21" s="717"/>
      <c r="AA21" s="703"/>
      <c r="AB21" s="1032"/>
      <c r="AC21" s="1032"/>
      <c r="AD21" s="1032"/>
      <c r="AE21" s="1032"/>
      <c r="AF21" s="1032"/>
      <c r="AG21" s="1032"/>
      <c r="AH21" s="1032"/>
      <c r="AI21" s="703"/>
    </row>
    <row r="22" spans="1:35" ht="15" customHeight="1" thickBot="1">
      <c r="A22" s="703"/>
      <c r="B22" s="732"/>
      <c r="C22" s="2143"/>
      <c r="D22" s="508"/>
      <c r="F22" s="2144" t="s">
        <v>1230</v>
      </c>
      <c r="G22" s="3870">
        <v>4071</v>
      </c>
      <c r="H22" s="3871"/>
      <c r="I22" s="3871"/>
      <c r="J22" s="3872"/>
      <c r="K22" s="3894" t="s">
        <v>599</v>
      </c>
      <c r="L22" s="3895"/>
      <c r="M22" s="3896"/>
      <c r="N22" s="3881">
        <v>32522907</v>
      </c>
      <c r="O22" s="3882"/>
      <c r="P22" s="3882"/>
      <c r="Q22" s="3882"/>
      <c r="R22" s="1029">
        <v>0</v>
      </c>
      <c r="S22" s="492" t="s">
        <v>889</v>
      </c>
      <c r="T22" s="3881">
        <v>32522907</v>
      </c>
      <c r="U22" s="3882"/>
      <c r="V22" s="3882"/>
      <c r="W22" s="3882"/>
      <c r="X22" s="3934"/>
      <c r="Y22" s="734"/>
      <c r="Z22" s="733"/>
      <c r="AA22" s="707"/>
      <c r="AB22" s="2599"/>
      <c r="AC22" s="2599"/>
      <c r="AD22" s="2599"/>
      <c r="AE22" s="2599"/>
      <c r="AF22" s="2918" t="s">
        <v>1366</v>
      </c>
      <c r="AG22" s="2600"/>
      <c r="AH22" s="2599"/>
      <c r="AI22" s="707"/>
    </row>
    <row r="23" spans="1:35" ht="3.9" customHeight="1">
      <c r="A23" s="703"/>
      <c r="B23" s="732"/>
      <c r="C23" s="836"/>
      <c r="D23" s="512"/>
      <c r="E23" s="479"/>
      <c r="F23" s="479"/>
      <c r="G23" s="479"/>
      <c r="H23" s="479"/>
      <c r="I23" s="468"/>
      <c r="J23" s="468"/>
      <c r="K23" s="468"/>
      <c r="L23" s="468"/>
      <c r="M23" s="479"/>
      <c r="N23" s="468"/>
      <c r="O23" s="468"/>
      <c r="P23" s="468"/>
      <c r="Q23" s="509"/>
      <c r="R23" s="509"/>
      <c r="S23" s="479"/>
      <c r="T23" s="468"/>
      <c r="U23" s="468"/>
      <c r="V23" s="468"/>
      <c r="W23" s="479"/>
      <c r="X23" s="479"/>
      <c r="Y23" s="733"/>
      <c r="Z23" s="733"/>
      <c r="AA23" s="708"/>
      <c r="AB23" s="2601"/>
      <c r="AC23" s="2601"/>
      <c r="AD23" s="2601"/>
      <c r="AE23" s="2601"/>
      <c r="AF23" s="2601"/>
      <c r="AG23" s="2601"/>
      <c r="AH23" s="2601"/>
      <c r="AI23" s="708"/>
    </row>
    <row r="24" spans="1:35" ht="17.100000000000001" customHeight="1">
      <c r="A24" s="703"/>
      <c r="B24" s="732"/>
      <c r="C24" s="3212"/>
      <c r="D24" s="3213" t="s">
        <v>1373</v>
      </c>
      <c r="E24" s="3878" t="s">
        <v>1475</v>
      </c>
      <c r="F24" s="3879"/>
      <c r="G24" s="3879"/>
      <c r="H24" s="3879"/>
      <c r="I24" s="3879"/>
      <c r="J24" s="3880"/>
      <c r="K24" s="2969" t="str">
        <f>IF(($Q$14&gt;0),IF((E24=""),"إسم المدير(ة)",IF((E24&lt;&gt;""),"","إسم المدير(ة)")),"")</f>
        <v/>
      </c>
      <c r="L24" s="1385"/>
      <c r="M24" s="1762"/>
      <c r="N24" s="1610"/>
      <c r="O24" s="1610"/>
      <c r="P24" s="1610"/>
      <c r="Q24" s="1385"/>
      <c r="S24" s="1690"/>
      <c r="T24" s="3945" t="s">
        <v>884</v>
      </c>
      <c r="U24" s="3946"/>
      <c r="V24" s="3946"/>
      <c r="W24" s="3946"/>
      <c r="X24" s="3947"/>
      <c r="Y24" s="1756"/>
      <c r="Z24" s="733"/>
      <c r="AA24" s="707"/>
      <c r="AB24" s="3937" t="str">
        <f>IF(($Q$14&gt;0),IF((AE24&gt;0),(""),"  ضع 1 لتحديد الوسـط الذي توجد فيه المتوسطة "),(""))</f>
        <v/>
      </c>
      <c r="AC24" s="3938"/>
      <c r="AD24" s="3939"/>
      <c r="AE24" s="2921">
        <f>V26+V28+V30</f>
        <v>1</v>
      </c>
      <c r="AF24" s="2922" t="str">
        <f>IF(($Q$14&gt;0),IF(((V26+V28+V30)&gt;0),(IF(((V26+V28+V30)&lt;&gt;1),("خطء حـدد الوسـط"),"")),""),"")</f>
        <v/>
      </c>
      <c r="AG24" s="2923"/>
      <c r="AH24" s="2924" t="str">
        <f>IF(($Q$14&gt;0),IF((T16="")," رقـم التعريـف الوطني",""),(""))</f>
        <v/>
      </c>
      <c r="AI24" s="707"/>
    </row>
    <row r="25" spans="1:35" ht="5.0999999999999996" customHeight="1" thickBot="1">
      <c r="A25" s="703"/>
      <c r="B25" s="732"/>
      <c r="C25" s="836"/>
      <c r="D25" s="512"/>
      <c r="E25" s="518"/>
      <c r="F25" s="518"/>
      <c r="G25" s="518"/>
      <c r="H25" s="518"/>
      <c r="I25" s="478"/>
      <c r="J25" s="511"/>
      <c r="K25" s="511"/>
      <c r="L25" s="513"/>
      <c r="M25" s="517"/>
      <c r="N25" s="511"/>
      <c r="O25" s="511"/>
      <c r="P25" s="511"/>
      <c r="Q25" s="514"/>
      <c r="R25" s="516"/>
      <c r="S25" s="515"/>
      <c r="T25" s="1781"/>
      <c r="U25" s="761"/>
      <c r="V25" s="761"/>
      <c r="W25" s="1506"/>
      <c r="X25" s="1779"/>
      <c r="Y25" s="733"/>
      <c r="Z25" s="733"/>
      <c r="AA25" s="707"/>
      <c r="AB25" s="2919"/>
      <c r="AC25" s="2919"/>
      <c r="AD25" s="2925"/>
      <c r="AE25" s="2925"/>
      <c r="AF25" s="2919"/>
      <c r="AG25" s="2919"/>
      <c r="AH25" s="2919"/>
      <c r="AI25" s="707"/>
    </row>
    <row r="26" spans="1:35" ht="12.9" customHeight="1" thickBot="1">
      <c r="A26" s="703"/>
      <c r="B26" s="732"/>
      <c r="C26" s="837"/>
      <c r="D26" s="3863" t="s">
        <v>882</v>
      </c>
      <c r="E26" s="1780"/>
      <c r="F26" s="1780"/>
      <c r="G26" s="1795" t="s">
        <v>783</v>
      </c>
      <c r="H26" s="1642"/>
      <c r="I26" s="3319">
        <f>IF((($H$28+$H$30+$H$32+$H$34+$H$36)&gt;=1),(1),(2))</f>
        <v>1</v>
      </c>
      <c r="K26" s="2939" t="s">
        <v>883</v>
      </c>
      <c r="L26" s="2940"/>
      <c r="M26" s="2940"/>
      <c r="N26" s="2941"/>
      <c r="O26" s="2942"/>
      <c r="P26" s="2942"/>
      <c r="Q26" s="2943"/>
      <c r="S26" s="513"/>
      <c r="T26" s="1782"/>
      <c r="U26" s="1621" t="s">
        <v>676</v>
      </c>
      <c r="V26" s="1642">
        <v>1</v>
      </c>
      <c r="W26" s="3940" t="str">
        <f>IF(($Q$14&gt;0),(IF((($V$26+$V$28+$V$30)=0),(IF((($V$26+$V$28+$V$30)=0),"حسب  الوسـط","")),"")),"")</f>
        <v/>
      </c>
      <c r="X26" s="3941"/>
      <c r="Y26" s="3315">
        <f>IF(((V28+V30)&gt;=1),(1),(2))</f>
        <v>2</v>
      </c>
      <c r="Z26" s="733"/>
      <c r="AA26" s="707"/>
      <c r="AB26" s="3937" t="str">
        <f>IF(($Q$14&gt;0),IF((AE26&gt;0),("")," ضع 1 لتحديد نمــط المتوسطة"),(""))</f>
        <v/>
      </c>
      <c r="AC26" s="3938"/>
      <c r="AD26" s="3939"/>
      <c r="AE26" s="2921">
        <f>H28+H30+H32+H26+H34+H36</f>
        <v>1</v>
      </c>
      <c r="AF26" s="2603" t="str">
        <f>IF(($Q$14&gt;0),IF(((H26+H28+H30+H32+H34+H36)&gt;0),(IF(((H26+H28+H30+H32+H34+H36)&lt;&gt;1),("خطء حـدد النمــط"),"")),""),"")</f>
        <v/>
      </c>
      <c r="AG26" s="1024"/>
      <c r="AH26" s="2924" t="str">
        <f>IF(($Q$14&gt;0),IF((T18="")," رقـم حساب الخزيـنـة",""),(""))</f>
        <v/>
      </c>
      <c r="AI26" s="707"/>
    </row>
    <row r="27" spans="1:35" ht="3.9" customHeight="1" thickBot="1">
      <c r="A27" s="703"/>
      <c r="B27" s="732"/>
      <c r="C27" s="838"/>
      <c r="D27" s="3864"/>
      <c r="E27" s="761"/>
      <c r="F27" s="761"/>
      <c r="G27" s="3"/>
      <c r="H27" s="507"/>
      <c r="I27" s="3320"/>
      <c r="K27" s="1772"/>
      <c r="L27" s="508"/>
      <c r="M27" s="488"/>
      <c r="N27" s="507"/>
      <c r="O27" s="500"/>
      <c r="P27" s="500"/>
      <c r="Q27" s="1788"/>
      <c r="R27" s="510"/>
      <c r="S27" s="491"/>
      <c r="T27" s="1772"/>
      <c r="U27" s="2972"/>
      <c r="V27" s="507"/>
      <c r="W27" s="3940"/>
      <c r="X27" s="3941"/>
      <c r="Y27" s="3316"/>
      <c r="Z27" s="733"/>
      <c r="AA27" s="708"/>
      <c r="AB27" s="2923"/>
      <c r="AC27" s="2923"/>
      <c r="AD27" s="2923"/>
      <c r="AE27" s="2923"/>
      <c r="AF27" s="2923"/>
      <c r="AG27" s="2923"/>
      <c r="AH27" s="2923"/>
      <c r="AI27" s="707"/>
    </row>
    <row r="28" spans="1:35" ht="12.9" customHeight="1" thickBot="1">
      <c r="A28" s="703"/>
      <c r="B28" s="732"/>
      <c r="C28" s="1764"/>
      <c r="D28" s="3864"/>
      <c r="E28" s="761"/>
      <c r="F28" s="761"/>
      <c r="G28" s="521" t="s">
        <v>784</v>
      </c>
      <c r="H28" s="1642"/>
      <c r="I28" s="3321">
        <f>IF((($H$26+$H$30+$H$32+$H$34+$H$36)&gt;=1),(1),(2))</f>
        <v>1</v>
      </c>
      <c r="K28" s="3883" t="s">
        <v>881</v>
      </c>
      <c r="L28" s="3884"/>
      <c r="M28" s="3884"/>
      <c r="N28" s="3884"/>
      <c r="O28" s="3884"/>
      <c r="P28" s="1786" t="str">
        <f>IF((L34&lt;L30),"راجع  سنـة الإنشـاء","")</f>
        <v/>
      </c>
      <c r="Q28" s="1804"/>
      <c r="R28" s="1786"/>
      <c r="S28" s="761"/>
      <c r="T28" s="1771"/>
      <c r="U28" s="2973" t="s">
        <v>675</v>
      </c>
      <c r="V28" s="1642"/>
      <c r="W28" s="3940"/>
      <c r="X28" s="3941"/>
      <c r="Y28" s="3315">
        <f>IF(((V26+V30)&gt;=1),(1),(2))</f>
        <v>1</v>
      </c>
      <c r="Z28" s="733"/>
      <c r="AA28" s="708"/>
      <c r="AB28" s="4007" t="str">
        <f>IF(($Q$14&gt;0),IF(((H26+H28+H30+H32+H34)=H36)," (يجب تحديد نمط المتوسطة (نمطية أوغيـر نمطية",""),(""))</f>
        <v/>
      </c>
      <c r="AC28" s="4008"/>
      <c r="AD28" s="4009"/>
      <c r="AE28" s="2923"/>
      <c r="AF28" s="2971" t="str">
        <f>IF(($Q$14&gt;0),IF((G22="")," رقم لدى الديوان الوطني للإمتحانات ",""),(""))</f>
        <v/>
      </c>
      <c r="AG28" s="2919"/>
      <c r="AH28" s="2924" t="str">
        <f>IF(($Q$14&gt;0),IF((G20="")," عنـــوان التوسطة",""),(""))</f>
        <v/>
      </c>
      <c r="AI28" s="707"/>
    </row>
    <row r="29" spans="1:35" ht="3.9" customHeight="1" thickBot="1">
      <c r="A29" s="703"/>
      <c r="B29" s="732"/>
      <c r="C29" s="1704"/>
      <c r="D29" s="1772"/>
      <c r="E29" s="761"/>
      <c r="F29" s="761"/>
      <c r="G29" s="3"/>
      <c r="H29" s="507"/>
      <c r="I29" s="3322"/>
      <c r="K29" s="1787"/>
      <c r="L29" s="508"/>
      <c r="M29" s="488"/>
      <c r="N29" s="507"/>
      <c r="O29" s="508"/>
      <c r="P29" s="508"/>
      <c r="Q29" s="1788"/>
      <c r="R29" s="510"/>
      <c r="S29" s="491"/>
      <c r="T29" s="1772"/>
      <c r="U29" s="2974"/>
      <c r="V29" s="2992"/>
      <c r="W29" s="3940"/>
      <c r="X29" s="3941"/>
      <c r="Y29" s="3317"/>
      <c r="Z29" s="733"/>
      <c r="AA29" s="708"/>
      <c r="AB29" s="2919"/>
      <c r="AC29" s="2919"/>
      <c r="AD29" s="2925"/>
      <c r="AE29" s="2925"/>
      <c r="AF29" s="2925"/>
      <c r="AG29" s="2919"/>
      <c r="AH29" s="2919"/>
      <c r="AI29" s="707"/>
    </row>
    <row r="30" spans="1:35" ht="12.9" customHeight="1" thickBot="1">
      <c r="A30" s="703"/>
      <c r="B30" s="732"/>
      <c r="C30" s="1531"/>
      <c r="D30" s="1789"/>
      <c r="E30" s="761"/>
      <c r="F30" s="761"/>
      <c r="G30" s="1763" t="s">
        <v>785</v>
      </c>
      <c r="H30" s="1642"/>
      <c r="I30" s="3321">
        <f>IF((($H$26+$H$28+$H$32+$H$34+$H$36)&gt;=1),(1),(2))</f>
        <v>1</v>
      </c>
      <c r="K30" s="1789"/>
      <c r="L30" s="3891">
        <v>2001</v>
      </c>
      <c r="M30" s="3892"/>
      <c r="N30" s="3893"/>
      <c r="P30" s="1785"/>
      <c r="Q30" s="1796"/>
      <c r="R30" s="1529"/>
      <c r="S30" s="1690"/>
      <c r="T30" s="1783"/>
      <c r="U30" s="2975" t="s">
        <v>674</v>
      </c>
      <c r="V30" s="1642"/>
      <c r="W30" s="3940"/>
      <c r="X30" s="3941"/>
      <c r="Y30" s="3315">
        <f>IF(((V26+V28)&gt;=1),(1),(2))</f>
        <v>1</v>
      </c>
      <c r="Z30" s="733"/>
      <c r="AA30" s="708"/>
      <c r="AD30" s="2977" t="str">
        <f>IF(($Q$14&gt;0),IF(((H26+H28+H30+H32+H34+H36)&gt;0),(IF(((H26+H28+H30+H32+H34+H36)&lt;&gt;1),("خطء حـدد النمــط"),"")),""),"")</f>
        <v/>
      </c>
      <c r="AG30" s="2923"/>
      <c r="AH30" s="2924" t="str">
        <f>IF(($Q$14&gt;0),IF((N22=""),"هاتـف المتوسطة",""),(""))</f>
        <v/>
      </c>
      <c r="AI30" s="707"/>
    </row>
    <row r="31" spans="1:35" ht="3.9" customHeight="1" thickBot="1">
      <c r="A31" s="703"/>
      <c r="B31" s="732"/>
      <c r="C31" s="1706"/>
      <c r="D31" s="1797"/>
      <c r="E31" s="761"/>
      <c r="F31" s="761"/>
      <c r="G31" s="3"/>
      <c r="H31" s="507"/>
      <c r="I31" s="3323"/>
      <c r="K31" s="1790"/>
      <c r="L31" s="3"/>
      <c r="M31" s="488"/>
      <c r="N31" s="507"/>
      <c r="O31" s="507"/>
      <c r="P31" s="507"/>
      <c r="Q31" s="1770"/>
      <c r="R31" s="491"/>
      <c r="S31" s="488"/>
      <c r="T31" s="1769"/>
      <c r="U31" s="3"/>
      <c r="V31" s="491"/>
      <c r="W31" s="1506"/>
      <c r="X31" s="1779"/>
      <c r="Y31" s="3316"/>
      <c r="Z31" s="733"/>
      <c r="AA31" s="708"/>
      <c r="AB31" s="2919"/>
      <c r="AC31" s="2919"/>
      <c r="AD31" s="2926"/>
      <c r="AE31" s="2925"/>
      <c r="AF31" s="2925"/>
      <c r="AG31" s="2919"/>
      <c r="AH31" s="2919"/>
      <c r="AI31" s="707"/>
    </row>
    <row r="32" spans="1:35" ht="12" customHeight="1" thickBot="1">
      <c r="A32" s="703"/>
      <c r="B32" s="732"/>
      <c r="C32" s="1531"/>
      <c r="D32" s="1771"/>
      <c r="E32" s="761"/>
      <c r="F32" s="761"/>
      <c r="G32" s="522" t="s">
        <v>786</v>
      </c>
      <c r="H32" s="1642"/>
      <c r="I32" s="3321">
        <f>IF((($H$26+$H$28+$H$30+$H$34+$H$36)&gt;=1),(1),(2))</f>
        <v>1</v>
      </c>
      <c r="K32" s="3883" t="s">
        <v>596</v>
      </c>
      <c r="L32" s="3884"/>
      <c r="M32" s="3884"/>
      <c r="N32" s="3884"/>
      <c r="O32" s="3884"/>
      <c r="P32" s="761"/>
      <c r="Q32" s="1768"/>
      <c r="R32" s="761"/>
      <c r="S32" s="761"/>
      <c r="T32" s="3942" t="s">
        <v>885</v>
      </c>
      <c r="U32" s="3943"/>
      <c r="V32" s="3943"/>
      <c r="W32" s="3943"/>
      <c r="X32" s="3944"/>
      <c r="Y32" s="3315"/>
      <c r="Z32" s="733"/>
      <c r="AA32" s="708"/>
      <c r="AB32" s="4004" t="str">
        <f>IF(($Q$14&gt;0),(IF(((V34+V36+V38)&gt;1),(" لا يمكن أن يوجد نظامين في المؤسسة راجع قرار الإنشاء الرسمي"),(""))),"")</f>
        <v/>
      </c>
      <c r="AC32" s="4005"/>
      <c r="AD32" s="4006"/>
      <c r="AE32" s="2923"/>
      <c r="AG32" s="2927"/>
      <c r="AI32" s="708"/>
    </row>
    <row r="33" spans="1:35" ht="3.9" customHeight="1" thickBot="1">
      <c r="A33" s="703"/>
      <c r="B33" s="732"/>
      <c r="C33" s="1704"/>
      <c r="D33" s="1772"/>
      <c r="E33" s="761"/>
      <c r="F33" s="761"/>
      <c r="G33" s="3"/>
      <c r="H33" s="507"/>
      <c r="I33" s="3323"/>
      <c r="K33" s="1769"/>
      <c r="L33" s="3"/>
      <c r="M33" s="3"/>
      <c r="N33" s="507"/>
      <c r="O33" s="507"/>
      <c r="P33" s="507"/>
      <c r="Q33" s="1770"/>
      <c r="R33" s="3"/>
      <c r="S33" s="507"/>
      <c r="T33" s="1769"/>
      <c r="U33" s="3"/>
      <c r="V33" s="3"/>
      <c r="W33" s="507"/>
      <c r="X33" s="1770"/>
      <c r="Y33" s="3318"/>
      <c r="Z33" s="734"/>
      <c r="AA33" s="708"/>
      <c r="AB33" s="2920"/>
      <c r="AC33" s="2920"/>
      <c r="AD33" s="2920"/>
      <c r="AE33" s="2920"/>
      <c r="AF33" s="2920"/>
      <c r="AG33" s="2920"/>
      <c r="AH33" s="2920"/>
      <c r="AI33" s="708"/>
    </row>
    <row r="34" spans="1:35" ht="12.9" customHeight="1" thickBot="1">
      <c r="A34" s="703"/>
      <c r="B34" s="732"/>
      <c r="C34" s="1531"/>
      <c r="D34" s="1771"/>
      <c r="E34" s="761"/>
      <c r="F34" s="761"/>
      <c r="G34" s="521" t="s">
        <v>795</v>
      </c>
      <c r="H34" s="1642">
        <v>1</v>
      </c>
      <c r="I34" s="3321">
        <f>IF((($H$26+$H$28+$H$30+$H$32+$H$36)&gt;=1),(1),(2))</f>
        <v>2</v>
      </c>
      <c r="K34" s="1771"/>
      <c r="L34" s="3891">
        <v>2004</v>
      </c>
      <c r="M34" s="3892"/>
      <c r="N34" s="3893"/>
      <c r="P34" s="1785"/>
      <c r="Q34" s="1805"/>
      <c r="R34" s="761"/>
      <c r="S34" s="761"/>
      <c r="T34" s="1771"/>
      <c r="U34" s="1621" t="s">
        <v>597</v>
      </c>
      <c r="V34" s="1642"/>
      <c r="W34" s="3940" t="str">
        <f>IF(($Q$14&gt;0),(IF((($V$34+$V$36+$V$38)=0),(IF((($V$34+$V$36+$V$38)=0),"حسب  قرار  الإنشاء","")),"")),"")</f>
        <v/>
      </c>
      <c r="X34" s="3941"/>
      <c r="Y34" s="3315">
        <f>IF(((V36+V38)&gt;=1),(1),(2))</f>
        <v>1</v>
      </c>
      <c r="Z34" s="733"/>
      <c r="AA34" s="708"/>
      <c r="AB34" s="2922" t="str">
        <f>IF(($Q$14&gt;0),((IF(((V34+V36+V38)=0)," حدد النظـام الرسمي",IF((V34=0)," ",IF(((V34)=1),""))))),"")</f>
        <v xml:space="preserve"> </v>
      </c>
      <c r="AC34" s="2927"/>
      <c r="AE34" s="2923"/>
      <c r="AG34" s="2928"/>
      <c r="AI34" s="708"/>
    </row>
    <row r="35" spans="1:35" ht="5.0999999999999996" customHeight="1" thickBot="1">
      <c r="A35" s="703"/>
      <c r="B35" s="732"/>
      <c r="C35" s="1709"/>
      <c r="D35" s="1797"/>
      <c r="E35" s="761"/>
      <c r="F35" s="761"/>
      <c r="G35" s="508"/>
      <c r="H35" s="507"/>
      <c r="I35" s="3322"/>
      <c r="K35" s="1791"/>
      <c r="L35" s="1792"/>
      <c r="M35" s="1792"/>
      <c r="N35" s="1793"/>
      <c r="O35" s="1793"/>
      <c r="P35" s="1793"/>
      <c r="Q35" s="1794"/>
      <c r="R35" s="508"/>
      <c r="S35" s="3"/>
      <c r="T35" s="1772"/>
      <c r="U35" s="2974"/>
      <c r="V35" s="507"/>
      <c r="W35" s="3940"/>
      <c r="X35" s="3941"/>
      <c r="Y35" s="3316"/>
      <c r="Z35" s="723"/>
      <c r="AA35" s="708"/>
      <c r="AB35" s="2601"/>
      <c r="AC35" s="2601"/>
      <c r="AD35" s="2601"/>
      <c r="AE35" s="2601"/>
      <c r="AF35" s="2601"/>
      <c r="AG35" s="2601"/>
      <c r="AH35" s="2601"/>
      <c r="AI35" s="708"/>
    </row>
    <row r="36" spans="1:35" ht="12.9" customHeight="1" thickBot="1">
      <c r="A36" s="703"/>
      <c r="B36" s="732"/>
      <c r="C36" s="1710"/>
      <c r="D36" s="1798"/>
      <c r="E36" s="761"/>
      <c r="F36" s="761"/>
      <c r="G36" s="1018" t="s">
        <v>677</v>
      </c>
      <c r="H36" s="1642"/>
      <c r="I36" s="3321">
        <f>IF((($H$26+$H$28+$H$30+$H$32+$H$34)&gt;=1),(1),(2))</f>
        <v>1</v>
      </c>
      <c r="K36" s="2"/>
      <c r="L36" s="2"/>
      <c r="M36" s="2"/>
      <c r="N36" s="2"/>
      <c r="O36" s="2"/>
      <c r="P36" s="2"/>
      <c r="Q36" s="2"/>
      <c r="R36" s="2"/>
      <c r="S36" s="2"/>
      <c r="T36" s="1773"/>
      <c r="U36" s="1542" t="s">
        <v>273</v>
      </c>
      <c r="V36" s="1642">
        <v>1</v>
      </c>
      <c r="W36" s="3940"/>
      <c r="X36" s="3941"/>
      <c r="Y36" s="3315">
        <f>IF(((V34+V38)&gt;=1),(1),(2))</f>
        <v>2</v>
      </c>
      <c r="Z36" s="723"/>
      <c r="AA36" s="708"/>
      <c r="AB36" s="2922" t="str">
        <f>IF(($Q$14&gt;0),((IF(((L30)="")," حدد سنــة البنــاء",IF((L30=0)," ",IF(((L30)&gt;0),""))))),"")</f>
        <v/>
      </c>
      <c r="AE36" s="2606"/>
      <c r="AF36" s="3903" t="s">
        <v>689</v>
      </c>
      <c r="AG36" s="3903"/>
      <c r="AH36" s="3903"/>
      <c r="AI36" s="708"/>
    </row>
    <row r="37" spans="1:35" ht="5.0999999999999996" customHeight="1" thickBot="1">
      <c r="A37" s="703"/>
      <c r="B37" s="732"/>
      <c r="C37" s="1711"/>
      <c r="D37" s="1774"/>
      <c r="E37" s="1"/>
      <c r="F37" s="1"/>
      <c r="G37" s="1"/>
      <c r="H37" s="1"/>
      <c r="I37" s="3324"/>
      <c r="J37" s="1"/>
      <c r="K37" s="1"/>
      <c r="L37" s="1"/>
      <c r="M37" s="1"/>
      <c r="N37" s="1"/>
      <c r="O37" s="1"/>
      <c r="P37" s="1"/>
      <c r="Q37" s="1"/>
      <c r="R37" s="1"/>
      <c r="S37" s="1"/>
      <c r="T37" s="1774"/>
      <c r="U37" s="2976"/>
      <c r="V37" s="2992"/>
      <c r="W37" s="3940"/>
      <c r="X37" s="3941"/>
      <c r="Y37" s="3317"/>
      <c r="Z37" s="723"/>
      <c r="AA37" s="708"/>
      <c r="AE37" s="2606"/>
      <c r="AF37" s="3903"/>
      <c r="AG37" s="3903"/>
      <c r="AH37" s="3903"/>
      <c r="AI37" s="708"/>
    </row>
    <row r="38" spans="1:35" ht="12.9" customHeight="1" thickBot="1">
      <c r="A38" s="703"/>
      <c r="B38" s="732"/>
      <c r="C38" s="1531"/>
      <c r="D38" s="1799"/>
      <c r="E38" s="1832" t="s">
        <v>598</v>
      </c>
      <c r="F38" s="3897">
        <f>IF(((IF((H26=1),360,IF((H28=1),480,IF((H30=1),600,IF((H32=1),720,IF((H34=1),840,IF((H36=1),((K48+K50+K52+I64+(I62/2))*40),0)))))))&gt;0),((IF((H26=1),360,IF((H28=1),480,IF((H30=1),600,IF((H32=1),720,IF((H34=1),840,IF((H36=1),((K48+K50+K52+I64+(I62/2))*40),0)))))))),(0))</f>
        <v>840</v>
      </c>
      <c r="G38" s="3898"/>
      <c r="H38" s="3899"/>
      <c r="I38" s="3325"/>
      <c r="J38" s="761"/>
      <c r="K38" s="761"/>
      <c r="L38" s="761"/>
      <c r="M38" s="761"/>
      <c r="S38" s="761"/>
      <c r="T38" s="1771"/>
      <c r="U38" s="1621" t="s">
        <v>274</v>
      </c>
      <c r="V38" s="1642"/>
      <c r="W38" s="3940"/>
      <c r="X38" s="3941"/>
      <c r="Y38" s="3315">
        <f>IF(((V34+V36)&gt;=1),(1),(2))</f>
        <v>1</v>
      </c>
      <c r="Z38" s="723"/>
      <c r="AA38" s="708"/>
      <c r="AB38" s="2922" t="str">
        <f>IF(($Q$14&gt;0),((IF(((L34)="")," حدد سنـة الإنشـاء",IF((L34=0)," ",IF(((L34)&gt;0),""))))),"")</f>
        <v/>
      </c>
      <c r="AE38" s="2608"/>
      <c r="AF38" s="3903"/>
      <c r="AG38" s="3903"/>
      <c r="AH38" s="3903"/>
      <c r="AI38" s="708"/>
    </row>
    <row r="39" spans="1:35" ht="6" customHeight="1">
      <c r="A39" s="703"/>
      <c r="B39" s="732"/>
      <c r="C39" s="1711"/>
      <c r="D39" s="1"/>
      <c r="E39" s="1"/>
      <c r="F39" s="1"/>
      <c r="G39" s="1"/>
      <c r="H39" s="1"/>
      <c r="I39" s="1"/>
      <c r="J39" s="1"/>
      <c r="K39" s="504"/>
      <c r="L39" s="504"/>
      <c r="M39" s="504"/>
      <c r="N39" s="1"/>
      <c r="O39" s="1"/>
      <c r="P39" s="1"/>
      <c r="Q39" s="1"/>
      <c r="R39" s="1"/>
      <c r="S39" s="504"/>
      <c r="T39" s="1775"/>
      <c r="U39" s="1776"/>
      <c r="V39" s="1776"/>
      <c r="W39" s="1777"/>
      <c r="X39" s="1778"/>
      <c r="Y39" s="3317"/>
      <c r="Z39" s="723"/>
      <c r="AA39" s="708"/>
      <c r="AB39" s="2608"/>
      <c r="AC39" s="2608"/>
      <c r="AD39" s="2608"/>
      <c r="AE39" s="2608"/>
      <c r="AF39" s="2610"/>
      <c r="AG39" s="2607"/>
      <c r="AH39" s="2607"/>
      <c r="AI39" s="708"/>
    </row>
    <row r="40" spans="1:35" ht="12.9" customHeight="1">
      <c r="A40" s="703"/>
      <c r="B40" s="732"/>
      <c r="C40" s="1784" t="s">
        <v>886</v>
      </c>
      <c r="D40" s="1831"/>
      <c r="E40" s="3900">
        <v>568000</v>
      </c>
      <c r="F40" s="3901"/>
      <c r="G40" s="3901"/>
      <c r="H40" s="506" t="s">
        <v>593</v>
      </c>
      <c r="I40" s="1761"/>
      <c r="J40" s="1761"/>
      <c r="K40" s="1761"/>
      <c r="L40" s="1761"/>
      <c r="M40" s="1761"/>
      <c r="N40" s="1580"/>
      <c r="O40" s="1580"/>
      <c r="P40" s="1580"/>
      <c r="Q40" s="1580"/>
      <c r="R40" s="1580"/>
      <c r="S40" s="1580"/>
      <c r="T40" s="1580"/>
      <c r="U40" s="1580"/>
      <c r="V40" s="1580"/>
      <c r="W40" s="1580"/>
      <c r="X40" s="1580"/>
      <c r="Y40" s="1629"/>
      <c r="Z40" s="733"/>
      <c r="AA40" s="708"/>
      <c r="AB40" s="2604" t="str">
        <f>IF(($Q$14&gt;0),((IF((K48=""),"قاعات الدرس التعليـم المتوســط",IF((K48=0)," ",IF((K48&gt;0),""))))),"")</f>
        <v/>
      </c>
      <c r="AC40" s="2629"/>
      <c r="AD40" s="2629"/>
      <c r="AE40" s="2629"/>
      <c r="AF40" s="2922" t="str">
        <f>IF(($Q$14&gt;0),((IF(((E40)="")," حدد مساحة الكلية",IF((E40=0)," ",IF(((E40)&gt;0),""))))),"")</f>
        <v/>
      </c>
      <c r="AG40" s="2629"/>
      <c r="AH40" s="2629"/>
      <c r="AI40" s="708"/>
    </row>
    <row r="41" spans="1:35" ht="3.9" customHeight="1">
      <c r="A41" s="703"/>
      <c r="B41" s="732"/>
      <c r="C41" s="1711"/>
      <c r="D41" s="1"/>
      <c r="E41" s="1"/>
      <c r="F41" s="1"/>
      <c r="G41" s="1701"/>
      <c r="H41" s="1701"/>
      <c r="I41" s="1701"/>
      <c r="J41" s="1701"/>
      <c r="K41" s="1702"/>
      <c r="L41" s="1702"/>
      <c r="M41" s="1702"/>
      <c r="N41" s="1701"/>
      <c r="O41" s="1701"/>
      <c r="P41" s="1701"/>
      <c r="Q41" s="1701"/>
      <c r="R41" s="1701"/>
      <c r="S41" s="1702"/>
      <c r="T41" s="1701"/>
      <c r="U41" s="1701"/>
      <c r="V41" s="1701"/>
      <c r="W41" s="1702"/>
      <c r="X41" s="1702"/>
      <c r="Y41" s="1767"/>
      <c r="Z41" s="723"/>
      <c r="AA41" s="708"/>
      <c r="AB41" s="2629"/>
      <c r="AC41" s="2629"/>
      <c r="AD41" s="2629"/>
      <c r="AE41" s="2629"/>
      <c r="AF41" s="2629"/>
      <c r="AG41" s="2629"/>
      <c r="AH41" s="2629"/>
      <c r="AI41" s="708"/>
    </row>
    <row r="42" spans="1:35" ht="12.9" customHeight="1">
      <c r="A42" s="703"/>
      <c r="B42" s="732"/>
      <c r="C42" s="1707"/>
      <c r="D42" s="500" t="s">
        <v>595</v>
      </c>
      <c r="E42" s="3873">
        <v>368000</v>
      </c>
      <c r="F42" s="3874"/>
      <c r="G42" s="3874"/>
      <c r="H42" s="1817" t="s">
        <v>593</v>
      </c>
      <c r="J42" s="1385"/>
      <c r="K42" s="1385"/>
      <c r="O42" s="1828" t="s">
        <v>592</v>
      </c>
      <c r="P42" s="3914">
        <v>100</v>
      </c>
      <c r="Q42" s="3915"/>
      <c r="R42" s="1818" t="s">
        <v>591</v>
      </c>
      <c r="S42" s="1385"/>
      <c r="T42" s="1757"/>
      <c r="U42" s="1757"/>
      <c r="V42" s="1385"/>
      <c r="W42" s="1385"/>
      <c r="X42" s="1385"/>
      <c r="Y42" s="1756"/>
      <c r="Z42" s="723"/>
      <c r="AA42" s="708"/>
      <c r="AB42" s="2604" t="str">
        <f>IF(($Q$14&gt;0),((IF((K50=""),"ق الدرس ت الإبتـدائي",IF((K50=0)," ",IF((K50&gt;0),""))))),"")</f>
        <v xml:space="preserve"> </v>
      </c>
      <c r="AC42" s="2629"/>
      <c r="AD42" s="2629"/>
      <c r="AE42" s="2629"/>
      <c r="AF42" s="2922" t="str">
        <f>IF(($Q$14&gt;0),((IF(((E42)="")," حدد المساحـة المبنية",IF((E42=0)," ",IF(((E42)&gt;0),""))))),"")</f>
        <v/>
      </c>
      <c r="AG42" s="2629"/>
      <c r="AH42" s="2604" t="str">
        <f>IF((Q$14&gt;0),((IF((P42=""),"بعد المتوسطة عن الطريق   ",IF((P42=0)," ",IF((P42&gt;0),""))))),"")</f>
        <v/>
      </c>
      <c r="AI42" s="708"/>
    </row>
    <row r="43" spans="1:35" ht="3.9" customHeight="1">
      <c r="A43" s="703"/>
      <c r="B43" s="732"/>
      <c r="C43" s="1540"/>
      <c r="D43" s="486"/>
      <c r="E43" s="502"/>
      <c r="F43" s="502"/>
      <c r="G43" s="502"/>
      <c r="H43" s="502"/>
      <c r="I43" s="2"/>
      <c r="J43" s="2"/>
      <c r="K43" s="501"/>
      <c r="L43" s="501"/>
      <c r="M43" s="501"/>
      <c r="N43" s="1360"/>
      <c r="O43" s="1360"/>
      <c r="P43" s="1360"/>
      <c r="Q43" s="1361"/>
      <c r="R43" s="1361"/>
      <c r="S43" s="501"/>
      <c r="T43" s="1363"/>
      <c r="U43" s="1363"/>
      <c r="V43" s="1363"/>
      <c r="W43" s="501"/>
      <c r="X43" s="501"/>
      <c r="Y43" s="733"/>
      <c r="Z43" s="723"/>
      <c r="AA43" s="708"/>
      <c r="AB43" s="2605"/>
      <c r="AC43" s="2605"/>
      <c r="AD43" s="2605"/>
      <c r="AE43" s="2605"/>
      <c r="AF43" s="2605"/>
      <c r="AG43" s="2605"/>
      <c r="AH43" s="2605"/>
      <c r="AI43" s="708"/>
    </row>
    <row r="44" spans="1:35" ht="12" customHeight="1">
      <c r="A44" s="703"/>
      <c r="B44" s="732"/>
      <c r="C44" s="1531"/>
      <c r="D44" s="1060" t="s">
        <v>717</v>
      </c>
      <c r="E44" s="3873">
        <v>20000</v>
      </c>
      <c r="F44" s="3874"/>
      <c r="G44" s="3874"/>
      <c r="H44" s="505" t="s">
        <v>593</v>
      </c>
      <c r="I44" s="2587" t="str">
        <f>IF(($Q$14&gt;0),IF((E44=""),"",IF((E44&gt;E40),"مراجعة المساحة للتوسيع","")),"")</f>
        <v/>
      </c>
      <c r="J44" s="1366"/>
      <c r="K44" s="1383"/>
      <c r="L44" s="1383"/>
      <c r="M44" s="1383"/>
      <c r="N44" s="1383"/>
      <c r="O44" s="2589" t="str">
        <f>IF(($Q$14&gt;0),IF((E42=""),"",IF((E42&gt;E40),"مراجعة المساحة المبنية","")),"")</f>
        <v/>
      </c>
      <c r="P44" s="1372"/>
      <c r="Q44" s="2588"/>
      <c r="R44" s="474"/>
      <c r="S44" s="474"/>
      <c r="Y44" s="833"/>
      <c r="Z44" s="723"/>
      <c r="AA44" s="708"/>
      <c r="AB44" s="2604" t="str">
        <f>IF(($Q$14&gt;0),((IF((K52=""),"ق الدرس ت الثانـــوي",IF((K52=0)," ",IF((K52&gt;0),""))))),"")</f>
        <v xml:space="preserve"> </v>
      </c>
      <c r="AC44" s="2629"/>
      <c r="AE44" s="2929">
        <f>T50+T52+T54</f>
        <v>1</v>
      </c>
      <c r="AF44" s="2604" t="str">
        <f>IF(($Q$14&gt;0),((IF(((E44)="")," المساحـة المخصصة للتوسيع",IF((E44=0)," ",IF(((E44)&gt;0),""))))),"")</f>
        <v/>
      </c>
      <c r="AG44" s="2629"/>
      <c r="AH44" s="2629"/>
      <c r="AI44" s="708"/>
    </row>
    <row r="45" spans="1:35" ht="3.9" customHeight="1">
      <c r="A45" s="703"/>
      <c r="B45" s="732"/>
      <c r="C45" s="1540"/>
      <c r="D45" s="486"/>
      <c r="E45" s="502"/>
      <c r="F45" s="502"/>
      <c r="G45" s="502"/>
      <c r="H45" s="502"/>
      <c r="I45" s="2"/>
      <c r="J45" s="2"/>
      <c r="K45" s="501"/>
      <c r="L45" s="501"/>
      <c r="M45" s="501"/>
      <c r="N45" s="1363"/>
      <c r="O45" s="1363"/>
      <c r="P45" s="1363"/>
      <c r="Q45" s="1364"/>
      <c r="R45" s="1364"/>
      <c r="S45" s="501"/>
      <c r="T45" s="1363"/>
      <c r="U45" s="1363"/>
      <c r="V45" s="1363"/>
      <c r="W45" s="501"/>
      <c r="X45" s="501"/>
      <c r="Y45" s="733"/>
      <c r="Z45" s="723"/>
      <c r="AA45" s="708"/>
      <c r="AB45" s="2605"/>
      <c r="AC45" s="2605"/>
      <c r="AD45" s="2605"/>
      <c r="AE45" s="2605"/>
      <c r="AF45" s="2605"/>
      <c r="AG45" s="2605"/>
      <c r="AH45" s="2629"/>
      <c r="AI45" s="708"/>
    </row>
    <row r="46" spans="1:35" ht="12.9" customHeight="1">
      <c r="A46" s="703"/>
      <c r="B46" s="732"/>
      <c r="C46" s="1830" t="s">
        <v>1425</v>
      </c>
      <c r="D46" s="778"/>
      <c r="E46" s="778"/>
      <c r="F46" s="778"/>
      <c r="G46" s="3912">
        <f>+K48+K50+K52+K54+K56+W62+W64+W66</f>
        <v>1</v>
      </c>
      <c r="H46" s="3913"/>
      <c r="I46" s="777"/>
      <c r="J46" s="787" t="s">
        <v>669</v>
      </c>
      <c r="K46" s="3888">
        <v>0</v>
      </c>
      <c r="L46" s="3889"/>
      <c r="M46" s="3890"/>
      <c r="N46" s="780"/>
      <c r="O46" s="780"/>
      <c r="P46" s="780"/>
      <c r="Q46" s="779"/>
      <c r="R46" s="787" t="s">
        <v>668</v>
      </c>
      <c r="S46" s="503">
        <v>0</v>
      </c>
      <c r="T46" s="780"/>
      <c r="U46" s="780"/>
      <c r="V46" s="787" t="s">
        <v>605</v>
      </c>
      <c r="W46" s="3865">
        <v>0</v>
      </c>
      <c r="X46" s="3867"/>
      <c r="Y46" s="839"/>
      <c r="Z46" s="723"/>
      <c r="AA46" s="708"/>
      <c r="AB46" s="2604" t="str">
        <f>IF(($Q$14&gt;0),((IF((K56=""),"ق الدرس أغـراض أخـرى",IF((K56=0)," ",IF((K56&gt;0),""))))),"")</f>
        <v xml:space="preserve"> </v>
      </c>
      <c r="AC46" s="2629"/>
      <c r="AE46" s="2629"/>
      <c r="AF46" s="2978" t="str">
        <f>IF(($Q$14&gt;0),(IF((E40&gt;0),(IF((E42+E44&gt;E40),"راجع  المساحات","")),"")),"")</f>
        <v/>
      </c>
      <c r="AG46" s="2629"/>
      <c r="AH46" s="1025"/>
      <c r="AI46" s="708"/>
    </row>
    <row r="47" spans="1:35" ht="6" customHeight="1">
      <c r="A47" s="703"/>
      <c r="B47" s="732"/>
      <c r="C47" s="840"/>
      <c r="D47" s="486"/>
      <c r="E47" s="2"/>
      <c r="F47" s="2"/>
      <c r="G47" s="2"/>
      <c r="H47" s="2"/>
      <c r="I47" s="484"/>
      <c r="J47" s="484"/>
      <c r="K47" s="487"/>
      <c r="L47" s="487"/>
      <c r="M47" s="487"/>
      <c r="N47" s="1365"/>
      <c r="O47" s="1365"/>
      <c r="P47" s="1365"/>
      <c r="Q47" s="1363"/>
      <c r="R47" s="1363"/>
      <c r="S47" s="487"/>
      <c r="T47" s="1365"/>
      <c r="U47" s="1365"/>
      <c r="V47" s="1365"/>
      <c r="W47" s="487"/>
      <c r="X47" s="487"/>
      <c r="Y47" s="733"/>
      <c r="Z47" s="723"/>
      <c r="AA47" s="708"/>
      <c r="AB47" s="2629"/>
      <c r="AC47" s="2629"/>
      <c r="AD47" s="2629"/>
      <c r="AE47" s="2629"/>
      <c r="AF47" s="2629"/>
      <c r="AG47" s="2629"/>
      <c r="AH47" s="2629"/>
      <c r="AI47" s="708"/>
    </row>
    <row r="48" spans="1:35" ht="12.9" customHeight="1">
      <c r="A48" s="703"/>
      <c r="B48" s="732"/>
      <c r="C48" s="1744" t="s">
        <v>1424</v>
      </c>
      <c r="D48" s="500"/>
      <c r="E48" s="498"/>
      <c r="F48" s="498"/>
      <c r="G48" s="498"/>
      <c r="H48" s="498"/>
      <c r="I48" s="498"/>
      <c r="J48" s="1745" t="s">
        <v>667</v>
      </c>
      <c r="K48" s="3905">
        <v>1</v>
      </c>
      <c r="L48" s="3906"/>
      <c r="M48" s="3907"/>
      <c r="N48" s="1366"/>
      <c r="P48" s="1366"/>
      <c r="Q48" s="2150" t="s">
        <v>887</v>
      </c>
      <c r="R48" s="1780"/>
      <c r="S48" s="1780"/>
      <c r="T48" s="1819"/>
      <c r="U48" s="3998" t="str">
        <f>IF(($Q$14&gt;0),(IF((($T$50+$T$52+$T$54)=0),(IF((($T$50+$T$52+$T$54)=0),"ضع عدد    قاعات الدرس    حسب نوع البناء","")),"")),"")</f>
        <v/>
      </c>
      <c r="V48" s="3998"/>
      <c r="W48" s="3998"/>
      <c r="X48" s="3999"/>
      <c r="Y48" s="841"/>
      <c r="Z48" s="723"/>
      <c r="AA48" s="708"/>
      <c r="AB48" s="2604" t="str">
        <f>IF(($Q$14&gt;0),((IF((K54=""),"ق الدرس أغـراض إدارية",IF((K54=0)," ",IF((K54&gt;0),""))))),"")</f>
        <v xml:space="preserve"> </v>
      </c>
      <c r="AC48" s="2930"/>
      <c r="AD48" s="1025"/>
      <c r="AE48" s="2930"/>
      <c r="AF48" s="1025"/>
      <c r="AG48" s="2629"/>
      <c r="AH48" s="1025"/>
      <c r="AI48" s="708"/>
    </row>
    <row r="49" spans="1:35" ht="3.9" customHeight="1">
      <c r="A49" s="703"/>
      <c r="B49" s="732"/>
      <c r="C49" s="842"/>
      <c r="D49" s="497"/>
      <c r="E49" s="496"/>
      <c r="F49" s="496"/>
      <c r="G49" s="496"/>
      <c r="H49" s="496"/>
      <c r="I49" s="495"/>
      <c r="J49" s="1746"/>
      <c r="K49" s="494"/>
      <c r="L49" s="494"/>
      <c r="M49" s="494"/>
      <c r="N49" s="1368"/>
      <c r="O49" s="1368"/>
      <c r="P49" s="1368"/>
      <c r="Q49" s="1820"/>
      <c r="R49" s="1369"/>
      <c r="S49" s="494"/>
      <c r="T49" s="1368"/>
      <c r="U49" s="4000"/>
      <c r="V49" s="4000"/>
      <c r="W49" s="4000"/>
      <c r="X49" s="4001"/>
      <c r="Y49" s="841"/>
      <c r="Z49" s="723"/>
      <c r="AA49" s="708"/>
      <c r="AC49" s="2930"/>
      <c r="AD49" s="2930"/>
      <c r="AE49" s="2930"/>
      <c r="AF49" s="2930"/>
      <c r="AG49" s="2629"/>
      <c r="AH49" s="2629"/>
      <c r="AI49" s="708"/>
    </row>
    <row r="50" spans="1:35" ht="12.9" customHeight="1">
      <c r="A50" s="703"/>
      <c r="B50" s="732"/>
      <c r="C50" s="1744"/>
      <c r="D50" s="1610"/>
      <c r="E50" s="1655"/>
      <c r="F50" s="1655"/>
      <c r="G50" s="1829" t="s">
        <v>1423</v>
      </c>
      <c r="H50" s="1655"/>
      <c r="I50" s="1656"/>
      <c r="J50" s="1747" t="s">
        <v>876</v>
      </c>
      <c r="K50" s="3888">
        <v>0</v>
      </c>
      <c r="L50" s="3889"/>
      <c r="M50" s="3890"/>
      <c r="N50" s="1657"/>
      <c r="O50" s="1657"/>
      <c r="P50" s="1657"/>
      <c r="Q50" s="1771"/>
      <c r="R50" s="761"/>
      <c r="S50" s="1738" t="s">
        <v>877</v>
      </c>
      <c r="T50" s="1742">
        <v>1</v>
      </c>
      <c r="U50" s="4000"/>
      <c r="V50" s="4000"/>
      <c r="W50" s="4000"/>
      <c r="X50" s="4001"/>
      <c r="Y50" s="841"/>
      <c r="Z50" s="723"/>
      <c r="AA50" s="708"/>
      <c r="AB50" s="2612" t="str">
        <f>IF(G46&lt;&gt;AE44,"خطأ في نـوع بناء قاعات الدرس"," ")</f>
        <v xml:space="preserve"> </v>
      </c>
      <c r="AC50" s="2930"/>
      <c r="AD50" s="1025"/>
      <c r="AE50" s="2930"/>
      <c r="AF50" s="1025"/>
      <c r="AG50" s="2629"/>
      <c r="AH50" s="1025"/>
      <c r="AI50" s="708"/>
    </row>
    <row r="51" spans="1:35" ht="3.9" customHeight="1">
      <c r="A51" s="703"/>
      <c r="B51" s="732"/>
      <c r="C51" s="1659"/>
      <c r="D51" s="1660"/>
      <c r="E51" s="1661"/>
      <c r="F51" s="1661"/>
      <c r="G51" s="1661"/>
      <c r="H51" s="1661"/>
      <c r="I51" s="1662"/>
      <c r="J51" s="1748"/>
      <c r="K51" s="1663"/>
      <c r="L51" s="1663"/>
      <c r="M51" s="1663"/>
      <c r="N51" s="1664"/>
      <c r="O51" s="1664"/>
      <c r="P51" s="1664"/>
      <c r="Q51" s="1771"/>
      <c r="R51" s="761"/>
      <c r="S51" s="1739"/>
      <c r="T51" s="1663"/>
      <c r="U51" s="4000"/>
      <c r="V51" s="4000"/>
      <c r="W51" s="4000"/>
      <c r="X51" s="4001"/>
      <c r="Y51" s="841"/>
      <c r="Z51" s="723"/>
      <c r="AA51" s="708"/>
      <c r="AC51" s="2930"/>
      <c r="AD51" s="2930"/>
      <c r="AE51" s="2930"/>
      <c r="AF51" s="2930"/>
      <c r="AG51" s="2629"/>
      <c r="AH51" s="2629"/>
      <c r="AI51" s="708"/>
    </row>
    <row r="52" spans="1:35" ht="12.9" customHeight="1">
      <c r="A52" s="703"/>
      <c r="B52" s="732"/>
      <c r="C52" s="1654"/>
      <c r="D52" s="1665"/>
      <c r="E52" s="3916"/>
      <c r="F52" s="3916"/>
      <c r="G52" s="3917"/>
      <c r="H52" s="3917"/>
      <c r="I52" s="1610"/>
      <c r="J52" s="1749" t="s">
        <v>875</v>
      </c>
      <c r="K52" s="3905">
        <v>0</v>
      </c>
      <c r="L52" s="3906"/>
      <c r="M52" s="3907"/>
      <c r="N52" s="1666"/>
      <c r="O52" s="1666"/>
      <c r="P52" s="1666"/>
      <c r="Q52" s="1771"/>
      <c r="R52" s="761"/>
      <c r="S52" s="1740" t="s">
        <v>878</v>
      </c>
      <c r="T52" s="1742"/>
      <c r="U52" s="4000"/>
      <c r="V52" s="4000"/>
      <c r="W52" s="4000"/>
      <c r="X52" s="4001"/>
      <c r="Y52" s="841"/>
      <c r="Z52" s="723"/>
      <c r="AA52" s="708"/>
      <c r="AB52" s="2622" t="str">
        <f>IF(($Q$14&gt;0),(IF(((T50+T52+T54)=0),("حـدد نـوع البنـاء"),(""))),"")</f>
        <v/>
      </c>
      <c r="AC52" s="2930"/>
      <c r="AD52" s="1025"/>
      <c r="AE52" s="2930"/>
      <c r="AF52" s="2931"/>
      <c r="AG52" s="2629"/>
      <c r="AH52" s="1025"/>
      <c r="AI52" s="708"/>
    </row>
    <row r="53" spans="1:35" ht="3.9" customHeight="1">
      <c r="A53" s="703"/>
      <c r="B53" s="732"/>
      <c r="C53" s="1668"/>
      <c r="D53" s="1669"/>
      <c r="E53" s="1669"/>
      <c r="F53" s="1669"/>
      <c r="G53" s="1669"/>
      <c r="H53" s="1669"/>
      <c r="I53" s="1669"/>
      <c r="J53" s="1750"/>
      <c r="K53" s="1669"/>
      <c r="L53" s="1669"/>
      <c r="M53" s="1669"/>
      <c r="N53" s="1670"/>
      <c r="O53" s="1670"/>
      <c r="P53" s="1670"/>
      <c r="Q53" s="1771"/>
      <c r="R53" s="761"/>
      <c r="S53" s="1741"/>
      <c r="T53" s="1671"/>
      <c r="U53" s="4000"/>
      <c r="V53" s="4000"/>
      <c r="W53" s="4000"/>
      <c r="X53" s="4001"/>
      <c r="Y53" s="841"/>
      <c r="Z53" s="723"/>
      <c r="AA53" s="708"/>
      <c r="AB53" s="1032"/>
      <c r="AC53" s="1032"/>
      <c r="AD53" s="1032"/>
      <c r="AE53" s="1032"/>
      <c r="AF53" s="1032"/>
      <c r="AG53" s="1032"/>
      <c r="AH53" s="1032"/>
      <c r="AI53" s="708"/>
    </row>
    <row r="54" spans="1:35" ht="12.9" customHeight="1">
      <c r="A54" s="703"/>
      <c r="B54" s="732"/>
      <c r="C54" s="1715"/>
      <c r="D54" s="761"/>
      <c r="E54" s="761"/>
      <c r="F54" s="761"/>
      <c r="G54" s="761"/>
      <c r="H54" s="761"/>
      <c r="I54" s="761"/>
      <c r="J54" s="1751" t="s">
        <v>874</v>
      </c>
      <c r="K54" s="3905">
        <v>0</v>
      </c>
      <c r="L54" s="3906"/>
      <c r="M54" s="3907"/>
      <c r="N54" s="761"/>
      <c r="O54" s="761"/>
      <c r="P54" s="761"/>
      <c r="Q54" s="1771"/>
      <c r="R54" s="761"/>
      <c r="S54" s="1738" t="s">
        <v>879</v>
      </c>
      <c r="T54" s="1742"/>
      <c r="U54" s="4000"/>
      <c r="V54" s="4000"/>
      <c r="W54" s="4000"/>
      <c r="X54" s="4001"/>
      <c r="Y54" s="1727"/>
      <c r="Z54" s="723"/>
      <c r="AA54" s="708"/>
      <c r="AB54" s="3921" t="s">
        <v>1433</v>
      </c>
      <c r="AC54" s="3921"/>
      <c r="AD54" s="3921"/>
      <c r="AE54" s="3921"/>
      <c r="AF54" s="3921"/>
      <c r="AG54" s="3921"/>
      <c r="AH54" s="3921"/>
      <c r="AI54" s="708"/>
    </row>
    <row r="55" spans="1:35" ht="5.0999999999999996" customHeight="1">
      <c r="A55" s="703"/>
      <c r="B55" s="732"/>
      <c r="C55" s="1715"/>
      <c r="D55" s="761"/>
      <c r="E55" s="761"/>
      <c r="F55" s="761"/>
      <c r="G55" s="761"/>
      <c r="H55" s="761"/>
      <c r="I55" s="761"/>
      <c r="J55" s="1752"/>
      <c r="K55" s="761"/>
      <c r="L55" s="761"/>
      <c r="M55" s="761"/>
      <c r="N55" s="761"/>
      <c r="O55" s="761"/>
      <c r="P55" s="761"/>
      <c r="Q55" s="1799"/>
      <c r="R55" s="1821"/>
      <c r="S55" s="1821"/>
      <c r="T55" s="1822"/>
      <c r="U55" s="4002"/>
      <c r="V55" s="4002"/>
      <c r="W55" s="4002"/>
      <c r="X55" s="4003"/>
      <c r="Y55" s="1727"/>
      <c r="Z55" s="723"/>
      <c r="AA55" s="708"/>
      <c r="AB55" s="3921"/>
      <c r="AC55" s="3921"/>
      <c r="AD55" s="3921"/>
      <c r="AE55" s="3921"/>
      <c r="AF55" s="3921"/>
      <c r="AG55" s="3921"/>
      <c r="AH55" s="3921"/>
      <c r="AI55" s="708"/>
    </row>
    <row r="56" spans="1:35" ht="12.9" customHeight="1">
      <c r="A56" s="703"/>
      <c r="B56" s="732"/>
      <c r="C56" s="1715"/>
      <c r="D56" s="761"/>
      <c r="E56" s="761"/>
      <c r="F56" s="761"/>
      <c r="G56" s="761"/>
      <c r="H56" s="761"/>
      <c r="I56" s="761"/>
      <c r="J56" s="1753" t="s">
        <v>873</v>
      </c>
      <c r="K56" s="3905">
        <v>0</v>
      </c>
      <c r="L56" s="3906"/>
      <c r="M56" s="3907"/>
      <c r="N56" s="761"/>
      <c r="O56" s="761"/>
      <c r="P56" s="761"/>
      <c r="Q56" s="761"/>
      <c r="R56" s="761"/>
      <c r="S56" s="761"/>
      <c r="T56" s="3997">
        <f>(G46)-(T50+T52+T54)</f>
        <v>0</v>
      </c>
      <c r="U56" s="3997"/>
      <c r="V56" s="3997"/>
      <c r="W56" s="3997"/>
      <c r="X56" s="761"/>
      <c r="Y56" s="1727"/>
      <c r="Z56" s="827"/>
      <c r="AA56" s="708"/>
      <c r="AB56" s="3921"/>
      <c r="AC56" s="3921"/>
      <c r="AD56" s="3921"/>
      <c r="AE56" s="3921"/>
      <c r="AF56" s="3921"/>
      <c r="AG56" s="3921"/>
      <c r="AH56" s="3921"/>
      <c r="AI56" s="708"/>
    </row>
    <row r="57" spans="1:35" ht="3.9" customHeight="1">
      <c r="A57" s="703"/>
      <c r="B57" s="732"/>
      <c r="C57" s="1715"/>
      <c r="D57" s="761"/>
      <c r="E57" s="761"/>
      <c r="F57" s="761"/>
      <c r="G57" s="761"/>
      <c r="H57" s="761"/>
      <c r="I57" s="761"/>
      <c r="J57" s="761"/>
      <c r="K57" s="761"/>
      <c r="L57" s="761"/>
      <c r="M57" s="761"/>
      <c r="N57" s="761"/>
      <c r="O57" s="761"/>
      <c r="P57" s="761"/>
      <c r="Q57" s="761"/>
      <c r="R57" s="761"/>
      <c r="S57" s="761"/>
      <c r="T57" s="761"/>
      <c r="U57" s="761"/>
      <c r="V57" s="761"/>
      <c r="W57" s="761"/>
      <c r="X57" s="761"/>
      <c r="Y57" s="1727"/>
      <c r="Z57" s="723"/>
      <c r="AA57" s="710"/>
      <c r="AB57" s="1032"/>
      <c r="AC57" s="1032"/>
      <c r="AD57" s="1032"/>
      <c r="AE57" s="1032"/>
      <c r="AF57" s="1032"/>
      <c r="AG57" s="1032"/>
      <c r="AH57" s="1032"/>
      <c r="AI57" s="708"/>
    </row>
    <row r="58" spans="1:35" ht="6" customHeight="1">
      <c r="A58" s="703"/>
      <c r="B58" s="735"/>
      <c r="C58" s="1730"/>
      <c r="D58" s="1731"/>
      <c r="E58" s="1732"/>
      <c r="F58" s="1733"/>
      <c r="G58" s="1732"/>
      <c r="H58" s="1732"/>
      <c r="I58" s="1734"/>
      <c r="J58" s="1733"/>
      <c r="K58" s="1733"/>
      <c r="L58" s="1733"/>
      <c r="M58" s="1733"/>
      <c r="N58" s="1733"/>
      <c r="O58" s="1733"/>
      <c r="P58" s="1733"/>
      <c r="Q58" s="1735"/>
      <c r="R58" s="1735"/>
      <c r="S58" s="1735"/>
      <c r="T58" s="1735"/>
      <c r="U58" s="1735"/>
      <c r="V58" s="1736"/>
      <c r="W58" s="1734"/>
      <c r="X58" s="1734"/>
      <c r="Y58" s="1737"/>
      <c r="Z58" s="723"/>
      <c r="AA58" s="709"/>
      <c r="AE58" s="2605"/>
      <c r="AF58" s="2613"/>
      <c r="AG58" s="2605"/>
      <c r="AH58" s="2613"/>
      <c r="AI58" s="709"/>
    </row>
    <row r="59" spans="1:35" ht="3.9" customHeight="1" thickBot="1">
      <c r="A59" s="703"/>
      <c r="B59" s="735"/>
      <c r="C59" s="835"/>
      <c r="D59" s="473"/>
      <c r="E59" s="1506"/>
      <c r="F59" s="490"/>
      <c r="G59" s="468"/>
      <c r="H59" s="490"/>
      <c r="I59" s="468"/>
      <c r="J59" s="468"/>
      <c r="K59" s="468"/>
      <c r="L59" s="468"/>
      <c r="M59" s="470"/>
      <c r="N59" s="469"/>
      <c r="O59" s="469"/>
      <c r="P59" s="469"/>
      <c r="Q59" s="1065"/>
      <c r="R59" s="1065"/>
      <c r="S59" s="1379"/>
      <c r="T59" s="1065"/>
      <c r="U59" s="1065"/>
      <c r="V59" s="468"/>
      <c r="W59" s="468"/>
      <c r="X59" s="468"/>
      <c r="Y59" s="736"/>
      <c r="Z59" s="736"/>
      <c r="AA59" s="709"/>
      <c r="AB59" s="1032"/>
      <c r="AC59" s="2614"/>
      <c r="AD59" s="2614"/>
      <c r="AE59" s="2614"/>
      <c r="AF59" s="2614"/>
      <c r="AG59" s="2614"/>
      <c r="AH59" s="2614"/>
      <c r="AI59" s="709"/>
    </row>
    <row r="60" spans="1:35" ht="12" customHeight="1" thickBot="1">
      <c r="A60" s="703"/>
      <c r="B60" s="735"/>
      <c r="C60" s="1825" t="s">
        <v>888</v>
      </c>
      <c r="D60" s="761"/>
      <c r="E60" s="761"/>
      <c r="F60" s="761"/>
      <c r="G60" s="761"/>
      <c r="H60" s="761"/>
      <c r="I60" s="761"/>
      <c r="J60" s="761"/>
      <c r="K60" s="761"/>
      <c r="L60" s="761"/>
      <c r="M60" s="761"/>
      <c r="N60" s="3744"/>
      <c r="P60" s="761"/>
      <c r="Q60" s="2006"/>
      <c r="R60" s="1529"/>
      <c r="S60" s="1529"/>
      <c r="T60" s="1529"/>
      <c r="U60" s="1729"/>
      <c r="V60" s="1621" t="s">
        <v>1223</v>
      </c>
      <c r="W60" s="3935">
        <f>W62+W64+W66</f>
        <v>0</v>
      </c>
      <c r="X60" s="3936"/>
      <c r="Y60" s="1727"/>
      <c r="Z60" s="736"/>
      <c r="AA60" s="709"/>
      <c r="AB60" s="2615"/>
      <c r="AC60" s="2615"/>
      <c r="AD60" s="2932" t="s">
        <v>1367</v>
      </c>
      <c r="AE60" s="2600"/>
      <c r="AF60" s="2615"/>
      <c r="AG60" s="2615"/>
      <c r="AH60" s="2615"/>
      <c r="AI60" s="709"/>
    </row>
    <row r="61" spans="1:35" ht="3.9" customHeight="1">
      <c r="A61" s="703"/>
      <c r="B61" s="735"/>
      <c r="C61" s="1715"/>
      <c r="D61" s="761"/>
      <c r="E61" s="761"/>
      <c r="F61" s="761"/>
      <c r="G61" s="761"/>
      <c r="H61" s="761"/>
      <c r="I61" s="761"/>
      <c r="J61" s="761"/>
      <c r="K61" s="761"/>
      <c r="L61" s="761"/>
      <c r="M61" s="761"/>
      <c r="N61" s="3744"/>
      <c r="O61" s="761"/>
      <c r="P61" s="761"/>
      <c r="Q61" s="1529"/>
      <c r="R61" s="1529"/>
      <c r="S61" s="1529"/>
      <c r="T61" s="1529"/>
      <c r="U61" s="1729"/>
      <c r="V61" s="1729"/>
      <c r="W61" s="761"/>
      <c r="X61" s="761"/>
      <c r="Y61" s="1727"/>
      <c r="Z61" s="736"/>
      <c r="AA61" s="709"/>
      <c r="AB61" s="2614"/>
      <c r="AC61" s="2614"/>
      <c r="AD61" s="2614"/>
      <c r="AE61" s="2614"/>
      <c r="AF61" s="2614"/>
      <c r="AG61" s="2614"/>
      <c r="AH61" s="2616"/>
      <c r="AI61" s="709"/>
    </row>
    <row r="62" spans="1:35" ht="12.9" customHeight="1">
      <c r="A62" s="703"/>
      <c r="B62" s="735"/>
      <c r="C62" s="1715"/>
      <c r="D62" s="761"/>
      <c r="E62" s="761"/>
      <c r="F62" s="761"/>
      <c r="G62" s="761"/>
      <c r="H62" s="1823" t="s">
        <v>666</v>
      </c>
      <c r="I62" s="503">
        <v>3</v>
      </c>
      <c r="J62" s="1834"/>
      <c r="K62" s="1833"/>
      <c r="L62" s="761"/>
      <c r="M62" s="761"/>
      <c r="N62" s="3744"/>
      <c r="O62" s="761"/>
      <c r="P62" s="761"/>
      <c r="Q62" s="1529"/>
      <c r="R62" s="1529"/>
      <c r="S62" s="1529"/>
      <c r="T62" s="1726"/>
      <c r="U62" s="1827"/>
      <c r="V62" s="1621" t="s">
        <v>871</v>
      </c>
      <c r="W62" s="3888">
        <v>0</v>
      </c>
      <c r="X62" s="3889"/>
      <c r="Y62" s="1728"/>
      <c r="Z62" s="736"/>
      <c r="AA62" s="709"/>
      <c r="AB62" s="2604" t="str">
        <f>IF(($Q$14&gt;0),((IF((I62=""),"المخابــــــر  ",IF((I62=0)," ",IF((I62&gt;0),""))))),"")</f>
        <v/>
      </c>
      <c r="AC62" s="2929"/>
      <c r="AD62" s="2604" t="str">
        <f>IF(($Q$14&gt;0),((IF((W62=""),"مغلقة لنقص التلاميذ",IF((W62=0)," ",IF((W62&gt;0),""))))),"")</f>
        <v xml:space="preserve"> </v>
      </c>
      <c r="AE62" s="2605"/>
      <c r="AF62" s="2613"/>
      <c r="AG62" s="2617"/>
      <c r="AH62" s="2613"/>
      <c r="AI62" s="709"/>
    </row>
    <row r="63" spans="1:35" ht="3.9" customHeight="1">
      <c r="A63" s="703"/>
      <c r="B63" s="735"/>
      <c r="C63" s="1715"/>
      <c r="D63" s="761"/>
      <c r="E63" s="761"/>
      <c r="F63" s="761"/>
      <c r="G63" s="761"/>
      <c r="H63" s="1752"/>
      <c r="I63" s="761"/>
      <c r="J63" s="1834"/>
      <c r="K63" s="761"/>
      <c r="L63" s="761"/>
      <c r="M63" s="761"/>
      <c r="N63" s="3744"/>
      <c r="O63" s="761"/>
      <c r="P63" s="761"/>
      <c r="Q63" s="1529"/>
      <c r="R63" s="1529"/>
      <c r="S63" s="1529"/>
      <c r="T63" s="1529"/>
      <c r="U63" s="1827"/>
      <c r="V63" s="1827"/>
      <c r="W63" s="761"/>
      <c r="X63" s="761"/>
      <c r="Y63" s="1727"/>
      <c r="Z63" s="736"/>
      <c r="AA63" s="709"/>
      <c r="AB63" s="2614"/>
      <c r="AC63" s="2614"/>
      <c r="AD63" s="2930"/>
      <c r="AE63" s="2614"/>
      <c r="AF63" s="2614"/>
      <c r="AG63" s="2614"/>
      <c r="AH63" s="2614"/>
      <c r="AI63" s="709"/>
    </row>
    <row r="64" spans="1:35" ht="12.9" customHeight="1">
      <c r="A64" s="703"/>
      <c r="B64" s="735"/>
      <c r="C64" s="1715"/>
      <c r="D64" s="761"/>
      <c r="E64" s="761"/>
      <c r="F64" s="761"/>
      <c r="G64" s="761"/>
      <c r="H64" s="1749" t="s">
        <v>665</v>
      </c>
      <c r="I64" s="499">
        <v>2</v>
      </c>
      <c r="J64" s="1834"/>
      <c r="K64" s="761"/>
      <c r="L64" s="761"/>
      <c r="M64" s="761"/>
      <c r="N64" s="3744"/>
      <c r="O64" s="761"/>
      <c r="P64" s="761"/>
      <c r="Q64" s="1529"/>
      <c r="R64" s="1529"/>
      <c r="S64" s="1529"/>
      <c r="T64" s="1529"/>
      <c r="U64" s="1827"/>
      <c r="V64" s="1828" t="s">
        <v>872</v>
      </c>
      <c r="W64" s="3888">
        <v>0</v>
      </c>
      <c r="X64" s="3890"/>
      <c r="Y64" s="1727"/>
      <c r="Z64" s="736"/>
      <c r="AA64" s="709"/>
      <c r="AB64" s="2604" t="str">
        <f>IF(($Q$14&gt;0),((IF((I64=""),"الورشـــات ",IF((I64=0)," ",IF((I64&gt;0),""))))),"")</f>
        <v/>
      </c>
      <c r="AC64" s="2614"/>
      <c r="AD64" s="2604" t="str">
        <f>IF(($Q$14&gt;0),((IF((W64=""),"مغلقة لعدم صلاحيتها ",IF((W64=0)," ",IF((W64&gt;0),""))))),"")</f>
        <v xml:space="preserve"> </v>
      </c>
      <c r="AE64" s="2605"/>
      <c r="AF64" s="2613"/>
      <c r="AG64" s="2617"/>
      <c r="AH64" s="2613"/>
      <c r="AI64" s="709"/>
    </row>
    <row r="65" spans="1:35" ht="3.9" customHeight="1">
      <c r="A65" s="703"/>
      <c r="B65" s="735"/>
      <c r="C65" s="1715"/>
      <c r="D65" s="761"/>
      <c r="E65" s="761"/>
      <c r="F65" s="761"/>
      <c r="G65" s="761"/>
      <c r="H65" s="1752"/>
      <c r="I65" s="761"/>
      <c r="J65" s="1834"/>
      <c r="K65" s="761"/>
      <c r="L65" s="761"/>
      <c r="M65" s="761"/>
      <c r="N65" s="3744"/>
      <c r="O65" s="761"/>
      <c r="P65" s="761"/>
      <c r="Q65" s="1529"/>
      <c r="R65" s="1529"/>
      <c r="S65" s="1529"/>
      <c r="T65" s="1529"/>
      <c r="U65" s="1827"/>
      <c r="V65" s="1827"/>
      <c r="W65" s="761"/>
      <c r="X65" s="761"/>
      <c r="Y65" s="1727"/>
      <c r="Z65" s="736"/>
      <c r="AA65" s="709"/>
      <c r="AB65" s="2614"/>
      <c r="AC65" s="2614"/>
      <c r="AD65" s="2930"/>
      <c r="AE65" s="2614"/>
      <c r="AF65" s="2614"/>
      <c r="AG65" s="2614"/>
      <c r="AH65" s="2614"/>
      <c r="AI65" s="709"/>
    </row>
    <row r="66" spans="1:35" ht="12.9" customHeight="1">
      <c r="A66" s="703"/>
      <c r="B66" s="735"/>
      <c r="C66" s="1715"/>
      <c r="D66" s="761"/>
      <c r="E66" s="761"/>
      <c r="F66" s="761"/>
      <c r="G66" s="761"/>
      <c r="H66" s="1749" t="s">
        <v>664</v>
      </c>
      <c r="I66" s="2962">
        <v>0</v>
      </c>
      <c r="J66" s="1834"/>
      <c r="K66" s="3911"/>
      <c r="L66" s="3911"/>
      <c r="M66" s="3911"/>
      <c r="N66" s="3744"/>
      <c r="O66" s="761"/>
      <c r="P66" s="761"/>
      <c r="Q66" s="1529"/>
      <c r="R66" s="1529"/>
      <c r="S66" s="1529"/>
      <c r="T66" s="1529"/>
      <c r="U66" s="1827"/>
      <c r="V66" s="1828" t="s">
        <v>870</v>
      </c>
      <c r="W66" s="3865">
        <v>0</v>
      </c>
      <c r="X66" s="3867"/>
      <c r="Y66" s="1727"/>
      <c r="Z66" s="736"/>
      <c r="AA66" s="709"/>
      <c r="AB66" s="2604" t="str">
        <f>IF(($Q$14&gt;0),((IF((I66=""),"المـــــــــــدرج ",IF((I66=0),"",IF((I66&gt;0),""))))),"")</f>
        <v/>
      </c>
      <c r="AC66" s="2929"/>
      <c r="AD66" s="2604" t="str">
        <f>IF(($Q$14&gt;0),((IF((W66=""),"مغلقة لأسباب أخـرى  ",IF((W66=0)," ",IF((W66&gt;0),""))))),"")</f>
        <v xml:space="preserve"> </v>
      </c>
      <c r="AE66" s="2614"/>
      <c r="AF66" s="2613"/>
      <c r="AG66" s="2614"/>
      <c r="AH66" s="2613"/>
      <c r="AI66" s="709"/>
    </row>
    <row r="67" spans="1:35" ht="2.1" customHeight="1">
      <c r="A67" s="703"/>
      <c r="B67" s="735"/>
      <c r="C67" s="1654"/>
      <c r="D67" s="1672"/>
      <c r="E67" s="1678"/>
      <c r="F67" s="1676"/>
      <c r="G67" s="1673"/>
      <c r="H67" s="1673"/>
      <c r="I67" s="1824"/>
      <c r="J67" s="1678"/>
      <c r="K67" s="1677"/>
      <c r="L67" s="1673"/>
      <c r="M67" s="1672"/>
      <c r="N67" s="1674"/>
      <c r="O67" s="1674"/>
      <c r="P67" s="1674"/>
      <c r="Q67" s="1674"/>
      <c r="R67" s="1658"/>
      <c r="S67" s="1678"/>
      <c r="T67" s="1674"/>
      <c r="U67" s="1674"/>
      <c r="V67" s="1658"/>
      <c r="W67" s="1678"/>
      <c r="X67" s="1678"/>
      <c r="Y67" s="841"/>
      <c r="Z67" s="736"/>
      <c r="AA67" s="709"/>
      <c r="AB67" s="2614"/>
      <c r="AC67" s="2614"/>
      <c r="AD67" s="2614"/>
      <c r="AE67" s="2614"/>
      <c r="AF67" s="2614"/>
      <c r="AG67" s="2614"/>
      <c r="AH67" s="2614"/>
      <c r="AI67" s="709"/>
    </row>
    <row r="68" spans="1:35" ht="2.1" customHeight="1" thickBot="1">
      <c r="A68" s="703"/>
      <c r="B68" s="735"/>
      <c r="C68" s="843"/>
      <c r="D68" s="844"/>
      <c r="E68" s="844"/>
      <c r="F68" s="844"/>
      <c r="G68" s="844"/>
      <c r="H68" s="844"/>
      <c r="I68" s="844"/>
      <c r="J68" s="844"/>
      <c r="K68" s="844"/>
      <c r="L68" s="844"/>
      <c r="M68" s="844"/>
      <c r="N68" s="844"/>
      <c r="O68" s="844"/>
      <c r="P68" s="844"/>
      <c r="Q68" s="844"/>
      <c r="R68" s="844"/>
      <c r="S68" s="844"/>
      <c r="T68" s="844"/>
      <c r="U68" s="844"/>
      <c r="V68" s="844"/>
      <c r="W68" s="844"/>
      <c r="X68" s="844"/>
      <c r="Y68" s="845"/>
      <c r="Z68" s="736"/>
      <c r="AA68" s="709"/>
      <c r="AB68" s="2613"/>
      <c r="AC68" s="2602"/>
      <c r="AD68" s="2613"/>
      <c r="AE68" s="2614"/>
      <c r="AF68" s="2613"/>
      <c r="AG68" s="2614"/>
      <c r="AH68" s="2613"/>
      <c r="AI68" s="709"/>
    </row>
    <row r="69" spans="1:35" ht="3.9" customHeight="1" thickBot="1">
      <c r="A69" s="703"/>
      <c r="B69" s="735"/>
      <c r="C69" s="846"/>
      <c r="D69" s="846"/>
      <c r="E69" s="847"/>
      <c r="F69" s="847"/>
      <c r="G69" s="847"/>
      <c r="H69" s="847"/>
      <c r="I69" s="848"/>
      <c r="J69" s="848"/>
      <c r="K69" s="848"/>
      <c r="L69" s="848"/>
      <c r="M69" s="848"/>
      <c r="N69" s="847"/>
      <c r="O69" s="847"/>
      <c r="P69" s="847"/>
      <c r="Q69" s="847"/>
      <c r="R69" s="847"/>
      <c r="S69" s="848"/>
      <c r="T69" s="849"/>
      <c r="U69" s="849"/>
      <c r="V69" s="849"/>
      <c r="W69" s="849"/>
      <c r="X69" s="849"/>
      <c r="Y69" s="850"/>
      <c r="Z69" s="736"/>
      <c r="AA69" s="709"/>
      <c r="AB69" s="2614"/>
      <c r="AC69" s="2614"/>
      <c r="AD69" s="2614"/>
      <c r="AE69" s="2614"/>
      <c r="AF69" s="2614"/>
      <c r="AG69" s="2614"/>
      <c r="AH69" s="2614"/>
      <c r="AI69" s="709"/>
    </row>
    <row r="70" spans="1:35" ht="3.9" customHeight="1" thickBot="1">
      <c r="A70" s="703"/>
      <c r="B70" s="735"/>
      <c r="C70" s="2017"/>
      <c r="D70" s="2018"/>
      <c r="E70" s="2019"/>
      <c r="F70" s="2019"/>
      <c r="G70" s="2019"/>
      <c r="H70" s="2019"/>
      <c r="I70" s="2019"/>
      <c r="J70" s="2020"/>
      <c r="K70" s="2020"/>
      <c r="L70" s="2021"/>
      <c r="M70" s="2021"/>
      <c r="N70" s="2021"/>
      <c r="O70" s="2021"/>
      <c r="P70" s="2021"/>
      <c r="Q70" s="2021"/>
      <c r="R70" s="2021"/>
      <c r="S70" s="2021"/>
      <c r="T70" s="2021"/>
      <c r="U70" s="2021"/>
      <c r="V70" s="2021"/>
      <c r="W70" s="2021"/>
      <c r="X70" s="2021"/>
      <c r="Y70" s="2022"/>
      <c r="Z70" s="736"/>
      <c r="AA70" s="709"/>
      <c r="AB70" s="2613"/>
      <c r="AC70" s="2602"/>
      <c r="AD70" s="1376"/>
      <c r="AE70" s="2614"/>
      <c r="AF70" s="2618"/>
      <c r="AG70" s="2617"/>
      <c r="AH70" s="2619"/>
      <c r="AI70" s="709"/>
    </row>
    <row r="71" spans="1:35" ht="15.9" customHeight="1" thickTop="1">
      <c r="A71" s="703"/>
      <c r="B71" s="735"/>
      <c r="C71" s="2023" t="s">
        <v>594</v>
      </c>
      <c r="D71" s="778"/>
      <c r="E71" s="2024"/>
      <c r="F71" s="2024"/>
      <c r="G71" s="2024"/>
      <c r="H71" s="2024"/>
      <c r="I71" s="2024"/>
      <c r="J71" s="2025"/>
      <c r="K71" s="2025"/>
      <c r="L71" s="2026"/>
      <c r="M71" s="2026"/>
      <c r="N71" s="2026"/>
      <c r="O71" s="2026"/>
      <c r="P71" s="2026"/>
      <c r="Q71" s="2026"/>
      <c r="R71" s="2026"/>
      <c r="S71" s="2026"/>
      <c r="T71" s="2026"/>
      <c r="U71" s="2026"/>
      <c r="V71" s="2026"/>
      <c r="W71" s="2026"/>
      <c r="X71" s="2026"/>
      <c r="Y71" s="2027"/>
      <c r="Z71" s="736"/>
      <c r="AA71" s="709"/>
      <c r="AB71" s="1032"/>
      <c r="AC71" s="1032"/>
      <c r="AD71" s="1032"/>
      <c r="AE71" s="1032"/>
      <c r="AF71" s="4011" t="s">
        <v>1372</v>
      </c>
      <c r="AG71" s="4012"/>
      <c r="AH71" s="4013"/>
      <c r="AI71" s="709"/>
    </row>
    <row r="72" spans="1:35" ht="3.9" customHeight="1" thickBot="1">
      <c r="A72" s="703"/>
      <c r="B72" s="735"/>
      <c r="C72" s="1685"/>
      <c r="D72" s="1671"/>
      <c r="E72" s="1655"/>
      <c r="F72" s="1683"/>
      <c r="G72" s="1655"/>
      <c r="H72" s="1684"/>
      <c r="I72" s="1610"/>
      <c r="J72" s="1610"/>
      <c r="K72" s="1610"/>
      <c r="L72" s="1610"/>
      <c r="M72" s="1610"/>
      <c r="N72" s="1666"/>
      <c r="O72" s="1666"/>
      <c r="P72" s="1610"/>
      <c r="Q72" s="1610"/>
      <c r="R72" s="1689"/>
      <c r="S72" s="1610"/>
      <c r="T72" s="1681"/>
      <c r="U72" s="1681"/>
      <c r="V72" s="1682"/>
      <c r="W72" s="1610"/>
      <c r="X72" s="1610"/>
      <c r="Y72" s="736"/>
      <c r="Z72" s="736"/>
      <c r="AA72" s="709"/>
      <c r="AB72" s="1032"/>
      <c r="AC72" s="1032"/>
      <c r="AD72" s="1032"/>
      <c r="AE72" s="1032"/>
      <c r="AF72" s="2936"/>
      <c r="AG72" s="2937"/>
      <c r="AH72" s="2938"/>
      <c r="AI72" s="709"/>
    </row>
    <row r="73" spans="1:35" ht="12.9" customHeight="1" thickBot="1">
      <c r="A73" s="703"/>
      <c r="B73" s="735"/>
      <c r="C73" s="2944" t="s">
        <v>1217</v>
      </c>
      <c r="D73" s="2945"/>
      <c r="E73" s="2946"/>
      <c r="F73" s="701">
        <v>1</v>
      </c>
      <c r="G73" s="2947"/>
      <c r="H73" s="2947"/>
      <c r="I73" s="2945"/>
      <c r="J73" s="2948"/>
      <c r="K73" s="2947"/>
      <c r="L73" s="2947"/>
      <c r="M73" s="2947"/>
      <c r="N73" s="2947"/>
      <c r="O73" s="2947"/>
      <c r="P73" s="2947"/>
      <c r="Q73" s="2947"/>
      <c r="R73" s="2947"/>
      <c r="S73" s="2947"/>
      <c r="T73" s="2947"/>
      <c r="U73" s="2947"/>
      <c r="V73" s="2947"/>
      <c r="W73" s="2947"/>
      <c r="X73" s="2947"/>
      <c r="Y73" s="2949"/>
      <c r="Z73" s="736"/>
      <c r="AA73" s="709"/>
      <c r="AB73" s="2604" t="str">
        <f>IF(($Q$14&gt;0),((IF((F73=""),"قاعـة ريـاضـة",IF((F73=0)," ",IF((F73&gt;=1),""))))),"")</f>
        <v/>
      </c>
      <c r="AC73" s="1032"/>
      <c r="AD73" s="1032"/>
      <c r="AE73" s="1032"/>
      <c r="AF73" s="4014" t="s">
        <v>1370</v>
      </c>
      <c r="AG73" s="4015"/>
      <c r="AH73" s="4016"/>
      <c r="AI73" s="709"/>
    </row>
    <row r="74" spans="1:35" ht="3.9" customHeight="1" thickBot="1">
      <c r="A74" s="703"/>
      <c r="B74" s="735"/>
      <c r="C74" s="835"/>
      <c r="D74" s="468"/>
      <c r="E74" s="468"/>
      <c r="F74" s="468"/>
      <c r="G74" s="488"/>
      <c r="H74" s="488"/>
      <c r="I74" s="468"/>
      <c r="J74" s="468"/>
      <c r="K74" s="468"/>
      <c r="L74" s="468"/>
      <c r="M74" s="468"/>
      <c r="N74" s="1375"/>
      <c r="O74" s="1375"/>
      <c r="P74" s="470"/>
      <c r="Q74" s="1065"/>
      <c r="R74" s="1065"/>
      <c r="S74" s="488"/>
      <c r="T74" s="1065"/>
      <c r="U74" s="1065"/>
      <c r="V74" s="468"/>
      <c r="W74" s="783"/>
      <c r="X74" s="783"/>
      <c r="Y74" s="733"/>
      <c r="Z74" s="736"/>
      <c r="AA74" s="709"/>
      <c r="AB74" s="2629"/>
      <c r="AC74" s="1032"/>
      <c r="AD74" s="1032"/>
      <c r="AE74" s="1032"/>
      <c r="AF74" s="4014"/>
      <c r="AG74" s="4015"/>
      <c r="AH74" s="4016"/>
      <c r="AI74" s="709"/>
    </row>
    <row r="75" spans="1:35" ht="12.9" customHeight="1" thickBot="1">
      <c r="A75" s="703"/>
      <c r="B75" s="735"/>
      <c r="C75" s="835"/>
      <c r="D75" s="477"/>
      <c r="E75" s="1720" t="s">
        <v>663</v>
      </c>
      <c r="F75" s="476">
        <v>1</v>
      </c>
      <c r="I75" s="468"/>
      <c r="J75" s="785"/>
      <c r="N75" s="1065"/>
      <c r="O75" s="1065"/>
      <c r="P75" s="468"/>
      <c r="Q75" s="1065"/>
      <c r="R75" s="1370"/>
      <c r="T75" s="1381"/>
      <c r="U75" s="1381"/>
      <c r="V75" s="785"/>
      <c r="Y75" s="733"/>
      <c r="Z75" s="736"/>
      <c r="AA75" s="709"/>
      <c r="AB75" s="2604" t="str">
        <f>IF(($Q$14&gt;0),((IF((F75=""),"ملعب ريـاضة",IF((F75=0)," ",IF((F75&gt;=1),""))))),"")</f>
        <v/>
      </c>
      <c r="AC75" s="1032"/>
      <c r="AD75" s="1032"/>
      <c r="AE75" s="1032"/>
      <c r="AF75" s="4014"/>
      <c r="AG75" s="4015"/>
      <c r="AH75" s="4016"/>
      <c r="AI75" s="709"/>
    </row>
    <row r="76" spans="1:35" ht="3.9" customHeight="1" thickBot="1">
      <c r="A76" s="703"/>
      <c r="B76" s="735"/>
      <c r="C76" s="840"/>
      <c r="D76" s="486"/>
      <c r="E76" s="473"/>
      <c r="F76" s="473"/>
      <c r="G76" s="488"/>
      <c r="H76" s="488"/>
      <c r="I76" s="484"/>
      <c r="J76" s="484"/>
      <c r="K76" s="781"/>
      <c r="L76" s="782"/>
      <c r="M76" s="782"/>
      <c r="N76" s="1365"/>
      <c r="O76" s="1365"/>
      <c r="P76" s="484"/>
      <c r="Q76" s="1365"/>
      <c r="R76" s="1365"/>
      <c r="S76" s="485"/>
      <c r="T76" s="1365"/>
      <c r="U76" s="1365"/>
      <c r="V76" s="484"/>
      <c r="W76" s="487"/>
      <c r="X76" s="487"/>
      <c r="Y76" s="733"/>
      <c r="Z76" s="736"/>
      <c r="AA76" s="709"/>
      <c r="AB76" s="2629"/>
      <c r="AC76" s="1032"/>
      <c r="AD76" s="1032"/>
      <c r="AE76" s="1032"/>
      <c r="AF76" s="2963"/>
      <c r="AG76" s="2964"/>
      <c r="AH76" s="2965"/>
      <c r="AI76" s="709"/>
    </row>
    <row r="77" spans="1:35" ht="12" customHeight="1" thickBot="1">
      <c r="A77" s="703"/>
      <c r="B77" s="735"/>
      <c r="C77" s="2944" t="s">
        <v>1218</v>
      </c>
      <c r="D77" s="2945"/>
      <c r="E77" s="2946"/>
      <c r="F77" s="701">
        <v>0</v>
      </c>
      <c r="G77" s="2947"/>
      <c r="H77" s="2947"/>
      <c r="I77" s="2945"/>
      <c r="J77" s="2950"/>
      <c r="K77" s="2947"/>
      <c r="L77" s="2947"/>
      <c r="M77" s="2947"/>
      <c r="N77" s="2951"/>
      <c r="O77" s="2951"/>
      <c r="P77" s="2945"/>
      <c r="Q77" s="2951"/>
      <c r="R77" s="2952"/>
      <c r="S77" s="2947"/>
      <c r="T77" s="2953"/>
      <c r="U77" s="2951"/>
      <c r="V77" s="2950"/>
      <c r="W77" s="2947"/>
      <c r="X77" s="2947"/>
      <c r="Y77" s="2949"/>
      <c r="Z77" s="736"/>
      <c r="AA77" s="709"/>
      <c r="AB77" s="2604" t="str">
        <f>IF(($Q$14&gt;0),((IF((F77=""),"النقل المدرسي",IF((F77&gt;=0)," ",IF((F77&gt;=0),""))))),"")</f>
        <v xml:space="preserve"> </v>
      </c>
      <c r="AC77" s="1032"/>
      <c r="AE77" s="1032"/>
      <c r="AF77" s="4014" t="s">
        <v>1371</v>
      </c>
      <c r="AG77" s="4017"/>
      <c r="AH77" s="4018"/>
      <c r="AI77" s="709"/>
    </row>
    <row r="78" spans="1:35" ht="3.9" customHeight="1">
      <c r="A78" s="703"/>
      <c r="B78" s="735"/>
      <c r="C78" s="840"/>
      <c r="D78" s="486"/>
      <c r="E78" s="473"/>
      <c r="F78" s="473"/>
      <c r="G78" s="473"/>
      <c r="H78" s="3"/>
      <c r="I78" s="484"/>
      <c r="J78" s="484"/>
      <c r="K78" s="484"/>
      <c r="L78" s="484"/>
      <c r="M78" s="485"/>
      <c r="N78" s="1365"/>
      <c r="O78" s="1365"/>
      <c r="P78" s="484"/>
      <c r="Q78" s="1365"/>
      <c r="R78" s="1365"/>
      <c r="S78" s="485"/>
      <c r="T78" s="1365"/>
      <c r="U78" s="1365"/>
      <c r="V78" s="484"/>
      <c r="W78" s="484"/>
      <c r="X78" s="484"/>
      <c r="Y78" s="733"/>
      <c r="Z78" s="736"/>
      <c r="AA78" s="709"/>
      <c r="AB78" s="2620"/>
      <c r="AC78" s="2620"/>
      <c r="AD78" s="2621"/>
      <c r="AE78" s="2621"/>
      <c r="AF78" s="4019"/>
      <c r="AG78" s="4017"/>
      <c r="AH78" s="4018"/>
      <c r="AI78" s="709"/>
    </row>
    <row r="79" spans="1:35" ht="12.9" customHeight="1">
      <c r="A79" s="703"/>
      <c r="B79" s="735"/>
      <c r="C79" s="1810"/>
      <c r="E79" s="1571" t="s">
        <v>1375</v>
      </c>
      <c r="F79" s="3905"/>
      <c r="G79" s="3907"/>
      <c r="H79" s="2983" t="str">
        <f>IF(($F$77=1),IF((F79=""),"عدد الحافلات",IF((F79&lt;&gt;""),"","عدد الحافلات")),"")</f>
        <v/>
      </c>
      <c r="I79" s="1385"/>
      <c r="J79" s="1806"/>
      <c r="K79" s="1806"/>
      <c r="L79" s="1806"/>
      <c r="M79" s="1655"/>
      <c r="N79" s="1716"/>
      <c r="O79" s="1720"/>
      <c r="P79" s="1385"/>
      <c r="Q79" s="3214" t="str">
        <f>IF(($Q$14&gt;0),IF(($F$77=0),((IF((F79&gt;0),"خطء الحافلات المستعملة ",IF((F79=0)," ",IF((F79=0),""))))),""),"")</f>
        <v xml:space="preserve"> </v>
      </c>
      <c r="R79" s="1688"/>
      <c r="S79" s="1807"/>
      <c r="T79" s="1717"/>
      <c r="U79" s="1808"/>
      <c r="V79" s="1385"/>
      <c r="W79" s="1754"/>
      <c r="X79" s="1754"/>
      <c r="Y79" s="1809"/>
      <c r="Z79" s="736"/>
      <c r="AA79" s="709"/>
      <c r="AB79" s="2604" t="str">
        <f>IF(($Q$14&gt;0),IF(($F$77&gt;=1),((IF((F79="")," عدد الحافلات المستعملة",IF((F79=0)," ",IF((F79&gt;0),""))))),""),"")</f>
        <v/>
      </c>
      <c r="AC79" s="2620"/>
      <c r="AE79" s="2621"/>
      <c r="AF79" s="4019"/>
      <c r="AG79" s="4017"/>
      <c r="AH79" s="4018"/>
      <c r="AI79" s="709"/>
    </row>
    <row r="80" spans="1:35" ht="3" customHeight="1">
      <c r="A80" s="703"/>
      <c r="B80" s="735"/>
      <c r="C80" s="853"/>
      <c r="D80" s="19"/>
      <c r="E80" s="483"/>
      <c r="F80" s="483"/>
      <c r="G80" s="483"/>
      <c r="H80" s="482"/>
      <c r="I80" s="480"/>
      <c r="J80" s="480"/>
      <c r="K80" s="480"/>
      <c r="L80" s="480"/>
      <c r="M80" s="481"/>
      <c r="N80" s="1377"/>
      <c r="O80" s="1377"/>
      <c r="P80" s="480"/>
      <c r="Q80" s="1377"/>
      <c r="R80" s="1377"/>
      <c r="S80" s="481"/>
      <c r="T80" s="1377"/>
      <c r="U80" s="1377"/>
      <c r="V80" s="480"/>
      <c r="W80" s="480"/>
      <c r="X80" s="480"/>
      <c r="Y80" s="854"/>
      <c r="Z80" s="736"/>
      <c r="AA80" s="709"/>
      <c r="AB80" s="2620"/>
      <c r="AC80" s="2620"/>
      <c r="AD80" s="2621"/>
      <c r="AE80" s="2621"/>
      <c r="AF80" s="2966"/>
      <c r="AG80" s="2967"/>
      <c r="AH80" s="2968"/>
      <c r="AI80" s="709"/>
    </row>
    <row r="81" spans="1:35" ht="12.9" customHeight="1">
      <c r="A81" s="703"/>
      <c r="B81" s="735"/>
      <c r="C81" s="1021"/>
      <c r="D81" s="3868" t="s">
        <v>952</v>
      </c>
      <c r="E81" s="3868"/>
      <c r="F81" s="3868"/>
      <c r="G81" s="3868"/>
      <c r="H81" s="3868"/>
      <c r="I81" s="3869"/>
      <c r="J81" s="1061"/>
      <c r="X81" s="1062"/>
      <c r="Y81" s="1063"/>
      <c r="Z81" s="736"/>
      <c r="AA81" s="709"/>
      <c r="AC81" s="2620"/>
      <c r="AD81" s="1032"/>
      <c r="AE81" s="2621"/>
      <c r="AF81" s="3981" t="s">
        <v>1369</v>
      </c>
      <c r="AG81" s="3982"/>
      <c r="AH81" s="3983"/>
      <c r="AI81" s="709"/>
    </row>
    <row r="82" spans="1:35" ht="3.9" customHeight="1">
      <c r="A82" s="703"/>
      <c r="B82" s="735"/>
      <c r="C82" s="853"/>
      <c r="D82" s="19"/>
      <c r="E82" s="483"/>
      <c r="F82" s="483"/>
      <c r="G82" s="483"/>
      <c r="H82" s="482"/>
      <c r="I82" s="480"/>
      <c r="J82" s="480"/>
      <c r="K82" s="480"/>
      <c r="L82" s="480"/>
      <c r="M82" s="481"/>
      <c r="N82" s="1377"/>
      <c r="O82" s="1377"/>
      <c r="P82" s="480"/>
      <c r="Q82" s="1377"/>
      <c r="R82" s="1377"/>
      <c r="S82" s="481"/>
      <c r="T82" s="1377"/>
      <c r="U82" s="1377"/>
      <c r="V82" s="480"/>
      <c r="W82" s="480"/>
      <c r="X82" s="480"/>
      <c r="Y82" s="854"/>
      <c r="Z82" s="736"/>
      <c r="AA82" s="709"/>
      <c r="AB82" s="2620"/>
      <c r="AC82" s="2620"/>
      <c r="AD82" s="2621"/>
      <c r="AE82" s="2621"/>
      <c r="AF82" s="3984"/>
      <c r="AG82" s="3982"/>
      <c r="AH82" s="3983"/>
      <c r="AI82" s="709"/>
    </row>
    <row r="83" spans="1:35" ht="12.9" customHeight="1">
      <c r="A83" s="703"/>
      <c r="B83" s="735"/>
      <c r="C83" s="1810"/>
      <c r="D83" s="1811"/>
      <c r="E83" s="1721" t="s">
        <v>869</v>
      </c>
      <c r="F83" s="3908"/>
      <c r="G83" s="3909"/>
      <c r="H83" s="3910"/>
      <c r="I83" s="2983" t="str">
        <f>IF(($F$77=1),IF((F83=""),"المستفدين",IF((F83&lt;&gt;""),"","المستفدين)")),"")</f>
        <v/>
      </c>
      <c r="J83" s="1703"/>
      <c r="K83" s="1385"/>
      <c r="L83" s="1385"/>
      <c r="M83" s="1385"/>
      <c r="N83" s="1666"/>
      <c r="O83" s="1666"/>
      <c r="P83" s="1610"/>
      <c r="Q83" s="3214" t="str">
        <f>IF(($Q$14&gt;0),IF(($F$77=0),((IF((F83&gt;0),"خطء مجموع المستفيدين ",IF((F83=0)," ",IF((F83=0),""))))),""),"")</f>
        <v xml:space="preserve"> </v>
      </c>
      <c r="R83" s="1667"/>
      <c r="S83" s="1385"/>
      <c r="T83" s="1717"/>
      <c r="U83" s="1666"/>
      <c r="V83" s="1703"/>
      <c r="W83" s="1385"/>
      <c r="X83" s="1385"/>
      <c r="Y83" s="1809"/>
      <c r="Z83" s="736"/>
      <c r="AA83" s="709"/>
      <c r="AB83" s="2604" t="str">
        <f>IF(($Q$14&gt;0),IF(($F$77&gt;=1),((IF((F83="")," حـدد المستفيديــن النقـل",IF((F83=0)," ",IF((F83&gt;0),""))))),""),"")</f>
        <v/>
      </c>
      <c r="AC83" s="2620"/>
      <c r="AD83" s="1032"/>
      <c r="AE83" s="2621"/>
      <c r="AF83" s="3984"/>
      <c r="AG83" s="3982"/>
      <c r="AH83" s="3983"/>
      <c r="AI83" s="709"/>
    </row>
    <row r="84" spans="1:35" ht="3" customHeight="1">
      <c r="A84" s="703"/>
      <c r="B84" s="735"/>
      <c r="C84" s="851"/>
      <c r="D84" s="473"/>
      <c r="E84" s="3"/>
      <c r="F84" s="3"/>
      <c r="G84" s="3"/>
      <c r="H84" s="3"/>
      <c r="I84" s="468"/>
      <c r="J84" s="468"/>
      <c r="K84" s="468"/>
      <c r="L84" s="468"/>
      <c r="M84" s="468"/>
      <c r="N84" s="1065"/>
      <c r="O84" s="1065"/>
      <c r="P84" s="468"/>
      <c r="Q84" s="1065"/>
      <c r="R84" s="1065"/>
      <c r="S84" s="468"/>
      <c r="T84" s="1362"/>
      <c r="U84" s="1362"/>
      <c r="V84" s="469"/>
      <c r="W84" s="468"/>
      <c r="X84" s="468"/>
      <c r="Y84" s="736"/>
      <c r="Z84" s="736"/>
      <c r="AA84" s="709"/>
      <c r="AB84" s="2982"/>
      <c r="AC84" s="2620"/>
      <c r="AD84" s="2621"/>
      <c r="AE84" s="2621"/>
      <c r="AF84" s="2966"/>
      <c r="AG84" s="2967"/>
      <c r="AH84" s="2968"/>
      <c r="AI84" s="709"/>
    </row>
    <row r="85" spans="1:35" ht="12.9" customHeight="1">
      <c r="A85" s="703"/>
      <c r="B85" s="735"/>
      <c r="C85" s="1715"/>
      <c r="D85" s="761"/>
      <c r="E85" s="1370" t="s">
        <v>687</v>
      </c>
      <c r="F85" s="3865"/>
      <c r="G85" s="3866"/>
      <c r="H85" s="3867"/>
      <c r="I85" s="2983" t="str">
        <f>IF(($F$77=1),IF((F85=""),"المستفيدات",IF((F85&lt;&gt;""),"","المستفيدات)")),"")</f>
        <v/>
      </c>
      <c r="J85" s="761"/>
      <c r="K85" s="761"/>
      <c r="L85" s="761"/>
      <c r="M85" s="761"/>
      <c r="N85" s="761"/>
      <c r="O85" s="1065"/>
      <c r="P85" s="478"/>
      <c r="Q85" s="3214" t="str">
        <f>IF(($Q$14&gt;0),IF(($F$77=0),((IF((F85&gt;0),"خطء بنات المستفيدين ",IF((F85=0)," ",IF((F85=0),""))))),""),"")</f>
        <v xml:space="preserve"> </v>
      </c>
      <c r="R85" s="761"/>
      <c r="S85" s="761"/>
      <c r="T85" s="761"/>
      <c r="U85" s="1065"/>
      <c r="V85" s="468"/>
      <c r="W85" s="468"/>
      <c r="X85" s="468"/>
      <c r="Y85" s="736"/>
      <c r="Z85" s="736"/>
      <c r="AA85" s="709"/>
      <c r="AB85" s="2604" t="str">
        <f>IF(($Q$14&gt;0),IF(($F$77&gt;=1),((IF((F85="")," المستفيدات النقـل",IF((F85=0)," ",IF((F85&gt;0),""))))),""),"")</f>
        <v/>
      </c>
      <c r="AC85" s="2935"/>
      <c r="AD85" s="2935"/>
      <c r="AE85" s="2935"/>
      <c r="AF85" s="3981" t="s">
        <v>1368</v>
      </c>
      <c r="AG85" s="3982"/>
      <c r="AH85" s="3983"/>
      <c r="AI85" s="709"/>
    </row>
    <row r="86" spans="1:35" ht="3.9" customHeight="1" thickBot="1">
      <c r="A86" s="703"/>
      <c r="B86" s="735"/>
      <c r="C86" s="835"/>
      <c r="D86" s="473"/>
      <c r="E86" s="468"/>
      <c r="F86" s="472"/>
      <c r="G86" s="1065"/>
      <c r="H86" s="471"/>
      <c r="I86" s="1065"/>
      <c r="J86" s="1065"/>
      <c r="K86" s="468"/>
      <c r="L86" s="468"/>
      <c r="M86" s="470"/>
      <c r="N86" s="1362"/>
      <c r="O86" s="1362"/>
      <c r="P86" s="469"/>
      <c r="Q86" s="1065"/>
      <c r="R86" s="1065"/>
      <c r="S86" s="477"/>
      <c r="T86" s="1065"/>
      <c r="U86" s="1065"/>
      <c r="V86" s="468"/>
      <c r="W86" s="468"/>
      <c r="X86" s="468"/>
      <c r="Y86" s="736"/>
      <c r="Z86" s="736"/>
      <c r="AA86" s="709"/>
      <c r="AB86" s="2623"/>
      <c r="AC86" s="2623"/>
      <c r="AD86" s="2623"/>
      <c r="AE86" s="2623"/>
      <c r="AF86" s="3984"/>
      <c r="AG86" s="3982"/>
      <c r="AH86" s="3983"/>
      <c r="AI86" s="709"/>
    </row>
    <row r="87" spans="1:35" ht="12.9" customHeight="1" thickBot="1">
      <c r="A87" s="703"/>
      <c r="B87" s="735"/>
      <c r="C87" s="2954" t="s">
        <v>1219</v>
      </c>
      <c r="D87" s="2945"/>
      <c r="E87" s="2946"/>
      <c r="F87" s="701">
        <v>0</v>
      </c>
      <c r="G87" s="2951"/>
      <c r="H87" s="2979" t="s">
        <v>1374</v>
      </c>
      <c r="I87" s="2951"/>
      <c r="J87" s="2953"/>
      <c r="K87" s="2945"/>
      <c r="L87" s="2945"/>
      <c r="M87" s="2945"/>
      <c r="N87" s="2952"/>
      <c r="O87" s="2956"/>
      <c r="P87" s="2956"/>
      <c r="Q87" s="2955"/>
      <c r="R87" s="2955"/>
      <c r="S87" s="2957"/>
      <c r="T87" s="2958"/>
      <c r="U87" s="2956"/>
      <c r="V87" s="2956"/>
      <c r="W87" s="2956"/>
      <c r="X87" s="2956"/>
      <c r="Y87" s="2959"/>
      <c r="Z87" s="736"/>
      <c r="AA87" s="709"/>
      <c r="AB87" s="2934"/>
      <c r="AC87" s="2933"/>
      <c r="AD87" s="2933"/>
      <c r="AE87" s="2933"/>
      <c r="AF87" s="3985"/>
      <c r="AG87" s="3986"/>
      <c r="AH87" s="3987"/>
      <c r="AI87" s="709"/>
    </row>
    <row r="88" spans="1:35" ht="3.9" customHeight="1" thickBot="1">
      <c r="A88" s="703"/>
      <c r="B88" s="735"/>
      <c r="C88" s="835"/>
      <c r="D88" s="468"/>
      <c r="E88" s="468"/>
      <c r="F88" s="472"/>
      <c r="G88" s="1065"/>
      <c r="H88" s="471"/>
      <c r="I88" s="1065"/>
      <c r="J88" s="1065"/>
      <c r="K88" s="468"/>
      <c r="L88" s="468"/>
      <c r="M88" s="468"/>
      <c r="N88" s="1065"/>
      <c r="O88" s="1065"/>
      <c r="P88" s="468"/>
      <c r="Q88" s="1065"/>
      <c r="R88" s="1065"/>
      <c r="S88" s="469"/>
      <c r="T88" s="1362"/>
      <c r="U88" s="1362"/>
      <c r="V88" s="469"/>
      <c r="W88" s="468"/>
      <c r="X88" s="468"/>
      <c r="Y88" s="736"/>
      <c r="Z88" s="736"/>
      <c r="AA88" s="709"/>
      <c r="AB88" s="2933"/>
      <c r="AC88" s="2933"/>
      <c r="AD88" s="2933"/>
      <c r="AE88" s="2933"/>
      <c r="AF88" s="2933"/>
      <c r="AG88" s="2933"/>
      <c r="AH88" s="2933"/>
      <c r="AI88" s="709"/>
    </row>
    <row r="89" spans="1:35" ht="12.9" customHeight="1" thickBot="1">
      <c r="A89" s="703"/>
      <c r="B89" s="735"/>
      <c r="C89" s="1815"/>
      <c r="D89" s="1610"/>
      <c r="E89" s="1721" t="s">
        <v>670</v>
      </c>
      <c r="F89" s="1592">
        <v>0</v>
      </c>
      <c r="G89" s="1666"/>
      <c r="H89" s="1529"/>
      <c r="I89" s="1529"/>
      <c r="J89" s="1529"/>
      <c r="K89" s="1529"/>
      <c r="L89" s="1529"/>
      <c r="M89" s="1529"/>
      <c r="N89" s="1529"/>
      <c r="O89" s="1666"/>
      <c r="P89" s="1610"/>
      <c r="Q89" s="1666"/>
      <c r="R89" s="1529"/>
      <c r="S89" s="1529"/>
      <c r="T89" s="1719"/>
      <c r="U89" s="1718"/>
      <c r="V89" s="1529"/>
      <c r="W89" s="1529"/>
      <c r="X89" s="1529"/>
      <c r="Y89" s="1812"/>
      <c r="Z89" s="736"/>
      <c r="AA89" s="709"/>
      <c r="AB89" s="2604" t="str">
        <f>IF(($Q$14&gt;0),((IF((F87=""),"وحدة الكشـف نـمطية",IF((F87=0)," ",IF((F87&gt;=1),""))))),"")</f>
        <v xml:space="preserve"> </v>
      </c>
      <c r="AC89" s="2933"/>
      <c r="AD89" s="2604" t="str">
        <f>IF(($Q$14&gt;0),((IF((F89=""),"قاعات علاج",IF((F89=0)," ",IF((F89&gt;=1),""))))),"")</f>
        <v xml:space="preserve"> </v>
      </c>
      <c r="AE89" s="2933"/>
      <c r="AF89" s="2933"/>
      <c r="AG89" s="2933"/>
      <c r="AH89" s="2933"/>
      <c r="AI89" s="709"/>
    </row>
    <row r="90" spans="1:35" ht="3.9" customHeight="1" thickBot="1">
      <c r="A90" s="703"/>
      <c r="B90" s="735"/>
      <c r="C90" s="1654"/>
      <c r="D90" s="1671"/>
      <c r="E90" s="1610"/>
      <c r="F90" s="1687"/>
      <c r="G90" s="1666"/>
      <c r="H90" s="1684"/>
      <c r="I90" s="1666"/>
      <c r="J90" s="1666"/>
      <c r="K90" s="1610"/>
      <c r="L90" s="1610"/>
      <c r="M90" s="1680"/>
      <c r="N90" s="1681"/>
      <c r="O90" s="1681"/>
      <c r="P90" s="1682"/>
      <c r="Q90" s="1666"/>
      <c r="R90" s="1666"/>
      <c r="S90" s="1673"/>
      <c r="T90" s="1666"/>
      <c r="U90" s="1666"/>
      <c r="V90" s="1610"/>
      <c r="W90" s="1610"/>
      <c r="X90" s="1610"/>
      <c r="Y90" s="1813"/>
      <c r="Z90" s="736"/>
      <c r="AA90" s="709"/>
      <c r="AB90" s="2623"/>
      <c r="AC90" s="2623"/>
      <c r="AD90" s="2623"/>
      <c r="AE90" s="2623"/>
      <c r="AF90" s="2623"/>
      <c r="AG90" s="2623"/>
      <c r="AH90" s="2623"/>
      <c r="AI90" s="709"/>
    </row>
    <row r="91" spans="1:35" ht="12" customHeight="1" thickBot="1">
      <c r="A91" s="703"/>
      <c r="B91" s="735"/>
      <c r="C91" s="1816"/>
      <c r="D91" s="1529"/>
      <c r="E91" s="3336" t="s">
        <v>671</v>
      </c>
      <c r="F91" s="1592">
        <v>0</v>
      </c>
      <c r="G91" s="1688"/>
      <c r="H91" s="1688"/>
      <c r="I91" s="1716"/>
      <c r="J91" s="1529"/>
      <c r="K91" s="1529"/>
      <c r="L91" s="1529"/>
      <c r="M91" s="1529"/>
      <c r="N91" s="1529"/>
      <c r="O91" s="1529"/>
      <c r="P91" s="1529"/>
      <c r="Q91" s="1688"/>
      <c r="R91" s="1688"/>
      <c r="S91" s="1673"/>
      <c r="T91" s="1667"/>
      <c r="U91" s="1529"/>
      <c r="V91" s="1529"/>
      <c r="W91" s="1754"/>
      <c r="X91" s="1754"/>
      <c r="Y91" s="1813"/>
      <c r="Z91" s="736"/>
      <c r="AA91" s="709"/>
      <c r="AB91" s="2604" t="str">
        <f>IF(($Q$14&gt;0),((IF((F91=""),"نادي صحي منصب",IF((F91=0)," ",IF((F91&gt;=1),""))))),"")</f>
        <v xml:space="preserve"> </v>
      </c>
      <c r="AC91" s="2623"/>
      <c r="AD91" s="2623"/>
      <c r="AE91" s="2623"/>
      <c r="AF91" s="2623"/>
      <c r="AG91" s="2623"/>
      <c r="AH91" s="2934"/>
      <c r="AI91" s="709"/>
    </row>
    <row r="92" spans="1:35" ht="3.9" customHeight="1" thickBot="1">
      <c r="A92" s="703"/>
      <c r="B92" s="735"/>
      <c r="C92" s="1816"/>
      <c r="D92" s="1529"/>
      <c r="E92" s="1721"/>
      <c r="F92" s="1693"/>
      <c r="G92" s="1688"/>
      <c r="H92" s="1688"/>
      <c r="I92" s="1716"/>
      <c r="J92" s="1529"/>
      <c r="K92" s="1529"/>
      <c r="L92" s="1529"/>
      <c r="M92" s="1529"/>
      <c r="N92" s="1529"/>
      <c r="O92" s="1529"/>
      <c r="P92" s="1529"/>
      <c r="Q92" s="1688"/>
      <c r="R92" s="1688"/>
      <c r="S92" s="1673"/>
      <c r="T92" s="1667"/>
      <c r="U92" s="1529"/>
      <c r="V92" s="1529"/>
      <c r="W92" s="2103"/>
      <c r="X92" s="2103"/>
      <c r="Y92" s="1813"/>
      <c r="Z92" s="736"/>
      <c r="AA92" s="709"/>
      <c r="AB92" s="2934"/>
      <c r="AC92" s="2623"/>
      <c r="AD92" s="2623"/>
      <c r="AE92" s="2623"/>
      <c r="AF92" s="2623"/>
      <c r="AG92" s="2623"/>
      <c r="AH92" s="2623"/>
      <c r="AI92" s="709"/>
    </row>
    <row r="93" spans="1:35" ht="12.9" customHeight="1" thickBot="1">
      <c r="A93" s="703"/>
      <c r="B93" s="735"/>
      <c r="C93" s="2954" t="s">
        <v>1220</v>
      </c>
      <c r="D93" s="2945"/>
      <c r="E93" s="2946"/>
      <c r="F93" s="701">
        <v>1</v>
      </c>
      <c r="G93" s="2947"/>
      <c r="H93" s="2960"/>
      <c r="I93" s="2945"/>
      <c r="J93" s="2960"/>
      <c r="K93" s="2945"/>
      <c r="L93" s="2947"/>
      <c r="M93" s="2947"/>
      <c r="N93" s="2951"/>
      <c r="O93" s="2948" t="s">
        <v>1221</v>
      </c>
      <c r="P93" s="1642">
        <v>0</v>
      </c>
      <c r="Q93" s="2948"/>
      <c r="R93" s="2961"/>
      <c r="S93" s="2945"/>
      <c r="T93" s="2951"/>
      <c r="U93" s="2947"/>
      <c r="V93" s="2947"/>
      <c r="W93" s="2948" t="s">
        <v>1222</v>
      </c>
      <c r="X93" s="3418">
        <f>'الصفحة 2'!$F$22</f>
        <v>0</v>
      </c>
      <c r="Y93" s="2959">
        <f>IF(((X93+P93)=1),(2),(1))</f>
        <v>1</v>
      </c>
      <c r="Z93" s="736"/>
      <c r="AA93" s="709"/>
      <c r="AB93" s="2922" t="str">
        <f>IF(($Q$14&gt;0),((IF((F93=""),"مكتبــــــــــة",IF((F93=0)," ",IF((F93&gt;=1),""))))),"")</f>
        <v/>
      </c>
      <c r="AC93" s="2623"/>
      <c r="AD93" s="2611" t="str">
        <f>IF(($Q$14&gt;0),IF((F93=0),"",((IF((P93="")," قاعة درس عادية مستعملة كمكتبـة",IF((P93=0)," ",IF((P93&gt;=1),"")))))),"")</f>
        <v xml:space="preserve"> </v>
      </c>
      <c r="AE93" s="2623"/>
      <c r="AF93" s="2611" t="str">
        <f>IF(($Q$14&gt;0),IF((F93=0),"",((IF((X93=""),"قاعة متعددة الإختصاصات مستعملة كمكتبـة",IF((X93=0)," ",IF((X93&gt;=1),"")))))),"")</f>
        <v xml:space="preserve"> </v>
      </c>
      <c r="AG93" s="2623"/>
      <c r="AH93" s="2623"/>
      <c r="AI93" s="709"/>
    </row>
    <row r="94" spans="1:35" ht="3" customHeight="1">
      <c r="A94" s="703"/>
      <c r="B94" s="735"/>
      <c r="C94" s="1654"/>
      <c r="D94" s="1671"/>
      <c r="E94" s="1610"/>
      <c r="F94" s="1690"/>
      <c r="G94" s="1610"/>
      <c r="H94" s="1691"/>
      <c r="I94" s="1610"/>
      <c r="J94" s="1610"/>
      <c r="K94" s="1610"/>
      <c r="L94" s="1610"/>
      <c r="M94" s="1680"/>
      <c r="N94" s="1681"/>
      <c r="O94" s="1681"/>
      <c r="P94" s="1682"/>
      <c r="Q94" s="1610"/>
      <c r="R94" s="1689"/>
      <c r="S94" s="1673"/>
      <c r="T94" s="1666"/>
      <c r="V94" s="1610"/>
      <c r="W94" s="1666"/>
      <c r="X94" s="1610"/>
      <c r="Y94" s="852"/>
      <c r="Z94" s="736"/>
      <c r="AA94" s="709"/>
      <c r="AB94" s="1032"/>
      <c r="AC94" s="1032"/>
      <c r="AD94" s="1032"/>
      <c r="AE94" s="1032"/>
      <c r="AF94" s="1032"/>
      <c r="AG94" s="1032"/>
      <c r="AH94" s="1032"/>
      <c r="AI94" s="709"/>
    </row>
    <row r="95" spans="1:35" ht="12.9" customHeight="1">
      <c r="A95" s="703"/>
      <c r="B95" s="735"/>
      <c r="C95" s="1654"/>
      <c r="D95" s="1672"/>
      <c r="E95" s="2980" t="s">
        <v>1376</v>
      </c>
      <c r="F95" s="3905">
        <v>0</v>
      </c>
      <c r="G95" s="3906"/>
      <c r="H95" s="3907"/>
      <c r="I95" s="3217" t="str">
        <f>IF(($Q$14&gt;0),IF((F93=0),((IF((F95&gt;0),"خطء مكتبـة",IF((F95=0)," ",IF((F95=0),""))))),""),"")</f>
        <v/>
      </c>
      <c r="J95" s="1675"/>
      <c r="K95" s="1692"/>
      <c r="L95" s="1673"/>
      <c r="M95" s="1673"/>
      <c r="N95" s="1674"/>
      <c r="P95" s="3216" t="str">
        <f>IF(($P$93=1),IF(($K$56=""),"راقب قاعة درس مستعملة لأغراض أخرى",IF(($K$56&gt;=0),"","راقب قاعة درس مستعملة لأغراض أخرى")),"")</f>
        <v/>
      </c>
      <c r="Q95" s="1673"/>
      <c r="R95" s="1672"/>
      <c r="S95" s="1675"/>
      <c r="T95" s="1674"/>
      <c r="V95" s="1672"/>
      <c r="X95" s="2139" t="s">
        <v>1229</v>
      </c>
      <c r="Y95" s="852"/>
      <c r="Z95" s="736"/>
      <c r="AA95" s="709"/>
      <c r="AB95" s="2922" t="str">
        <f>IF(($Q$14&gt;0),IF((F93=0),"",((IF((F95="")," عـدد المؤلفــات",IF((F95=0)," ",IF((F95&gt;=1),"")))))),"")</f>
        <v xml:space="preserve"> </v>
      </c>
      <c r="AC95" s="1032"/>
      <c r="AE95" s="1032"/>
      <c r="AG95" s="1032"/>
      <c r="AH95" s="1032"/>
      <c r="AI95" s="709"/>
    </row>
    <row r="96" spans="1:35" ht="3.9" customHeight="1">
      <c r="A96" s="703"/>
      <c r="B96" s="735"/>
      <c r="C96" s="835"/>
      <c r="D96" s="473"/>
      <c r="E96" s="2981"/>
      <c r="F96" s="488"/>
      <c r="G96" s="468"/>
      <c r="H96" s="490"/>
      <c r="I96" s="468"/>
      <c r="J96" s="468"/>
      <c r="K96" s="468"/>
      <c r="L96" s="468"/>
      <c r="M96" s="470"/>
      <c r="N96" s="1362"/>
      <c r="O96" s="1362"/>
      <c r="P96" s="469"/>
      <c r="Q96" s="468"/>
      <c r="R96" s="489"/>
      <c r="S96" s="477"/>
      <c r="T96" s="1065"/>
      <c r="U96" s="1065"/>
      <c r="V96" s="468"/>
      <c r="W96" s="468"/>
      <c r="X96" s="468"/>
      <c r="Y96" s="852"/>
      <c r="Z96" s="736"/>
      <c r="AA96" s="709"/>
      <c r="AB96" s="2923"/>
      <c r="AC96" s="1032"/>
      <c r="AD96" s="1032"/>
      <c r="AE96" s="1032"/>
      <c r="AF96" s="1032"/>
      <c r="AG96" s="1032"/>
      <c r="AH96" s="1032"/>
      <c r="AI96" s="709"/>
    </row>
    <row r="97" spans="1:35" ht="12.9" customHeight="1">
      <c r="A97" s="703"/>
      <c r="B97" s="735"/>
      <c r="C97" s="763"/>
      <c r="D97" s="14"/>
      <c r="E97" s="2980" t="s">
        <v>1377</v>
      </c>
      <c r="F97" s="3885">
        <v>0</v>
      </c>
      <c r="G97" s="3886"/>
      <c r="H97" s="3887"/>
      <c r="I97" s="3217" t="str">
        <f>IF(($Q$14&gt;0),IF((F93=0),((IF((F97&gt;0),"خطء مكتبـة",IF((F97=0)," ",IF((F97=0),""))))),""),"")</f>
        <v/>
      </c>
      <c r="J97" s="14"/>
      <c r="K97" s="17"/>
      <c r="L97" s="14"/>
      <c r="M97" s="479"/>
      <c r="O97" s="1374"/>
      <c r="P97" s="3215" t="str">
        <f>IF(($Q$14&gt;0),IF(((P93+X93)&gt;0),IF((F93&gt;0),"","خطء في وجود مكتبة"),""),"")</f>
        <v/>
      </c>
      <c r="Q97" s="475"/>
      <c r="R97" s="475"/>
      <c r="S97" s="15"/>
      <c r="T97" s="1381"/>
      <c r="U97" s="1382"/>
      <c r="W97" s="2141"/>
      <c r="X97" s="475"/>
      <c r="Y97" s="733"/>
      <c r="Z97" s="736"/>
      <c r="AA97" s="709"/>
      <c r="AB97" s="2922" t="str">
        <f>IF(($Q$14&gt;0),IF((F93=0),"",((IF((F97="")," عـــدد الكتـــب",IF((F97=0)," ",IF((F97&gt;=1),"")))))),"")</f>
        <v xml:space="preserve"> </v>
      </c>
      <c r="AC97" s="1032"/>
      <c r="AE97" s="1032"/>
      <c r="AG97" s="1032"/>
      <c r="AH97" s="1032"/>
      <c r="AI97" s="709"/>
    </row>
    <row r="98" spans="1:35" ht="2.1" customHeight="1">
      <c r="A98" s="703"/>
      <c r="B98" s="735"/>
      <c r="C98" s="1816"/>
      <c r="D98" s="1529"/>
      <c r="E98" s="1721"/>
      <c r="F98" s="1693"/>
      <c r="G98" s="1688"/>
      <c r="H98" s="1688"/>
      <c r="I98" s="1716"/>
      <c r="J98" s="1529"/>
      <c r="K98" s="1529"/>
      <c r="L98" s="1529"/>
      <c r="M98" s="1529"/>
      <c r="N98" s="1529"/>
      <c r="O98" s="1529"/>
      <c r="P98" s="1529"/>
      <c r="Q98" s="1688"/>
      <c r="R98" s="1688"/>
      <c r="S98" s="1673"/>
      <c r="T98" s="1667"/>
      <c r="U98" s="1529"/>
      <c r="V98" s="1529"/>
      <c r="W98" s="2103"/>
      <c r="X98" s="2103"/>
      <c r="Y98" s="1813"/>
      <c r="Z98" s="736"/>
      <c r="AA98" s="709"/>
      <c r="AB98" s="2623"/>
      <c r="AC98" s="2623"/>
      <c r="AD98" s="2623"/>
      <c r="AE98" s="2623"/>
      <c r="AF98" s="2623"/>
      <c r="AG98" s="2623"/>
      <c r="AH98" s="2623"/>
      <c r="AI98" s="709"/>
    </row>
    <row r="99" spans="1:35" ht="2.1" customHeight="1" thickBot="1">
      <c r="A99" s="703"/>
      <c r="B99" s="735"/>
      <c r="C99" s="724"/>
      <c r="D99" s="725"/>
      <c r="E99" s="725"/>
      <c r="F99" s="725"/>
      <c r="G99" s="725"/>
      <c r="H99" s="725"/>
      <c r="I99" s="725"/>
      <c r="J99" s="725"/>
      <c r="K99" s="725"/>
      <c r="L99" s="725"/>
      <c r="M99" s="725"/>
      <c r="N99" s="725"/>
      <c r="O99" s="725"/>
      <c r="P99" s="725"/>
      <c r="Q99" s="725"/>
      <c r="R99" s="725"/>
      <c r="S99" s="725"/>
      <c r="T99" s="725"/>
      <c r="U99" s="725"/>
      <c r="V99" s="725"/>
      <c r="W99" s="725"/>
      <c r="X99" s="725"/>
      <c r="Y99" s="726"/>
      <c r="Z99" s="736"/>
      <c r="AA99" s="709"/>
      <c r="AB99" s="3902"/>
      <c r="AC99" s="3902"/>
      <c r="AD99" s="3902"/>
      <c r="AE99" s="3902"/>
      <c r="AF99" s="3902"/>
      <c r="AG99" s="3902"/>
      <c r="AH99" s="3902"/>
      <c r="AI99" s="709"/>
    </row>
    <row r="100" spans="1:35" ht="12" customHeight="1" thickBot="1">
      <c r="A100" s="703"/>
      <c r="B100" s="724"/>
      <c r="C100" s="3904">
        <v>1</v>
      </c>
      <c r="D100" s="3904"/>
      <c r="E100" s="3904"/>
      <c r="F100" s="3904"/>
      <c r="G100" s="3904"/>
      <c r="H100" s="3904"/>
      <c r="I100" s="3904"/>
      <c r="J100" s="3904"/>
      <c r="K100" s="3904"/>
      <c r="L100" s="3904"/>
      <c r="M100" s="3904"/>
      <c r="N100" s="3904"/>
      <c r="O100" s="3904"/>
      <c r="P100" s="3904"/>
      <c r="Q100" s="3904"/>
      <c r="R100" s="3904"/>
      <c r="S100" s="3904"/>
      <c r="T100" s="3904"/>
      <c r="U100" s="3904"/>
      <c r="V100" s="3904"/>
      <c r="W100" s="3904"/>
      <c r="X100" s="3904"/>
      <c r="Y100" s="3904"/>
      <c r="Z100" s="726"/>
      <c r="AA100" s="709"/>
      <c r="AB100" s="3902"/>
      <c r="AC100" s="3902"/>
      <c r="AD100" s="3902"/>
      <c r="AE100" s="3902"/>
      <c r="AF100" s="3902"/>
      <c r="AG100" s="3902"/>
      <c r="AH100" s="3902"/>
      <c r="AI100" s="709"/>
    </row>
    <row r="101" spans="1:35" ht="15" customHeight="1">
      <c r="A101" s="704"/>
      <c r="B101" s="1505" t="s">
        <v>1469</v>
      </c>
      <c r="C101" s="1019"/>
      <c r="D101" s="704"/>
      <c r="E101" s="704"/>
      <c r="F101" s="704"/>
      <c r="G101" s="704"/>
      <c r="H101" s="704"/>
      <c r="I101" s="704"/>
      <c r="J101" s="704"/>
      <c r="K101" s="704"/>
      <c r="L101" s="704"/>
      <c r="M101" s="704"/>
      <c r="N101" s="704"/>
      <c r="O101" s="704"/>
      <c r="P101" s="704"/>
      <c r="Q101" s="704"/>
      <c r="R101" s="704"/>
      <c r="S101" s="704"/>
      <c r="T101" s="704"/>
      <c r="U101" s="704"/>
      <c r="V101" s="704"/>
      <c r="W101" s="704"/>
      <c r="X101" s="704"/>
      <c r="Y101" s="704"/>
      <c r="Z101" s="704"/>
      <c r="AA101" s="704"/>
      <c r="AB101" s="1019" t="s">
        <v>693</v>
      </c>
      <c r="AC101" s="704"/>
      <c r="AD101" s="704"/>
      <c r="AE101" s="704"/>
      <c r="AF101" s="704"/>
      <c r="AG101" s="704"/>
      <c r="AH101" s="704"/>
      <c r="AI101" s="704"/>
    </row>
    <row r="102" spans="1:35" hidden="1"/>
    <row r="103" spans="1:35" hidden="1"/>
    <row r="104" spans="1:35" hidden="1"/>
    <row r="105" spans="1:35" hidden="1"/>
    <row r="106" spans="1:35" hidden="1"/>
    <row r="107" spans="1:35" hidden="1"/>
    <row r="108" spans="1:35" hidden="1"/>
    <row r="109" spans="1:35" hidden="1"/>
  </sheetData>
  <sheetProtection password="8CF9" sheet="1" objects="1" scenarios="1"/>
  <mergeCells count="78">
    <mergeCell ref="AG1:AH1"/>
    <mergeCell ref="AF71:AH71"/>
    <mergeCell ref="AF73:AH75"/>
    <mergeCell ref="AF77:AH79"/>
    <mergeCell ref="AF81:AH83"/>
    <mergeCell ref="AD16:AG16"/>
    <mergeCell ref="AB6:AH12"/>
    <mergeCell ref="AD14:AG14"/>
    <mergeCell ref="AB2:AH5"/>
    <mergeCell ref="O14:P14"/>
    <mergeCell ref="AF85:AH87"/>
    <mergeCell ref="AB18:AB20"/>
    <mergeCell ref="W18:X18"/>
    <mergeCell ref="T18:V18"/>
    <mergeCell ref="T20:X20"/>
    <mergeCell ref="T56:W56"/>
    <mergeCell ref="U48:X55"/>
    <mergeCell ref="AB24:AD24"/>
    <mergeCell ref="AB32:AD32"/>
    <mergeCell ref="AB28:AD28"/>
    <mergeCell ref="W26:X30"/>
    <mergeCell ref="C5:I5"/>
    <mergeCell ref="J11:M11"/>
    <mergeCell ref="C3:I4"/>
    <mergeCell ref="T11:X11"/>
    <mergeCell ref="C6:I7"/>
    <mergeCell ref="I9:O10"/>
    <mergeCell ref="D11:E11"/>
    <mergeCell ref="O3:Y7"/>
    <mergeCell ref="E16:J16"/>
    <mergeCell ref="W66:X66"/>
    <mergeCell ref="AB54:AH56"/>
    <mergeCell ref="K56:M56"/>
    <mergeCell ref="W46:X46"/>
    <mergeCell ref="T16:X16"/>
    <mergeCell ref="AD18:AH20"/>
    <mergeCell ref="T22:X22"/>
    <mergeCell ref="W62:X62"/>
    <mergeCell ref="W60:X60"/>
    <mergeCell ref="AB26:AD26"/>
    <mergeCell ref="K28:O28"/>
    <mergeCell ref="W34:X38"/>
    <mergeCell ref="T32:X32"/>
    <mergeCell ref="T24:X24"/>
    <mergeCell ref="G18:J18"/>
    <mergeCell ref="AB99:AH100"/>
    <mergeCell ref="AF36:AH38"/>
    <mergeCell ref="C100:Y100"/>
    <mergeCell ref="F95:H95"/>
    <mergeCell ref="F79:G79"/>
    <mergeCell ref="F83:H83"/>
    <mergeCell ref="W64:X64"/>
    <mergeCell ref="K66:M66"/>
    <mergeCell ref="K48:M48"/>
    <mergeCell ref="K54:M54"/>
    <mergeCell ref="G46:H46"/>
    <mergeCell ref="P42:Q42"/>
    <mergeCell ref="E52:F52"/>
    <mergeCell ref="K50:M50"/>
    <mergeCell ref="G52:H52"/>
    <mergeCell ref="K52:M52"/>
    <mergeCell ref="G20:J20"/>
    <mergeCell ref="E24:J24"/>
    <mergeCell ref="N22:Q22"/>
    <mergeCell ref="K32:O32"/>
    <mergeCell ref="F97:H97"/>
    <mergeCell ref="E42:G42"/>
    <mergeCell ref="K46:M46"/>
    <mergeCell ref="L30:N30"/>
    <mergeCell ref="L34:N34"/>
    <mergeCell ref="K22:M22"/>
    <mergeCell ref="F38:H38"/>
    <mergeCell ref="E40:G40"/>
    <mergeCell ref="D26:D28"/>
    <mergeCell ref="F85:H85"/>
    <mergeCell ref="D81:I81"/>
    <mergeCell ref="G22:J22"/>
    <mergeCell ref="E44:G44"/>
  </mergeCells>
  <conditionalFormatting sqref="E24:J24 T11:X11">
    <cfRule type="cellIs" dxfId="22107" priority="126" stopIfTrue="1" operator="equal">
      <formula>0</formula>
    </cfRule>
  </conditionalFormatting>
  <conditionalFormatting sqref="T28">
    <cfRule type="cellIs" dxfId="22106" priority="123" stopIfTrue="1" operator="greaterThan">
      <formula>0</formula>
    </cfRule>
    <cfRule type="cellIs" dxfId="22105" priority="124" stopIfTrue="1" operator="equal">
      <formula>0</formula>
    </cfRule>
  </conditionalFormatting>
  <conditionalFormatting sqref="G46:H46 T62 W60">
    <cfRule type="cellIs" dxfId="22104" priority="107" stopIfTrue="1" operator="equal">
      <formula>0</formula>
    </cfRule>
  </conditionalFormatting>
  <conditionalFormatting sqref="P83">
    <cfRule type="cellIs" dxfId="22103" priority="334" stopIfTrue="1" operator="greaterThan">
      <formula>#REF!</formula>
    </cfRule>
  </conditionalFormatting>
  <conditionalFormatting sqref="K46:M46 S46 W46:X46">
    <cfRule type="cellIs" dxfId="22102" priority="83" stopIfTrue="1" operator="greaterThan">
      <formula>$G$46</formula>
    </cfRule>
  </conditionalFormatting>
  <conditionalFormatting sqref="L34">
    <cfRule type="cellIs" dxfId="22101" priority="529" stopIfTrue="1" operator="lessThan">
      <formula>$L$30</formula>
    </cfRule>
  </conditionalFormatting>
  <conditionalFormatting sqref="E42 E44">
    <cfRule type="cellIs" dxfId="22100" priority="600" stopIfTrue="1" operator="greaterThan">
      <formula>$E$40</formula>
    </cfRule>
  </conditionalFormatting>
  <conditionalFormatting sqref="F85">
    <cfRule type="cellIs" dxfId="22099" priority="892" stopIfTrue="1" operator="greaterThan">
      <formula>F83</formula>
    </cfRule>
  </conditionalFormatting>
  <conditionalFormatting sqref="F38:H38">
    <cfRule type="cellIs" dxfId="22098" priority="50" operator="equal">
      <formula>0</formula>
    </cfRule>
  </conditionalFormatting>
  <conditionalFormatting sqref="T56:W56">
    <cfRule type="cellIs" dxfId="22097" priority="43" stopIfTrue="1" operator="notEqual">
      <formula>0</formula>
    </cfRule>
  </conditionalFormatting>
  <conditionalFormatting sqref="V34">
    <cfRule type="cellIs" dxfId="22096" priority="41" stopIfTrue="1" operator="greaterThan">
      <formula>0</formula>
    </cfRule>
    <cfRule type="cellIs" dxfId="22095" priority="42" stopIfTrue="1" operator="lessThan">
      <formula>1</formula>
    </cfRule>
  </conditionalFormatting>
  <conditionalFormatting sqref="V34">
    <cfRule type="cellIs" dxfId="22094" priority="40" operator="equal">
      <formula>$Y$34</formula>
    </cfRule>
  </conditionalFormatting>
  <conditionalFormatting sqref="V36">
    <cfRule type="cellIs" dxfId="22093" priority="38" stopIfTrue="1" operator="greaterThan">
      <formula>0</formula>
    </cfRule>
    <cfRule type="cellIs" dxfId="22092" priority="39" stopIfTrue="1" operator="lessThan">
      <formula>1</formula>
    </cfRule>
  </conditionalFormatting>
  <conditionalFormatting sqref="V36">
    <cfRule type="cellIs" dxfId="22091" priority="37" operator="equal">
      <formula>$Y$36</formula>
    </cfRule>
  </conditionalFormatting>
  <conditionalFormatting sqref="V38">
    <cfRule type="cellIs" dxfId="22090" priority="35" stopIfTrue="1" operator="greaterThan">
      <formula>0</formula>
    </cfRule>
    <cfRule type="cellIs" dxfId="22089" priority="36" stopIfTrue="1" operator="lessThan">
      <formula>1</formula>
    </cfRule>
  </conditionalFormatting>
  <conditionalFormatting sqref="V38">
    <cfRule type="cellIs" dxfId="22088" priority="34" operator="equal">
      <formula>$Y$38</formula>
    </cfRule>
  </conditionalFormatting>
  <conditionalFormatting sqref="H26">
    <cfRule type="cellIs" dxfId="22087" priority="32" stopIfTrue="1" operator="greaterThan">
      <formula>0</formula>
    </cfRule>
    <cfRule type="cellIs" dxfId="22086" priority="33" stopIfTrue="1" operator="lessThan">
      <formula>1</formula>
    </cfRule>
  </conditionalFormatting>
  <conditionalFormatting sqref="H26">
    <cfRule type="cellIs" dxfId="22085" priority="31" operator="equal">
      <formula>$I$26</formula>
    </cfRule>
  </conditionalFormatting>
  <conditionalFormatting sqref="H28">
    <cfRule type="cellIs" dxfId="22084" priority="29" stopIfTrue="1" operator="greaterThan">
      <formula>0</formula>
    </cfRule>
    <cfRule type="cellIs" dxfId="22083" priority="30" stopIfTrue="1" operator="lessThan">
      <formula>1</formula>
    </cfRule>
  </conditionalFormatting>
  <conditionalFormatting sqref="H28">
    <cfRule type="cellIs" dxfId="22082" priority="28" operator="equal">
      <formula>$I$28</formula>
    </cfRule>
  </conditionalFormatting>
  <conditionalFormatting sqref="H30">
    <cfRule type="cellIs" dxfId="22081" priority="26" stopIfTrue="1" operator="greaterThan">
      <formula>0</formula>
    </cfRule>
    <cfRule type="cellIs" dxfId="22080" priority="27" stopIfTrue="1" operator="lessThan">
      <formula>1</formula>
    </cfRule>
  </conditionalFormatting>
  <conditionalFormatting sqref="H30">
    <cfRule type="cellIs" dxfId="22079" priority="25" operator="equal">
      <formula>$I$30</formula>
    </cfRule>
  </conditionalFormatting>
  <conditionalFormatting sqref="H32">
    <cfRule type="cellIs" dxfId="22078" priority="23" stopIfTrue="1" operator="greaterThan">
      <formula>0</formula>
    </cfRule>
    <cfRule type="cellIs" dxfId="22077" priority="24" stopIfTrue="1" operator="lessThan">
      <formula>1</formula>
    </cfRule>
  </conditionalFormatting>
  <conditionalFormatting sqref="H32">
    <cfRule type="cellIs" dxfId="22076" priority="22" operator="equal">
      <formula>$I$32</formula>
    </cfRule>
  </conditionalFormatting>
  <conditionalFormatting sqref="H34">
    <cfRule type="cellIs" dxfId="22075" priority="20" stopIfTrue="1" operator="greaterThan">
      <formula>0</formula>
    </cfRule>
    <cfRule type="cellIs" dxfId="22074" priority="21" stopIfTrue="1" operator="lessThan">
      <formula>1</formula>
    </cfRule>
  </conditionalFormatting>
  <conditionalFormatting sqref="H34">
    <cfRule type="cellIs" dxfId="22073" priority="19" operator="equal">
      <formula>$I$34</formula>
    </cfRule>
  </conditionalFormatting>
  <conditionalFormatting sqref="H36">
    <cfRule type="cellIs" dxfId="22072" priority="17" stopIfTrue="1" operator="greaterThan">
      <formula>0</formula>
    </cfRule>
    <cfRule type="cellIs" dxfId="22071" priority="18" stopIfTrue="1" operator="lessThan">
      <formula>1</formula>
    </cfRule>
  </conditionalFormatting>
  <conditionalFormatting sqref="H36">
    <cfRule type="cellIs" dxfId="22070" priority="16" operator="equal">
      <formula>$I$36</formula>
    </cfRule>
  </conditionalFormatting>
  <conditionalFormatting sqref="V26">
    <cfRule type="cellIs" dxfId="22069" priority="14" stopIfTrue="1" operator="greaterThan">
      <formula>0</formula>
    </cfRule>
    <cfRule type="cellIs" dxfId="22068" priority="15" stopIfTrue="1" operator="lessThan">
      <formula>1</formula>
    </cfRule>
  </conditionalFormatting>
  <conditionalFormatting sqref="V26">
    <cfRule type="cellIs" dxfId="22067" priority="13" operator="equal">
      <formula>$Y$26</formula>
    </cfRule>
  </conditionalFormatting>
  <conditionalFormatting sqref="V28">
    <cfRule type="cellIs" dxfId="22066" priority="11" stopIfTrue="1" operator="greaterThan">
      <formula>0</formula>
    </cfRule>
    <cfRule type="cellIs" dxfId="22065" priority="12" stopIfTrue="1" operator="lessThan">
      <formula>1</formula>
    </cfRule>
  </conditionalFormatting>
  <conditionalFormatting sqref="V28">
    <cfRule type="cellIs" dxfId="22064" priority="10" operator="equal">
      <formula>$Y$28</formula>
    </cfRule>
  </conditionalFormatting>
  <conditionalFormatting sqref="V30">
    <cfRule type="cellIs" dxfId="22063" priority="8" stopIfTrue="1" operator="greaterThan">
      <formula>0</formula>
    </cfRule>
    <cfRule type="cellIs" dxfId="22062" priority="9" stopIfTrue="1" operator="lessThan">
      <formula>1</formula>
    </cfRule>
  </conditionalFormatting>
  <conditionalFormatting sqref="V30">
    <cfRule type="cellIs" dxfId="22061" priority="7" operator="equal">
      <formula>$Y$30</formula>
    </cfRule>
  </conditionalFormatting>
  <conditionalFormatting sqref="X93">
    <cfRule type="cellIs" dxfId="22060" priority="5" stopIfTrue="1" operator="greaterThan">
      <formula>0</formula>
    </cfRule>
    <cfRule type="cellIs" dxfId="22059" priority="6" stopIfTrue="1" operator="lessThan">
      <formula>1</formula>
    </cfRule>
  </conditionalFormatting>
  <conditionalFormatting sqref="X93">
    <cfRule type="cellIs" dxfId="22058" priority="4" operator="equal">
      <formula>$Y$93</formula>
    </cfRule>
  </conditionalFormatting>
  <conditionalFormatting sqref="P93">
    <cfRule type="cellIs" dxfId="22057" priority="2" stopIfTrue="1" operator="greaterThan">
      <formula>0</formula>
    </cfRule>
    <cfRule type="cellIs" dxfId="22056" priority="3" stopIfTrue="1" operator="lessThan">
      <formula>1</formula>
    </cfRule>
  </conditionalFormatting>
  <conditionalFormatting sqref="P93">
    <cfRule type="cellIs" dxfId="22055" priority="1" operator="equal">
      <formula>$Y$93</formula>
    </cfRule>
  </conditionalFormatting>
  <dataValidations count="49">
    <dataValidation type="whole" operator="greaterThanOrEqual" allowBlank="1" showInputMessage="1" showErrorMessage="1" errorTitle="الرقم التسلسلي للمتوسطة " error="ضع الرقم المناسب " sqref="Q14:R14">
      <formula1>1</formula1>
    </dataValidation>
    <dataValidation type="whole" allowBlank="1" showInputMessage="1" showErrorMessage="1" errorTitle="خانة مخصصة  لمكتبة" error="ضع إما العدد 1 لتأكيد الإجابة أو 0 لنفيها" sqref="P93 F93 X93">
      <formula1>0</formula1>
      <formula2>1</formula2>
    </dataValidation>
    <dataValidation type="whole" allowBlank="1" showInputMessage="1" showErrorMessage="1" errorTitle="خانة مخصصة  لمكتبة" error="ضع عدد المؤلفات الموجودة في المكتبة" sqref="F95:H95">
      <formula1>0</formula1>
      <formula2>20000</formula2>
    </dataValidation>
    <dataValidation type="whole" allowBlank="1" showInputMessage="1" showErrorMessage="1" errorTitle="خانة مخصصة  لتدفئة المدرسة" error="ضع العدد الإجمالي للقاعات العادية و المتخصصة" sqref="S95 J95 F67">
      <formula1>0</formula1>
      <formula2>300</formula2>
    </dataValidation>
    <dataValidation type="whole" operator="lessThanOrEqual" allowBlank="1" showInputMessage="1" showErrorMessage="1" errorTitle="خانة مخصصة  لتدفئة التوسطة" error="ضع إما العدد 1 لتأكيد الإجابة أو 0 لنفيها" sqref="R93">
      <formula1>1</formula1>
    </dataValidation>
    <dataValidation type="whole" allowBlank="1" showInputMessage="1" showErrorMessage="1" sqref="F97:H97">
      <formula1>0</formula1>
      <formula2>20000</formula2>
    </dataValidation>
    <dataValidation type="whole" allowBlank="1" showInputMessage="1" showErrorMessage="1" errorTitle="خانة مخصصة لنادي الصحي" error="ضع إما العدد 1 لتأكيد الإجابة أنه تم تنصيب نادي صحي خاص بالمتوسطة أو 0 لنفيها" sqref="F91:F92 F98">
      <formula1>0</formula1>
      <formula2>1</formula2>
    </dataValidation>
    <dataValidation type="whole" allowBlank="1" showInputMessage="1" showErrorMessage="1" errorTitle="خانة مخصصة للملعب الرياضي " error="ضع إما العدد 1 لتأكيد الإجابة بوجود الملعب الرياضي  أو 0 لنفيها" sqref="F89 F75">
      <formula1>0</formula1>
      <formula2>1</formula2>
    </dataValidation>
    <dataValidation type="whole" allowBlank="1" showInputMessage="1" showErrorMessage="1" errorTitle="خانة مخصصة لقاعة العلاج" error="ضع إما العدد 1 لتأكيد الإجابة أنه توجد قاعة علاج شغالة خاصة بالمتوسطة   أو 0 لنفيها" sqref="F87">
      <formula1>0</formula1>
      <formula2>1</formula2>
    </dataValidation>
    <dataValidation type="whole" allowBlank="1" showInputMessage="1" showErrorMessage="1" errorTitle="خانة مخصصة  لمكتبة" error="ضع عدد الكتب الموجودة في المكتبة" sqref="F79:G79">
      <formula1>0</formula1>
      <formula2>20000</formula2>
    </dataValidation>
    <dataValidation type="whole" allowBlank="1" showInputMessage="1" showErrorMessage="1" errorTitle="خانة مخصصة للنقل المـدرسي" error="ضع عدد المستفدين من النقل المدرسي" sqref="F83:H83">
      <formula1>0</formula1>
      <formula2>1200</formula2>
    </dataValidation>
    <dataValidation type="whole" allowBlank="1" showInputMessage="1" showErrorMessage="1" errorTitle="خانة مخصصة للنقل المـدرسي" error="ضع عدد المستفيدات من النقل المدرسي" sqref="F85:H85">
      <formula1>0</formula1>
      <formula2>1200</formula2>
    </dataValidation>
    <dataValidation type="whole" allowBlank="1" showInputMessage="1" showErrorMessage="1" errorTitle="خانة مخصصة للنقل المـدرسي" error="ضع إما العدد 1 لتأكيد الإجابة بوجود نقل مدرسي أو 0 لنفيها" sqref="F77">
      <formula1>0</formula1>
      <formula2>1</formula2>
    </dataValidation>
    <dataValidation type="whole" allowBlank="1" showInputMessage="1" showErrorMessage="1" errorTitle="خانة مخصصة للقاعة الرياضية " error="ضع إما العدد 1 لتأكيد الإجابة بوجود القاعة الرياضية أو 0 لنفيها" sqref="F73">
      <formula1>0</formula1>
      <formula2>1</formula2>
    </dataValidation>
    <dataValidation type="whole" allowBlank="1" showInputMessage="1" showErrorMessage="1" errorTitle="خانة مخصصة للوراشات" error="ضع عدد هذه الوراشات" sqref="I64">
      <formula1>0</formula1>
      <formula2>3</formula2>
    </dataValidation>
    <dataValidation type="whole" operator="greaterThanOrEqual" allowBlank="1" showInputMessage="1" showErrorMessage="1" errorTitle="الخانة مخصصة لنوع البناء " error="ضع إما العدد 1 لتأكيد الإجابة أو 0 لنفيها" sqref="T54 T52 T50">
      <formula1>0</formula1>
    </dataValidation>
    <dataValidation type="whole" allowBlank="1" showInputMessage="1" showErrorMessage="1" errorTitle="خانة مخصصة لمعرفة بعد المتوسطة" error="ضع العدد المناسب لتحديد المسافة" sqref="P42:Q42">
      <formula1>0</formula1>
      <formula2>50000</formula2>
    </dataValidation>
    <dataValidation operator="greaterThanOrEqual" allowBlank="1" showInputMessage="1" showErrorMessage="1" errorTitle="مخصص لرقم التعريف الوطني" sqref="T16:X16 G20:J20"/>
    <dataValidation operator="greaterThanOrEqual" allowBlank="1" showInputMessage="1" showErrorMessage="1" errorTitle="رقم حساب الخزينة" error="ضع العدد المناسب" sqref="T18:V18"/>
    <dataValidation allowBlank="1" showInputMessage="1" showErrorMessage="1" errorTitle="خانة مخصصة لسنــة الإنشاء" error="ضع سنة الإنشـاء الرسمية، أربعة أرقام  " sqref="P28"/>
    <dataValidation type="whole" allowBlank="1" showInputMessage="1" showErrorMessage="1" errorTitle="خانة مخصصة لسنــة الإنشاء" error="ضع سنة الإنشـاء الرسمية، أربعة أرقام  " sqref="L34:N34">
      <formula1>1400</formula1>
      <formula2>2020</formula2>
    </dataValidation>
    <dataValidation type="whole" allowBlank="1" showInputMessage="1" showErrorMessage="1" errorTitle="خانة مخصصة لسنــة البنــاء" error="ضع سنة البناء الأصلية، أربعة أرقام" sqref="L30:N30">
      <formula1>1400</formula1>
      <formula2>2020</formula2>
    </dataValidation>
    <dataValidation type="whole" allowBlank="1" showInputMessage="1" showErrorMessage="1" errorTitle="خانة مخصصة لمساحة التوسيع" error="ضع الأعداد فقط" sqref="E44:G44">
      <formula1>0</formula1>
      <formula2>900000000</formula2>
    </dataValidation>
    <dataValidation type="whole" allowBlank="1" showInputMessage="1" showErrorMessage="1" errorTitle="خانة مخصصة لمساحة المبنية" error="ضع الأعداد فقط" sqref="E42:G42">
      <formula1>0</formula1>
      <formula2>900000000</formula2>
    </dataValidation>
    <dataValidation type="decimal" allowBlank="1" showInputMessage="1" showErrorMessage="1" errorTitle="خانة مخصصة لمساحة الكلية" error="ضع الأعداد فقط  " sqref="E40:G40">
      <formula1>0</formula1>
      <formula2>900000000</formula2>
    </dataValidation>
    <dataValidation type="whole" allowBlank="1" showInputMessage="1" showErrorMessage="1" errorTitle="الخانة مخصصة للوسط الحضري" error="ضع إما العدد 1 لتأكيد الإجابة أو 0 لنفيها" sqref="H36 V34 V36 V38 H26 H28 H30 H32 H34 V26 V28 V30">
      <formula1>0</formula1>
      <formula2>1</formula2>
    </dataValidation>
    <dataValidation operator="greaterThanOrEqual" allowBlank="1" showInputMessage="1" showErrorMessage="1" errorTitle="خانة مخصصة لهاتف المتوسطة" error="ضع الرقم المناسب" sqref="N22:R22"/>
    <dataValidation operator="greaterThanOrEqual" allowBlank="1" showInputMessage="1" showErrorMessage="1" errorTitle="خانة مخصصة لطاقة النظرية" error="إذا كانت المتوسطة غير نمطية فإن كيفية الحساب للحصول على الطاقة النظرية هي يساوي عدد الأقسام العدية و المتخصصة مضروب في 40  تلميذ " sqref="F38:H38"/>
    <dataValidation type="whole" allowBlank="1" showInputMessage="1" showErrorMessage="1" errorTitle=" الأقسام الجديدة لهذه السنة " error="ضع العدد فقط" sqref="K46:M46">
      <formula1>0</formula1>
      <formula2>50</formula2>
    </dataValidation>
    <dataValidation type="whole" allowBlank="1" showInputMessage="1" showErrorMessage="1" errorTitle="أقسام التي أعيد فتحها هذه السنة" error="ضع العدد فقط" sqref="S46">
      <formula1>0</formula1>
      <formula2>50</formula2>
    </dataValidation>
    <dataValidation type="whole" allowBlank="1" showInputMessage="1" showErrorMessage="1" errorTitle="أقسام من البناء الجاهز" error="ضع العدد فقط" sqref="W46:X46">
      <formula1>0</formula1>
      <formula2>50</formula2>
    </dataValidation>
    <dataValidation operator="greaterThanOrEqual" allowBlank="1" showInputMessage="1" showErrorMessage="1" errorTitle="المجموع القاعات الموجودة" error="المجموع" sqref="G46:H46"/>
    <dataValidation type="whole" allowBlank="1" showInputMessage="1" showErrorMessage="1" errorTitle="أقسام مخصصة لتعليم المتوسط" error="ضع العدد فقط" sqref="K48:M48 W60:X60 T62">
      <formula1>0</formula1>
      <formula2>50</formula2>
    </dataValidation>
    <dataValidation type="whole" allowBlank="1" showInputMessage="1" showErrorMessage="1" errorTitle="أقسام مخصصة لتعليم الإبتدائي" error="ضع العدد فقط" sqref="K50:M50">
      <formula1>0</formula1>
      <formula2>50</formula2>
    </dataValidation>
    <dataValidation type="whole" allowBlank="1" showInputMessage="1" showErrorMessage="1" errorTitle=" أقسام مخصصة لتعليم الثانوي" error="ضع العدد فقط" sqref="K52:M52">
      <formula1>0</formula1>
      <formula2>50</formula2>
    </dataValidation>
    <dataValidation type="whole" allowBlank="1" showInputMessage="1" showErrorMessage="1" errorTitle="أقسام مخصصة لأغراض إدارية" error="ضع العدد فقط" sqref="K54:M54">
      <formula1>0</formula1>
      <formula2>50</formula2>
    </dataValidation>
    <dataValidation type="whole" allowBlank="1" showInputMessage="1" showErrorMessage="1" errorTitle="أقسام مخصصة لأغراض أخرى" error="ضع العدد فقط" sqref="K56:M56">
      <formula1>0</formula1>
      <formula2>50</formula2>
    </dataValidation>
    <dataValidation type="whole" allowBlank="1" showInputMessage="1" showErrorMessage="1" errorTitle=" أقسام مغلقة لنقص التلاميذ" error="ضع عدد هذه الأقسام" sqref="W62:Y62">
      <formula1>0</formula1>
      <formula2>50</formula2>
    </dataValidation>
    <dataValidation type="whole" allowBlank="1" showInputMessage="1" showErrorMessage="1" errorTitle="أقسام مغلقة لعدم صلاحيتها" error="ضع العدد فقط" sqref="W64:X64">
      <formula1>0</formula1>
      <formula2>50</formula2>
    </dataValidation>
    <dataValidation type="whole" allowBlank="1" showInputMessage="1" showErrorMessage="1" errorTitle="أقسام مغلقة لأسباب أخرى" error="ضع العدد فقط" sqref="W66:X66">
      <formula1>0</formula1>
      <formula2>50</formula2>
    </dataValidation>
    <dataValidation type="whole" allowBlank="1" showInputMessage="1" showErrorMessage="1" errorTitle=" خانة مخصصة للمخابر" error="ضع عدد هذه المخابر" sqref="K62">
      <formula1>0</formula1>
      <formula2>50</formula2>
    </dataValidation>
    <dataValidation type="whole" allowBlank="1" showInputMessage="1" showErrorMessage="1" errorTitle="خانة مخصصة للمدرج" error="ضع العدد فقط" sqref="K66">
      <formula1>0</formula1>
      <formula2>50</formula2>
    </dataValidation>
    <dataValidation allowBlank="1" showInputMessage="1" showErrorMessage="1" errorTitle="خانة مخصصة  لتدفئة المدرسة" error="ضع العدد الإجمالي للقاعات العادية و المتخصصة" sqref="K67:L67 X95"/>
    <dataValidation type="whole" operator="greaterThanOrEqual" allowBlank="1" showInputMessage="1" showErrorMessage="1" sqref="E67">
      <formula1>0</formula1>
    </dataValidation>
    <dataValidation type="whole" allowBlank="1" showInputMessage="1" showErrorMessage="1" errorTitle="خانة مخصصة  لتدفئة المدرسة" error="ضع العدد الإجمالي للقاعات العادية و المتخصصة" sqref="J67 W67:X67 S67">
      <formula1>0</formula1>
      <formula2>500</formula2>
    </dataValidation>
    <dataValidation type="whole" allowBlank="1" showInputMessage="1" showErrorMessage="1" errorTitle="خانة مخصصة لربط بشبكة الماء" error="ضع إما العدد 1 لتأكيد الإجابة أو 0 لنفيها" sqref="AG22 AE60">
      <formula1>0</formula1>
      <formula2>1</formula2>
    </dataValidation>
    <dataValidation type="whole" allowBlank="1" showInputMessage="1" showErrorMessage="1" errorTitle="قاعة متعـددة الإختصاصات" error="إذا كانت مستعملة كمخبر للإعلام الآلي، ضع إما العدد 1 لتأكيد الإجابة أو 0 لنفيها" sqref="E52:F52">
      <formula1>0</formula1>
      <formula2>3</formula2>
    </dataValidation>
    <dataValidation type="whole" allowBlank="1" showInputMessage="1" showErrorMessage="1" sqref="I66">
      <formula1>0</formula1>
      <formula2>6</formula2>
    </dataValidation>
    <dataValidation type="whole" allowBlank="1" showInputMessage="1" showErrorMessage="1" errorTitle=" خانة مخصصة للمخابر" error="ضع عدد هذه المخابر" sqref="I62">
      <formula1>0</formula1>
      <formula2>3</formula2>
    </dataValidation>
  </dataValidations>
  <printOptions horizontalCentered="1" verticalCentered="1"/>
  <pageMargins left="0.19685039370078741" right="0.11811023622047245" top="0.11811023622047245" bottom="0.19685039370078741" header="0" footer="0.37401574803149606"/>
  <pageSetup paperSize="9" scale="97" orientation="portrait" r:id="rId1"/>
  <headerFooter>
    <oddFooter xml:space="preserve">&amp;R&amp;"-,Gras"&amp;8&amp;K00-031Echamil V.08  &amp;F             </oddFooter>
  </headerFooter>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tabColor rgb="FF993366"/>
  </sheetPr>
  <dimension ref="A1:Z77"/>
  <sheetViews>
    <sheetView showGridLines="0" rightToLeft="1" topLeftCell="A64" workbookViewId="0">
      <selection activeCell="I66" sqref="I66"/>
    </sheetView>
  </sheetViews>
  <sheetFormatPr baseColWidth="10" defaultColWidth="0" defaultRowHeight="14.4" zeroHeight="1"/>
  <cols>
    <col min="1" max="1" width="2.6640625" customWidth="1"/>
    <col min="2" max="2" width="1.6640625" customWidth="1"/>
    <col min="3" max="3" width="0.88671875" customWidth="1"/>
    <col min="4" max="4" width="25.6640625" customWidth="1"/>
    <col min="5" max="16" width="5.44140625" customWidth="1"/>
    <col min="17" max="17" width="0.88671875" customWidth="1"/>
    <col min="18" max="18" width="1.6640625" customWidth="1"/>
    <col min="19" max="19" width="2.6640625" customWidth="1"/>
    <col min="20" max="20" width="32.109375" style="1041" customWidth="1"/>
    <col min="21" max="21" width="6.5546875" style="1041" customWidth="1"/>
    <col min="22" max="23" width="6.6640625" style="1041" customWidth="1"/>
    <col min="24" max="24" width="4.6640625" style="1041" customWidth="1"/>
    <col min="25" max="25" width="3.6640625" style="1041" customWidth="1"/>
    <col min="26" max="26" width="3" customWidth="1"/>
  </cols>
  <sheetData>
    <row r="1" spans="1:26" ht="12.6" customHeight="1" thickBot="1">
      <c r="A1" s="750"/>
      <c r="B1" s="751"/>
      <c r="C1" s="751"/>
      <c r="D1" s="751"/>
      <c r="E1" s="751"/>
      <c r="F1" s="751"/>
      <c r="G1" s="751"/>
      <c r="H1" s="751"/>
      <c r="I1" s="751"/>
      <c r="J1" s="751"/>
      <c r="K1" s="751"/>
      <c r="L1" s="751"/>
      <c r="M1" s="751"/>
      <c r="N1" s="751"/>
      <c r="O1" s="751"/>
      <c r="P1" s="751"/>
      <c r="Q1" s="751"/>
      <c r="R1" s="751"/>
      <c r="S1" s="750"/>
      <c r="T1" s="1043"/>
      <c r="U1" s="1043"/>
      <c r="V1" s="1043"/>
      <c r="W1" s="1043"/>
      <c r="X1" s="1043"/>
      <c r="Y1" s="1040"/>
      <c r="Z1" s="969"/>
    </row>
    <row r="2" spans="1:26" ht="8.1" customHeight="1" thickBot="1">
      <c r="A2" s="750"/>
      <c r="B2" s="904"/>
      <c r="C2" s="905"/>
      <c r="D2" s="905"/>
      <c r="E2" s="905"/>
      <c r="F2" s="905"/>
      <c r="G2" s="905"/>
      <c r="H2" s="905"/>
      <c r="I2" s="905"/>
      <c r="J2" s="905"/>
      <c r="K2" s="905"/>
      <c r="L2" s="905"/>
      <c r="M2" s="905"/>
      <c r="N2" s="905"/>
      <c r="O2" s="905"/>
      <c r="P2" s="905"/>
      <c r="Q2" s="905"/>
      <c r="R2" s="906"/>
      <c r="S2" s="752"/>
      <c r="T2" s="1044"/>
      <c r="U2" s="1044"/>
      <c r="V2" s="1044"/>
      <c r="W2" s="1044"/>
      <c r="X2" s="1044"/>
      <c r="Z2" s="969"/>
    </row>
    <row r="3" spans="1:26" ht="2.1" customHeight="1">
      <c r="A3" s="750"/>
      <c r="B3" s="907"/>
      <c r="C3" s="862"/>
      <c r="D3" s="858"/>
      <c r="E3" s="859"/>
      <c r="F3" s="859"/>
      <c r="G3" s="863"/>
      <c r="H3" s="859"/>
      <c r="I3" s="859"/>
      <c r="J3" s="859"/>
      <c r="K3" s="859"/>
      <c r="L3" s="859"/>
      <c r="M3" s="859"/>
      <c r="N3" s="859"/>
      <c r="O3" s="859"/>
      <c r="P3" s="859"/>
      <c r="Q3" s="913"/>
      <c r="R3" s="925"/>
      <c r="S3" s="752"/>
      <c r="T3" s="4032" t="s">
        <v>603</v>
      </c>
      <c r="U3" s="4032"/>
      <c r="V3" s="4032"/>
      <c r="W3" s="4032"/>
      <c r="X3" s="4032"/>
      <c r="Z3" s="969"/>
    </row>
    <row r="4" spans="1:26" ht="12" customHeight="1">
      <c r="A4" s="750"/>
      <c r="B4" s="909"/>
      <c r="C4" s="928"/>
      <c r="D4" s="2882" t="s">
        <v>1466</v>
      </c>
      <c r="E4" s="633"/>
      <c r="F4" s="633"/>
      <c r="G4" s="634"/>
      <c r="H4" s="634"/>
      <c r="I4" s="637"/>
      <c r="J4" s="634"/>
      <c r="K4" s="684"/>
      <c r="L4" s="684"/>
      <c r="M4" s="684"/>
      <c r="N4" s="684"/>
      <c r="O4" s="684"/>
      <c r="P4" s="2883" t="s">
        <v>1467</v>
      </c>
      <c r="Q4" s="929"/>
      <c r="R4" s="925"/>
      <c r="S4" s="752"/>
      <c r="T4" s="4032"/>
      <c r="U4" s="4032"/>
      <c r="V4" s="4032"/>
      <c r="W4" s="4032"/>
      <c r="X4" s="4032"/>
      <c r="Z4" s="969"/>
    </row>
    <row r="5" spans="1:26" ht="2.1" customHeight="1">
      <c r="A5" s="750"/>
      <c r="B5" s="907"/>
      <c r="C5" s="915"/>
      <c r="D5" s="633"/>
      <c r="E5" s="638"/>
      <c r="F5" s="638"/>
      <c r="G5" s="637"/>
      <c r="H5" s="637"/>
      <c r="I5" s="637"/>
      <c r="J5" s="684"/>
      <c r="K5" s="684"/>
      <c r="L5" s="684"/>
      <c r="M5" s="684"/>
      <c r="N5" s="684"/>
      <c r="O5" s="684"/>
      <c r="P5" s="684"/>
      <c r="Q5" s="914"/>
      <c r="R5" s="925"/>
      <c r="S5" s="970"/>
      <c r="T5" s="4032"/>
      <c r="U5" s="4032"/>
      <c r="V5" s="4032"/>
      <c r="W5" s="4032"/>
      <c r="X5" s="4032"/>
      <c r="Z5" s="969"/>
    </row>
    <row r="6" spans="1:26" ht="12" customHeight="1">
      <c r="A6" s="750"/>
      <c r="B6" s="907"/>
      <c r="C6" s="974"/>
      <c r="D6" s="2890" t="s">
        <v>1406</v>
      </c>
      <c r="E6" s="976"/>
      <c r="F6" s="976"/>
      <c r="G6" s="977"/>
      <c r="H6" s="976"/>
      <c r="I6" s="976"/>
      <c r="J6" s="976"/>
      <c r="K6" s="976"/>
      <c r="L6" s="976"/>
      <c r="M6" s="976"/>
      <c r="N6" s="976"/>
      <c r="O6" s="976"/>
      <c r="P6" s="976"/>
      <c r="Q6" s="978"/>
      <c r="R6" s="919"/>
      <c r="S6" s="970"/>
      <c r="T6" s="4032"/>
      <c r="U6" s="4032"/>
      <c r="V6" s="4032"/>
      <c r="W6" s="4032"/>
      <c r="X6" s="4032"/>
      <c r="Z6" s="969"/>
    </row>
    <row r="7" spans="1:26" ht="2.1" customHeight="1">
      <c r="A7" s="750"/>
      <c r="B7" s="907"/>
      <c r="C7" s="2116"/>
      <c r="D7" s="2117"/>
      <c r="E7" s="2118"/>
      <c r="F7" s="2118"/>
      <c r="G7" s="2119"/>
      <c r="H7" s="2118"/>
      <c r="I7" s="2118"/>
      <c r="J7" s="2118"/>
      <c r="K7" s="2118"/>
      <c r="L7" s="2118"/>
      <c r="M7" s="2118"/>
      <c r="N7" s="2118"/>
      <c r="O7" s="2118"/>
      <c r="P7" s="2118"/>
      <c r="Q7" s="2120"/>
      <c r="R7" s="919"/>
      <c r="S7" s="970"/>
      <c r="Z7" s="1031"/>
    </row>
    <row r="8" spans="1:26" ht="2.1" customHeight="1">
      <c r="A8" s="750"/>
      <c r="B8" s="926"/>
      <c r="C8" s="918"/>
      <c r="D8" s="635"/>
      <c r="E8" s="634"/>
      <c r="F8" s="634"/>
      <c r="G8" s="634"/>
      <c r="H8" s="634"/>
      <c r="I8" s="634"/>
      <c r="J8" s="634"/>
      <c r="K8" s="634"/>
      <c r="L8" s="634"/>
      <c r="M8" s="634"/>
      <c r="N8" s="634"/>
      <c r="O8" s="634"/>
      <c r="P8" s="634"/>
      <c r="Q8" s="919"/>
      <c r="R8" s="925"/>
      <c r="S8" s="970"/>
      <c r="T8" s="4768" t="s">
        <v>1334</v>
      </c>
      <c r="U8" s="4768"/>
      <c r="V8" s="4768"/>
      <c r="Z8" s="969"/>
    </row>
    <row r="9" spans="1:26" ht="12" customHeight="1">
      <c r="A9" s="750"/>
      <c r="B9" s="926"/>
      <c r="C9" s="918"/>
      <c r="D9" s="1356" t="s">
        <v>586</v>
      </c>
      <c r="E9" s="4759" t="s">
        <v>157</v>
      </c>
      <c r="F9" s="4760"/>
      <c r="G9" s="4759" t="s">
        <v>156</v>
      </c>
      <c r="H9" s="4760"/>
      <c r="I9" s="4759" t="s">
        <v>155</v>
      </c>
      <c r="J9" s="4760"/>
      <c r="K9" s="4759" t="s">
        <v>154</v>
      </c>
      <c r="L9" s="4760"/>
      <c r="M9" s="4759" t="s">
        <v>153</v>
      </c>
      <c r="N9" s="4760"/>
      <c r="O9" s="4759" t="s">
        <v>165</v>
      </c>
      <c r="P9" s="4760"/>
      <c r="Q9" s="919"/>
      <c r="R9" s="925"/>
      <c r="S9" s="970"/>
      <c r="T9" s="4769"/>
      <c r="U9" s="4769"/>
      <c r="V9" s="4769"/>
      <c r="Z9" s="969"/>
    </row>
    <row r="10" spans="1:26" ht="12" customHeight="1">
      <c r="A10" s="750"/>
      <c r="B10" s="926"/>
      <c r="C10" s="918"/>
      <c r="D10" s="1333" t="s">
        <v>117</v>
      </c>
      <c r="E10" s="1348" t="s">
        <v>20</v>
      </c>
      <c r="F10" s="1349" t="s">
        <v>565</v>
      </c>
      <c r="G10" s="1348" t="s">
        <v>20</v>
      </c>
      <c r="H10" s="1349" t="s">
        <v>565</v>
      </c>
      <c r="I10" s="1348" t="s">
        <v>20</v>
      </c>
      <c r="J10" s="1349" t="s">
        <v>565</v>
      </c>
      <c r="K10" s="1348" t="s">
        <v>20</v>
      </c>
      <c r="L10" s="1349" t="s">
        <v>565</v>
      </c>
      <c r="M10" s="1348" t="s">
        <v>20</v>
      </c>
      <c r="N10" s="1349" t="s">
        <v>565</v>
      </c>
      <c r="O10" s="1348" t="s">
        <v>20</v>
      </c>
      <c r="P10" s="1349" t="s">
        <v>565</v>
      </c>
      <c r="Q10" s="919"/>
      <c r="R10" s="925"/>
      <c r="S10" s="970"/>
      <c r="T10" s="1045" t="s">
        <v>588</v>
      </c>
      <c r="U10" s="1046" t="s">
        <v>28</v>
      </c>
      <c r="V10" s="1047" t="s">
        <v>565</v>
      </c>
      <c r="X10" s="2241"/>
      <c r="Z10" s="969"/>
    </row>
    <row r="11" spans="1:26" ht="12" customHeight="1">
      <c r="A11" s="750"/>
      <c r="B11" s="926"/>
      <c r="C11" s="918"/>
      <c r="D11" s="685" t="s">
        <v>116</v>
      </c>
      <c r="E11" s="526"/>
      <c r="F11" s="523"/>
      <c r="G11" s="526"/>
      <c r="H11" s="523"/>
      <c r="I11" s="526">
        <v>1</v>
      </c>
      <c r="J11" s="523">
        <v>1</v>
      </c>
      <c r="K11" s="526"/>
      <c r="L11" s="523"/>
      <c r="M11" s="526"/>
      <c r="N11" s="523"/>
      <c r="O11" s="766">
        <f>M11+K11+I11+G11+E11+'الصفحة 35'!O11+'الصفحة 35'!M11+'الصفحة 35'!K11+'الصفحة 35'!I11+'الصفحة 35'!G11+'الصفحة 35'!E11</f>
        <v>1</v>
      </c>
      <c r="P11" s="767">
        <f>N11+L11+J11+H11+F11+'الصفحة 35'!P11+'الصفحة 35'!N11+'الصفحة 35'!L11+'الصفحة 35'!J11+'الصفحة 35'!H11+'الصفحة 35'!F11</f>
        <v>1</v>
      </c>
      <c r="Q11" s="919"/>
      <c r="R11" s="925"/>
      <c r="S11" s="970"/>
      <c r="T11" s="2542" t="s">
        <v>116</v>
      </c>
      <c r="U11" s="2561" t="str">
        <f>IF('الصفحة 34'!L11-O11&lt;&gt;0,"خطأ"," ")</f>
        <v xml:space="preserve"> </v>
      </c>
      <c r="V11" s="2562" t="str">
        <f>IF('الصفحة 34'!M11-P11&lt;&gt;0,"خطأ"," ")</f>
        <v xml:space="preserve"> </v>
      </c>
      <c r="Z11" s="969"/>
    </row>
    <row r="12" spans="1:26" ht="12" customHeight="1">
      <c r="A12" s="750"/>
      <c r="B12" s="926"/>
      <c r="C12" s="918"/>
      <c r="D12" s="4732" t="s">
        <v>115</v>
      </c>
      <c r="E12" s="4733"/>
      <c r="F12" s="4733"/>
      <c r="G12" s="4733"/>
      <c r="H12" s="4733"/>
      <c r="I12" s="4733"/>
      <c r="J12" s="4733"/>
      <c r="K12" s="4733"/>
      <c r="L12" s="4733"/>
      <c r="M12" s="4733"/>
      <c r="N12" s="4733"/>
      <c r="O12" s="4733"/>
      <c r="P12" s="4734"/>
      <c r="Q12" s="919"/>
      <c r="R12" s="925"/>
      <c r="S12" s="970"/>
      <c r="T12" s="4764" t="s">
        <v>115</v>
      </c>
      <c r="U12" s="4765"/>
      <c r="V12" s="4765"/>
      <c r="Z12" s="969"/>
    </row>
    <row r="13" spans="1:26" ht="12" customHeight="1">
      <c r="A13" s="750"/>
      <c r="B13" s="926"/>
      <c r="C13" s="918"/>
      <c r="D13" s="686" t="s">
        <v>712</v>
      </c>
      <c r="E13" s="543"/>
      <c r="F13" s="544"/>
      <c r="G13" s="543"/>
      <c r="H13" s="544"/>
      <c r="I13" s="543"/>
      <c r="J13" s="544"/>
      <c r="K13" s="543"/>
      <c r="L13" s="544"/>
      <c r="M13" s="543"/>
      <c r="N13" s="544"/>
      <c r="O13" s="971">
        <f>M13+K13+I13+G13+E13+'الصفحة 35'!O13+'الصفحة 35'!M13+'الصفحة 35'!K13+'الصفحة 35'!I13+'الصفحة 35'!G13+'الصفحة 35'!E13</f>
        <v>0</v>
      </c>
      <c r="P13" s="972">
        <f>N13+L13+J13+H13+F13+'الصفحة 35'!P13+'الصفحة 35'!N13+'الصفحة 35'!L13+'الصفحة 35'!J13+'الصفحة 35'!H13+'الصفحة 35'!F13</f>
        <v>0</v>
      </c>
      <c r="Q13" s="919"/>
      <c r="R13" s="925"/>
      <c r="S13" s="970"/>
      <c r="T13" s="2563" t="s">
        <v>712</v>
      </c>
      <c r="U13" s="2564" t="str">
        <f>IF('الصفحة 34'!L13-O13&lt;&gt;0,"خطأ"," ")</f>
        <v xml:space="preserve"> </v>
      </c>
      <c r="V13" s="2565" t="str">
        <f>IF('الصفحة 34'!M13-P13&lt;&gt;0,"خطأ"," ")</f>
        <v xml:space="preserve"> </v>
      </c>
      <c r="Z13" s="969"/>
    </row>
    <row r="14" spans="1:26" ht="12" customHeight="1">
      <c r="A14" s="750"/>
      <c r="B14" s="926"/>
      <c r="C14" s="918"/>
      <c r="D14" s="1336" t="s">
        <v>113</v>
      </c>
      <c r="E14" s="527"/>
      <c r="F14" s="524"/>
      <c r="G14" s="527"/>
      <c r="H14" s="524"/>
      <c r="I14" s="527"/>
      <c r="J14" s="524"/>
      <c r="K14" s="527"/>
      <c r="L14" s="524"/>
      <c r="M14" s="527"/>
      <c r="N14" s="524"/>
      <c r="O14" s="768">
        <f>M14+K14+I14+G14+E14+'الصفحة 35'!O14+'الصفحة 35'!M14+'الصفحة 35'!K14+'الصفحة 35'!I14+'الصفحة 35'!G14+'الصفحة 35'!E14</f>
        <v>1</v>
      </c>
      <c r="P14" s="769">
        <f>N14+L14+J14+H14+F14+'الصفحة 35'!P14+'الصفحة 35'!N14+'الصفحة 35'!L14+'الصفحة 35'!J14+'الصفحة 35'!H14+'الصفحة 35'!F14</f>
        <v>0</v>
      </c>
      <c r="Q14" s="919"/>
      <c r="R14" s="925"/>
      <c r="S14" s="970"/>
      <c r="T14" s="2547" t="s">
        <v>113</v>
      </c>
      <c r="U14" s="2566" t="str">
        <f>IF('الصفحة 34'!L14-O14&lt;&gt;0,"خطأ"," ")</f>
        <v xml:space="preserve"> </v>
      </c>
      <c r="V14" s="2567" t="str">
        <f>IF('الصفحة 34'!M14-P14&lt;&gt;0,"خطأ"," ")</f>
        <v>خطأ</v>
      </c>
      <c r="Z14" s="969"/>
    </row>
    <row r="15" spans="1:26" ht="12" customHeight="1">
      <c r="A15" s="750"/>
      <c r="B15" s="926"/>
      <c r="C15" s="918"/>
      <c r="D15" s="687" t="s">
        <v>714</v>
      </c>
      <c r="E15" s="527"/>
      <c r="F15" s="524"/>
      <c r="G15" s="527"/>
      <c r="H15" s="524"/>
      <c r="I15" s="527"/>
      <c r="J15" s="524"/>
      <c r="K15" s="527"/>
      <c r="L15" s="524"/>
      <c r="M15" s="527"/>
      <c r="N15" s="524"/>
      <c r="O15" s="768">
        <f>M15+K15+I15+G15+E15+'الصفحة 35'!O15+'الصفحة 35'!M15+'الصفحة 35'!K15+'الصفحة 35'!I15+'الصفحة 35'!G15+'الصفحة 35'!E15</f>
        <v>0</v>
      </c>
      <c r="P15" s="769">
        <f>N15+L15+J15+H15+F15+'الصفحة 35'!P15+'الصفحة 35'!N15+'الصفحة 35'!L15+'الصفحة 35'!J15+'الصفحة 35'!H15+'الصفحة 35'!F15</f>
        <v>0</v>
      </c>
      <c r="Q15" s="919"/>
      <c r="R15" s="925"/>
      <c r="S15" s="970"/>
      <c r="T15" s="2568" t="s">
        <v>714</v>
      </c>
      <c r="U15" s="2569" t="str">
        <f>IF('الصفحة 34'!L15-O15&lt;&gt;0,"خطأ"," ")</f>
        <v xml:space="preserve"> </v>
      </c>
      <c r="V15" s="2570" t="str">
        <f>IF('الصفحة 34'!M15-P15&lt;&gt;0,"خطأ"," ")</f>
        <v xml:space="preserve"> </v>
      </c>
      <c r="Z15" s="969"/>
    </row>
    <row r="16" spans="1:26" ht="12" customHeight="1">
      <c r="A16" s="750"/>
      <c r="B16" s="926"/>
      <c r="C16" s="918"/>
      <c r="D16" s="1336" t="s">
        <v>713</v>
      </c>
      <c r="E16" s="527"/>
      <c r="F16" s="524"/>
      <c r="G16" s="527"/>
      <c r="H16" s="524"/>
      <c r="I16" s="527"/>
      <c r="J16" s="524"/>
      <c r="K16" s="527"/>
      <c r="L16" s="524"/>
      <c r="M16" s="527"/>
      <c r="N16" s="524"/>
      <c r="O16" s="768">
        <f>M16+K16+I16+G16+E16+'الصفحة 35'!O16+'الصفحة 35'!M16+'الصفحة 35'!K16+'الصفحة 35'!I16+'الصفحة 35'!G16+'الصفحة 35'!E16</f>
        <v>8</v>
      </c>
      <c r="P16" s="769">
        <f>N16+L16+J16+H16+F16+'الصفحة 35'!P16+'الصفحة 35'!N16+'الصفحة 35'!L16+'الصفحة 35'!J16+'الصفحة 35'!H16+'الصفحة 35'!F16</f>
        <v>7</v>
      </c>
      <c r="Q16" s="919"/>
      <c r="R16" s="925"/>
      <c r="S16" s="970"/>
      <c r="T16" s="2547" t="s">
        <v>713</v>
      </c>
      <c r="U16" s="2571" t="str">
        <f>IF('الصفحة 34'!L16-O16&lt;&gt;0,"خطأ"," ")</f>
        <v xml:space="preserve"> </v>
      </c>
      <c r="V16" s="2572" t="str">
        <f>IF('الصفحة 34'!M16-P16&lt;&gt;0,"خطأ"," ")</f>
        <v xml:space="preserve"> </v>
      </c>
      <c r="Z16" s="969"/>
    </row>
    <row r="17" spans="1:26" ht="12" customHeight="1">
      <c r="A17" s="750"/>
      <c r="B17" s="926"/>
      <c r="C17" s="918"/>
      <c r="D17" s="1035" t="s">
        <v>711</v>
      </c>
      <c r="E17" s="527"/>
      <c r="F17" s="524"/>
      <c r="G17" s="527"/>
      <c r="H17" s="524"/>
      <c r="I17" s="527"/>
      <c r="J17" s="524"/>
      <c r="K17" s="527"/>
      <c r="L17" s="524"/>
      <c r="M17" s="527"/>
      <c r="N17" s="524"/>
      <c r="O17" s="768">
        <f>M17+K17+I17+G17+E17+'الصفحة 35'!O17+'الصفحة 35'!M17+'الصفحة 35'!K17+'الصفحة 35'!I17+'الصفحة 35'!G17+'الصفحة 35'!E17</f>
        <v>1</v>
      </c>
      <c r="P17" s="769">
        <f>N17+L17+J17+H17+F17+'الصفحة 35'!P17+'الصفحة 35'!N17+'الصفحة 35'!L17+'الصفحة 35'!J17+'الصفحة 35'!H17+'الصفحة 35'!F17</f>
        <v>1</v>
      </c>
      <c r="Q17" s="919"/>
      <c r="R17" s="925"/>
      <c r="S17" s="970"/>
      <c r="T17" s="2549" t="s">
        <v>711</v>
      </c>
      <c r="U17" s="2569" t="str">
        <f>IF('الصفحة 34'!L17-O17&lt;&gt;0,"خطأ"," ")</f>
        <v xml:space="preserve"> </v>
      </c>
      <c r="V17" s="2570" t="str">
        <f>IF('الصفحة 34'!M17-P17&lt;&gt;0,"خطأ"," ")</f>
        <v xml:space="preserve"> </v>
      </c>
      <c r="Z17" s="969"/>
    </row>
    <row r="18" spans="1:26" ht="12" customHeight="1">
      <c r="A18" s="750"/>
      <c r="B18" s="926"/>
      <c r="C18" s="918"/>
      <c r="D18" s="2808" t="s">
        <v>111</v>
      </c>
      <c r="E18" s="528"/>
      <c r="F18" s="525"/>
      <c r="G18" s="528"/>
      <c r="H18" s="525"/>
      <c r="I18" s="528"/>
      <c r="J18" s="525"/>
      <c r="K18" s="528"/>
      <c r="L18" s="525"/>
      <c r="M18" s="528"/>
      <c r="N18" s="525"/>
      <c r="O18" s="770">
        <f>M18+K18+I18+G18+E18+'الصفحة 35'!O18+'الصفحة 35'!M18+'الصفحة 35'!K18+'الصفحة 35'!I18+'الصفحة 35'!G18+'الصفحة 35'!E18</f>
        <v>0</v>
      </c>
      <c r="P18" s="771">
        <f>N18+L18+J18+H18+F18+'الصفحة 35'!P18+'الصفحة 35'!N18+'الصفحة 35'!L18+'الصفحة 35'!J18+'الصفحة 35'!H18+'الصفحة 35'!F18</f>
        <v>0</v>
      </c>
      <c r="Q18" s="919"/>
      <c r="R18" s="925"/>
      <c r="S18" s="970"/>
      <c r="T18" s="2573" t="s">
        <v>111</v>
      </c>
      <c r="U18" s="2571" t="str">
        <f>IF('الصفحة 34'!L18-O18&lt;&gt;0,"خطأ"," ")</f>
        <v xml:space="preserve"> </v>
      </c>
      <c r="V18" s="2572" t="str">
        <f>IF('الصفحة 34'!M18-P18&lt;&gt;0,"خطأ"," ")</f>
        <v xml:space="preserve"> </v>
      </c>
      <c r="Z18" s="969"/>
    </row>
    <row r="19" spans="1:26" ht="12" customHeight="1">
      <c r="A19" s="750"/>
      <c r="B19" s="926"/>
      <c r="C19" s="918"/>
      <c r="D19" s="2818" t="s">
        <v>1346</v>
      </c>
      <c r="E19" s="2809"/>
      <c r="F19" s="2810"/>
      <c r="G19" s="2809"/>
      <c r="H19" s="2810"/>
      <c r="I19" s="2809"/>
      <c r="J19" s="2810"/>
      <c r="K19" s="2809"/>
      <c r="L19" s="2810"/>
      <c r="M19" s="2809"/>
      <c r="N19" s="2810"/>
      <c r="O19" s="2813">
        <f>M19+K19+I19+G19+E19+'الصفحة 35'!O19+'الصفحة 35'!M19+'الصفحة 35'!K19+'الصفحة 35'!I19+'الصفحة 35'!G19+'الصفحة 35'!E19</f>
        <v>1</v>
      </c>
      <c r="P19" s="2814">
        <f>N19+L19+J19+H19+F19+'الصفحة 35'!P19+'الصفحة 35'!N19+'الصفحة 35'!L19+'الصفحة 35'!J19+'الصفحة 35'!H19+'الصفحة 35'!F19</f>
        <v>1</v>
      </c>
      <c r="Q19" s="919"/>
      <c r="R19" s="925"/>
      <c r="S19" s="970"/>
      <c r="T19" s="2819" t="s">
        <v>1346</v>
      </c>
      <c r="U19" s="2820" t="str">
        <f>IF('الصفحة 34'!L19-O19&lt;&gt;0,"خطأ"," ")</f>
        <v xml:space="preserve"> </v>
      </c>
      <c r="V19" s="2821" t="str">
        <f>IF('الصفحة 34'!M19-P19&lt;&gt;0,"خطأ"," ")</f>
        <v xml:space="preserve"> </v>
      </c>
      <c r="Z19" s="1031"/>
    </row>
    <row r="20" spans="1:26" ht="12" customHeight="1">
      <c r="A20" s="750"/>
      <c r="B20" s="926"/>
      <c r="C20" s="918"/>
      <c r="D20" s="4732" t="s">
        <v>110</v>
      </c>
      <c r="E20" s="4733"/>
      <c r="F20" s="4733"/>
      <c r="G20" s="4733"/>
      <c r="H20" s="4733"/>
      <c r="I20" s="4733"/>
      <c r="J20" s="4733"/>
      <c r="K20" s="4733"/>
      <c r="L20" s="4733"/>
      <c r="M20" s="4733"/>
      <c r="N20" s="4733"/>
      <c r="O20" s="4733"/>
      <c r="P20" s="4734"/>
      <c r="Q20" s="919"/>
      <c r="R20" s="925"/>
      <c r="S20" s="970"/>
      <c r="T20" s="4761" t="s">
        <v>110</v>
      </c>
      <c r="U20" s="4762"/>
      <c r="V20" s="4763"/>
      <c r="Z20" s="969"/>
    </row>
    <row r="21" spans="1:26" ht="14.1" customHeight="1">
      <c r="A21" s="750"/>
      <c r="B21" s="926"/>
      <c r="C21" s="918"/>
      <c r="D21" s="2801" t="s">
        <v>109</v>
      </c>
      <c r="E21" s="527"/>
      <c r="F21" s="524"/>
      <c r="G21" s="527"/>
      <c r="H21" s="524"/>
      <c r="I21" s="527"/>
      <c r="J21" s="524"/>
      <c r="K21" s="527"/>
      <c r="L21" s="524"/>
      <c r="M21" s="527"/>
      <c r="N21" s="524"/>
      <c r="O21" s="768">
        <f>M21+K21+I21+G21+E21+'الصفحة 35'!O21+'الصفحة 35'!M21+'الصفحة 35'!K21+'الصفحة 35'!I21+'الصفحة 35'!G21+'الصفحة 35'!E21</f>
        <v>0</v>
      </c>
      <c r="P21" s="769">
        <f>N21+L21+J21+H21+F21+'الصفحة 35'!P21+'الصفحة 35'!N21+'الصفحة 35'!L21+'الصفحة 35'!J21+'الصفحة 35'!H21+'الصفحة 35'!F21</f>
        <v>0</v>
      </c>
      <c r="Q21" s="919"/>
      <c r="R21" s="925"/>
      <c r="S21" s="970"/>
      <c r="T21" s="2803" t="s">
        <v>109</v>
      </c>
      <c r="U21" s="2804" t="str">
        <f>IF('الصفحة 34'!L21-O21&lt;&gt;0,"خطأ"," ")</f>
        <v xml:space="preserve"> </v>
      </c>
      <c r="V21" s="2805" t="str">
        <f>IF('الصفحة 34'!M21-P21&lt;&gt;0,"خطأ"," ")</f>
        <v xml:space="preserve"> </v>
      </c>
      <c r="Z21" s="1031"/>
    </row>
    <row r="22" spans="1:26" ht="12" customHeight="1">
      <c r="A22" s="750"/>
      <c r="B22" s="926"/>
      <c r="C22" s="918"/>
      <c r="D22" s="1336" t="s">
        <v>108</v>
      </c>
      <c r="E22" s="527"/>
      <c r="F22" s="524"/>
      <c r="G22" s="527"/>
      <c r="H22" s="524"/>
      <c r="I22" s="527"/>
      <c r="J22" s="524"/>
      <c r="K22" s="527"/>
      <c r="L22" s="524"/>
      <c r="M22" s="527"/>
      <c r="N22" s="524"/>
      <c r="O22" s="768">
        <f>M22+K22+I22+G22+E22+'الصفحة 35'!O22+'الصفحة 35'!M22+'الصفحة 35'!K22+'الصفحة 35'!I22+'الصفحة 35'!G22+'الصفحة 35'!E22</f>
        <v>1</v>
      </c>
      <c r="P22" s="769">
        <f>N22+L22+J22+H22+F22+'الصفحة 35'!P22+'الصفحة 35'!N22+'الصفحة 35'!L22+'الصفحة 35'!J22+'الصفحة 35'!H22+'الصفحة 35'!F22</f>
        <v>0</v>
      </c>
      <c r="Q22" s="919"/>
      <c r="R22" s="925"/>
      <c r="S22" s="970"/>
      <c r="T22" s="2547" t="s">
        <v>108</v>
      </c>
      <c r="U22" s="2566" t="str">
        <f>IF('الصفحة 34'!L22-O22&lt;&gt;0,"خطأ"," ")</f>
        <v xml:space="preserve"> </v>
      </c>
      <c r="V22" s="2567" t="str">
        <f>IF('الصفحة 34'!M22-P22&lt;&gt;0,"خطأ"," ")</f>
        <v xml:space="preserve"> </v>
      </c>
      <c r="Z22" s="969"/>
    </row>
    <row r="23" spans="1:26" ht="12" customHeight="1">
      <c r="A23" s="750"/>
      <c r="B23" s="926"/>
      <c r="C23" s="918"/>
      <c r="D23" s="2801" t="s">
        <v>107</v>
      </c>
      <c r="E23" s="527"/>
      <c r="F23" s="524"/>
      <c r="G23" s="527"/>
      <c r="H23" s="524"/>
      <c r="I23" s="527"/>
      <c r="J23" s="524"/>
      <c r="K23" s="527"/>
      <c r="L23" s="524"/>
      <c r="M23" s="527"/>
      <c r="N23" s="524"/>
      <c r="O23" s="768">
        <f>M23+K23+I23+G23+E23+'الصفحة 35'!O23+'الصفحة 35'!M23+'الصفحة 35'!K23+'الصفحة 35'!I23+'الصفحة 35'!G23+'الصفحة 35'!E23</f>
        <v>0</v>
      </c>
      <c r="P23" s="769">
        <f>N23+L23+J23+H23+F23+'الصفحة 35'!P23+'الصفحة 35'!N23+'الصفحة 35'!L23+'الصفحة 35'!J23+'الصفحة 35'!H23+'الصفحة 35'!F23</f>
        <v>0</v>
      </c>
      <c r="Q23" s="919"/>
      <c r="R23" s="925"/>
      <c r="S23" s="970"/>
      <c r="T23" s="2568" t="s">
        <v>107</v>
      </c>
      <c r="U23" s="2569" t="str">
        <f>IF('الصفحة 34'!L23-O23&lt;&gt;0,"خطأ"," ")</f>
        <v xml:space="preserve"> </v>
      </c>
      <c r="V23" s="2570" t="str">
        <f>IF('الصفحة 34'!M23-P23&lt;&gt;0,"خطأ"," ")</f>
        <v xml:space="preserve"> </v>
      </c>
      <c r="Z23" s="969"/>
    </row>
    <row r="24" spans="1:26" ht="12" customHeight="1">
      <c r="A24" s="750"/>
      <c r="B24" s="926"/>
      <c r="C24" s="918"/>
      <c r="D24" s="1336" t="s">
        <v>106</v>
      </c>
      <c r="E24" s="527"/>
      <c r="F24" s="524"/>
      <c r="G24" s="527"/>
      <c r="H24" s="524"/>
      <c r="I24" s="527"/>
      <c r="J24" s="524"/>
      <c r="K24" s="527"/>
      <c r="L24" s="524"/>
      <c r="M24" s="527"/>
      <c r="N24" s="524"/>
      <c r="O24" s="768">
        <f>M24+K24+I24+G24+E24+'الصفحة 35'!O24+'الصفحة 35'!M24+'الصفحة 35'!K24+'الصفحة 35'!I24+'الصفحة 35'!G24+'الصفحة 35'!E24</f>
        <v>1</v>
      </c>
      <c r="P24" s="769">
        <f>N24+L24+J24+H24+F24+'الصفحة 35'!P24+'الصفحة 35'!N24+'الصفحة 35'!L24+'الصفحة 35'!J24+'الصفحة 35'!H24+'الصفحة 35'!F24</f>
        <v>1</v>
      </c>
      <c r="Q24" s="919"/>
      <c r="R24" s="925"/>
      <c r="S24" s="970"/>
      <c r="T24" s="2547" t="s">
        <v>106</v>
      </c>
      <c r="U24" s="2566" t="str">
        <f>IF('الصفحة 34'!L24-O24&lt;&gt;0,"خطأ"," ")</f>
        <v xml:space="preserve"> </v>
      </c>
      <c r="V24" s="2567" t="str">
        <f>IF('الصفحة 34'!M24-P24&lt;&gt;0,"خطأ"," ")</f>
        <v xml:space="preserve"> </v>
      </c>
      <c r="Z24" s="969"/>
    </row>
    <row r="25" spans="1:26" ht="12" customHeight="1">
      <c r="A25" s="750"/>
      <c r="B25" s="926"/>
      <c r="C25" s="918"/>
      <c r="D25" s="2802" t="s">
        <v>105</v>
      </c>
      <c r="E25" s="541"/>
      <c r="F25" s="542"/>
      <c r="G25" s="541"/>
      <c r="H25" s="542"/>
      <c r="I25" s="541"/>
      <c r="J25" s="542"/>
      <c r="K25" s="541"/>
      <c r="L25" s="542"/>
      <c r="M25" s="541"/>
      <c r="N25" s="542"/>
      <c r="O25" s="965">
        <f>M25+K25+I25+G25+E25+'الصفحة 35'!O25+'الصفحة 35'!M25+'الصفحة 35'!K25+'الصفحة 35'!I25+'الصفحة 35'!G25+'الصفحة 35'!E25</f>
        <v>1</v>
      </c>
      <c r="P25" s="966">
        <f>N25+L25+J25+H25+F25+'الصفحة 35'!P25+'الصفحة 35'!N25+'الصفحة 35'!L25+'الصفحة 35'!J25+'الصفحة 35'!H25+'الصفحة 35'!F25</f>
        <v>0</v>
      </c>
      <c r="Q25" s="919"/>
      <c r="R25" s="925"/>
      <c r="S25" s="970"/>
      <c r="T25" s="2574" t="s">
        <v>105</v>
      </c>
      <c r="U25" s="2575" t="str">
        <f>IF('الصفحة 34'!L25-O25&lt;&gt;0,"خطأ"," ")</f>
        <v xml:space="preserve"> </v>
      </c>
      <c r="V25" s="2576" t="str">
        <f>IF('الصفحة 34'!M25-P25&lt;&gt;0,"خطأ"," ")</f>
        <v xml:space="preserve"> </v>
      </c>
      <c r="Z25" s="969"/>
    </row>
    <row r="26" spans="1:26" ht="12" customHeight="1">
      <c r="A26" s="750"/>
      <c r="B26" s="926"/>
      <c r="C26" s="918"/>
      <c r="D26" s="4732" t="s">
        <v>103</v>
      </c>
      <c r="E26" s="4733"/>
      <c r="F26" s="4733"/>
      <c r="G26" s="4733"/>
      <c r="H26" s="4733"/>
      <c r="I26" s="4733"/>
      <c r="J26" s="4733"/>
      <c r="K26" s="4733"/>
      <c r="L26" s="4733"/>
      <c r="M26" s="4733"/>
      <c r="N26" s="4733"/>
      <c r="O26" s="4733"/>
      <c r="P26" s="4734"/>
      <c r="Q26" s="919"/>
      <c r="R26" s="925"/>
      <c r="S26" s="970"/>
      <c r="T26" s="4764" t="s">
        <v>103</v>
      </c>
      <c r="U26" s="4765"/>
      <c r="V26" s="4765"/>
      <c r="Z26" s="969"/>
    </row>
    <row r="27" spans="1:26" ht="11.4" customHeight="1">
      <c r="A27" s="750"/>
      <c r="B27" s="907"/>
      <c r="C27" s="918"/>
      <c r="D27" s="687" t="s">
        <v>102</v>
      </c>
      <c r="E27" s="527"/>
      <c r="F27" s="524"/>
      <c r="G27" s="527"/>
      <c r="H27" s="524"/>
      <c r="I27" s="527"/>
      <c r="J27" s="524"/>
      <c r="K27" s="527"/>
      <c r="L27" s="524"/>
      <c r="M27" s="527"/>
      <c r="N27" s="524"/>
      <c r="O27" s="768">
        <f>M27+K27+I27+G27+E27+'الصفحة 35'!O27+'الصفحة 35'!M27+'الصفحة 35'!K27+'الصفحة 35'!I27+'الصفحة 35'!G27+'الصفحة 35'!E27</f>
        <v>1</v>
      </c>
      <c r="P27" s="769">
        <f>N27+L27+J27+H27+F27+'الصفحة 35'!P27+'الصفحة 35'!N27+'الصفحة 35'!L27+'الصفحة 35'!J27+'الصفحة 35'!H27+'الصفحة 35'!F27</f>
        <v>1</v>
      </c>
      <c r="Q27" s="919"/>
      <c r="R27" s="925"/>
      <c r="S27" s="753"/>
      <c r="T27" s="2568" t="s">
        <v>102</v>
      </c>
      <c r="U27" s="2564" t="str">
        <f>IF('الصفحة 34'!L27-O27&lt;&gt;0,"خطأ"," ")</f>
        <v xml:space="preserve"> </v>
      </c>
      <c r="V27" s="2565" t="str">
        <f>IF('الصفحة 34'!M27-P27&lt;&gt;0,"خطأ"," ")</f>
        <v xml:space="preserve"> </v>
      </c>
      <c r="Z27" s="969"/>
    </row>
    <row r="28" spans="1:26" ht="11.4" customHeight="1">
      <c r="A28" s="750"/>
      <c r="B28" s="907"/>
      <c r="C28" s="918"/>
      <c r="D28" s="1336" t="s">
        <v>101</v>
      </c>
      <c r="E28" s="527"/>
      <c r="F28" s="524"/>
      <c r="G28" s="527"/>
      <c r="H28" s="524"/>
      <c r="I28" s="527"/>
      <c r="J28" s="524"/>
      <c r="K28" s="527"/>
      <c r="L28" s="524"/>
      <c r="M28" s="527"/>
      <c r="N28" s="524"/>
      <c r="O28" s="768">
        <f>M28+K28+I28+G28+E28+'الصفحة 35'!O28+'الصفحة 35'!M28+'الصفحة 35'!K28+'الصفحة 35'!I28+'الصفحة 35'!G28+'الصفحة 35'!E28</f>
        <v>1</v>
      </c>
      <c r="P28" s="769">
        <f>N28+L28+J28+H28+F28+'الصفحة 35'!P28+'الصفحة 35'!N28+'الصفحة 35'!L28+'الصفحة 35'!J28+'الصفحة 35'!H28+'الصفحة 35'!F28</f>
        <v>1</v>
      </c>
      <c r="Q28" s="919"/>
      <c r="R28" s="925"/>
      <c r="S28" s="753"/>
      <c r="T28" s="2547" t="s">
        <v>101</v>
      </c>
      <c r="U28" s="2566" t="str">
        <f>IF('الصفحة 34'!L28-O28&lt;&gt;0,"خطأ"," ")</f>
        <v xml:space="preserve"> </v>
      </c>
      <c r="V28" s="2567" t="str">
        <f>IF('الصفحة 34'!M28-P28&lt;&gt;0,"خطأ"," ")</f>
        <v xml:space="preserve"> </v>
      </c>
      <c r="Z28" s="969"/>
    </row>
    <row r="29" spans="1:26" ht="11.4" customHeight="1">
      <c r="A29" s="750"/>
      <c r="B29" s="907"/>
      <c r="C29" s="918"/>
      <c r="D29" s="688" t="s">
        <v>100</v>
      </c>
      <c r="E29" s="541"/>
      <c r="F29" s="542"/>
      <c r="G29" s="541"/>
      <c r="H29" s="542"/>
      <c r="I29" s="541"/>
      <c r="J29" s="542"/>
      <c r="K29" s="541"/>
      <c r="L29" s="542"/>
      <c r="M29" s="541"/>
      <c r="N29" s="542"/>
      <c r="O29" s="965">
        <f>M29+K29+I29+G29+E29+'الصفحة 35'!O29+'الصفحة 35'!M29+'الصفحة 35'!K29+'الصفحة 35'!I29+'الصفحة 35'!G29+'الصفحة 35'!E29</f>
        <v>0</v>
      </c>
      <c r="P29" s="966">
        <f>N29+L29+J29+H29+F29+'الصفحة 35'!P29+'الصفحة 35'!N29+'الصفحة 35'!L29+'الصفحة 35'!J29+'الصفحة 35'!H29+'الصفحة 35'!F29</f>
        <v>0</v>
      </c>
      <c r="Q29" s="919"/>
      <c r="R29" s="925"/>
      <c r="S29" s="753"/>
      <c r="T29" s="2574" t="s">
        <v>100</v>
      </c>
      <c r="U29" s="2575" t="str">
        <f>IF('الصفحة 34'!L29-O29&lt;&gt;0,"خطأ"," ")</f>
        <v xml:space="preserve"> </v>
      </c>
      <c r="V29" s="2576" t="str">
        <f>IF('الصفحة 34'!M29-P29&lt;&gt;0,"خطأ"," ")</f>
        <v xml:space="preserve"> </v>
      </c>
      <c r="Z29" s="969"/>
    </row>
    <row r="30" spans="1:26" ht="12" customHeight="1">
      <c r="A30" s="750"/>
      <c r="B30" s="907"/>
      <c r="C30" s="918"/>
      <c r="D30" s="4732" t="s">
        <v>99</v>
      </c>
      <c r="E30" s="4733"/>
      <c r="F30" s="4733"/>
      <c r="G30" s="4733"/>
      <c r="H30" s="4733"/>
      <c r="I30" s="4733"/>
      <c r="J30" s="4733"/>
      <c r="K30" s="4733"/>
      <c r="L30" s="4733"/>
      <c r="M30" s="4733"/>
      <c r="N30" s="4733"/>
      <c r="O30" s="4733"/>
      <c r="P30" s="4734"/>
      <c r="Q30" s="919"/>
      <c r="R30" s="925"/>
      <c r="S30" s="753"/>
      <c r="T30" s="4764" t="s">
        <v>99</v>
      </c>
      <c r="U30" s="4765"/>
      <c r="V30" s="4765"/>
      <c r="Z30" s="969"/>
    </row>
    <row r="31" spans="1:26" ht="12" customHeight="1">
      <c r="A31" s="750"/>
      <c r="B31" s="907"/>
      <c r="C31" s="918"/>
      <c r="D31" s="687" t="s">
        <v>98</v>
      </c>
      <c r="E31" s="527"/>
      <c r="F31" s="524"/>
      <c r="G31" s="527"/>
      <c r="H31" s="524"/>
      <c r="I31" s="527"/>
      <c r="J31" s="524"/>
      <c r="K31" s="527"/>
      <c r="L31" s="524"/>
      <c r="M31" s="527"/>
      <c r="N31" s="524"/>
      <c r="O31" s="768">
        <f>M31+K31+I31+G31+E31+'الصفحة 35'!O31+'الصفحة 35'!M31+'الصفحة 35'!K31+'الصفحة 35'!I31+'الصفحة 35'!G31+'الصفحة 35'!E31</f>
        <v>1</v>
      </c>
      <c r="P31" s="769">
        <f>N31+L31+J31+H31+F31+'الصفحة 35'!P31+'الصفحة 35'!N31+'الصفحة 35'!L31+'الصفحة 35'!J31+'الصفحة 35'!H31+'الصفحة 35'!F31</f>
        <v>1</v>
      </c>
      <c r="Q31" s="919"/>
      <c r="R31" s="925"/>
      <c r="S31" s="753"/>
      <c r="T31" s="2568" t="s">
        <v>98</v>
      </c>
      <c r="U31" s="2564" t="str">
        <f>IF('الصفحة 34'!L31-O31&lt;&gt;0,"خطأ"," ")</f>
        <v xml:space="preserve"> </v>
      </c>
      <c r="V31" s="2565" t="str">
        <f>IF('الصفحة 34'!M31-P31&lt;&gt;0,"خطأ"," ")</f>
        <v xml:space="preserve"> </v>
      </c>
      <c r="Z31" s="969"/>
    </row>
    <row r="32" spans="1:26" ht="12" customHeight="1">
      <c r="A32" s="750"/>
      <c r="B32" s="907"/>
      <c r="C32" s="918"/>
      <c r="D32" s="1336" t="s">
        <v>97</v>
      </c>
      <c r="E32" s="527"/>
      <c r="F32" s="524"/>
      <c r="G32" s="527"/>
      <c r="H32" s="524"/>
      <c r="I32" s="527"/>
      <c r="J32" s="524"/>
      <c r="K32" s="527"/>
      <c r="L32" s="524"/>
      <c r="M32" s="527"/>
      <c r="N32" s="524"/>
      <c r="O32" s="768">
        <f>M32+K32+I32+G32+E32+'الصفحة 35'!O32+'الصفحة 35'!M32+'الصفحة 35'!K32+'الصفحة 35'!I32+'الصفحة 35'!G32+'الصفحة 35'!E32</f>
        <v>0</v>
      </c>
      <c r="P32" s="769">
        <f>N32+L32+J32+H32+F32+'الصفحة 35'!P32+'الصفحة 35'!N32+'الصفحة 35'!L32+'الصفحة 35'!J32+'الصفحة 35'!H32+'الصفحة 35'!F32</f>
        <v>0</v>
      </c>
      <c r="Q32" s="919"/>
      <c r="R32" s="925"/>
      <c r="S32" s="753"/>
      <c r="T32" s="2547" t="s">
        <v>97</v>
      </c>
      <c r="U32" s="2566" t="str">
        <f>IF('الصفحة 34'!L32-O32&lt;&gt;0,"خطأ"," ")</f>
        <v xml:space="preserve"> </v>
      </c>
      <c r="V32" s="2567" t="str">
        <f>IF('الصفحة 34'!M32-P32&lt;&gt;0,"خطأ"," ")</f>
        <v xml:space="preserve"> </v>
      </c>
      <c r="Z32" s="969"/>
    </row>
    <row r="33" spans="1:26" ht="12" customHeight="1">
      <c r="A33" s="750"/>
      <c r="B33" s="907"/>
      <c r="C33" s="918"/>
      <c r="D33" s="687" t="s">
        <v>1347</v>
      </c>
      <c r="E33" s="527"/>
      <c r="F33" s="524"/>
      <c r="G33" s="527"/>
      <c r="H33" s="524"/>
      <c r="I33" s="527"/>
      <c r="J33" s="524"/>
      <c r="K33" s="527"/>
      <c r="L33" s="524"/>
      <c r="M33" s="527"/>
      <c r="N33" s="524"/>
      <c r="O33" s="768">
        <f>M33+K33+I33+G33+E33+'الصفحة 35'!O33+'الصفحة 35'!M33+'الصفحة 35'!K33+'الصفحة 35'!I33+'الصفحة 35'!G33+'الصفحة 35'!E33</f>
        <v>0</v>
      </c>
      <c r="P33" s="769">
        <f>N33+L33+J33+H33+F33+'الصفحة 35'!P33+'الصفحة 35'!N33+'الصفحة 35'!L33+'الصفحة 35'!J33+'الصفحة 35'!H33+'الصفحة 35'!F33</f>
        <v>0</v>
      </c>
      <c r="Q33" s="919"/>
      <c r="R33" s="925"/>
      <c r="S33" s="753"/>
      <c r="T33" s="2568" t="s">
        <v>1347</v>
      </c>
      <c r="U33" s="2569" t="str">
        <f>IF('الصفحة 34'!L33-O33&lt;&gt;0,"خطأ"," ")</f>
        <v xml:space="preserve"> </v>
      </c>
      <c r="V33" s="2570" t="str">
        <f>IF('الصفحة 34'!M33-P33&lt;&gt;0,"خطأ"," ")</f>
        <v xml:space="preserve"> </v>
      </c>
      <c r="Z33" s="969"/>
    </row>
    <row r="34" spans="1:26" ht="12" customHeight="1">
      <c r="A34" s="750"/>
      <c r="B34" s="907"/>
      <c r="C34" s="918"/>
      <c r="D34" s="1337" t="s">
        <v>1348</v>
      </c>
      <c r="E34" s="541"/>
      <c r="F34" s="542"/>
      <c r="G34" s="541"/>
      <c r="H34" s="542"/>
      <c r="I34" s="541"/>
      <c r="J34" s="542"/>
      <c r="K34" s="541"/>
      <c r="L34" s="542"/>
      <c r="M34" s="541"/>
      <c r="N34" s="542"/>
      <c r="O34" s="965">
        <f>M34+K34+I34+G34+E34+'الصفحة 35'!O34+'الصفحة 35'!M34+'الصفحة 35'!K34+'الصفحة 35'!I34+'الصفحة 35'!G34+'الصفحة 35'!E34</f>
        <v>0</v>
      </c>
      <c r="P34" s="966">
        <f>N34+L34+J34+H34+F34+'الصفحة 35'!P34+'الصفحة 35'!N34+'الصفحة 35'!L34+'الصفحة 35'!J34+'الصفحة 35'!H34+'الصفحة 35'!F34</f>
        <v>0</v>
      </c>
      <c r="Q34" s="919"/>
      <c r="R34" s="925"/>
      <c r="S34" s="753"/>
      <c r="T34" s="2551" t="s">
        <v>1348</v>
      </c>
      <c r="U34" s="2571" t="str">
        <f>IF('الصفحة 34'!L34-O34&lt;&gt;0,"خطأ"," ")</f>
        <v xml:space="preserve"> </v>
      </c>
      <c r="V34" s="2572" t="str">
        <f>IF('الصفحة 34'!M34-P34&lt;&gt;0,"خطأ"," ")</f>
        <v xml:space="preserve"> </v>
      </c>
      <c r="Z34" s="969"/>
    </row>
    <row r="35" spans="1:26" ht="12" customHeight="1">
      <c r="A35" s="750"/>
      <c r="B35" s="907"/>
      <c r="C35" s="918"/>
      <c r="D35" s="4732" t="s">
        <v>94</v>
      </c>
      <c r="E35" s="4733"/>
      <c r="F35" s="4733"/>
      <c r="G35" s="4733"/>
      <c r="H35" s="4733"/>
      <c r="I35" s="4733"/>
      <c r="J35" s="4733"/>
      <c r="K35" s="4733"/>
      <c r="L35" s="4733"/>
      <c r="M35" s="4733"/>
      <c r="N35" s="4733"/>
      <c r="O35" s="4733"/>
      <c r="P35" s="4734"/>
      <c r="Q35" s="919"/>
      <c r="R35" s="925"/>
      <c r="S35" s="753"/>
      <c r="T35" s="4766" t="s">
        <v>94</v>
      </c>
      <c r="U35" s="4767"/>
      <c r="V35" s="4767"/>
      <c r="Z35" s="969"/>
    </row>
    <row r="36" spans="1:26" ht="11.4" customHeight="1">
      <c r="A36" s="750"/>
      <c r="B36" s="907"/>
      <c r="C36" s="918"/>
      <c r="D36" s="2846" t="s">
        <v>1349</v>
      </c>
      <c r="E36" s="2823"/>
      <c r="F36" s="2824"/>
      <c r="G36" s="2823"/>
      <c r="H36" s="2824"/>
      <c r="I36" s="2823"/>
      <c r="J36" s="2824"/>
      <c r="K36" s="2823"/>
      <c r="L36" s="2824"/>
      <c r="M36" s="2823"/>
      <c r="N36" s="2824"/>
      <c r="O36" s="2825">
        <f>M36+K36+I36+G36+E36+'الصفحة 35'!O36+'الصفحة 35'!M36+'الصفحة 35'!K36+'الصفحة 35'!I36+'الصفحة 35'!G36+'الصفحة 35'!E36</f>
        <v>0</v>
      </c>
      <c r="P36" s="2826">
        <f>N36+L36+J36+H36+F36+'الصفحة 35'!P36+'الصفحة 35'!N36+'الصفحة 35'!L36+'الصفحة 35'!J36+'الصفحة 35'!H36+'الصفحة 35'!F36</f>
        <v>0</v>
      </c>
      <c r="Q36" s="919"/>
      <c r="R36" s="925"/>
      <c r="S36" s="753"/>
      <c r="T36" s="2857" t="s">
        <v>1349</v>
      </c>
      <c r="U36" s="2847" t="str">
        <f>IF('الصفحة 34'!L36-O36&lt;&gt;0,"خطأ"," ")</f>
        <v xml:space="preserve"> </v>
      </c>
      <c r="V36" s="2848" t="str">
        <f>IF('الصفحة 34'!M36-P36&lt;&gt;0,"خطأ"," ")</f>
        <v xml:space="preserve"> </v>
      </c>
      <c r="Z36" s="1031"/>
    </row>
    <row r="37" spans="1:26" ht="11.4" customHeight="1">
      <c r="A37" s="750"/>
      <c r="B37" s="907"/>
      <c r="C37" s="918"/>
      <c r="D37" s="2838" t="s">
        <v>1350</v>
      </c>
      <c r="E37" s="2831"/>
      <c r="F37" s="2832"/>
      <c r="G37" s="2831"/>
      <c r="H37" s="2832"/>
      <c r="I37" s="2831"/>
      <c r="J37" s="2832"/>
      <c r="K37" s="2831"/>
      <c r="L37" s="2832"/>
      <c r="M37" s="2831"/>
      <c r="N37" s="2832"/>
      <c r="O37" s="2835">
        <f>M37+K37+I37+G37+E37+'الصفحة 35'!O37+'الصفحة 35'!M37+'الصفحة 35'!K37+'الصفحة 35'!I37+'الصفحة 35'!G37+'الصفحة 35'!E37</f>
        <v>0</v>
      </c>
      <c r="P37" s="2836">
        <f>N37+L37+J37+H37+F37+'الصفحة 35'!P37+'الصفحة 35'!N37+'الصفحة 35'!L37+'الصفحة 35'!J37+'الصفحة 35'!H37+'الصفحة 35'!F37</f>
        <v>0</v>
      </c>
      <c r="Q37" s="919"/>
      <c r="R37" s="925"/>
      <c r="S37" s="753"/>
      <c r="T37" s="2849" t="s">
        <v>1350</v>
      </c>
      <c r="U37" s="2850" t="str">
        <f>IF('الصفحة 34'!L37-O37&lt;&gt;0,"خطأ"," ")</f>
        <v xml:space="preserve"> </v>
      </c>
      <c r="V37" s="2851" t="str">
        <f>IF('الصفحة 34'!M37-P37&lt;&gt;0,"خطأ"," ")</f>
        <v xml:space="preserve"> </v>
      </c>
      <c r="Z37" s="1031"/>
    </row>
    <row r="38" spans="1:26" ht="11.4" customHeight="1">
      <c r="A38" s="750"/>
      <c r="B38" s="907"/>
      <c r="C38" s="918"/>
      <c r="D38" s="2830" t="s">
        <v>93</v>
      </c>
      <c r="E38" s="2831"/>
      <c r="F38" s="2832"/>
      <c r="G38" s="2831"/>
      <c r="H38" s="2832"/>
      <c r="I38" s="2831"/>
      <c r="J38" s="2832"/>
      <c r="K38" s="2831"/>
      <c r="L38" s="2832"/>
      <c r="M38" s="2831"/>
      <c r="N38" s="2832"/>
      <c r="O38" s="2835">
        <f>M38+K38+I38+G38+E38+'الصفحة 35'!O38+'الصفحة 35'!M38+'الصفحة 35'!K38+'الصفحة 35'!I38+'الصفحة 35'!G38+'الصفحة 35'!E38</f>
        <v>0</v>
      </c>
      <c r="P38" s="2836">
        <f>N38+L38+J38+H38+F38+'الصفحة 35'!P38+'الصفحة 35'!N38+'الصفحة 35'!L38+'الصفحة 35'!J38+'الصفحة 35'!H38+'الصفحة 35'!F38</f>
        <v>0</v>
      </c>
      <c r="Q38" s="919"/>
      <c r="R38" s="925"/>
      <c r="S38" s="753"/>
      <c r="T38" s="2806" t="s">
        <v>93</v>
      </c>
      <c r="U38" s="2852" t="str">
        <f>IF('الصفحة 34'!L38-O38&lt;&gt;0,"خطأ"," ")</f>
        <v xml:space="preserve"> </v>
      </c>
      <c r="V38" s="2853" t="str">
        <f>IF('الصفحة 34'!M38-P38&lt;&gt;0,"خطأ"," ")</f>
        <v xml:space="preserve"> </v>
      </c>
      <c r="Z38" s="969"/>
    </row>
    <row r="39" spans="1:26" ht="11.4" customHeight="1">
      <c r="A39" s="750"/>
      <c r="B39" s="907"/>
      <c r="C39" s="918"/>
      <c r="D39" s="2839" t="s">
        <v>92</v>
      </c>
      <c r="E39" s="2809"/>
      <c r="F39" s="2810"/>
      <c r="G39" s="2809"/>
      <c r="H39" s="2810"/>
      <c r="I39" s="2809"/>
      <c r="J39" s="2810"/>
      <c r="K39" s="2809"/>
      <c r="L39" s="2810"/>
      <c r="M39" s="2809"/>
      <c r="N39" s="2810"/>
      <c r="O39" s="2813">
        <f>M39+K39+I39+G39+E39+'الصفحة 35'!O39+'الصفحة 35'!M39+'الصفحة 35'!K39+'الصفحة 35'!I39+'الصفحة 35'!G39+'الصفحة 35'!E39</f>
        <v>0</v>
      </c>
      <c r="P39" s="2814">
        <f>N39+L39+J39+H39+F39+'الصفحة 35'!P39+'الصفحة 35'!N39+'الصفحة 35'!L39+'الصفحة 35'!J39+'الصفحة 35'!H39+'الصفحة 35'!F39</f>
        <v>0</v>
      </c>
      <c r="Q39" s="919"/>
      <c r="R39" s="925"/>
      <c r="S39" s="753"/>
      <c r="T39" s="2854" t="s">
        <v>92</v>
      </c>
      <c r="U39" s="2855" t="str">
        <f>IF('الصفحة 34'!L39-O39&lt;&gt;0,"خطأ"," ")</f>
        <v xml:space="preserve"> </v>
      </c>
      <c r="V39" s="2856" t="str">
        <f>IF('الصفحة 34'!M39-P39&lt;&gt;0,"خطأ"," ")</f>
        <v xml:space="preserve"> </v>
      </c>
      <c r="Z39" s="969"/>
    </row>
    <row r="40" spans="1:26" ht="12" customHeight="1">
      <c r="A40" s="750"/>
      <c r="B40" s="907"/>
      <c r="C40" s="918"/>
      <c r="D40" s="4732" t="s">
        <v>91</v>
      </c>
      <c r="E40" s="4733"/>
      <c r="F40" s="4733"/>
      <c r="G40" s="4733"/>
      <c r="H40" s="4733"/>
      <c r="I40" s="4733"/>
      <c r="J40" s="4733"/>
      <c r="K40" s="4733"/>
      <c r="L40" s="4733"/>
      <c r="M40" s="4733"/>
      <c r="N40" s="4733"/>
      <c r="O40" s="4733"/>
      <c r="P40" s="4734"/>
      <c r="Q40" s="919"/>
      <c r="R40" s="925"/>
      <c r="S40" s="753"/>
      <c r="T40" s="4772" t="s">
        <v>91</v>
      </c>
      <c r="U40" s="4773"/>
      <c r="V40" s="4773"/>
      <c r="Z40" s="969"/>
    </row>
    <row r="41" spans="1:26" ht="11.4" customHeight="1">
      <c r="A41" s="750"/>
      <c r="B41" s="907"/>
      <c r="C41" s="918"/>
      <c r="D41" s="2828" t="s">
        <v>1351</v>
      </c>
      <c r="E41" s="528"/>
      <c r="F41" s="525"/>
      <c r="G41" s="528"/>
      <c r="H41" s="525"/>
      <c r="I41" s="528"/>
      <c r="J41" s="525"/>
      <c r="K41" s="528"/>
      <c r="L41" s="525"/>
      <c r="M41" s="528"/>
      <c r="N41" s="525"/>
      <c r="O41" s="770">
        <f>M41+K41+I41+G41+E41+'الصفحة 35'!O41+'الصفحة 35'!M41+'الصفحة 35'!K41+'الصفحة 35'!I41+'الصفحة 35'!G41+'الصفحة 35'!E41</f>
        <v>0</v>
      </c>
      <c r="P41" s="771">
        <f>N41+L41+J41+H41+F41+'الصفحة 35'!P41+'الصفحة 35'!N41+'الصفحة 35'!L41+'الصفحة 35'!J41+'الصفحة 35'!H41+'الصفحة 35'!F41</f>
        <v>0</v>
      </c>
      <c r="Q41" s="919"/>
      <c r="R41" s="925"/>
      <c r="S41" s="753"/>
      <c r="T41" s="2858" t="s">
        <v>1351</v>
      </c>
      <c r="U41" s="2579" t="str">
        <f>IF('الصفحة 34'!L41-O41&lt;&gt;0,"خطأ"," ")</f>
        <v xml:space="preserve"> </v>
      </c>
      <c r="V41" s="2580" t="str">
        <f>IF('الصفحة 34'!M41-P41&lt;&gt;0,"خطأ"," ")</f>
        <v xml:space="preserve"> </v>
      </c>
      <c r="Z41" s="1031"/>
    </row>
    <row r="42" spans="1:26" ht="11.4" customHeight="1">
      <c r="A42" s="750"/>
      <c r="B42" s="907"/>
      <c r="C42" s="918"/>
      <c r="D42" s="689" t="s">
        <v>90</v>
      </c>
      <c r="E42" s="528"/>
      <c r="F42" s="525"/>
      <c r="G42" s="528"/>
      <c r="H42" s="525"/>
      <c r="I42" s="528"/>
      <c r="J42" s="525"/>
      <c r="K42" s="528"/>
      <c r="L42" s="525"/>
      <c r="M42" s="528"/>
      <c r="N42" s="525"/>
      <c r="O42" s="770">
        <f>M42+K42+I42+G42+E42+'الصفحة 35'!O42+'الصفحة 35'!M42+'الصفحة 35'!K42+'الصفحة 35'!I42+'الصفحة 35'!G42+'الصفحة 35'!E42</f>
        <v>1</v>
      </c>
      <c r="P42" s="771">
        <f>N42+L42+J42+H42+F42+'الصفحة 35'!P42+'الصفحة 35'!N42+'الصفحة 35'!L42+'الصفحة 35'!J42+'الصفحة 35'!H42+'الصفحة 35'!F42</f>
        <v>1</v>
      </c>
      <c r="Q42" s="919"/>
      <c r="R42" s="925"/>
      <c r="S42" s="753"/>
      <c r="T42" s="2859" t="s">
        <v>90</v>
      </c>
      <c r="U42" s="2579" t="str">
        <f>IF('الصفحة 34'!L42-O42&lt;&gt;0,"خطأ"," ")</f>
        <v xml:space="preserve"> </v>
      </c>
      <c r="V42" s="2580" t="str">
        <f>IF('الصفحة 34'!M42-P42&lt;&gt;0,"خطأ"," ")</f>
        <v xml:space="preserve"> </v>
      </c>
      <c r="Z42" s="969"/>
    </row>
    <row r="43" spans="1:26" ht="12" customHeight="1">
      <c r="A43" s="750"/>
      <c r="B43" s="907"/>
      <c r="C43" s="918"/>
      <c r="D43" s="4748" t="s">
        <v>89</v>
      </c>
      <c r="E43" s="4749"/>
      <c r="F43" s="4749"/>
      <c r="G43" s="4749"/>
      <c r="H43" s="4749"/>
      <c r="I43" s="4749"/>
      <c r="J43" s="4749"/>
      <c r="K43" s="4749"/>
      <c r="L43" s="4749"/>
      <c r="M43" s="4749"/>
      <c r="N43" s="4749"/>
      <c r="O43" s="4749"/>
      <c r="P43" s="4750"/>
      <c r="Q43" s="919"/>
      <c r="R43" s="925"/>
      <c r="S43" s="753"/>
      <c r="T43" s="4772" t="s">
        <v>89</v>
      </c>
      <c r="U43" s="4773"/>
      <c r="V43" s="4773"/>
      <c r="Z43" s="969"/>
    </row>
    <row r="44" spans="1:26" ht="11.4" customHeight="1">
      <c r="A44" s="750"/>
      <c r="B44" s="907"/>
      <c r="C44" s="918"/>
      <c r="D44" s="687" t="s">
        <v>88</v>
      </c>
      <c r="E44" s="527"/>
      <c r="F44" s="524"/>
      <c r="G44" s="527"/>
      <c r="H44" s="524"/>
      <c r="I44" s="527"/>
      <c r="J44" s="524"/>
      <c r="K44" s="527"/>
      <c r="L44" s="524"/>
      <c r="M44" s="527"/>
      <c r="N44" s="524"/>
      <c r="O44" s="768">
        <f>M44+K44+I44+G44+E44+'الصفحة 35'!O44+'الصفحة 35'!M44+'الصفحة 35'!K44+'الصفحة 35'!I44+'الصفحة 35'!G44+'الصفحة 35'!E44</f>
        <v>0</v>
      </c>
      <c r="P44" s="769">
        <f>N44+L44+J44+H44+F44+'الصفحة 35'!P44+'الصفحة 35'!N44+'الصفحة 35'!L44+'الصفحة 35'!J44+'الصفحة 35'!H44+'الصفحة 35'!F44</f>
        <v>0</v>
      </c>
      <c r="Q44" s="919"/>
      <c r="R44" s="925"/>
      <c r="S44" s="753"/>
      <c r="T44" s="2860" t="s">
        <v>88</v>
      </c>
      <c r="U44" s="2564" t="str">
        <f>IF('الصفحة 34'!L44-O44&lt;&gt;0,"خطأ"," ")</f>
        <v xml:space="preserve"> </v>
      </c>
      <c r="V44" s="2565" t="str">
        <f>IF('الصفحة 34'!M44-P44&lt;&gt;0,"خطأ"," ")</f>
        <v xml:space="preserve"> </v>
      </c>
      <c r="Z44" s="969"/>
    </row>
    <row r="45" spans="1:26" ht="11.4" customHeight="1">
      <c r="A45" s="750"/>
      <c r="B45" s="907"/>
      <c r="C45" s="918"/>
      <c r="D45" s="1336" t="s">
        <v>87</v>
      </c>
      <c r="E45" s="527"/>
      <c r="F45" s="524"/>
      <c r="G45" s="527"/>
      <c r="H45" s="524"/>
      <c r="I45" s="527"/>
      <c r="J45" s="524"/>
      <c r="K45" s="527"/>
      <c r="L45" s="524"/>
      <c r="M45" s="527"/>
      <c r="N45" s="524"/>
      <c r="O45" s="768">
        <f>M45+K45+I45+G45+E45+'الصفحة 35'!O45+'الصفحة 35'!M45+'الصفحة 35'!K45+'الصفحة 35'!I45+'الصفحة 35'!G45+'الصفحة 35'!E45</f>
        <v>0</v>
      </c>
      <c r="P45" s="769">
        <f>N45+L45+J45+H45+F45+'الصفحة 35'!P45+'الصفحة 35'!N45+'الصفحة 35'!L45+'الصفحة 35'!J45+'الصفحة 35'!H45+'الصفحة 35'!F45</f>
        <v>0</v>
      </c>
      <c r="Q45" s="919"/>
      <c r="R45" s="925"/>
      <c r="S45" s="753"/>
      <c r="T45" s="2547" t="s">
        <v>87</v>
      </c>
      <c r="U45" s="2566" t="str">
        <f>IF('الصفحة 34'!L45-O45&lt;&gt;0,"خطأ"," ")</f>
        <v xml:space="preserve"> </v>
      </c>
      <c r="V45" s="2567" t="str">
        <f>IF('الصفحة 34'!M45-P45&lt;&gt;0,"خطأ"," ")</f>
        <v xml:space="preserve"> </v>
      </c>
      <c r="Z45" s="969"/>
    </row>
    <row r="46" spans="1:26" ht="11.4" customHeight="1">
      <c r="A46" s="750"/>
      <c r="B46" s="907"/>
      <c r="C46" s="918"/>
      <c r="D46" s="689" t="s">
        <v>86</v>
      </c>
      <c r="E46" s="528"/>
      <c r="F46" s="525"/>
      <c r="G46" s="528"/>
      <c r="H46" s="525"/>
      <c r="I46" s="528"/>
      <c r="J46" s="525"/>
      <c r="K46" s="528"/>
      <c r="L46" s="525"/>
      <c r="M46" s="528"/>
      <c r="N46" s="525"/>
      <c r="O46" s="770">
        <f>M46+K46+I46+G46+E46+'الصفحة 35'!O46+'الصفحة 35'!M46+'الصفحة 35'!K46+'الصفحة 35'!I46+'الصفحة 35'!G46+'الصفحة 35'!E46</f>
        <v>0</v>
      </c>
      <c r="P46" s="771">
        <f>N46+L46+J46+H46+F46+'الصفحة 35'!P46+'الصفحة 35'!N46+'الصفحة 35'!L46+'الصفحة 35'!J46+'الصفحة 35'!H46+'الصفحة 35'!F46</f>
        <v>0</v>
      </c>
      <c r="Q46" s="919"/>
      <c r="R46" s="925"/>
      <c r="S46" s="753"/>
      <c r="T46" s="2549" t="s">
        <v>86</v>
      </c>
      <c r="U46" s="2575" t="str">
        <f>IF('الصفحة 34'!L46-O46&lt;&gt;0,"خطأ"," ")</f>
        <v xml:space="preserve"> </v>
      </c>
      <c r="V46" s="2576" t="str">
        <f>IF('الصفحة 34'!M46-P46&lt;&gt;0,"خطأ"," ")</f>
        <v xml:space="preserve"> </v>
      </c>
      <c r="Z46" s="969"/>
    </row>
    <row r="47" spans="1:26" ht="11.4" customHeight="1">
      <c r="A47" s="750"/>
      <c r="B47" s="907"/>
      <c r="C47" s="918"/>
      <c r="D47" s="1338" t="s">
        <v>85</v>
      </c>
      <c r="E47" s="526"/>
      <c r="F47" s="523"/>
      <c r="G47" s="526"/>
      <c r="H47" s="523"/>
      <c r="I47" s="526"/>
      <c r="J47" s="523"/>
      <c r="K47" s="526"/>
      <c r="L47" s="523"/>
      <c r="M47" s="526"/>
      <c r="N47" s="523"/>
      <c r="O47" s="766">
        <f>M47+K47+I47+G47+E47+'الصفحة 35'!O47+'الصفحة 35'!M47+'الصفحة 35'!K47+'الصفحة 35'!I47+'الصفحة 35'!G47+'الصفحة 35'!E47</f>
        <v>0</v>
      </c>
      <c r="P47" s="767">
        <f>N47+L47+J47+H47+F47+'الصفحة 35'!P47+'الصفحة 35'!N47+'الصفحة 35'!L47+'الصفحة 35'!J47+'الصفحة 35'!H47+'الصفحة 35'!F47</f>
        <v>0</v>
      </c>
      <c r="Q47" s="919"/>
      <c r="R47" s="925"/>
      <c r="S47" s="753"/>
      <c r="T47" s="2553" t="s">
        <v>85</v>
      </c>
      <c r="U47" s="2577" t="str">
        <f>IF('الصفحة 34'!L47-O47&lt;&gt;0,"خطأ"," ")</f>
        <v xml:space="preserve"> </v>
      </c>
      <c r="V47" s="2578" t="str">
        <f>IF('الصفحة 34'!M47-P47&lt;&gt;0,"خطأ"," ")</f>
        <v xml:space="preserve"> </v>
      </c>
      <c r="Z47" s="969"/>
    </row>
    <row r="48" spans="1:26" ht="11.4" customHeight="1">
      <c r="A48" s="750"/>
      <c r="B48" s="907"/>
      <c r="C48" s="918"/>
      <c r="D48" s="687" t="s">
        <v>84</v>
      </c>
      <c r="E48" s="527"/>
      <c r="F48" s="524"/>
      <c r="G48" s="527"/>
      <c r="H48" s="524"/>
      <c r="I48" s="527"/>
      <c r="J48" s="524"/>
      <c r="K48" s="527"/>
      <c r="L48" s="524"/>
      <c r="M48" s="527"/>
      <c r="N48" s="524"/>
      <c r="O48" s="768">
        <f>M48+K48+I48+G48+E48+'الصفحة 35'!O48+'الصفحة 35'!M48+'الصفحة 35'!K48+'الصفحة 35'!I48+'الصفحة 35'!G48+'الصفحة 35'!E48</f>
        <v>0</v>
      </c>
      <c r="P48" s="769">
        <f>N48+L48+J48+H48+F48+'الصفحة 35'!P48+'الصفحة 35'!N48+'الصفحة 35'!L48+'الصفحة 35'!J48+'الصفحة 35'!H48+'الصفحة 35'!F48</f>
        <v>0</v>
      </c>
      <c r="Q48" s="919"/>
      <c r="R48" s="925"/>
      <c r="S48" s="753"/>
      <c r="T48" s="2568" t="s">
        <v>84</v>
      </c>
      <c r="U48" s="2569" t="str">
        <f>IF('الصفحة 34'!L48-O48&lt;&gt;0,"خطأ"," ")</f>
        <v xml:space="preserve"> </v>
      </c>
      <c r="V48" s="2570" t="str">
        <f>IF('الصفحة 34'!M48-P48&lt;&gt;0,"خطأ"," ")</f>
        <v xml:space="preserve"> </v>
      </c>
      <c r="Z48" s="969"/>
    </row>
    <row r="49" spans="1:26" ht="11.4" customHeight="1">
      <c r="A49" s="750"/>
      <c r="B49" s="907"/>
      <c r="C49" s="918"/>
      <c r="D49" s="1336" t="s">
        <v>83</v>
      </c>
      <c r="E49" s="527"/>
      <c r="F49" s="524"/>
      <c r="G49" s="527"/>
      <c r="H49" s="524"/>
      <c r="I49" s="527"/>
      <c r="J49" s="524"/>
      <c r="K49" s="527"/>
      <c r="L49" s="524"/>
      <c r="M49" s="527"/>
      <c r="N49" s="524"/>
      <c r="O49" s="768">
        <f>M49+K49+I49+G49+E49+'الصفحة 35'!O49+'الصفحة 35'!M49+'الصفحة 35'!K49+'الصفحة 35'!I49+'الصفحة 35'!G49+'الصفحة 35'!E49</f>
        <v>0</v>
      </c>
      <c r="P49" s="769">
        <f>N49+L49+J49+H49+F49+'الصفحة 35'!P49+'الصفحة 35'!N49+'الصفحة 35'!L49+'الصفحة 35'!J49+'الصفحة 35'!H49+'الصفحة 35'!F49</f>
        <v>0</v>
      </c>
      <c r="Q49" s="919"/>
      <c r="R49" s="925"/>
      <c r="S49" s="753"/>
      <c r="T49" s="2547" t="s">
        <v>83</v>
      </c>
      <c r="U49" s="2566" t="str">
        <f>IF('الصفحة 34'!L49-O49&lt;&gt;0,"خطأ"," ")</f>
        <v xml:space="preserve"> </v>
      </c>
      <c r="V49" s="2567" t="str">
        <f>IF('الصفحة 34'!M49-P49&lt;&gt;0,"خطأ"," ")</f>
        <v xml:space="preserve"> </v>
      </c>
      <c r="Z49" s="969"/>
    </row>
    <row r="50" spans="1:26" ht="11.4" customHeight="1">
      <c r="A50" s="750"/>
      <c r="B50" s="907"/>
      <c r="C50" s="918"/>
      <c r="D50" s="690" t="s">
        <v>82</v>
      </c>
      <c r="E50" s="527"/>
      <c r="F50" s="524"/>
      <c r="G50" s="527"/>
      <c r="H50" s="524"/>
      <c r="I50" s="527"/>
      <c r="J50" s="524"/>
      <c r="K50" s="527"/>
      <c r="L50" s="524"/>
      <c r="M50" s="527"/>
      <c r="N50" s="524"/>
      <c r="O50" s="768">
        <f>M50+K50+I50+G50+E50+'الصفحة 35'!O50+'الصفحة 35'!M50+'الصفحة 35'!K50+'الصفحة 35'!I50+'الصفحة 35'!G50+'الصفحة 35'!E50</f>
        <v>0</v>
      </c>
      <c r="P50" s="769">
        <f>N50+L50+J50+H50+F50+'الصفحة 35'!P50+'الصفحة 35'!N50+'الصفحة 35'!L50+'الصفحة 35'!J50+'الصفحة 35'!H50+'الصفحة 35'!F50</f>
        <v>0</v>
      </c>
      <c r="Q50" s="919"/>
      <c r="R50" s="925"/>
      <c r="S50" s="753"/>
      <c r="T50" s="2581" t="s">
        <v>82</v>
      </c>
      <c r="U50" s="2569" t="str">
        <f>IF('الصفحة 34'!L50-O50&lt;&gt;0,"خطأ"," ")</f>
        <v xml:space="preserve"> </v>
      </c>
      <c r="V50" s="2570" t="str">
        <f>IF('الصفحة 34'!M50-P50&lt;&gt;0,"خطأ"," ")</f>
        <v xml:space="preserve"> </v>
      </c>
      <c r="Z50" s="969"/>
    </row>
    <row r="51" spans="1:26" ht="11.4" customHeight="1">
      <c r="A51" s="750"/>
      <c r="B51" s="907"/>
      <c r="C51" s="918"/>
      <c r="D51" s="1339" t="s">
        <v>81</v>
      </c>
      <c r="E51" s="528"/>
      <c r="F51" s="525"/>
      <c r="G51" s="528"/>
      <c r="H51" s="525"/>
      <c r="I51" s="528"/>
      <c r="J51" s="525"/>
      <c r="K51" s="528"/>
      <c r="L51" s="525"/>
      <c r="M51" s="528"/>
      <c r="N51" s="525"/>
      <c r="O51" s="770">
        <f>M51+K51+I51+G51+E51+'الصفحة 35'!O51+'الصفحة 35'!M51+'الصفحة 35'!K51+'الصفحة 35'!I51+'الصفحة 35'!G51+'الصفحة 35'!E51</f>
        <v>0</v>
      </c>
      <c r="P51" s="771">
        <f>N51+L51+J51+H51+F51+'الصفحة 35'!P51+'الصفحة 35'!N51+'الصفحة 35'!L51+'الصفحة 35'!J51+'الصفحة 35'!H51+'الصفحة 35'!F51</f>
        <v>0</v>
      </c>
      <c r="Q51" s="919"/>
      <c r="R51" s="925"/>
      <c r="S51" s="753"/>
      <c r="T51" s="2555" t="s">
        <v>81</v>
      </c>
      <c r="U51" s="2571" t="str">
        <f>IF('الصفحة 34'!L51-O51&lt;&gt;0,"خطأ"," ")</f>
        <v xml:space="preserve"> </v>
      </c>
      <c r="V51" s="2572" t="str">
        <f>IF('الصفحة 34'!M51-P51&lt;&gt;0,"خطأ"," ")</f>
        <v xml:space="preserve"> </v>
      </c>
      <c r="Z51" s="969"/>
    </row>
    <row r="52" spans="1:26" ht="11.4" customHeight="1">
      <c r="A52" s="750"/>
      <c r="B52" s="907"/>
      <c r="C52" s="918"/>
      <c r="D52" s="691" t="s">
        <v>80</v>
      </c>
      <c r="E52" s="2121"/>
      <c r="F52" s="523"/>
      <c r="G52" s="526"/>
      <c r="H52" s="523"/>
      <c r="I52" s="526"/>
      <c r="J52" s="523"/>
      <c r="K52" s="526"/>
      <c r="L52" s="523"/>
      <c r="M52" s="526"/>
      <c r="N52" s="523"/>
      <c r="O52" s="766">
        <f>M52+K52+I52+G52+E52+'الصفحة 35'!O52+'الصفحة 35'!M52+'الصفحة 35'!K52+'الصفحة 35'!I52+'الصفحة 35'!G52+'الصفحة 35'!E52</f>
        <v>0</v>
      </c>
      <c r="P52" s="767">
        <f>N52+L52+J52+H52+F52+'الصفحة 35'!P52+'الصفحة 35'!N52+'الصفحة 35'!L52+'الصفحة 35'!J52+'الصفحة 35'!H52+'الصفحة 35'!F52</f>
        <v>0</v>
      </c>
      <c r="Q52" s="919"/>
      <c r="R52" s="925"/>
      <c r="S52" s="753"/>
      <c r="T52" s="2582" t="s">
        <v>80</v>
      </c>
      <c r="U52" s="2564" t="str">
        <f>IF('الصفحة 34'!L52-O52&lt;&gt;0,"خطأ"," ")</f>
        <v xml:space="preserve"> </v>
      </c>
      <c r="V52" s="2565" t="str">
        <f>IF('الصفحة 34'!M52-P52&lt;&gt;0,"خطأ"," ")</f>
        <v xml:space="preserve"> </v>
      </c>
      <c r="Z52" s="969"/>
    </row>
    <row r="53" spans="1:26" ht="11.4" customHeight="1">
      <c r="A53" s="750"/>
      <c r="B53" s="907"/>
      <c r="C53" s="918"/>
      <c r="D53" s="1340" t="s">
        <v>79</v>
      </c>
      <c r="E53" s="2122"/>
      <c r="F53" s="524"/>
      <c r="G53" s="527"/>
      <c r="H53" s="524"/>
      <c r="I53" s="527"/>
      <c r="J53" s="524"/>
      <c r="K53" s="527"/>
      <c r="L53" s="524"/>
      <c r="M53" s="527"/>
      <c r="N53" s="524"/>
      <c r="O53" s="768">
        <f>M53+K53+I53+G53+E53+'الصفحة 35'!O53+'الصفحة 35'!M53+'الصفحة 35'!K53+'الصفحة 35'!I53+'الصفحة 35'!G53+'الصفحة 35'!E53</f>
        <v>0</v>
      </c>
      <c r="P53" s="769">
        <f>N53+L53+J53+H53+F53+'الصفحة 35'!P53+'الصفحة 35'!N53+'الصفحة 35'!L53+'الصفحة 35'!J53+'الصفحة 35'!H53+'الصفحة 35'!F53</f>
        <v>0</v>
      </c>
      <c r="Q53" s="919"/>
      <c r="R53" s="925"/>
      <c r="S53" s="753"/>
      <c r="T53" s="2557" t="s">
        <v>79</v>
      </c>
      <c r="U53" s="2566" t="str">
        <f>IF('الصفحة 34'!L53-O53&lt;&gt;0,"خطأ"," ")</f>
        <v xml:space="preserve"> </v>
      </c>
      <c r="V53" s="2567" t="str">
        <f>IF('الصفحة 34'!M53-P53&lt;&gt;0,"خطأ"," ")</f>
        <v xml:space="preserve"> </v>
      </c>
      <c r="Z53" s="969"/>
    </row>
    <row r="54" spans="1:26" ht="11.4" customHeight="1">
      <c r="A54" s="750"/>
      <c r="B54" s="907"/>
      <c r="C54" s="918"/>
      <c r="D54" s="690" t="s">
        <v>78</v>
      </c>
      <c r="E54" s="2122"/>
      <c r="F54" s="524"/>
      <c r="G54" s="527"/>
      <c r="H54" s="524"/>
      <c r="I54" s="527"/>
      <c r="J54" s="524"/>
      <c r="K54" s="527"/>
      <c r="L54" s="524"/>
      <c r="M54" s="527"/>
      <c r="N54" s="524"/>
      <c r="O54" s="768">
        <f>M54+K54+I54+G54+E54+'الصفحة 35'!O54+'الصفحة 35'!M54+'الصفحة 35'!K54+'الصفحة 35'!I54+'الصفحة 35'!G54+'الصفحة 35'!E54</f>
        <v>0</v>
      </c>
      <c r="P54" s="769">
        <f>N54+L54+J54+H54+F54+'الصفحة 35'!P54+'الصفحة 35'!N54+'الصفحة 35'!L54+'الصفحة 35'!J54+'الصفحة 35'!H54+'الصفحة 35'!F54</f>
        <v>0</v>
      </c>
      <c r="Q54" s="919"/>
      <c r="R54" s="925"/>
      <c r="S54" s="753"/>
      <c r="T54" s="2581" t="s">
        <v>78</v>
      </c>
      <c r="U54" s="2569" t="str">
        <f>IF('الصفحة 34'!L54-O54&lt;&gt;0,"خطأ"," ")</f>
        <v xml:space="preserve"> </v>
      </c>
      <c r="V54" s="2570" t="str">
        <f>IF('الصفحة 34'!M54-P54&lt;&gt;0,"خطأ"," ")</f>
        <v xml:space="preserve"> </v>
      </c>
      <c r="Z54" s="969"/>
    </row>
    <row r="55" spans="1:26" ht="11.4" customHeight="1">
      <c r="A55" s="750"/>
      <c r="B55" s="907"/>
      <c r="C55" s="918"/>
      <c r="D55" s="1341" t="s">
        <v>77</v>
      </c>
      <c r="E55" s="2123"/>
      <c r="F55" s="542"/>
      <c r="G55" s="541"/>
      <c r="H55" s="542"/>
      <c r="I55" s="541"/>
      <c r="J55" s="542"/>
      <c r="K55" s="541"/>
      <c r="L55" s="542"/>
      <c r="M55" s="541"/>
      <c r="N55" s="542"/>
      <c r="O55" s="965">
        <f>M55+K55+I55+G55+E55+'الصفحة 35'!O55+'الصفحة 35'!M55+'الصفحة 35'!K55+'الصفحة 35'!I55+'الصفحة 35'!G55+'الصفحة 35'!E55</f>
        <v>0</v>
      </c>
      <c r="P55" s="966">
        <f>N55+L55+J55+H55+F55+'الصفحة 35'!P55+'الصفحة 35'!N55+'الصفحة 35'!L55+'الصفحة 35'!J55+'الصفحة 35'!H55+'الصفحة 35'!F55</f>
        <v>0</v>
      </c>
      <c r="Q55" s="919"/>
      <c r="R55" s="925"/>
      <c r="S55" s="753"/>
      <c r="T55" s="2891" t="s">
        <v>77</v>
      </c>
      <c r="U55" s="2892" t="str">
        <f>IF('الصفحة 34'!L55-O55&lt;&gt;0,"خطأ"," ")</f>
        <v xml:space="preserve"> </v>
      </c>
      <c r="V55" s="2893" t="str">
        <f>IF('الصفحة 34'!M55-P55&lt;&gt;0,"خطأ"," ")</f>
        <v xml:space="preserve"> </v>
      </c>
      <c r="Z55" s="969"/>
    </row>
    <row r="56" spans="1:26" ht="12" customHeight="1">
      <c r="A56" s="750"/>
      <c r="B56" s="907"/>
      <c r="C56" s="918"/>
      <c r="D56" s="4732" t="s">
        <v>76</v>
      </c>
      <c r="E56" s="4733"/>
      <c r="F56" s="4733"/>
      <c r="G56" s="4733"/>
      <c r="H56" s="4733"/>
      <c r="I56" s="4733"/>
      <c r="J56" s="4733"/>
      <c r="K56" s="4733"/>
      <c r="L56" s="4733"/>
      <c r="M56" s="4733"/>
      <c r="N56" s="4733"/>
      <c r="O56" s="4733"/>
      <c r="P56" s="4734"/>
      <c r="Q56" s="919"/>
      <c r="R56" s="925"/>
      <c r="S56" s="753"/>
      <c r="T56" s="4770" t="s">
        <v>76</v>
      </c>
      <c r="U56" s="4771"/>
      <c r="V56" s="4771"/>
      <c r="Z56" s="969"/>
    </row>
    <row r="57" spans="1:26" ht="11.4" customHeight="1">
      <c r="A57" s="750"/>
      <c r="B57" s="907"/>
      <c r="C57" s="918"/>
      <c r="D57" s="687" t="s">
        <v>75</v>
      </c>
      <c r="E57" s="527"/>
      <c r="F57" s="524"/>
      <c r="G57" s="527"/>
      <c r="H57" s="524"/>
      <c r="I57" s="527"/>
      <c r="J57" s="524"/>
      <c r="K57" s="527"/>
      <c r="L57" s="524"/>
      <c r="M57" s="527"/>
      <c r="N57" s="524"/>
      <c r="O57" s="768">
        <f>M57+K57+I57+G57+E57+'الصفحة 35'!O57+'الصفحة 35'!M57+'الصفحة 35'!K57+'الصفحة 35'!I57+'الصفحة 35'!G57+'الصفحة 35'!E57</f>
        <v>0</v>
      </c>
      <c r="P57" s="769">
        <f>N57+L57+J57+H57+F57+'الصفحة 35'!P57+'الصفحة 35'!N57+'الصفحة 35'!L57+'الصفحة 35'!J57+'الصفحة 35'!H57+'الصفحة 35'!F57</f>
        <v>0</v>
      </c>
      <c r="Q57" s="935"/>
      <c r="R57" s="934"/>
      <c r="S57" s="753"/>
      <c r="T57" s="2547" t="s">
        <v>75</v>
      </c>
      <c r="U57" s="2577" t="str">
        <f>IF('الصفحة 34'!L57-O57&lt;&gt;0,"خطأ"," ")</f>
        <v xml:space="preserve"> </v>
      </c>
      <c r="V57" s="2578" t="str">
        <f>IF('الصفحة 34'!M57-P57&lt;&gt;0,"خطأ"," ")</f>
        <v xml:space="preserve"> </v>
      </c>
      <c r="Z57" s="969"/>
    </row>
    <row r="58" spans="1:26" ht="11.4" customHeight="1">
      <c r="A58" s="750"/>
      <c r="B58" s="907"/>
      <c r="C58" s="918"/>
      <c r="D58" s="1337" t="s">
        <v>74</v>
      </c>
      <c r="E58" s="541"/>
      <c r="F58" s="542"/>
      <c r="G58" s="541"/>
      <c r="H58" s="542"/>
      <c r="I58" s="541"/>
      <c r="J58" s="542"/>
      <c r="K58" s="541"/>
      <c r="L58" s="542"/>
      <c r="M58" s="541"/>
      <c r="N58" s="542"/>
      <c r="O58" s="965">
        <f>M58+K58+I58+G58+E58+'الصفحة 35'!O58+'الصفحة 35'!M58+'الصفحة 35'!K58+'الصفحة 35'!I58+'الصفحة 35'!G58+'الصفحة 35'!E58</f>
        <v>0</v>
      </c>
      <c r="P58" s="966">
        <f>N58+L58+J58+H58+F58+'الصفحة 35'!P58+'الصفحة 35'!N58+'الصفحة 35'!L58+'الصفحة 35'!J58+'الصفحة 35'!H58+'الصفحة 35'!F58</f>
        <v>0</v>
      </c>
      <c r="Q58" s="935"/>
      <c r="R58" s="934"/>
      <c r="S58" s="753"/>
      <c r="T58" s="2574" t="s">
        <v>74</v>
      </c>
      <c r="U58" s="2575" t="str">
        <f>IF('الصفحة 34'!L58-O58&lt;&gt;0,"خطأ"," ")</f>
        <v xml:space="preserve"> </v>
      </c>
      <c r="V58" s="2576" t="str">
        <f>IF('الصفحة 34'!M58-P58&lt;&gt;0,"خطأ"," ")</f>
        <v xml:space="preserve"> </v>
      </c>
      <c r="Z58" s="969"/>
    </row>
    <row r="59" spans="1:26" ht="12" customHeight="1">
      <c r="A59" s="750"/>
      <c r="B59" s="907"/>
      <c r="C59" s="918"/>
      <c r="D59" s="4732" t="s">
        <v>73</v>
      </c>
      <c r="E59" s="4733"/>
      <c r="F59" s="4733"/>
      <c r="G59" s="4733"/>
      <c r="H59" s="4733"/>
      <c r="I59" s="4733"/>
      <c r="J59" s="4733"/>
      <c r="K59" s="4733"/>
      <c r="L59" s="4733"/>
      <c r="M59" s="4733"/>
      <c r="N59" s="4733"/>
      <c r="O59" s="4733"/>
      <c r="P59" s="4734"/>
      <c r="Q59" s="919"/>
      <c r="R59" s="925"/>
      <c r="S59" s="753"/>
      <c r="T59" s="4764" t="s">
        <v>73</v>
      </c>
      <c r="U59" s="4765"/>
      <c r="V59" s="4765"/>
      <c r="Z59" s="969"/>
    </row>
    <row r="60" spans="1:26" ht="11.4" customHeight="1">
      <c r="A60" s="750"/>
      <c r="B60" s="907"/>
      <c r="C60" s="918"/>
      <c r="D60" s="687" t="s">
        <v>72</v>
      </c>
      <c r="E60" s="527"/>
      <c r="F60" s="524"/>
      <c r="G60" s="527"/>
      <c r="H60" s="524"/>
      <c r="I60" s="527"/>
      <c r="J60" s="524"/>
      <c r="K60" s="527"/>
      <c r="L60" s="524"/>
      <c r="M60" s="527"/>
      <c r="N60" s="524"/>
      <c r="O60" s="768">
        <f>M60+K60+I60+G60+E60+'الصفحة 35'!O60+'الصفحة 35'!M60+'الصفحة 35'!K60+'الصفحة 35'!I60+'الصفحة 35'!G60+'الصفحة 35'!E60</f>
        <v>0</v>
      </c>
      <c r="P60" s="769">
        <f>N60+L60+J60+H60+F60+'الصفحة 35'!P60+'الصفحة 35'!N60+'الصفحة 35'!L60+'الصفحة 35'!J60+'الصفحة 35'!H60+'الصفحة 35'!F60</f>
        <v>0</v>
      </c>
      <c r="Q60" s="935"/>
      <c r="R60" s="934"/>
      <c r="S60" s="753"/>
      <c r="T60" s="2568" t="s">
        <v>72</v>
      </c>
      <c r="U60" s="2564" t="str">
        <f>IF('الصفحة 34'!L60-O60&lt;&gt;0,"خطأ"," ")</f>
        <v xml:space="preserve"> </v>
      </c>
      <c r="V60" s="2565" t="str">
        <f>IF('الصفحة 34'!M60-P60&lt;&gt;0,"خطأ"," ")</f>
        <v xml:space="preserve"> </v>
      </c>
      <c r="Z60" s="969"/>
    </row>
    <row r="61" spans="1:26" ht="11.4" customHeight="1">
      <c r="A61" s="750"/>
      <c r="B61" s="907"/>
      <c r="C61" s="918"/>
      <c r="D61" s="1336" t="s">
        <v>71</v>
      </c>
      <c r="E61" s="527"/>
      <c r="F61" s="524"/>
      <c r="G61" s="527"/>
      <c r="H61" s="524"/>
      <c r="I61" s="527"/>
      <c r="J61" s="524"/>
      <c r="K61" s="527"/>
      <c r="L61" s="524"/>
      <c r="M61" s="527"/>
      <c r="N61" s="524"/>
      <c r="O61" s="768">
        <f>M61+K61+I61+G61+E61+'الصفحة 35'!O61+'الصفحة 35'!M61+'الصفحة 35'!K61+'الصفحة 35'!I61+'الصفحة 35'!G61+'الصفحة 35'!E61</f>
        <v>0</v>
      </c>
      <c r="P61" s="769">
        <f>N61+L61+J61+H61+F61+'الصفحة 35'!P61+'الصفحة 35'!N61+'الصفحة 35'!L61+'الصفحة 35'!J61+'الصفحة 35'!H61+'الصفحة 35'!F61</f>
        <v>0</v>
      </c>
      <c r="Q61" s="935"/>
      <c r="R61" s="934"/>
      <c r="S61" s="753"/>
      <c r="T61" s="2547" t="s">
        <v>71</v>
      </c>
      <c r="U61" s="2566" t="str">
        <f>IF('الصفحة 34'!L61-O61&lt;&gt;0,"خطأ"," ")</f>
        <v xml:space="preserve"> </v>
      </c>
      <c r="V61" s="2567" t="str">
        <f>IF('الصفحة 34'!M61-P61&lt;&gt;0,"خطأ"," ")</f>
        <v xml:space="preserve"> </v>
      </c>
      <c r="Z61" s="969"/>
    </row>
    <row r="62" spans="1:26" ht="11.4" customHeight="1">
      <c r="A62" s="750"/>
      <c r="B62" s="907"/>
      <c r="C62" s="918"/>
      <c r="D62" s="688" t="s">
        <v>70</v>
      </c>
      <c r="E62" s="541"/>
      <c r="F62" s="542"/>
      <c r="G62" s="541"/>
      <c r="H62" s="542"/>
      <c r="I62" s="541"/>
      <c r="J62" s="542"/>
      <c r="K62" s="541"/>
      <c r="L62" s="542"/>
      <c r="M62" s="541"/>
      <c r="N62" s="542"/>
      <c r="O62" s="965">
        <f>M62+K62+I62+G62+E62+'الصفحة 35'!O62+'الصفحة 35'!M62+'الصفحة 35'!K62+'الصفحة 35'!I62+'الصفحة 35'!G62+'الصفحة 35'!E62</f>
        <v>0</v>
      </c>
      <c r="P62" s="966">
        <f>N62+L62+J62+H62+F62+'الصفحة 35'!P62+'الصفحة 35'!N62+'الصفحة 35'!L62+'الصفحة 35'!J62+'الصفحة 35'!H62+'الصفحة 35'!F62</f>
        <v>0</v>
      </c>
      <c r="Q62" s="935"/>
      <c r="R62" s="934"/>
      <c r="S62" s="753"/>
      <c r="T62" s="2574" t="s">
        <v>70</v>
      </c>
      <c r="U62" s="2575" t="str">
        <f>IF('الصفحة 34'!L62-O62&lt;&gt;0,"خطأ"," ")</f>
        <v xml:space="preserve"> </v>
      </c>
      <c r="V62" s="2576" t="str">
        <f>IF('الصفحة 34'!M62-P62&lt;&gt;0,"خطأ"," ")</f>
        <v xml:space="preserve"> </v>
      </c>
      <c r="Z62" s="969"/>
    </row>
    <row r="63" spans="1:26" ht="12" customHeight="1">
      <c r="A63" s="750"/>
      <c r="B63" s="907"/>
      <c r="C63" s="918"/>
      <c r="D63" s="4732" t="s">
        <v>69</v>
      </c>
      <c r="E63" s="4733"/>
      <c r="F63" s="4733"/>
      <c r="G63" s="4733"/>
      <c r="H63" s="4733"/>
      <c r="I63" s="4733"/>
      <c r="J63" s="4733"/>
      <c r="K63" s="4733"/>
      <c r="L63" s="4733"/>
      <c r="M63" s="4733"/>
      <c r="N63" s="4733"/>
      <c r="O63" s="4733"/>
      <c r="P63" s="4734"/>
      <c r="Q63" s="919"/>
      <c r="R63" s="925"/>
      <c r="S63" s="753"/>
      <c r="T63" s="4764" t="s">
        <v>69</v>
      </c>
      <c r="U63" s="4765"/>
      <c r="V63" s="4765"/>
      <c r="Z63" s="969"/>
    </row>
    <row r="64" spans="1:26" ht="11.4" customHeight="1">
      <c r="A64" s="750"/>
      <c r="B64" s="907"/>
      <c r="C64" s="918"/>
      <c r="D64" s="690" t="s">
        <v>68</v>
      </c>
      <c r="E64" s="527"/>
      <c r="F64" s="524"/>
      <c r="G64" s="527"/>
      <c r="H64" s="524"/>
      <c r="I64" s="527"/>
      <c r="J64" s="524"/>
      <c r="K64" s="527"/>
      <c r="L64" s="524"/>
      <c r="M64" s="527">
        <v>1</v>
      </c>
      <c r="N64" s="524">
        <v>1</v>
      </c>
      <c r="O64" s="768">
        <f>M64+K64+I64+G64+E64+'الصفحة 35'!O64+'الصفحة 35'!M64+'الصفحة 35'!K64+'الصفحة 35'!I64+'الصفحة 35'!G64+'الصفحة 35'!E64</f>
        <v>2</v>
      </c>
      <c r="P64" s="769">
        <f>N64+L64+J64+H64+F64+'الصفحة 35'!P64+'الصفحة 35'!N64+'الصفحة 35'!L64+'الصفحة 35'!J64+'الصفحة 35'!H64+'الصفحة 35'!F64</f>
        <v>1</v>
      </c>
      <c r="Q64" s="935"/>
      <c r="R64" s="934"/>
      <c r="S64" s="753"/>
      <c r="T64" s="2568" t="s">
        <v>68</v>
      </c>
      <c r="U64" s="2564" t="str">
        <f>IF('الصفحة 34'!L64-O64&lt;&gt;0,"خطأ"," ")</f>
        <v>خطأ</v>
      </c>
      <c r="V64" s="2565" t="str">
        <f>IF('الصفحة 34'!M64-P64&lt;&gt;0,"خطأ"," ")</f>
        <v>خطأ</v>
      </c>
      <c r="Z64" s="969"/>
    </row>
    <row r="65" spans="1:26" ht="11.4" customHeight="1">
      <c r="A65" s="750"/>
      <c r="B65" s="907"/>
      <c r="C65" s="918"/>
      <c r="D65" s="1340" t="s">
        <v>67</v>
      </c>
      <c r="E65" s="527"/>
      <c r="F65" s="524"/>
      <c r="G65" s="527"/>
      <c r="H65" s="524"/>
      <c r="I65" s="527"/>
      <c r="J65" s="524"/>
      <c r="K65" s="527"/>
      <c r="L65" s="524"/>
      <c r="M65" s="527"/>
      <c r="N65" s="524"/>
      <c r="O65" s="768">
        <f>M65+K65+I65+G65+E65+'الصفحة 35'!O65+'الصفحة 35'!M65+'الصفحة 35'!K65+'الصفحة 35'!I65+'الصفحة 35'!G65+'الصفحة 35'!E65</f>
        <v>0</v>
      </c>
      <c r="P65" s="769">
        <f>N65+L65+J65+H65+F65+'الصفحة 35'!P65+'الصفحة 35'!N65+'الصفحة 35'!L65+'الصفحة 35'!J65+'الصفحة 35'!H65+'الصفحة 35'!F65</f>
        <v>0</v>
      </c>
      <c r="Q65" s="935"/>
      <c r="R65" s="934"/>
      <c r="S65" s="753"/>
      <c r="T65" s="2547" t="s">
        <v>67</v>
      </c>
      <c r="U65" s="2566" t="str">
        <f>IF('الصفحة 34'!L65-O65&lt;&gt;0,"خطأ"," ")</f>
        <v xml:space="preserve"> </v>
      </c>
      <c r="V65" s="2567" t="str">
        <f>IF('الصفحة 34'!M65-P65&lt;&gt;0,"خطأ"," ")</f>
        <v xml:space="preserve"> </v>
      </c>
      <c r="Z65" s="969"/>
    </row>
    <row r="66" spans="1:26" ht="11.4" customHeight="1">
      <c r="A66" s="750"/>
      <c r="B66" s="907"/>
      <c r="C66" s="918"/>
      <c r="D66" s="2867" t="s">
        <v>1352</v>
      </c>
      <c r="E66" s="527"/>
      <c r="F66" s="524"/>
      <c r="G66" s="527"/>
      <c r="H66" s="524"/>
      <c r="I66" s="527"/>
      <c r="J66" s="524"/>
      <c r="K66" s="527"/>
      <c r="L66" s="524"/>
      <c r="M66" s="527"/>
      <c r="N66" s="524"/>
      <c r="O66" s="768">
        <f>M66+K66+I66+G66+E66+'الصفحة 35'!O66+'الصفحة 35'!M66+'الصفحة 35'!K66+'الصفحة 35'!I66+'الصفحة 35'!G66+'الصفحة 35'!E66</f>
        <v>1</v>
      </c>
      <c r="P66" s="769">
        <f>N66+L66+J66+H66+F66+'الصفحة 35'!P66+'الصفحة 35'!N66+'الصفحة 35'!L66+'الصفحة 35'!J66+'الصفحة 35'!H66+'الصفحة 35'!F66</f>
        <v>0</v>
      </c>
      <c r="Q66" s="935"/>
      <c r="R66" s="934"/>
      <c r="S66" s="753"/>
      <c r="T66" s="2803" t="s">
        <v>1352</v>
      </c>
      <c r="U66" s="2804" t="str">
        <f>IF('الصفحة 34'!L66-O66&lt;&gt;0,"خطأ"," ")</f>
        <v>خطأ</v>
      </c>
      <c r="V66" s="2805" t="str">
        <f>IF('الصفحة 34'!M66-P66&lt;&gt;0,"خطأ"," ")</f>
        <v xml:space="preserve"> </v>
      </c>
      <c r="Z66" s="1031"/>
    </row>
    <row r="67" spans="1:26" ht="11.4" customHeight="1">
      <c r="A67" s="750"/>
      <c r="B67" s="907"/>
      <c r="C67" s="918"/>
      <c r="D67" s="1340" t="s">
        <v>1353</v>
      </c>
      <c r="E67" s="527"/>
      <c r="F67" s="524"/>
      <c r="G67" s="527"/>
      <c r="H67" s="524"/>
      <c r="I67" s="527"/>
      <c r="J67" s="524"/>
      <c r="K67" s="527"/>
      <c r="L67" s="524"/>
      <c r="M67" s="527"/>
      <c r="N67" s="524"/>
      <c r="O67" s="768">
        <f>M67+K67+I67+G67+E67+'الصفحة 35'!O67+'الصفحة 35'!M67+'الصفحة 35'!K67+'الصفحة 35'!I67+'الصفحة 35'!G67+'الصفحة 35'!E67</f>
        <v>3</v>
      </c>
      <c r="P67" s="769">
        <f>N67+L67+J67+H67+F67+'الصفحة 35'!P67+'الصفحة 35'!N67+'الصفحة 35'!L67+'الصفحة 35'!J67+'الصفحة 35'!H67+'الصفحة 35'!F67</f>
        <v>0</v>
      </c>
      <c r="Q67" s="935"/>
      <c r="R67" s="934"/>
      <c r="S67" s="753"/>
      <c r="T67" s="2547" t="s">
        <v>1353</v>
      </c>
      <c r="U67" s="2566" t="str">
        <f>IF('الصفحة 34'!L67-O67&lt;&gt;0,"خطأ"," ")</f>
        <v>خطأ</v>
      </c>
      <c r="V67" s="2567" t="str">
        <f>IF('الصفحة 34'!M67-P67&lt;&gt;0,"خطأ"," ")</f>
        <v xml:space="preserve"> </v>
      </c>
      <c r="Z67" s="1031"/>
    </row>
    <row r="68" spans="1:26" ht="11.4" customHeight="1">
      <c r="A68" s="750"/>
      <c r="B68" s="907"/>
      <c r="C68" s="918"/>
      <c r="D68" s="690" t="s">
        <v>66</v>
      </c>
      <c r="E68" s="527"/>
      <c r="F68" s="524"/>
      <c r="G68" s="527"/>
      <c r="H68" s="524"/>
      <c r="I68" s="527"/>
      <c r="J68" s="524"/>
      <c r="K68" s="527"/>
      <c r="L68" s="524"/>
      <c r="M68" s="527"/>
      <c r="N68" s="524"/>
      <c r="O68" s="768">
        <f>M68+K68+I68+G68+E68+'الصفحة 35'!O68+'الصفحة 35'!M68+'الصفحة 35'!K68+'الصفحة 35'!I68+'الصفحة 35'!G68+'الصفحة 35'!E68</f>
        <v>0</v>
      </c>
      <c r="P68" s="769">
        <f>N68+L68+J68+H68+F68+'الصفحة 35'!P68+'الصفحة 35'!N68+'الصفحة 35'!L68+'الصفحة 35'!J68+'الصفحة 35'!H68+'الصفحة 35'!F68</f>
        <v>0</v>
      </c>
      <c r="Q68" s="935"/>
      <c r="R68" s="934"/>
      <c r="S68" s="753"/>
      <c r="T68" s="2568" t="s">
        <v>66</v>
      </c>
      <c r="U68" s="2569" t="str">
        <f>IF('الصفحة 34'!L68-O68&lt;&gt;0,"خطأ"," ")</f>
        <v xml:space="preserve"> </v>
      </c>
      <c r="V68" s="2570" t="str">
        <f>IF('الصفحة 34'!M68-P68&lt;&gt;0,"خطأ"," ")</f>
        <v xml:space="preserve"> </v>
      </c>
      <c r="Z68" s="969"/>
    </row>
    <row r="69" spans="1:26" ht="11.4" customHeight="1">
      <c r="A69" s="750"/>
      <c r="B69" s="907"/>
      <c r="C69" s="918"/>
      <c r="D69" s="1340" t="s">
        <v>587</v>
      </c>
      <c r="E69" s="527"/>
      <c r="F69" s="524"/>
      <c r="G69" s="527"/>
      <c r="H69" s="524"/>
      <c r="I69" s="527"/>
      <c r="J69" s="524"/>
      <c r="K69" s="527"/>
      <c r="L69" s="524"/>
      <c r="M69" s="527"/>
      <c r="N69" s="524"/>
      <c r="O69" s="768">
        <f>M69+K69+I69+G69+E69+'الصفحة 35'!O69+'الصفحة 35'!M69+'الصفحة 35'!K69+'الصفحة 35'!I69+'الصفحة 35'!G69+'الصفحة 35'!E69</f>
        <v>0</v>
      </c>
      <c r="P69" s="769">
        <f>N69+L69+J69+H69+F69+'الصفحة 35'!P69+'الصفحة 35'!N69+'الصفحة 35'!L69+'الصفحة 35'!J69+'الصفحة 35'!H69+'الصفحة 35'!F69</f>
        <v>0</v>
      </c>
      <c r="Q69" s="935"/>
      <c r="R69" s="934"/>
      <c r="S69" s="753"/>
      <c r="T69" s="2557" t="s">
        <v>587</v>
      </c>
      <c r="U69" s="2566" t="str">
        <f>IF('الصفحة 34'!L69-O69&lt;&gt;0,"خطأ"," ")</f>
        <v xml:space="preserve"> </v>
      </c>
      <c r="V69" s="2567" t="str">
        <f>IF('الصفحة 34'!M69-P69&lt;&gt;0,"خطأ"," ")</f>
        <v xml:space="preserve"> </v>
      </c>
      <c r="Z69" s="969"/>
    </row>
    <row r="70" spans="1:26" ht="11.4" customHeight="1">
      <c r="A70" s="750"/>
      <c r="B70" s="907"/>
      <c r="C70" s="918"/>
      <c r="D70" s="2105" t="s">
        <v>64</v>
      </c>
      <c r="E70" s="527"/>
      <c r="F70" s="524"/>
      <c r="G70" s="527"/>
      <c r="H70" s="524"/>
      <c r="I70" s="527"/>
      <c r="J70" s="524"/>
      <c r="K70" s="527"/>
      <c r="L70" s="524"/>
      <c r="M70" s="527"/>
      <c r="N70" s="524"/>
      <c r="O70" s="768">
        <f>M70+K70+I70+G70+E70+'الصفحة 35'!O70+'الصفحة 35'!M70+'الصفحة 35'!K70+'الصفحة 35'!I70+'الصفحة 35'!G70+'الصفحة 35'!E70</f>
        <v>0</v>
      </c>
      <c r="P70" s="769">
        <f>N70+L70+J70+H70+F70+'الصفحة 35'!P70+'الصفحة 35'!N70+'الصفحة 35'!L70+'الصفحة 35'!J70+'الصفحة 35'!H70+'الصفحة 35'!F70</f>
        <v>0</v>
      </c>
      <c r="Q70" s="935"/>
      <c r="R70" s="934"/>
      <c r="S70" s="753"/>
      <c r="T70" s="2583" t="s">
        <v>64</v>
      </c>
      <c r="U70" s="2569" t="str">
        <f>IF('الصفحة 34'!L70-O70&lt;&gt;0,"خطأ"," ")</f>
        <v xml:space="preserve"> </v>
      </c>
      <c r="V70" s="2570" t="str">
        <f>IF('الصفحة 34'!M70-P70&lt;&gt;0,"خطأ"," ")</f>
        <v xml:space="preserve"> </v>
      </c>
      <c r="Z70" s="969"/>
    </row>
    <row r="71" spans="1:26" ht="11.4" customHeight="1">
      <c r="A71" s="750"/>
      <c r="B71" s="907"/>
      <c r="C71" s="918"/>
      <c r="D71" s="1340" t="s">
        <v>63</v>
      </c>
      <c r="E71" s="527"/>
      <c r="F71" s="524"/>
      <c r="G71" s="527"/>
      <c r="H71" s="524"/>
      <c r="I71" s="527"/>
      <c r="J71" s="524"/>
      <c r="K71" s="527"/>
      <c r="L71" s="524"/>
      <c r="M71" s="527"/>
      <c r="N71" s="524"/>
      <c r="O71" s="768">
        <f>M71+K71+I71+G71+E71+'الصفحة 35'!O71+'الصفحة 35'!M71+'الصفحة 35'!K71+'الصفحة 35'!I71+'الصفحة 35'!G71+'الصفحة 35'!E71</f>
        <v>0</v>
      </c>
      <c r="P71" s="769">
        <f>N71+L71+J71+H71+F71+'الصفحة 35'!P71+'الصفحة 35'!N71+'الصفحة 35'!L71+'الصفحة 35'!J71+'الصفحة 35'!H71+'الصفحة 35'!F71</f>
        <v>0</v>
      </c>
      <c r="Q71" s="935"/>
      <c r="R71" s="934"/>
      <c r="S71" s="753"/>
      <c r="T71" s="2547" t="s">
        <v>63</v>
      </c>
      <c r="U71" s="2566" t="str">
        <f>IF('الصفحة 34'!L71-O71&lt;&gt;0,"خطأ"," ")</f>
        <v xml:space="preserve"> </v>
      </c>
      <c r="V71" s="2567" t="str">
        <f>IF('الصفحة 34'!M71-P71&lt;&gt;0,"خطأ"," ")</f>
        <v xml:space="preserve"> </v>
      </c>
      <c r="Z71" s="969"/>
    </row>
    <row r="72" spans="1:26" ht="11.4" customHeight="1">
      <c r="A72" s="750"/>
      <c r="B72" s="907"/>
      <c r="C72" s="918"/>
      <c r="D72" s="2105" t="s">
        <v>62</v>
      </c>
      <c r="E72" s="527"/>
      <c r="F72" s="524"/>
      <c r="G72" s="527"/>
      <c r="H72" s="524"/>
      <c r="I72" s="527"/>
      <c r="J72" s="524"/>
      <c r="K72" s="527"/>
      <c r="L72" s="524"/>
      <c r="M72" s="527"/>
      <c r="N72" s="524"/>
      <c r="O72" s="768">
        <f>M72+K72+I72+G72+E72+'الصفحة 35'!O72+'الصفحة 35'!M72+'الصفحة 35'!K72+'الصفحة 35'!I72+'الصفحة 35'!G72+'الصفحة 35'!E72</f>
        <v>1</v>
      </c>
      <c r="P72" s="769">
        <f>N72+L72+J72+H72+F72+'الصفحة 35'!P72+'الصفحة 35'!N72+'الصفحة 35'!L72+'الصفحة 35'!J72+'الصفحة 35'!H72+'الصفحة 35'!F72</f>
        <v>0</v>
      </c>
      <c r="Q72" s="935"/>
      <c r="R72" s="934"/>
      <c r="S72" s="753"/>
      <c r="T72" s="2583" t="s">
        <v>62</v>
      </c>
      <c r="U72" s="2569" t="str">
        <f>IF('الصفحة 34'!L72-O72&lt;&gt;0,"خطأ"," ")</f>
        <v>خطأ</v>
      </c>
      <c r="V72" s="2570" t="str">
        <f>IF('الصفحة 34'!M72-P72&lt;&gt;0,"خطأ"," ")</f>
        <v xml:space="preserve"> </v>
      </c>
      <c r="Z72" s="969"/>
    </row>
    <row r="73" spans="1:26" ht="11.4" customHeight="1">
      <c r="A73" s="750"/>
      <c r="B73" s="907"/>
      <c r="C73" s="918"/>
      <c r="D73" s="1339" t="s">
        <v>61</v>
      </c>
      <c r="E73" s="528">
        <v>3</v>
      </c>
      <c r="F73" s="525"/>
      <c r="G73" s="528">
        <v>1</v>
      </c>
      <c r="H73" s="525"/>
      <c r="I73" s="528"/>
      <c r="J73" s="525"/>
      <c r="K73" s="528"/>
      <c r="L73" s="525"/>
      <c r="M73" s="528">
        <v>1</v>
      </c>
      <c r="N73" s="525"/>
      <c r="O73" s="770">
        <f>M73+K73+I73+G73+E73+'الصفحة 35'!O73+'الصفحة 35'!M73+'الصفحة 35'!K73+'الصفحة 35'!I73+'الصفحة 35'!G73+'الصفحة 35'!E73</f>
        <v>10</v>
      </c>
      <c r="P73" s="771">
        <f>N73+L73+J73+H73+F73+'الصفحة 35'!P73+'الصفحة 35'!N73+'الصفحة 35'!L73+'الصفحة 35'!J73+'الصفحة 35'!H73+'الصفحة 35'!F73</f>
        <v>0</v>
      </c>
      <c r="Q73" s="935"/>
      <c r="R73" s="934"/>
      <c r="S73" s="753"/>
      <c r="T73" s="2584" t="s">
        <v>61</v>
      </c>
      <c r="U73" s="2585" t="str">
        <f>IF('الصفحة 34'!L73-O73&lt;&gt;0,"خطأ"," ")</f>
        <v>خطأ</v>
      </c>
      <c r="V73" s="2586" t="str">
        <f>IF('الصفحة 34'!M73-P73&lt;&gt;0,"خطأ"," ")</f>
        <v xml:space="preserve"> </v>
      </c>
      <c r="Z73" s="969"/>
    </row>
    <row r="74" spans="1:26" ht="12.9" customHeight="1">
      <c r="A74" s="750"/>
      <c r="B74" s="907"/>
      <c r="C74" s="918"/>
      <c r="D74" s="973" t="s">
        <v>28</v>
      </c>
      <c r="E74" s="772">
        <f t="shared" ref="E74:P74" si="0">SUM(E64:E73)+SUM(E60:E62)+SUM(E57:E58)+SUM(E44:E55)+SUM(E41:E42)+SUM(E36:E39)+SUM(E31:E34)+SUM(E27:E29)+SUM(E21:E25)+SUM(E13:E19)+SUM(E11)</f>
        <v>3</v>
      </c>
      <c r="F74" s="773">
        <f t="shared" si="0"/>
        <v>0</v>
      </c>
      <c r="G74" s="772">
        <f t="shared" si="0"/>
        <v>1</v>
      </c>
      <c r="H74" s="773">
        <f t="shared" si="0"/>
        <v>0</v>
      </c>
      <c r="I74" s="772">
        <f t="shared" si="0"/>
        <v>1</v>
      </c>
      <c r="J74" s="773">
        <f t="shared" si="0"/>
        <v>1</v>
      </c>
      <c r="K74" s="772">
        <f t="shared" si="0"/>
        <v>0</v>
      </c>
      <c r="L74" s="773">
        <f t="shared" si="0"/>
        <v>0</v>
      </c>
      <c r="M74" s="772">
        <f t="shared" si="0"/>
        <v>2</v>
      </c>
      <c r="N74" s="773">
        <f t="shared" si="0"/>
        <v>1</v>
      </c>
      <c r="O74" s="772">
        <f t="shared" si="0"/>
        <v>36</v>
      </c>
      <c r="P74" s="773">
        <f t="shared" si="0"/>
        <v>16</v>
      </c>
      <c r="Q74" s="919"/>
      <c r="R74" s="925"/>
      <c r="S74" s="753"/>
      <c r="T74" s="2560" t="s">
        <v>28</v>
      </c>
      <c r="U74" s="2561" t="str">
        <f>IF('الصفحة 34'!L74-O74&lt;&gt;0,"خطأ"," ")</f>
        <v>خطأ</v>
      </c>
      <c r="V74" s="2562" t="str">
        <f>IF('الصفحة 34'!M74-P74&lt;&gt;0,"خطأ"," ")</f>
        <v xml:space="preserve"> </v>
      </c>
      <c r="Z74" s="969"/>
    </row>
    <row r="75" spans="1:26" ht="2.1" customHeight="1" thickBot="1">
      <c r="A75" s="750"/>
      <c r="B75" s="907"/>
      <c r="C75" s="870"/>
      <c r="D75" s="920"/>
      <c r="E75" s="930"/>
      <c r="F75" s="930"/>
      <c r="G75" s="930"/>
      <c r="H75" s="930"/>
      <c r="I75" s="930"/>
      <c r="J75" s="930"/>
      <c r="K75" s="930"/>
      <c r="L75" s="930"/>
      <c r="M75" s="930"/>
      <c r="N75" s="930"/>
      <c r="O75" s="930"/>
      <c r="P75" s="930"/>
      <c r="Q75" s="931"/>
      <c r="R75" s="925"/>
      <c r="S75" s="753"/>
      <c r="T75" s="1048"/>
      <c r="U75" s="1048"/>
      <c r="V75" s="1048"/>
      <c r="W75" s="1048"/>
      <c r="X75" s="1048"/>
      <c r="Z75" s="969"/>
    </row>
    <row r="76" spans="1:26" ht="12" customHeight="1" thickBot="1">
      <c r="A76" s="750"/>
      <c r="B76" s="911"/>
      <c r="C76" s="4176">
        <v>36</v>
      </c>
      <c r="D76" s="4176"/>
      <c r="E76" s="4176"/>
      <c r="F76" s="4176"/>
      <c r="G76" s="4176"/>
      <c r="H76" s="4176"/>
      <c r="I76" s="4176"/>
      <c r="J76" s="4176"/>
      <c r="K76" s="4176"/>
      <c r="L76" s="4176"/>
      <c r="M76" s="4176"/>
      <c r="N76" s="4176"/>
      <c r="O76" s="4176"/>
      <c r="P76" s="4176"/>
      <c r="Q76" s="4176"/>
      <c r="R76" s="927"/>
      <c r="S76" s="753"/>
      <c r="T76" s="1048"/>
      <c r="U76" s="1048"/>
      <c r="V76" s="1048"/>
      <c r="W76" s="1048"/>
      <c r="X76" s="1048"/>
      <c r="Z76" s="969"/>
    </row>
    <row r="77" spans="1:26" ht="12.6" customHeight="1">
      <c r="A77" s="750"/>
      <c r="B77" s="1027" t="str">
        <f>'صفحة الدفتـر'!$B$68</f>
        <v>السنة الدراسية  2022 - 2023</v>
      </c>
      <c r="C77" s="751"/>
      <c r="D77" s="751"/>
      <c r="E77" s="751"/>
      <c r="F77" s="751"/>
      <c r="G77" s="751"/>
      <c r="H77" s="751"/>
      <c r="I77" s="751"/>
      <c r="J77" s="751"/>
      <c r="K77" s="751"/>
      <c r="L77" s="751"/>
      <c r="M77" s="751"/>
      <c r="N77" s="751"/>
      <c r="O77" s="751"/>
      <c r="P77" s="751"/>
      <c r="Q77" s="751"/>
      <c r="R77" s="751"/>
      <c r="S77" s="751"/>
      <c r="T77" s="1049"/>
      <c r="U77" s="1049"/>
      <c r="V77" s="1049"/>
      <c r="W77" s="1049"/>
      <c r="X77" s="1049"/>
      <c r="Y77" s="1040"/>
      <c r="Z77" s="969"/>
    </row>
  </sheetData>
  <sheetProtection password="D8D3" sheet="1" objects="1" scenarios="1"/>
  <mergeCells count="29">
    <mergeCell ref="T59:V59"/>
    <mergeCell ref="T63:V63"/>
    <mergeCell ref="T56:V56"/>
    <mergeCell ref="T43:V43"/>
    <mergeCell ref="T40:V40"/>
    <mergeCell ref="T3:X6"/>
    <mergeCell ref="K9:L9"/>
    <mergeCell ref="T20:V20"/>
    <mergeCell ref="T12:V12"/>
    <mergeCell ref="T35:V35"/>
    <mergeCell ref="T26:V26"/>
    <mergeCell ref="T30:V30"/>
    <mergeCell ref="T8:V9"/>
    <mergeCell ref="C76:Q76"/>
    <mergeCell ref="M9:N9"/>
    <mergeCell ref="O9:P9"/>
    <mergeCell ref="D30:P30"/>
    <mergeCell ref="D26:P26"/>
    <mergeCell ref="E9:F9"/>
    <mergeCell ref="D63:P63"/>
    <mergeCell ref="D59:P59"/>
    <mergeCell ref="D56:P56"/>
    <mergeCell ref="D12:P12"/>
    <mergeCell ref="G9:H9"/>
    <mergeCell ref="D43:P43"/>
    <mergeCell ref="D40:P40"/>
    <mergeCell ref="D35:P35"/>
    <mergeCell ref="D20:P20"/>
    <mergeCell ref="I9:J9"/>
  </mergeCells>
  <conditionalFormatting sqref="M11 E22:E25 M27:M29 M31:M34 M38:M39 M42 M44:M55 M57:M58 M60:M62 M64:M73 E11 G11 I11 K11 G22:G25 I22:I25 K22:K25 K64:K73 E27:E29 G27:G29 I27:I29 K27:K29 E31:E34 G31:G34 I31:I34 K31:K34 E38:E39 G38:G39 I38:I39 K38:K39 E42 G42 I42 K42 E44:E55 G44:G55 I44:I55 K44:K55 E57:E58 G57:G58 I57:I58 K57:K58 E60:E62 G60:G62 I60:I62 K60:K62 E64:E73 G64:G73 I64:I73 M22:M25 M13:M19 E13:E19 G13:G19 I13:I19 K13:K19">
    <cfRule type="cellIs" dxfId="136" priority="173" stopIfTrue="1" operator="equal">
      <formula>0</formula>
    </cfRule>
  </conditionalFormatting>
  <conditionalFormatting sqref="N11">
    <cfRule type="cellIs" dxfId="135" priority="171" stopIfTrue="1" operator="greaterThan">
      <formula>M11</formula>
    </cfRule>
    <cfRule type="cellIs" dxfId="134" priority="172" stopIfTrue="1" operator="equal">
      <formula>0</formula>
    </cfRule>
  </conditionalFormatting>
  <conditionalFormatting sqref="O11">
    <cfRule type="cellIs" dxfId="133" priority="170" stopIfTrue="1" operator="equal">
      <formula>0</formula>
    </cfRule>
  </conditionalFormatting>
  <conditionalFormatting sqref="P11">
    <cfRule type="cellIs" dxfId="132" priority="168" stopIfTrue="1" operator="greaterThan">
      <formula>O11</formula>
    </cfRule>
    <cfRule type="cellIs" dxfId="131" priority="169" stopIfTrue="1" operator="equal">
      <formula>0</formula>
    </cfRule>
  </conditionalFormatting>
  <conditionalFormatting sqref="N13:N17">
    <cfRule type="cellIs" dxfId="130" priority="165" stopIfTrue="1" operator="greaterThan">
      <formula>M13</formula>
    </cfRule>
    <cfRule type="cellIs" dxfId="129" priority="166" stopIfTrue="1" operator="equal">
      <formula>0</formula>
    </cfRule>
  </conditionalFormatting>
  <conditionalFormatting sqref="K74 O27:O29 O31:O34 O38:O39 O42 O44:O55 O57:O58 O60:O62 M74 O64:O74 E74 G74 I74 O22:O25 O13:O19">
    <cfRule type="cellIs" dxfId="128" priority="164" stopIfTrue="1" operator="equal">
      <formula>0</formula>
    </cfRule>
  </conditionalFormatting>
  <conditionalFormatting sqref="P13:P17">
    <cfRule type="cellIs" dxfId="127" priority="162" stopIfTrue="1" operator="greaterThan">
      <formula>O13</formula>
    </cfRule>
    <cfRule type="cellIs" dxfId="126" priority="163" stopIfTrue="1" operator="equal">
      <formula>0</formula>
    </cfRule>
  </conditionalFormatting>
  <conditionalFormatting sqref="N22:N23 N18:N19">
    <cfRule type="cellIs" dxfId="125" priority="159" stopIfTrue="1" operator="greaterThan">
      <formula>M18</formula>
    </cfRule>
    <cfRule type="cellIs" dxfId="124" priority="160" stopIfTrue="1" operator="equal">
      <formula>0</formula>
    </cfRule>
  </conditionalFormatting>
  <conditionalFormatting sqref="P22:P23 P18:P19">
    <cfRule type="cellIs" dxfId="123" priority="156" stopIfTrue="1" operator="greaterThan">
      <formula>O18</formula>
    </cfRule>
    <cfRule type="cellIs" dxfId="122" priority="157" stopIfTrue="1" operator="equal">
      <formula>0</formula>
    </cfRule>
  </conditionalFormatting>
  <conditionalFormatting sqref="N22:N25">
    <cfRule type="cellIs" dxfId="121" priority="153" stopIfTrue="1" operator="greaterThan">
      <formula>M22</formula>
    </cfRule>
    <cfRule type="cellIs" dxfId="120" priority="154" stopIfTrue="1" operator="equal">
      <formula>0</formula>
    </cfRule>
  </conditionalFormatting>
  <conditionalFormatting sqref="P22:P25">
    <cfRule type="cellIs" dxfId="119" priority="150" stopIfTrue="1" operator="greaterThan">
      <formula>O22</formula>
    </cfRule>
    <cfRule type="cellIs" dxfId="118" priority="151" stopIfTrue="1" operator="equal">
      <formula>0</formula>
    </cfRule>
  </conditionalFormatting>
  <conditionalFormatting sqref="N27:N29">
    <cfRule type="cellIs" dxfId="117" priority="147" stopIfTrue="1" operator="greaterThan">
      <formula>M27</formula>
    </cfRule>
    <cfRule type="cellIs" dxfId="116" priority="148" stopIfTrue="1" operator="equal">
      <formula>0</formula>
    </cfRule>
  </conditionalFormatting>
  <conditionalFormatting sqref="P27:P29">
    <cfRule type="cellIs" dxfId="115" priority="144" stopIfTrue="1" operator="greaterThan">
      <formula>O27</formula>
    </cfRule>
    <cfRule type="cellIs" dxfId="114" priority="145" stopIfTrue="1" operator="equal">
      <formula>0</formula>
    </cfRule>
  </conditionalFormatting>
  <conditionalFormatting sqref="N31:N34">
    <cfRule type="cellIs" dxfId="113" priority="141" stopIfTrue="1" operator="greaterThan">
      <formula>M31</formula>
    </cfRule>
    <cfRule type="cellIs" dxfId="112" priority="142" stopIfTrue="1" operator="equal">
      <formula>0</formula>
    </cfRule>
  </conditionalFormatting>
  <conditionalFormatting sqref="P31:P34">
    <cfRule type="cellIs" dxfId="111" priority="138" stopIfTrue="1" operator="greaterThan">
      <formula>O31</formula>
    </cfRule>
    <cfRule type="cellIs" dxfId="110" priority="139" stopIfTrue="1" operator="equal">
      <formula>0</formula>
    </cfRule>
  </conditionalFormatting>
  <conditionalFormatting sqref="N38:N39">
    <cfRule type="cellIs" dxfId="109" priority="135" stopIfTrue="1" operator="greaterThan">
      <formula>M38</formula>
    </cfRule>
    <cfRule type="cellIs" dxfId="108" priority="136" stopIfTrue="1" operator="equal">
      <formula>0</formula>
    </cfRule>
  </conditionalFormatting>
  <conditionalFormatting sqref="P38:P39">
    <cfRule type="cellIs" dxfId="107" priority="132" stopIfTrue="1" operator="greaterThan">
      <formula>O38</formula>
    </cfRule>
    <cfRule type="cellIs" dxfId="106" priority="133" stopIfTrue="1" operator="equal">
      <formula>0</formula>
    </cfRule>
  </conditionalFormatting>
  <conditionalFormatting sqref="N42">
    <cfRule type="cellIs" dxfId="105" priority="129" stopIfTrue="1" operator="greaterThan">
      <formula>M42</formula>
    </cfRule>
    <cfRule type="cellIs" dxfId="104" priority="130" stopIfTrue="1" operator="equal">
      <formula>0</formula>
    </cfRule>
  </conditionalFormatting>
  <conditionalFormatting sqref="P42">
    <cfRule type="cellIs" dxfId="103" priority="126" stopIfTrue="1" operator="greaterThan">
      <formula>O42</formula>
    </cfRule>
    <cfRule type="cellIs" dxfId="102" priority="127" stopIfTrue="1" operator="equal">
      <formula>0</formula>
    </cfRule>
  </conditionalFormatting>
  <conditionalFormatting sqref="N44:N46">
    <cfRule type="cellIs" dxfId="101" priority="123" stopIfTrue="1" operator="greaterThan">
      <formula>M44</formula>
    </cfRule>
    <cfRule type="cellIs" dxfId="100" priority="124" stopIfTrue="1" operator="equal">
      <formula>0</formula>
    </cfRule>
  </conditionalFormatting>
  <conditionalFormatting sqref="P44:P46">
    <cfRule type="cellIs" dxfId="99" priority="120" stopIfTrue="1" operator="greaterThan">
      <formula>O44</formula>
    </cfRule>
    <cfRule type="cellIs" dxfId="98" priority="121" stopIfTrue="1" operator="equal">
      <formula>0</formula>
    </cfRule>
  </conditionalFormatting>
  <conditionalFormatting sqref="N47:N51">
    <cfRule type="cellIs" dxfId="97" priority="117" stopIfTrue="1" operator="greaterThan">
      <formula>M47</formula>
    </cfRule>
    <cfRule type="cellIs" dxfId="96" priority="118" stopIfTrue="1" operator="equal">
      <formula>0</formula>
    </cfRule>
  </conditionalFormatting>
  <conditionalFormatting sqref="P47:P51">
    <cfRule type="cellIs" dxfId="95" priority="114" stopIfTrue="1" operator="greaterThan">
      <formula>O47</formula>
    </cfRule>
    <cfRule type="cellIs" dxfId="94" priority="115" stopIfTrue="1" operator="equal">
      <formula>0</formula>
    </cfRule>
  </conditionalFormatting>
  <conditionalFormatting sqref="N52:N55">
    <cfRule type="cellIs" dxfId="93" priority="111" stopIfTrue="1" operator="greaterThan">
      <formula>M52</formula>
    </cfRule>
    <cfRule type="cellIs" dxfId="92" priority="112" stopIfTrue="1" operator="equal">
      <formula>0</formula>
    </cfRule>
  </conditionalFormatting>
  <conditionalFormatting sqref="P52:P55">
    <cfRule type="cellIs" dxfId="91" priority="108" stopIfTrue="1" operator="greaterThan">
      <formula>O52</formula>
    </cfRule>
    <cfRule type="cellIs" dxfId="90" priority="109" stopIfTrue="1" operator="equal">
      <formula>0</formula>
    </cfRule>
  </conditionalFormatting>
  <conditionalFormatting sqref="N57:N58">
    <cfRule type="cellIs" dxfId="89" priority="105" stopIfTrue="1" operator="greaterThan">
      <formula>M57</formula>
    </cfRule>
    <cfRule type="cellIs" dxfId="88" priority="106" stopIfTrue="1" operator="equal">
      <formula>0</formula>
    </cfRule>
  </conditionalFormatting>
  <conditionalFormatting sqref="P57:P58">
    <cfRule type="cellIs" dxfId="87" priority="102" stopIfTrue="1" operator="greaterThan">
      <formula>O57</formula>
    </cfRule>
    <cfRule type="cellIs" dxfId="86" priority="103" stopIfTrue="1" operator="equal">
      <formula>0</formula>
    </cfRule>
  </conditionalFormatting>
  <conditionalFormatting sqref="N60:N62">
    <cfRule type="cellIs" dxfId="85" priority="99" stopIfTrue="1" operator="greaterThan">
      <formula>M60</formula>
    </cfRule>
    <cfRule type="cellIs" dxfId="84" priority="100" stopIfTrue="1" operator="equal">
      <formula>0</formula>
    </cfRule>
  </conditionalFormatting>
  <conditionalFormatting sqref="P60:P62">
    <cfRule type="cellIs" dxfId="83" priority="96" stopIfTrue="1" operator="greaterThan">
      <formula>O60</formula>
    </cfRule>
    <cfRule type="cellIs" dxfId="82" priority="97" stopIfTrue="1" operator="equal">
      <formula>0</formula>
    </cfRule>
  </conditionalFormatting>
  <conditionalFormatting sqref="N64:N73">
    <cfRule type="cellIs" dxfId="81" priority="93" stopIfTrue="1" operator="greaterThan">
      <formula>M64</formula>
    </cfRule>
    <cfRule type="cellIs" dxfId="80" priority="94" stopIfTrue="1" operator="equal">
      <formula>0</formula>
    </cfRule>
  </conditionalFormatting>
  <conditionalFormatting sqref="P64:P73">
    <cfRule type="cellIs" dxfId="79" priority="90" stopIfTrue="1" operator="greaterThan">
      <formula>O64</formula>
    </cfRule>
    <cfRule type="cellIs" dxfId="78" priority="91" stopIfTrue="1" operator="equal">
      <formula>0</formula>
    </cfRule>
  </conditionalFormatting>
  <conditionalFormatting sqref="N74 P74">
    <cfRule type="cellIs" dxfId="77" priority="87" stopIfTrue="1" operator="greaterThan">
      <formula>M74</formula>
    </cfRule>
    <cfRule type="cellIs" dxfId="76" priority="88" stopIfTrue="1" operator="equal">
      <formula>0</formula>
    </cfRule>
  </conditionalFormatting>
  <conditionalFormatting sqref="F11 H11 J11 L11">
    <cfRule type="cellIs" dxfId="75" priority="84" stopIfTrue="1" operator="greaterThan">
      <formula>E11</formula>
    </cfRule>
    <cfRule type="cellIs" dxfId="74" priority="85" stopIfTrue="1" operator="equal">
      <formula>0</formula>
    </cfRule>
  </conditionalFormatting>
  <conditionalFormatting sqref="F11 H11 J11 L11">
    <cfRule type="cellIs" dxfId="73" priority="81" stopIfTrue="1" operator="greaterThan">
      <formula>E11</formula>
    </cfRule>
    <cfRule type="cellIs" dxfId="72" priority="82" stopIfTrue="1" operator="equal">
      <formula>0</formula>
    </cfRule>
  </conditionalFormatting>
  <conditionalFormatting sqref="F13:F17 H13:H17 J13:J17 L13:L17">
    <cfRule type="cellIs" dxfId="71" priority="78" stopIfTrue="1" operator="greaterThan">
      <formula>E13</formula>
    </cfRule>
    <cfRule type="cellIs" dxfId="70" priority="79" stopIfTrue="1" operator="equal">
      <formula>0</formula>
    </cfRule>
  </conditionalFormatting>
  <conditionalFormatting sqref="H22:H23 J22:J23 L22:L23 F22:F23 L18:L19 J18:J19 H18:H19 F18:F19">
    <cfRule type="cellIs" dxfId="69" priority="75" stopIfTrue="1" operator="greaterThan">
      <formula>E18</formula>
    </cfRule>
    <cfRule type="cellIs" dxfId="68" priority="76" stopIfTrue="1" operator="equal">
      <formula>0</formula>
    </cfRule>
  </conditionalFormatting>
  <conditionalFormatting sqref="F22:F25 H22:H25 J22:J25 L22:L25">
    <cfRule type="cellIs" dxfId="67" priority="72" stopIfTrue="1" operator="greaterThan">
      <formula>E22</formula>
    </cfRule>
    <cfRule type="cellIs" dxfId="66" priority="73" stopIfTrue="1" operator="equal">
      <formula>0</formula>
    </cfRule>
  </conditionalFormatting>
  <conditionalFormatting sqref="F27:F29 H27:H29 J27:J29 L27:L29">
    <cfRule type="cellIs" dxfId="65" priority="69" stopIfTrue="1" operator="greaterThan">
      <formula>E27</formula>
    </cfRule>
    <cfRule type="cellIs" dxfId="64" priority="70" stopIfTrue="1" operator="equal">
      <formula>0</formula>
    </cfRule>
  </conditionalFormatting>
  <conditionalFormatting sqref="F31:F34 H31:H34 J31:J34 L31:L34">
    <cfRule type="cellIs" dxfId="63" priority="66" stopIfTrue="1" operator="greaterThan">
      <formula>E31</formula>
    </cfRule>
    <cfRule type="cellIs" dxfId="62" priority="67" stopIfTrue="1" operator="equal">
      <formula>0</formula>
    </cfRule>
  </conditionalFormatting>
  <conditionalFormatting sqref="F38:F39 H38:H39 J38:J39 L38:L39">
    <cfRule type="cellIs" dxfId="61" priority="63" stopIfTrue="1" operator="greaterThan">
      <formula>E38</formula>
    </cfRule>
    <cfRule type="cellIs" dxfId="60" priority="64" stopIfTrue="1" operator="equal">
      <formula>0</formula>
    </cfRule>
  </conditionalFormatting>
  <conditionalFormatting sqref="F42 H42 J42 L42">
    <cfRule type="cellIs" dxfId="59" priority="60" stopIfTrue="1" operator="greaterThan">
      <formula>E42</formula>
    </cfRule>
    <cfRule type="cellIs" dxfId="58" priority="61" stopIfTrue="1" operator="equal">
      <formula>0</formula>
    </cfRule>
  </conditionalFormatting>
  <conditionalFormatting sqref="F44:F46 H44:H46 J44:J46 L44:L46">
    <cfRule type="cellIs" dxfId="57" priority="57" stopIfTrue="1" operator="greaterThan">
      <formula>E44</formula>
    </cfRule>
    <cfRule type="cellIs" dxfId="56" priority="58" stopIfTrue="1" operator="equal">
      <formula>0</formula>
    </cfRule>
  </conditionalFormatting>
  <conditionalFormatting sqref="F47:F51 H47:H51 J47:J51 L47:L51">
    <cfRule type="cellIs" dxfId="55" priority="54" stopIfTrue="1" operator="greaterThan">
      <formula>E47</formula>
    </cfRule>
    <cfRule type="cellIs" dxfId="54" priority="55" stopIfTrue="1" operator="equal">
      <formula>0</formula>
    </cfRule>
  </conditionalFormatting>
  <conditionalFormatting sqref="F52:F55 H52:H55 J52:J55 L52:L55">
    <cfRule type="cellIs" dxfId="53" priority="51" stopIfTrue="1" operator="greaterThan">
      <formula>E52</formula>
    </cfRule>
    <cfRule type="cellIs" dxfId="52" priority="52" stopIfTrue="1" operator="equal">
      <formula>0</formula>
    </cfRule>
  </conditionalFormatting>
  <conditionalFormatting sqref="F57:F58 H57:H58 J57:J58 L57:L58">
    <cfRule type="cellIs" dxfId="51" priority="48" stopIfTrue="1" operator="greaterThan">
      <formula>E57</formula>
    </cfRule>
    <cfRule type="cellIs" dxfId="50" priority="49" stopIfTrue="1" operator="equal">
      <formula>0</formula>
    </cfRule>
  </conditionalFormatting>
  <conditionalFormatting sqref="F60:F62 H60:H62 J60:J62 L60:L62">
    <cfRule type="cellIs" dxfId="49" priority="45" stopIfTrue="1" operator="greaterThan">
      <formula>E60</formula>
    </cfRule>
    <cfRule type="cellIs" dxfId="48" priority="46" stopIfTrue="1" operator="equal">
      <formula>0</formula>
    </cfRule>
  </conditionalFormatting>
  <conditionalFormatting sqref="F64:F73 H64:H73 J64:J73 L64:L73">
    <cfRule type="cellIs" dxfId="47" priority="42" stopIfTrue="1" operator="greaterThan">
      <formula>E64</formula>
    </cfRule>
    <cfRule type="cellIs" dxfId="46" priority="43" stopIfTrue="1" operator="equal">
      <formula>0</formula>
    </cfRule>
  </conditionalFormatting>
  <conditionalFormatting sqref="F74 H74 J74 L74">
    <cfRule type="cellIs" dxfId="45" priority="39" stopIfTrue="1" operator="greaterThan">
      <formula>E74</formula>
    </cfRule>
    <cfRule type="cellIs" dxfId="44" priority="40" stopIfTrue="1" operator="equal">
      <formula>0</formula>
    </cfRule>
  </conditionalFormatting>
  <conditionalFormatting sqref="E21 G21 I21 K21 M21">
    <cfRule type="cellIs" dxfId="43" priority="38" stopIfTrue="1" operator="equal">
      <formula>0</formula>
    </cfRule>
  </conditionalFormatting>
  <conditionalFormatting sqref="O21">
    <cfRule type="cellIs" dxfId="42" priority="37" stopIfTrue="1" operator="equal">
      <formula>0</formula>
    </cfRule>
  </conditionalFormatting>
  <conditionalFormatting sqref="N21">
    <cfRule type="cellIs" dxfId="41" priority="35" stopIfTrue="1" operator="greaterThan">
      <formula>M21</formula>
    </cfRule>
    <cfRule type="cellIs" dxfId="40" priority="36" stopIfTrue="1" operator="equal">
      <formula>0</formula>
    </cfRule>
  </conditionalFormatting>
  <conditionalFormatting sqref="P21">
    <cfRule type="cellIs" dxfId="39" priority="33" stopIfTrue="1" operator="greaterThan">
      <formula>O21</formula>
    </cfRule>
    <cfRule type="cellIs" dxfId="38" priority="34" stopIfTrue="1" operator="equal">
      <formula>0</formula>
    </cfRule>
  </conditionalFormatting>
  <conditionalFormatting sqref="N21">
    <cfRule type="cellIs" dxfId="37" priority="31" stopIfTrue="1" operator="greaterThan">
      <formula>M21</formula>
    </cfRule>
    <cfRule type="cellIs" dxfId="36" priority="32" stopIfTrue="1" operator="equal">
      <formula>0</formula>
    </cfRule>
  </conditionalFormatting>
  <conditionalFormatting sqref="P21">
    <cfRule type="cellIs" dxfId="35" priority="29" stopIfTrue="1" operator="greaterThan">
      <formula>O21</formula>
    </cfRule>
    <cfRule type="cellIs" dxfId="34" priority="30" stopIfTrue="1" operator="equal">
      <formula>0</formula>
    </cfRule>
  </conditionalFormatting>
  <conditionalFormatting sqref="H21 J21 L21 F21">
    <cfRule type="cellIs" dxfId="33" priority="27" stopIfTrue="1" operator="greaterThan">
      <formula>E21</formula>
    </cfRule>
    <cfRule type="cellIs" dxfId="32" priority="28" stopIfTrue="1" operator="equal">
      <formula>0</formula>
    </cfRule>
  </conditionalFormatting>
  <conditionalFormatting sqref="F21 H21 J21 L21">
    <cfRule type="cellIs" dxfId="31" priority="25" stopIfTrue="1" operator="greaterThan">
      <formula>E21</formula>
    </cfRule>
    <cfRule type="cellIs" dxfId="30" priority="26" stopIfTrue="1" operator="equal">
      <formula>0</formula>
    </cfRule>
  </conditionalFormatting>
  <conditionalFormatting sqref="M37 E37 G37 I37 K37">
    <cfRule type="cellIs" dxfId="29" priority="24" stopIfTrue="1" operator="equal">
      <formula>0</formula>
    </cfRule>
  </conditionalFormatting>
  <conditionalFormatting sqref="O37">
    <cfRule type="cellIs" dxfId="28" priority="23" stopIfTrue="1" operator="equal">
      <formula>0</formula>
    </cfRule>
  </conditionalFormatting>
  <conditionalFormatting sqref="N37">
    <cfRule type="cellIs" dxfId="27" priority="21" stopIfTrue="1" operator="greaterThan">
      <formula>M37</formula>
    </cfRule>
    <cfRule type="cellIs" dxfId="26" priority="22" stopIfTrue="1" operator="equal">
      <formula>0</formula>
    </cfRule>
  </conditionalFormatting>
  <conditionalFormatting sqref="P37">
    <cfRule type="cellIs" dxfId="25" priority="19" stopIfTrue="1" operator="greaterThan">
      <formula>O37</formula>
    </cfRule>
    <cfRule type="cellIs" dxfId="24" priority="20" stopIfTrue="1" operator="equal">
      <formula>0</formula>
    </cfRule>
  </conditionalFormatting>
  <conditionalFormatting sqref="F37 H37 J37 L37">
    <cfRule type="cellIs" dxfId="23" priority="17" stopIfTrue="1" operator="greaterThan">
      <formula>E37</formula>
    </cfRule>
    <cfRule type="cellIs" dxfId="22" priority="18" stopIfTrue="1" operator="equal">
      <formula>0</formula>
    </cfRule>
  </conditionalFormatting>
  <conditionalFormatting sqref="M36 E36 G36 I36 K36">
    <cfRule type="cellIs" dxfId="21" priority="16" stopIfTrue="1" operator="equal">
      <formula>0</formula>
    </cfRule>
  </conditionalFormatting>
  <conditionalFormatting sqref="O36">
    <cfRule type="cellIs" dxfId="20" priority="15" stopIfTrue="1" operator="equal">
      <formula>0</formula>
    </cfRule>
  </conditionalFormatting>
  <conditionalFormatting sqref="N36">
    <cfRule type="cellIs" dxfId="19" priority="13" stopIfTrue="1" operator="greaterThan">
      <formula>M36</formula>
    </cfRule>
    <cfRule type="cellIs" dxfId="18" priority="14" stopIfTrue="1" operator="equal">
      <formula>0</formula>
    </cfRule>
  </conditionalFormatting>
  <conditionalFormatting sqref="P36">
    <cfRule type="cellIs" dxfId="17" priority="11" stopIfTrue="1" operator="greaterThan">
      <formula>O36</formula>
    </cfRule>
    <cfRule type="cellIs" dxfId="16" priority="12" stopIfTrue="1" operator="equal">
      <formula>0</formula>
    </cfRule>
  </conditionalFormatting>
  <conditionalFormatting sqref="F36 H36 J36 L36">
    <cfRule type="cellIs" dxfId="15" priority="9" stopIfTrue="1" operator="greaterThan">
      <formula>E36</formula>
    </cfRule>
    <cfRule type="cellIs" dxfId="14" priority="10" stopIfTrue="1" operator="equal">
      <formula>0</formula>
    </cfRule>
  </conditionalFormatting>
  <conditionalFormatting sqref="M41 E41 G41 I41 K41">
    <cfRule type="cellIs" dxfId="13" priority="8" stopIfTrue="1" operator="equal">
      <formula>0</formula>
    </cfRule>
  </conditionalFormatting>
  <conditionalFormatting sqref="O41">
    <cfRule type="cellIs" dxfId="12" priority="7" stopIfTrue="1" operator="equal">
      <formula>0</formula>
    </cfRule>
  </conditionalFormatting>
  <conditionalFormatting sqref="N41">
    <cfRule type="cellIs" dxfId="11" priority="5" stopIfTrue="1" operator="greaterThan">
      <formula>M41</formula>
    </cfRule>
    <cfRule type="cellIs" dxfId="10" priority="6" stopIfTrue="1" operator="equal">
      <formula>0</formula>
    </cfRule>
  </conditionalFormatting>
  <conditionalFormatting sqref="P41">
    <cfRule type="cellIs" dxfId="9" priority="3" stopIfTrue="1" operator="greaterThan">
      <formula>O41</formula>
    </cfRule>
    <cfRule type="cellIs" dxfId="8" priority="4" stopIfTrue="1" operator="equal">
      <formula>0</formula>
    </cfRule>
  </conditionalFormatting>
  <conditionalFormatting sqref="F41 H41 J41 L41">
    <cfRule type="cellIs" dxfId="7" priority="1" stopIfTrue="1" operator="greaterThan">
      <formula>E41</formula>
    </cfRule>
    <cfRule type="cellIs" dxfId="6" priority="2" stopIfTrue="1" operator="equal">
      <formula>0</formula>
    </cfRule>
  </conditionalFormatting>
  <dataValidations count="12">
    <dataValidation type="whole" operator="greaterThanOrEqual" allowBlank="1" showInputMessage="1" showErrorMessage="1" errorTitle="مدير المتوسطة" error="ضع المعلومة في الخانة المناسبة" sqref="E11:N11">
      <formula1>0</formula1>
    </dataValidation>
    <dataValidation type="whole" operator="greaterThanOrEqual" allowBlank="1" showInputMessage="1" showErrorMessage="1" errorTitle="موظفين بالإدارة متابعة التربوية" error="ضع المعلومات المناسبة  وفق السن المطلوب" sqref="E13:N17">
      <formula1>0</formula1>
    </dataValidation>
    <dataValidation type="whole" operator="greaterThanOrEqual" allowBlank="1" showInputMessage="1" showErrorMessage="1" errorTitle="موظفو المصالح الإقتصادية" error="ضع المعلومات المناسبة  وفق السن المطلوب" sqref="E21:N25 E18:N19">
      <formula1>0</formula1>
    </dataValidation>
    <dataValidation type="whole" operator="greaterThanOrEqual" allowBlank="1" showInputMessage="1" showErrorMessage="1" errorTitle="الموظفين العاملين بالإدارة" error="ضع المعلومات المناسبة  وفق السن المطلوب" sqref="E27:N29">
      <formula1>0</formula1>
    </dataValidation>
    <dataValidation type="whole" operator="greaterThanOrEqual" allowBlank="1" showInputMessage="1" showErrorMessage="1" errorTitle="موظفو المخابر" error="ضع المعلومات المناسبة  وفق السن المطلوب" sqref="E31:N34">
      <formula1>0</formula1>
    </dataValidation>
    <dataValidation type="whole" operator="greaterThanOrEqual" allowBlank="1" showInputMessage="1" showErrorMessage="1" errorTitle="موظفو الصحة" error="ضع المعلومات المناسبة  وفق السن المطلوب" sqref="E36:N39">
      <formula1>0</formula1>
    </dataValidation>
    <dataValidation type="whole" operator="greaterThanOrEqual" allowBlank="1" showInputMessage="1" showErrorMessage="1" errorTitle="موظفو الثوثيق" error="ضع المعلومات المناسبة  وفق السن المطلوب" sqref="E41:N42">
      <formula1>0</formula1>
    </dataValidation>
    <dataValidation type="whole" operator="greaterThanOrEqual" allowBlank="1" showInputMessage="1" showErrorMessage="1" errorTitle="الموظفين المهنيين" error="ضع المعلومات المناسبة  وفق السن المطلوب" sqref="E44:N55">
      <formula1>0</formula1>
    </dataValidation>
    <dataValidation type="whole" operator="greaterThanOrEqual" allowBlank="1" showInputMessage="1" showErrorMessage="1" errorTitle="أعوان الوقاية و الأمن" error="ضع المعلومات المناسبة  وفق السن المطلوب" sqref="E57:N58">
      <formula1>0</formula1>
    </dataValidation>
    <dataValidation type="whole" operator="greaterThanOrEqual" allowBlank="1" showInputMessage="1" showErrorMessage="1" errorTitle="سائقو السيارات" error="ضع المعلومات المناسبة  وفق السن المطلوب" sqref="E60:N62">
      <formula1>0</formula1>
    </dataValidation>
    <dataValidation type="whole" operator="greaterThanOrEqual" allowBlank="1" showInputMessage="1" showErrorMessage="1" errorTitle="العمال المهنيين" error="ضع المعلومات المناسبة  وفق السن المطلوب" sqref="E64:N73">
      <formula1>0</formula1>
    </dataValidation>
    <dataValidation type="whole" operator="greaterThanOrEqual" allowBlank="1" showInputMessage="1" showErrorMessage="1" sqref="O64:P74 O21:P25 O60:P62 O11:P11 O27:P29 O31:P34 O36:P39 O41:P42 O44:P55 O57:P58 O13:P19">
      <formula1>0</formula1>
    </dataValidation>
  </dataValidations>
  <printOptions horizontalCentered="1" verticalCentered="1"/>
  <pageMargins left="0.19685039370078741" right="0.19685039370078741" top="0.19685039370078741" bottom="0.19685039370078741" header="0" footer="0.31496062992125984"/>
  <pageSetup paperSize="9" orientation="portrait" r:id="rId1"/>
  <headerFooter>
    <oddFooter xml:space="preserve">&amp;R&amp;"-,Gras"&amp;8&amp;K00-033Echamil V.08   &amp;F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2">
    <tabColor rgb="FFFF0000"/>
  </sheetPr>
  <dimension ref="A1:IU53"/>
  <sheetViews>
    <sheetView showGridLines="0" rightToLeft="1" zoomScale="120" zoomScaleNormal="120" workbookViewId="0">
      <selection activeCell="AD16" sqref="AD16"/>
    </sheetView>
  </sheetViews>
  <sheetFormatPr baseColWidth="10" defaultColWidth="0" defaultRowHeight="0" customHeight="1" zeroHeight="1"/>
  <cols>
    <col min="1" max="1" width="1" style="1068" customWidth="1"/>
    <col min="2" max="3" width="4.88671875" style="1068" customWidth="1"/>
    <col min="4" max="4" width="5.6640625" style="1068" customWidth="1"/>
    <col min="5" max="5" width="0.88671875" style="1068" customWidth="1"/>
    <col min="6" max="6" width="9" style="1068" customWidth="1"/>
    <col min="7" max="9" width="4.88671875" style="1068" customWidth="1"/>
    <col min="10" max="10" width="4.6640625" style="1068" customWidth="1"/>
    <col min="11" max="11" width="4.88671875" style="1068" customWidth="1"/>
    <col min="12" max="12" width="4.6640625" style="1068" customWidth="1"/>
    <col min="13" max="13" width="9" style="1068" customWidth="1"/>
    <col min="14" max="17" width="4.88671875" style="1068" customWidth="1"/>
    <col min="18" max="18" width="4.6640625" style="1068" customWidth="1"/>
    <col min="19" max="19" width="4.88671875" style="1068" customWidth="1"/>
    <col min="20" max="20" width="9" style="1068" customWidth="1"/>
    <col min="21" max="21" width="4.6640625" style="1068" customWidth="1"/>
    <col min="22" max="22" width="5.109375" style="1068" customWidth="1"/>
    <col min="23" max="23" width="4.6640625" style="1068" customWidth="1"/>
    <col min="24" max="24" width="5.109375" style="1068" customWidth="1"/>
    <col min="25" max="25" width="4.6640625" style="1068" customWidth="1"/>
    <col min="26" max="26" width="5.44140625" style="1068" customWidth="1"/>
    <col min="27" max="27" width="1" style="1068" customWidth="1"/>
    <col min="28" max="28" width="0.88671875" style="1068" customWidth="1"/>
    <col min="29" max="29" width="1.88671875" style="1068" customWidth="1"/>
    <col min="30" max="30" width="3.6640625" style="1068" customWidth="1"/>
    <col min="31" max="31" width="20.6640625" style="1068" customWidth="1"/>
    <col min="32" max="64" width="5.6640625" style="1068" customWidth="1"/>
    <col min="65" max="65" width="2.6640625" style="1068" customWidth="1"/>
    <col min="66" max="66" width="3.6640625" style="1068" customWidth="1"/>
    <col min="67" max="67" width="20.6640625" style="1068" customWidth="1"/>
    <col min="68" max="82" width="5.6640625" style="1068" customWidth="1"/>
    <col min="83" max="83" width="2.6640625" style="1068" customWidth="1"/>
    <col min="84" max="84" width="3.6640625" style="1068" customWidth="1"/>
    <col min="85" max="85" width="20.6640625" style="1068" customWidth="1"/>
    <col min="86" max="91" width="5.88671875" style="1068" customWidth="1"/>
    <col min="92" max="94" width="5.6640625" style="1068" customWidth="1"/>
    <col min="95" max="95" width="4.33203125" style="1068" customWidth="1"/>
    <col min="96" max="96" width="11.44140625" style="1068" hidden="1" customWidth="1"/>
    <col min="97" max="97" width="2.6640625" style="1068" hidden="1" customWidth="1"/>
    <col min="98" max="98" width="12.44140625" style="1068" hidden="1" customWidth="1"/>
    <col min="99" max="107" width="7.6640625" style="1068" hidden="1" customWidth="1"/>
    <col min="108" max="108" width="12.33203125" style="1068" hidden="1" customWidth="1"/>
    <col min="109" max="111" width="2.6640625" style="1068" hidden="1" customWidth="1"/>
    <col min="112" max="112" width="12.44140625" style="1068" hidden="1" customWidth="1"/>
    <col min="113" max="118" width="10.6640625" style="1068" hidden="1" customWidth="1"/>
    <col min="119" max="119" width="12.33203125" style="1068" hidden="1" customWidth="1"/>
    <col min="120" max="122" width="2.6640625" style="1068" hidden="1" customWidth="1"/>
    <col min="123" max="123" width="12.44140625" style="1068" hidden="1" customWidth="1"/>
    <col min="124" max="129" width="10.6640625" style="1068" hidden="1" customWidth="1"/>
    <col min="130" max="130" width="12.33203125" style="1068" hidden="1" customWidth="1"/>
    <col min="131" max="133" width="2.6640625" style="1068" hidden="1" customWidth="1"/>
    <col min="134" max="134" width="12.44140625" style="1068" hidden="1" customWidth="1"/>
    <col min="135" max="140" width="10.6640625" style="1068" hidden="1" customWidth="1"/>
    <col min="141" max="141" width="12.33203125" style="1068" hidden="1" customWidth="1"/>
    <col min="142" max="143" width="2.6640625" style="1068" hidden="1" customWidth="1"/>
    <col min="144" max="255" width="11.44140625" style="1068" hidden="1" customWidth="1"/>
    <col min="256" max="16384" width="0" style="1068" hidden="1"/>
  </cols>
  <sheetData>
    <row r="1" spans="1:95" ht="1.5" customHeight="1">
      <c r="A1" s="740"/>
      <c r="B1" s="740"/>
      <c r="C1" s="740"/>
      <c r="D1" s="740"/>
      <c r="E1" s="740"/>
      <c r="F1" s="740"/>
      <c r="G1" s="740"/>
      <c r="H1" s="740"/>
      <c r="I1" s="740"/>
      <c r="J1" s="740"/>
      <c r="K1" s="740"/>
      <c r="L1" s="740"/>
      <c r="M1" s="740"/>
      <c r="N1" s="740"/>
      <c r="O1" s="740"/>
      <c r="P1" s="740"/>
      <c r="Q1" s="740"/>
      <c r="R1" s="740"/>
      <c r="S1" s="740"/>
      <c r="T1" s="740"/>
      <c r="U1" s="740"/>
      <c r="V1" s="740"/>
      <c r="W1" s="740"/>
      <c r="X1" s="740"/>
      <c r="Y1" s="740"/>
      <c r="Z1" s="740"/>
      <c r="AA1" s="740"/>
      <c r="AB1" s="1285"/>
      <c r="AC1" s="1285"/>
      <c r="AD1" s="1285"/>
      <c r="AE1" s="1285"/>
      <c r="AF1" s="1285"/>
      <c r="AG1" s="1285"/>
      <c r="AH1" s="1285"/>
      <c r="AI1" s="1285"/>
      <c r="AJ1" s="1285"/>
      <c r="AK1" s="1285"/>
      <c r="AL1" s="1285"/>
      <c r="AM1" s="1285"/>
      <c r="AN1" s="1285"/>
      <c r="AO1" s="1285"/>
      <c r="AP1" s="1285"/>
      <c r="AQ1" s="1285"/>
      <c r="AR1" s="1285"/>
      <c r="AS1" s="1285"/>
      <c r="AT1" s="1285"/>
      <c r="AU1" s="1285"/>
      <c r="AV1" s="1285"/>
      <c r="AW1" s="1285"/>
      <c r="AX1" s="1285"/>
      <c r="AY1" s="1285"/>
      <c r="AZ1" s="1285"/>
      <c r="BA1" s="1285"/>
      <c r="BB1" s="1285"/>
      <c r="BC1" s="1285"/>
      <c r="BD1" s="1285"/>
      <c r="BE1" s="1285"/>
      <c r="BF1" s="1285"/>
      <c r="BG1" s="1285"/>
      <c r="BH1" s="1285"/>
      <c r="BI1" s="1285"/>
      <c r="BJ1" s="1285"/>
      <c r="BK1" s="1285"/>
      <c r="BL1" s="1285"/>
      <c r="BM1" s="1285"/>
      <c r="BN1" s="1285"/>
      <c r="BO1" s="1285"/>
      <c r="BP1" s="1285"/>
      <c r="BQ1" s="1285"/>
      <c r="BR1" s="1285"/>
      <c r="BS1" s="1285"/>
      <c r="BT1" s="1285"/>
      <c r="BU1" s="1285"/>
      <c r="BV1" s="1285"/>
      <c r="BW1" s="1285"/>
      <c r="BX1" s="1285"/>
      <c r="BY1" s="1285"/>
      <c r="BZ1" s="1285"/>
      <c r="CA1" s="1285"/>
      <c r="CB1" s="1285"/>
      <c r="CC1" s="1285"/>
      <c r="CD1" s="1285"/>
      <c r="CE1" s="1285"/>
      <c r="CF1" s="1285"/>
      <c r="CG1" s="1285"/>
      <c r="CH1" s="1285"/>
      <c r="CI1" s="1285"/>
      <c r="CJ1" s="1285"/>
      <c r="CK1" s="1285"/>
      <c r="CL1" s="1285"/>
      <c r="CM1" s="1285"/>
      <c r="CN1" s="1285"/>
      <c r="CO1" s="1285"/>
      <c r="CP1" s="1285"/>
      <c r="CQ1" s="1285"/>
    </row>
    <row r="2" spans="1:95" ht="14.25" customHeight="1">
      <c r="A2" s="740"/>
      <c r="B2" s="740"/>
      <c r="C2" s="740"/>
      <c r="D2" s="740"/>
      <c r="E2" s="740"/>
      <c r="F2" s="740"/>
      <c r="G2" s="740"/>
      <c r="H2" s="740"/>
      <c r="I2" s="740"/>
      <c r="J2" s="740"/>
      <c r="K2" s="740"/>
      <c r="L2" s="740"/>
      <c r="M2" s="740"/>
      <c r="N2" s="740"/>
      <c r="O2" s="740"/>
      <c r="P2" s="740"/>
      <c r="Q2" s="740"/>
      <c r="R2" s="740"/>
      <c r="S2" s="740"/>
      <c r="T2" s="740"/>
      <c r="U2" s="2124"/>
      <c r="V2" s="2124"/>
      <c r="W2" s="2124"/>
      <c r="X2" s="2124"/>
      <c r="Y2" s="2124"/>
      <c r="Z2" s="740"/>
      <c r="AA2" s="740"/>
      <c r="AB2" s="1410"/>
      <c r="AC2" s="1410"/>
      <c r="AD2" s="1410"/>
      <c r="AE2" s="1410"/>
      <c r="AF2" s="1410"/>
      <c r="AG2" s="1410"/>
      <c r="AH2" s="1410"/>
      <c r="AI2" s="1410"/>
      <c r="AJ2" s="1410"/>
      <c r="AK2" s="1410"/>
      <c r="AL2" s="1410"/>
      <c r="AM2" s="1410"/>
      <c r="AN2" s="1410"/>
      <c r="AO2" s="1410"/>
      <c r="AP2" s="1410"/>
      <c r="AQ2" s="1410"/>
      <c r="AR2" s="1410"/>
      <c r="AS2" s="1410"/>
      <c r="AT2" s="1410"/>
      <c r="AU2" s="1410"/>
      <c r="AV2" s="1410"/>
      <c r="AW2" s="1410"/>
      <c r="AX2" s="1410"/>
      <c r="AY2" s="1410"/>
      <c r="AZ2" s="1410"/>
      <c r="BA2" s="1410"/>
      <c r="BB2" s="1410"/>
      <c r="BC2" s="1410"/>
      <c r="BD2" s="1410"/>
      <c r="BE2" s="1410"/>
      <c r="BF2" s="1410"/>
      <c r="BG2" s="1410"/>
      <c r="BH2" s="1410"/>
      <c r="BI2" s="1410"/>
      <c r="BJ2" s="1410"/>
      <c r="BK2" s="1410"/>
      <c r="BL2" s="1410"/>
      <c r="BM2" s="1410"/>
      <c r="BN2" s="1410"/>
      <c r="BO2" s="1410"/>
      <c r="BP2" s="1410"/>
      <c r="BQ2" s="1410"/>
      <c r="BR2" s="1410"/>
      <c r="BS2" s="1410"/>
      <c r="BT2" s="1410"/>
      <c r="BU2" s="1410"/>
      <c r="BV2" s="1410"/>
      <c r="BW2" s="1410"/>
      <c r="BX2" s="1410"/>
      <c r="BY2" s="1410"/>
      <c r="BZ2" s="1410"/>
      <c r="CA2" s="1410"/>
      <c r="CB2" s="1410"/>
      <c r="CC2" s="1410"/>
      <c r="CD2" s="1410"/>
      <c r="CE2" s="1410"/>
      <c r="CF2" s="1410"/>
      <c r="CG2" s="1410"/>
      <c r="CH2" s="1410"/>
      <c r="CI2" s="1410"/>
      <c r="CJ2" s="1410"/>
      <c r="CK2" s="1410"/>
      <c r="CL2" s="1410"/>
      <c r="CM2" s="1410"/>
      <c r="CN2" s="1410"/>
      <c r="CO2" s="1410"/>
      <c r="CP2" s="1410"/>
      <c r="CQ2" s="1410"/>
    </row>
    <row r="3" spans="1:95" ht="21.75" customHeight="1">
      <c r="A3" s="740"/>
      <c r="B3" s="1218"/>
      <c r="C3" s="1218"/>
      <c r="D3" s="1218"/>
      <c r="E3" s="1218"/>
      <c r="F3" s="4795" t="s">
        <v>770</v>
      </c>
      <c r="G3" s="4795"/>
      <c r="H3" s="4795"/>
      <c r="I3" s="4795"/>
      <c r="J3" s="4795"/>
      <c r="K3" s="4795"/>
      <c r="L3" s="4795"/>
      <c r="M3" s="4795"/>
      <c r="N3" s="4795"/>
      <c r="O3" s="4795"/>
      <c r="P3" s="4795"/>
      <c r="Q3" s="4795"/>
      <c r="R3" s="4795"/>
      <c r="S3" s="4795"/>
      <c r="T3" s="3747">
        <f>'الصفحة 1'!$AF$1-1</f>
        <v>2021</v>
      </c>
      <c r="U3" s="5113">
        <f>T3+1</f>
        <v>2022</v>
      </c>
      <c r="V3" s="5113"/>
      <c r="W3" s="1220"/>
      <c r="X3" s="1220"/>
      <c r="Y3" s="1220"/>
      <c r="Z3" s="1220"/>
      <c r="AA3" s="1083"/>
      <c r="AB3" s="1411"/>
      <c r="AC3" s="1410"/>
      <c r="AD3" s="1410"/>
      <c r="AE3" s="1410"/>
      <c r="AF3" s="1410"/>
      <c r="AG3" s="1410"/>
      <c r="AH3" s="1410"/>
      <c r="AI3" s="1410"/>
      <c r="AJ3" s="1410"/>
      <c r="AK3" s="1410"/>
      <c r="AL3" s="1410"/>
      <c r="AM3" s="1410"/>
      <c r="AN3" s="1410"/>
      <c r="AO3" s="1410"/>
      <c r="AP3" s="1410"/>
      <c r="AQ3" s="1410"/>
      <c r="AR3" s="1410"/>
      <c r="AS3" s="1410"/>
      <c r="AT3" s="1410"/>
      <c r="AU3" s="1410"/>
      <c r="AV3" s="1410"/>
      <c r="AW3" s="1410"/>
      <c r="AX3" s="1410"/>
      <c r="AY3" s="1410"/>
      <c r="AZ3" s="1410"/>
      <c r="BA3" s="1410"/>
      <c r="BB3" s="1410"/>
      <c r="BC3" s="1410"/>
      <c r="BD3" s="1410"/>
      <c r="BE3" s="1410"/>
      <c r="BF3" s="1410"/>
      <c r="BG3" s="1410"/>
      <c r="BH3" s="1410"/>
      <c r="BI3" s="1410"/>
      <c r="BJ3" s="1410"/>
      <c r="BK3" s="1410"/>
      <c r="BL3" s="1410"/>
      <c r="BM3" s="1410"/>
      <c r="BN3" s="1410"/>
      <c r="BO3" s="1410"/>
      <c r="BP3" s="1410"/>
      <c r="BQ3" s="1410"/>
      <c r="BR3" s="1410"/>
      <c r="BS3" s="1410"/>
      <c r="BT3" s="1410"/>
      <c r="BU3" s="1410"/>
      <c r="BV3" s="1410"/>
      <c r="BW3" s="1410"/>
      <c r="BX3" s="1410"/>
      <c r="BY3" s="1410"/>
      <c r="BZ3" s="1410"/>
      <c r="CA3" s="1410"/>
      <c r="CB3" s="1410"/>
      <c r="CC3" s="1410"/>
      <c r="CD3" s="1410"/>
      <c r="CE3" s="1410"/>
      <c r="CF3" s="1410"/>
      <c r="CG3" s="1410"/>
      <c r="CH3" s="1410"/>
      <c r="CI3" s="1410"/>
      <c r="CJ3" s="1410"/>
      <c r="CK3" s="1410"/>
      <c r="CL3" s="1410"/>
      <c r="CM3" s="1410"/>
      <c r="CN3" s="1410"/>
      <c r="CO3" s="1410"/>
      <c r="CP3" s="1410"/>
      <c r="CQ3" s="1410"/>
    </row>
    <row r="4" spans="1:95" ht="15.75" customHeight="1">
      <c r="A4" s="740"/>
      <c r="B4" s="4806" t="s">
        <v>769</v>
      </c>
      <c r="C4" s="4806"/>
      <c r="D4" s="4806"/>
      <c r="E4" s="4807" t="str">
        <f>'الصفحة 1'!$E$16</f>
        <v>بلحاتم رابح</v>
      </c>
      <c r="F4" s="4808"/>
      <c r="G4" s="4808"/>
      <c r="H4" s="4809"/>
      <c r="I4" s="1221"/>
      <c r="J4" s="1219">
        <f>K4+1</f>
        <v>2022</v>
      </c>
      <c r="K4" s="1219">
        <f>$T$3</f>
        <v>2021</v>
      </c>
      <c r="L4" s="4796" t="s">
        <v>768</v>
      </c>
      <c r="M4" s="4796"/>
      <c r="N4" s="4796"/>
      <c r="O4" s="4796"/>
      <c r="P4" s="4796"/>
      <c r="Q4" s="4796"/>
      <c r="R4" s="4796"/>
      <c r="S4" s="4796"/>
      <c r="T4" s="4796"/>
      <c r="U4" s="4796"/>
      <c r="V4" s="4796"/>
      <c r="W4" s="4796"/>
      <c r="X4" s="4796"/>
      <c r="Y4" s="4796"/>
      <c r="Z4" s="4796"/>
      <c r="AA4" s="1082"/>
      <c r="AB4" s="1412"/>
      <c r="AC4" s="1410"/>
      <c r="AD4" s="1410"/>
      <c r="AE4" s="1410"/>
      <c r="AF4" s="1410"/>
      <c r="AG4" s="1410"/>
      <c r="AH4" s="1410"/>
      <c r="AI4" s="1410"/>
      <c r="AJ4" s="1410"/>
      <c r="AK4" s="1410"/>
      <c r="AL4" s="1410"/>
      <c r="AM4" s="1410"/>
      <c r="AN4" s="1410"/>
      <c r="AO4" s="1410"/>
      <c r="AP4" s="1410"/>
      <c r="AQ4" s="1410"/>
      <c r="AR4" s="1410"/>
      <c r="AS4" s="1410"/>
      <c r="AT4" s="1410"/>
      <c r="AU4" s="1410"/>
      <c r="AV4" s="1410"/>
      <c r="AW4" s="1410"/>
      <c r="AX4" s="1410"/>
      <c r="AY4" s="1410"/>
      <c r="AZ4" s="1410"/>
      <c r="BA4" s="1410"/>
      <c r="BB4" s="1410"/>
      <c r="BC4" s="1410"/>
      <c r="BD4" s="1410"/>
      <c r="BE4" s="1410"/>
      <c r="BF4" s="1410"/>
      <c r="BG4" s="1410"/>
      <c r="BH4" s="1410"/>
      <c r="BI4" s="1410"/>
      <c r="BJ4" s="1410"/>
      <c r="BK4" s="1410"/>
      <c r="BL4" s="1410"/>
      <c r="BM4" s="1410"/>
      <c r="BN4" s="1410"/>
      <c r="BO4" s="1410"/>
      <c r="BP4" s="1410"/>
      <c r="BQ4" s="1410"/>
      <c r="BR4" s="1410"/>
      <c r="BS4" s="1410"/>
      <c r="BT4" s="1410"/>
      <c r="BU4" s="1410"/>
      <c r="BV4" s="1410"/>
      <c r="BW4" s="1410"/>
      <c r="BX4" s="1410"/>
      <c r="BY4" s="1410"/>
      <c r="BZ4" s="1410"/>
      <c r="CA4" s="1410"/>
      <c r="CB4" s="1410"/>
      <c r="CC4" s="1410"/>
      <c r="CD4" s="1410"/>
      <c r="CE4" s="1410"/>
      <c r="CF4" s="1410"/>
      <c r="CG4" s="1410"/>
      <c r="CH4" s="1410"/>
      <c r="CI4" s="1410"/>
      <c r="CJ4" s="1410"/>
      <c r="CK4" s="1410"/>
      <c r="CL4" s="1410"/>
      <c r="CM4" s="1410"/>
      <c r="CN4" s="1410"/>
      <c r="CO4" s="1410"/>
      <c r="CP4" s="1410"/>
      <c r="CQ4" s="1410"/>
    </row>
    <row r="5" spans="1:95" ht="4.5" customHeight="1" thickBot="1">
      <c r="A5" s="740"/>
      <c r="B5" s="1218"/>
      <c r="C5" s="1218"/>
      <c r="D5" s="1218"/>
      <c r="E5" s="1218"/>
      <c r="F5" s="1222"/>
      <c r="G5" s="1222"/>
      <c r="H5" s="1222"/>
      <c r="I5" s="1222"/>
      <c r="J5" s="1222"/>
      <c r="K5" s="1222"/>
      <c r="L5" s="1222"/>
      <c r="M5" s="1222"/>
      <c r="N5" s="1222"/>
      <c r="O5" s="1222"/>
      <c r="P5" s="1222"/>
      <c r="Q5" s="1222"/>
      <c r="R5" s="1222"/>
      <c r="S5" s="1222"/>
      <c r="T5" s="1222"/>
      <c r="U5" s="1222"/>
      <c r="V5" s="1222"/>
      <c r="W5" s="1222"/>
      <c r="X5" s="1222"/>
      <c r="Y5" s="1222"/>
      <c r="Z5" s="1222"/>
      <c r="AA5" s="740"/>
      <c r="AB5" s="1410"/>
      <c r="AC5" s="1410"/>
      <c r="AD5" s="1410"/>
      <c r="AE5" s="1410"/>
      <c r="AF5" s="1410"/>
      <c r="AG5" s="1410"/>
      <c r="AH5" s="1410"/>
      <c r="AI5" s="1410"/>
      <c r="AJ5" s="1410"/>
      <c r="AK5" s="1410"/>
      <c r="AL5" s="1410"/>
      <c r="AM5" s="1410"/>
      <c r="AN5" s="1410"/>
      <c r="AO5" s="1410"/>
      <c r="AP5" s="1410"/>
      <c r="AQ5" s="1410"/>
      <c r="AR5" s="1410"/>
      <c r="AS5" s="1410"/>
      <c r="AT5" s="1410"/>
      <c r="AU5" s="1410"/>
      <c r="AV5" s="1410"/>
      <c r="AW5" s="1410"/>
      <c r="AX5" s="1410"/>
      <c r="AY5" s="1410"/>
      <c r="AZ5" s="1410"/>
      <c r="BA5" s="1410"/>
      <c r="BB5" s="1410"/>
      <c r="BC5" s="1410"/>
      <c r="BD5" s="1410"/>
      <c r="BE5" s="1410"/>
      <c r="BF5" s="1410"/>
      <c r="BG5" s="1410"/>
      <c r="BH5" s="1410"/>
      <c r="BI5" s="1410"/>
      <c r="BJ5" s="1410"/>
      <c r="BK5" s="1410"/>
      <c r="BL5" s="1410"/>
      <c r="BM5" s="1410"/>
      <c r="BN5" s="1410"/>
      <c r="BO5" s="1410"/>
      <c r="BP5" s="1410"/>
      <c r="BQ5" s="1410"/>
      <c r="BR5" s="1410"/>
      <c r="BS5" s="1410"/>
      <c r="BT5" s="1410"/>
      <c r="BU5" s="1410"/>
      <c r="BV5" s="1410"/>
      <c r="BW5" s="1410"/>
      <c r="BX5" s="1410"/>
      <c r="BY5" s="1410"/>
      <c r="BZ5" s="1410"/>
      <c r="CA5" s="1410"/>
      <c r="CB5" s="1410"/>
      <c r="CC5" s="1410"/>
      <c r="CD5" s="1410"/>
      <c r="CE5" s="1410"/>
      <c r="CF5" s="1410"/>
      <c r="CG5" s="1410"/>
      <c r="CH5" s="1410"/>
      <c r="CI5" s="1410"/>
      <c r="CJ5" s="1410"/>
      <c r="CK5" s="1410"/>
      <c r="CL5" s="1410"/>
      <c r="CM5" s="1410"/>
      <c r="CN5" s="1410"/>
      <c r="CO5" s="1410"/>
      <c r="CP5" s="1410"/>
      <c r="CQ5" s="1410"/>
    </row>
    <row r="6" spans="1:95" ht="15.9" customHeight="1" thickTop="1">
      <c r="A6" s="740"/>
      <c r="B6" s="4797" t="s">
        <v>767</v>
      </c>
      <c r="C6" s="4798"/>
      <c r="D6" s="4799"/>
      <c r="E6" s="1223"/>
      <c r="F6" s="4800" t="s">
        <v>1345</v>
      </c>
      <c r="G6" s="4801"/>
      <c r="H6" s="4801"/>
      <c r="I6" s="4801"/>
      <c r="J6" s="4801"/>
      <c r="K6" s="4801"/>
      <c r="L6" s="4802"/>
      <c r="M6" s="4803" t="s">
        <v>1344</v>
      </c>
      <c r="N6" s="4801"/>
      <c r="O6" s="4801"/>
      <c r="P6" s="4801"/>
      <c r="Q6" s="4801"/>
      <c r="R6" s="4801"/>
      <c r="S6" s="4802"/>
      <c r="T6" s="4804" t="s">
        <v>1343</v>
      </c>
      <c r="U6" s="4801"/>
      <c r="V6" s="4801"/>
      <c r="W6" s="4801"/>
      <c r="X6" s="4801"/>
      <c r="Y6" s="4801"/>
      <c r="Z6" s="4805"/>
      <c r="AA6" s="740"/>
      <c r="AB6" s="1410"/>
      <c r="AC6" s="1410"/>
      <c r="AD6" s="1410"/>
      <c r="AE6" s="1410"/>
      <c r="AF6" s="1410"/>
      <c r="AG6" s="1410"/>
      <c r="AH6" s="1410"/>
      <c r="AI6" s="1410"/>
      <c r="AJ6" s="1410"/>
      <c r="AK6" s="1410"/>
      <c r="AL6" s="1410"/>
      <c r="AM6" s="1410"/>
      <c r="AN6" s="1410"/>
      <c r="AO6" s="1410"/>
      <c r="AP6" s="1410"/>
      <c r="AQ6" s="1410"/>
      <c r="AR6" s="1410"/>
      <c r="AS6" s="1410"/>
      <c r="AT6" s="1410"/>
      <c r="AU6" s="1410"/>
      <c r="AV6" s="1410"/>
      <c r="AW6" s="1410"/>
      <c r="AX6" s="1410"/>
      <c r="AY6" s="1410"/>
      <c r="AZ6" s="1410"/>
      <c r="BA6" s="1410"/>
      <c r="BB6" s="1410"/>
      <c r="BC6" s="1410"/>
      <c r="BD6" s="1410"/>
      <c r="BE6" s="1410"/>
      <c r="BF6" s="1410"/>
      <c r="BG6" s="1410"/>
      <c r="BH6" s="1410"/>
      <c r="BI6" s="1410"/>
      <c r="BJ6" s="1410"/>
      <c r="BK6" s="1410"/>
      <c r="BL6" s="1410"/>
      <c r="BM6" s="1410"/>
      <c r="BN6" s="1410"/>
      <c r="BO6" s="1410"/>
      <c r="BP6" s="1410"/>
      <c r="BQ6" s="1410"/>
      <c r="BR6" s="1410"/>
      <c r="BS6" s="1410"/>
      <c r="BT6" s="1410"/>
      <c r="BU6" s="1410"/>
      <c r="BV6" s="1410"/>
      <c r="BW6" s="1410"/>
      <c r="BX6" s="1410"/>
      <c r="BY6" s="1410"/>
      <c r="BZ6" s="1410"/>
      <c r="CA6" s="1410"/>
      <c r="CB6" s="1410"/>
      <c r="CC6" s="1410"/>
      <c r="CD6" s="1410"/>
      <c r="CE6" s="1410"/>
      <c r="CF6" s="1410"/>
      <c r="CG6" s="1410"/>
      <c r="CH6" s="1410"/>
      <c r="CI6" s="1410"/>
      <c r="CJ6" s="1410"/>
      <c r="CK6" s="1410"/>
      <c r="CL6" s="1410"/>
      <c r="CM6" s="1410"/>
      <c r="CN6" s="1410"/>
      <c r="CO6" s="1410"/>
      <c r="CP6" s="1410"/>
      <c r="CQ6" s="1410"/>
    </row>
    <row r="7" spans="1:95" ht="15.9" customHeight="1">
      <c r="A7" s="740"/>
      <c r="B7" s="4774" t="s">
        <v>766</v>
      </c>
      <c r="C7" s="4775"/>
      <c r="D7" s="4776"/>
      <c r="E7" s="1223"/>
      <c r="F7" s="4777" t="s">
        <v>766</v>
      </c>
      <c r="G7" s="4778"/>
      <c r="H7" s="1224">
        <f>$K$4+1</f>
        <v>2022</v>
      </c>
      <c r="I7" s="1224">
        <f>H7+1</f>
        <v>2023</v>
      </c>
      <c r="J7" s="4784"/>
      <c r="K7" s="4784"/>
      <c r="L7" s="4785"/>
      <c r="M7" s="4786" t="s">
        <v>766</v>
      </c>
      <c r="N7" s="4778"/>
      <c r="O7" s="1224">
        <f>$K$4+1</f>
        <v>2022</v>
      </c>
      <c r="P7" s="1224">
        <f>O7+1</f>
        <v>2023</v>
      </c>
      <c r="Q7" s="4779"/>
      <c r="R7" s="4779"/>
      <c r="S7" s="4783"/>
      <c r="T7" s="4775" t="s">
        <v>766</v>
      </c>
      <c r="U7" s="4775"/>
      <c r="V7" s="1224">
        <f>$K$4+1</f>
        <v>2022</v>
      </c>
      <c r="W7" s="1224">
        <f>V7+1</f>
        <v>2023</v>
      </c>
      <c r="X7" s="4779"/>
      <c r="Y7" s="4779"/>
      <c r="Z7" s="4780"/>
      <c r="AA7" s="740"/>
      <c r="AB7" s="1410"/>
      <c r="AC7" s="1410"/>
      <c r="AD7" s="1410"/>
      <c r="AE7" s="1410"/>
      <c r="AF7" s="1410"/>
      <c r="AG7" s="1410"/>
      <c r="AH7" s="1410"/>
      <c r="AI7" s="1410"/>
      <c r="AJ7" s="1410"/>
      <c r="AK7" s="1410"/>
      <c r="AL7" s="1410"/>
      <c r="AM7" s="1410"/>
      <c r="AN7" s="1410"/>
      <c r="AO7" s="1410"/>
      <c r="AP7" s="1410"/>
      <c r="AQ7" s="1410"/>
      <c r="AR7" s="1410"/>
      <c r="AS7" s="1410"/>
      <c r="AT7" s="1410"/>
      <c r="AU7" s="1410"/>
      <c r="AV7" s="1410"/>
      <c r="AW7" s="1410"/>
      <c r="AX7" s="1410"/>
      <c r="AY7" s="1410"/>
      <c r="AZ7" s="1410"/>
      <c r="BA7" s="1410"/>
      <c r="BB7" s="1410"/>
      <c r="BC7" s="1410"/>
      <c r="BD7" s="1410"/>
      <c r="BE7" s="1410"/>
      <c r="BF7" s="1410"/>
      <c r="BG7" s="1410"/>
      <c r="BH7" s="1410"/>
      <c r="BI7" s="1410"/>
      <c r="BJ7" s="1410"/>
      <c r="BK7" s="1410"/>
      <c r="BL7" s="1410"/>
      <c r="BM7" s="1410"/>
      <c r="BN7" s="1410"/>
      <c r="BO7" s="1410"/>
      <c r="BP7" s="1410"/>
      <c r="BQ7" s="1410"/>
      <c r="BR7" s="1410"/>
      <c r="BS7" s="1410"/>
      <c r="BT7" s="1410"/>
      <c r="BU7" s="1410"/>
      <c r="BV7" s="1410"/>
      <c r="BW7" s="1410"/>
      <c r="BX7" s="1410"/>
      <c r="BY7" s="1410"/>
      <c r="BZ7" s="1410"/>
      <c r="CA7" s="1410"/>
      <c r="CB7" s="1410"/>
      <c r="CC7" s="1410"/>
      <c r="CD7" s="1410"/>
      <c r="CE7" s="1410"/>
      <c r="CF7" s="1410"/>
      <c r="CG7" s="1410"/>
      <c r="CH7" s="1410"/>
      <c r="CI7" s="1410"/>
      <c r="CJ7" s="1410"/>
      <c r="CK7" s="1410"/>
      <c r="CL7" s="1410"/>
      <c r="CM7" s="1410"/>
      <c r="CN7" s="1410"/>
      <c r="CO7" s="1410"/>
      <c r="CP7" s="1410"/>
      <c r="CQ7" s="1410"/>
    </row>
    <row r="8" spans="1:95" ht="15.9" customHeight="1">
      <c r="A8" s="740"/>
      <c r="B8" s="1225"/>
      <c r="C8" s="1224">
        <f>$K$4</f>
        <v>2021</v>
      </c>
      <c r="D8" s="1226">
        <f>C8+1</f>
        <v>2022</v>
      </c>
      <c r="E8" s="1223"/>
      <c r="F8" s="4774" t="s">
        <v>765</v>
      </c>
      <c r="G8" s="4775"/>
      <c r="H8" s="4775"/>
      <c r="I8" s="4775"/>
      <c r="J8" s="4775"/>
      <c r="K8" s="4775"/>
      <c r="L8" s="4781"/>
      <c r="M8" s="4782" t="s">
        <v>764</v>
      </c>
      <c r="N8" s="4775"/>
      <c r="O8" s="4775"/>
      <c r="P8" s="4775"/>
      <c r="Q8" s="4775"/>
      <c r="R8" s="4775"/>
      <c r="S8" s="4781"/>
      <c r="T8" s="4775" t="s">
        <v>763</v>
      </c>
      <c r="U8" s="4775"/>
      <c r="V8" s="4775"/>
      <c r="W8" s="4775"/>
      <c r="X8" s="4775"/>
      <c r="Y8" s="4775"/>
      <c r="Z8" s="4776"/>
      <c r="AA8" s="740"/>
      <c r="AB8" s="1410"/>
      <c r="AC8" s="1410"/>
      <c r="AD8" s="1410"/>
      <c r="AE8" s="1410"/>
      <c r="AF8" s="1410"/>
      <c r="AG8" s="1410"/>
      <c r="AH8" s="1410"/>
      <c r="AI8" s="1410"/>
      <c r="AJ8" s="1410"/>
      <c r="AK8" s="1410"/>
      <c r="AL8" s="1410"/>
      <c r="AM8" s="1410"/>
      <c r="AN8" s="1410"/>
      <c r="AO8" s="1410"/>
      <c r="AP8" s="1410"/>
      <c r="AQ8" s="1410"/>
      <c r="AR8" s="1410"/>
      <c r="AS8" s="1410"/>
      <c r="AT8" s="1410"/>
      <c r="AU8" s="1410"/>
      <c r="AV8" s="1410"/>
      <c r="AW8" s="1410"/>
      <c r="AX8" s="1410"/>
      <c r="AY8" s="1410"/>
      <c r="AZ8" s="1410"/>
      <c r="BA8" s="1410"/>
      <c r="BB8" s="1410"/>
      <c r="BC8" s="1410"/>
      <c r="BD8" s="1410"/>
      <c r="BE8" s="1410"/>
      <c r="BF8" s="1410"/>
      <c r="BG8" s="1410"/>
      <c r="BH8" s="1410"/>
      <c r="BI8" s="1410"/>
      <c r="BJ8" s="1410"/>
      <c r="BK8" s="1410"/>
      <c r="BL8" s="1410"/>
      <c r="BM8" s="1410"/>
      <c r="BN8" s="1410"/>
      <c r="BO8" s="1410"/>
      <c r="BP8" s="1410"/>
      <c r="BQ8" s="1410"/>
      <c r="BR8" s="1410"/>
      <c r="BS8" s="1410"/>
      <c r="BT8" s="1410"/>
      <c r="BU8" s="1410"/>
      <c r="BV8" s="1410"/>
      <c r="BW8" s="1410"/>
      <c r="BX8" s="1410"/>
      <c r="BY8" s="1410"/>
      <c r="BZ8" s="1410"/>
      <c r="CA8" s="1410"/>
      <c r="CB8" s="1410"/>
      <c r="CC8" s="1410"/>
      <c r="CD8" s="1410"/>
      <c r="CE8" s="1410"/>
      <c r="CF8" s="1410"/>
      <c r="CG8" s="1410"/>
      <c r="CH8" s="1410"/>
      <c r="CI8" s="1410"/>
      <c r="CJ8" s="1410"/>
      <c r="CK8" s="1410"/>
      <c r="CL8" s="1410"/>
      <c r="CM8" s="1410"/>
      <c r="CN8" s="1410"/>
      <c r="CO8" s="1410"/>
      <c r="CP8" s="1410"/>
      <c r="CQ8" s="1410"/>
    </row>
    <row r="9" spans="1:95" ht="2.25" customHeight="1" thickBot="1">
      <c r="A9" s="740"/>
      <c r="B9" s="1227"/>
      <c r="C9" s="1228"/>
      <c r="D9" s="1229"/>
      <c r="E9" s="1223"/>
      <c r="F9" s="1227"/>
      <c r="G9" s="1228"/>
      <c r="H9" s="1228"/>
      <c r="I9" s="1228"/>
      <c r="J9" s="1228"/>
      <c r="K9" s="1228"/>
      <c r="L9" s="1230"/>
      <c r="M9" s="1231"/>
      <c r="N9" s="1228"/>
      <c r="O9" s="1228"/>
      <c r="P9" s="1228"/>
      <c r="Q9" s="1228"/>
      <c r="R9" s="1228"/>
      <c r="S9" s="1230"/>
      <c r="T9" s="1228"/>
      <c r="U9" s="1228"/>
      <c r="V9" s="1228"/>
      <c r="W9" s="1228"/>
      <c r="X9" s="1228"/>
      <c r="Y9" s="1228"/>
      <c r="Z9" s="1229"/>
      <c r="AA9" s="740"/>
      <c r="AB9" s="1410"/>
      <c r="AC9" s="1410"/>
      <c r="AD9" s="1410"/>
      <c r="AE9" s="1410"/>
      <c r="AF9" s="1410"/>
      <c r="AG9" s="1410"/>
      <c r="AH9" s="1410"/>
      <c r="AI9" s="1410"/>
      <c r="AJ9" s="1410"/>
      <c r="AK9" s="1410"/>
      <c r="AL9" s="1410"/>
      <c r="AM9" s="1410"/>
      <c r="AN9" s="1410"/>
      <c r="AO9" s="1410"/>
      <c r="AP9" s="1410"/>
      <c r="AQ9" s="1410"/>
      <c r="AR9" s="1410"/>
      <c r="AS9" s="1410"/>
      <c r="AT9" s="1410"/>
      <c r="AU9" s="1410"/>
      <c r="AV9" s="1410"/>
      <c r="AW9" s="1410"/>
      <c r="AX9" s="1410"/>
      <c r="AY9" s="1410"/>
      <c r="AZ9" s="1410"/>
      <c r="BA9" s="1410"/>
      <c r="BB9" s="1410"/>
      <c r="BC9" s="1410"/>
      <c r="BD9" s="1410"/>
      <c r="BE9" s="1410"/>
      <c r="BF9" s="1410"/>
      <c r="BG9" s="1410"/>
      <c r="BH9" s="1410"/>
      <c r="BI9" s="1410"/>
      <c r="BJ9" s="1410"/>
      <c r="BK9" s="1410"/>
      <c r="BL9" s="1410"/>
      <c r="BM9" s="1410"/>
      <c r="BN9" s="1410"/>
      <c r="BO9" s="1410"/>
      <c r="BP9" s="1410"/>
      <c r="BQ9" s="1410"/>
      <c r="BR9" s="1410"/>
      <c r="BS9" s="1410"/>
      <c r="BT9" s="1410"/>
      <c r="BU9" s="1410"/>
      <c r="BV9" s="1410"/>
      <c r="BW9" s="1410"/>
      <c r="BX9" s="1410"/>
      <c r="BY9" s="1410"/>
      <c r="BZ9" s="1410"/>
      <c r="CA9" s="1410"/>
      <c r="CB9" s="1410"/>
      <c r="CC9" s="1410"/>
      <c r="CD9" s="1410"/>
      <c r="CE9" s="1410"/>
      <c r="CF9" s="1410"/>
      <c r="CG9" s="1410"/>
      <c r="CH9" s="1410"/>
      <c r="CI9" s="1410"/>
      <c r="CJ9" s="1410"/>
      <c r="CK9" s="1410"/>
      <c r="CL9" s="1410"/>
      <c r="CM9" s="1410"/>
      <c r="CN9" s="1410"/>
      <c r="CO9" s="1410"/>
      <c r="CP9" s="1410"/>
      <c r="CQ9" s="1410"/>
    </row>
    <row r="10" spans="1:95" ht="15.9" customHeight="1">
      <c r="A10" s="740"/>
      <c r="B10" s="4816" t="s">
        <v>143</v>
      </c>
      <c r="C10" s="4817"/>
      <c r="D10" s="4818"/>
      <c r="E10" s="1223"/>
      <c r="F10" s="4819" t="s">
        <v>562</v>
      </c>
      <c r="G10" s="4822" t="s">
        <v>762</v>
      </c>
      <c r="H10" s="4823"/>
      <c r="I10" s="4824" t="s">
        <v>761</v>
      </c>
      <c r="J10" s="4825"/>
      <c r="K10" s="4787" t="s">
        <v>28</v>
      </c>
      <c r="L10" s="4788"/>
      <c r="M10" s="4826" t="s">
        <v>562</v>
      </c>
      <c r="N10" s="4829" t="s">
        <v>762</v>
      </c>
      <c r="O10" s="4823"/>
      <c r="P10" s="4824" t="s">
        <v>761</v>
      </c>
      <c r="Q10" s="4825"/>
      <c r="R10" s="4787" t="s">
        <v>28</v>
      </c>
      <c r="S10" s="4788"/>
      <c r="T10" s="4826" t="s">
        <v>562</v>
      </c>
      <c r="U10" s="4829" t="s">
        <v>762</v>
      </c>
      <c r="V10" s="4823"/>
      <c r="W10" s="4824" t="s">
        <v>761</v>
      </c>
      <c r="X10" s="4825"/>
      <c r="Y10" s="4787" t="s">
        <v>28</v>
      </c>
      <c r="Z10" s="5128"/>
      <c r="AA10" s="740"/>
      <c r="AB10" s="1410"/>
      <c r="AC10" s="1410"/>
      <c r="AD10" s="1410"/>
      <c r="AE10" s="1410"/>
      <c r="AF10" s="1410"/>
      <c r="AG10" s="1410"/>
      <c r="AH10" s="1410"/>
      <c r="AI10" s="1410"/>
      <c r="AJ10" s="1410"/>
      <c r="AK10" s="1410"/>
      <c r="AL10" s="1410"/>
      <c r="AM10" s="1410"/>
      <c r="AN10" s="1410"/>
      <c r="AO10" s="1410"/>
      <c r="AP10" s="1410"/>
      <c r="AQ10" s="1410"/>
      <c r="AR10" s="1410"/>
      <c r="AS10" s="1410"/>
      <c r="AT10" s="1410"/>
      <c r="AU10" s="1410"/>
      <c r="AV10" s="1410"/>
      <c r="AW10" s="1410"/>
      <c r="AX10" s="1410"/>
      <c r="AY10" s="1410"/>
      <c r="AZ10" s="1410"/>
      <c r="BA10" s="1410"/>
      <c r="BB10" s="1410"/>
      <c r="BC10" s="1410"/>
      <c r="BD10" s="1410"/>
      <c r="BE10" s="1410"/>
      <c r="BF10" s="1410"/>
      <c r="BG10" s="1410"/>
      <c r="BH10" s="1410"/>
      <c r="BI10" s="1410"/>
      <c r="BJ10" s="1410"/>
      <c r="BK10" s="1410"/>
      <c r="BL10" s="1410"/>
      <c r="BM10" s="1410"/>
      <c r="BN10" s="1410"/>
      <c r="BO10" s="1410"/>
      <c r="BP10" s="1410"/>
      <c r="BQ10" s="1410"/>
      <c r="BR10" s="1410"/>
      <c r="BS10" s="1410"/>
      <c r="BT10" s="1410"/>
      <c r="BU10" s="1410"/>
      <c r="BV10" s="1410"/>
      <c r="BW10" s="1410"/>
      <c r="BX10" s="1410"/>
      <c r="BY10" s="1410"/>
      <c r="BZ10" s="1410"/>
      <c r="CA10" s="1410"/>
      <c r="CB10" s="1410"/>
      <c r="CC10" s="1410"/>
      <c r="CD10" s="1410"/>
      <c r="CE10" s="1410"/>
      <c r="CF10" s="1410"/>
      <c r="CG10" s="1410"/>
      <c r="CH10" s="1410"/>
      <c r="CI10" s="1410"/>
      <c r="CJ10" s="1410"/>
      <c r="CK10" s="1410"/>
      <c r="CL10" s="1410"/>
      <c r="CM10" s="1410"/>
      <c r="CN10" s="1410"/>
      <c r="CO10" s="1410"/>
      <c r="CP10" s="1410"/>
      <c r="CQ10" s="1410"/>
    </row>
    <row r="11" spans="1:95" ht="15.9" customHeight="1">
      <c r="A11" s="740"/>
      <c r="B11" s="4846" t="s">
        <v>762</v>
      </c>
      <c r="C11" s="4848" t="s">
        <v>761</v>
      </c>
      <c r="D11" s="4850" t="s">
        <v>28</v>
      </c>
      <c r="E11" s="1223"/>
      <c r="F11" s="4820"/>
      <c r="G11" s="4852" t="s">
        <v>760</v>
      </c>
      <c r="H11" s="4840" t="s">
        <v>759</v>
      </c>
      <c r="I11" s="4842" t="s">
        <v>760</v>
      </c>
      <c r="J11" s="4838" t="s">
        <v>759</v>
      </c>
      <c r="K11" s="4793" t="s">
        <v>760</v>
      </c>
      <c r="L11" s="4812" t="s">
        <v>759</v>
      </c>
      <c r="M11" s="4827"/>
      <c r="N11" s="4814" t="s">
        <v>760</v>
      </c>
      <c r="O11" s="4840" t="s">
        <v>759</v>
      </c>
      <c r="P11" s="4842" t="s">
        <v>760</v>
      </c>
      <c r="Q11" s="4838" t="s">
        <v>759</v>
      </c>
      <c r="R11" s="4793" t="s">
        <v>760</v>
      </c>
      <c r="S11" s="4812" t="s">
        <v>759</v>
      </c>
      <c r="T11" s="4827"/>
      <c r="U11" s="4814" t="s">
        <v>760</v>
      </c>
      <c r="V11" s="4840" t="s">
        <v>759</v>
      </c>
      <c r="W11" s="4842" t="s">
        <v>760</v>
      </c>
      <c r="X11" s="4838" t="s">
        <v>759</v>
      </c>
      <c r="Y11" s="4793" t="s">
        <v>760</v>
      </c>
      <c r="Z11" s="4810" t="s">
        <v>759</v>
      </c>
      <c r="AA11" s="740"/>
      <c r="AB11" s="1410"/>
      <c r="AC11" s="1410"/>
      <c r="AD11" s="1410"/>
      <c r="AE11" s="1410"/>
      <c r="AF11" s="1410"/>
      <c r="AG11" s="1410"/>
      <c r="AH11" s="1410"/>
      <c r="AI11" s="1410"/>
      <c r="AJ11" s="1410"/>
      <c r="AK11" s="1410"/>
      <c r="AL11" s="1410"/>
      <c r="AM11" s="1410"/>
      <c r="AN11" s="1410"/>
      <c r="AO11" s="1410"/>
      <c r="AP11" s="1410"/>
      <c r="AQ11" s="1410"/>
      <c r="AR11" s="1410"/>
      <c r="AS11" s="1410"/>
      <c r="AT11" s="1410"/>
      <c r="AU11" s="1410"/>
      <c r="AV11" s="1410"/>
      <c r="AW11" s="1410"/>
      <c r="AX11" s="1410"/>
      <c r="AY11" s="1410"/>
      <c r="AZ11" s="1410"/>
      <c r="BA11" s="1410"/>
      <c r="BB11" s="1410"/>
      <c r="BC11" s="1410"/>
      <c r="BD11" s="1410"/>
      <c r="BE11" s="1410"/>
      <c r="BF11" s="1410"/>
      <c r="BG11" s="1410"/>
      <c r="BH11" s="1410"/>
      <c r="BI11" s="1410"/>
      <c r="BJ11" s="1410"/>
      <c r="BK11" s="1410"/>
      <c r="BL11" s="1410"/>
      <c r="BM11" s="1410"/>
      <c r="BN11" s="1410"/>
      <c r="BO11" s="1410"/>
      <c r="BP11" s="1410"/>
      <c r="BQ11" s="1410"/>
      <c r="BR11" s="1410"/>
      <c r="BS11" s="1410"/>
      <c r="BT11" s="1410"/>
      <c r="BU11" s="1410"/>
      <c r="BV11" s="1410"/>
      <c r="BW11" s="1410"/>
      <c r="BX11" s="1410"/>
      <c r="BY11" s="1410"/>
      <c r="BZ11" s="1410"/>
      <c r="CA11" s="1410"/>
      <c r="CB11" s="1410"/>
      <c r="CC11" s="1410"/>
      <c r="CD11" s="1410"/>
      <c r="CE11" s="1410"/>
      <c r="CF11" s="1410"/>
      <c r="CG11" s="1410"/>
      <c r="CH11" s="1410"/>
      <c r="CI11" s="1410"/>
      <c r="CJ11" s="1410"/>
      <c r="CK11" s="1410"/>
      <c r="CL11" s="1410"/>
      <c r="CM11" s="1410"/>
      <c r="CN11" s="1410"/>
      <c r="CO11" s="1410"/>
      <c r="CP11" s="1410"/>
      <c r="CQ11" s="1410"/>
    </row>
    <row r="12" spans="1:95" ht="15.9" customHeight="1" thickBot="1">
      <c r="A12" s="740"/>
      <c r="B12" s="4847"/>
      <c r="C12" s="4849"/>
      <c r="D12" s="4851"/>
      <c r="E12" s="1223"/>
      <c r="F12" s="4821"/>
      <c r="G12" s="4853"/>
      <c r="H12" s="4841"/>
      <c r="I12" s="4843"/>
      <c r="J12" s="4839"/>
      <c r="K12" s="4794"/>
      <c r="L12" s="4813"/>
      <c r="M12" s="4828"/>
      <c r="N12" s="4815"/>
      <c r="O12" s="4841"/>
      <c r="P12" s="4843"/>
      <c r="Q12" s="4839"/>
      <c r="R12" s="4794"/>
      <c r="S12" s="4813"/>
      <c r="T12" s="4828"/>
      <c r="U12" s="4815"/>
      <c r="V12" s="4841"/>
      <c r="W12" s="4843"/>
      <c r="X12" s="4839"/>
      <c r="Y12" s="4794"/>
      <c r="Z12" s="4811"/>
      <c r="AA12" s="740"/>
      <c r="AB12" s="1410"/>
      <c r="AC12" s="1410"/>
      <c r="AD12" s="1410"/>
      <c r="AE12" s="1410"/>
      <c r="AF12" s="1410"/>
      <c r="AG12" s="1410"/>
      <c r="AH12" s="1410"/>
      <c r="AI12" s="1410"/>
      <c r="AJ12" s="1410"/>
      <c r="AK12" s="1410"/>
      <c r="AL12" s="1410"/>
      <c r="AM12" s="1410"/>
      <c r="AN12" s="1410"/>
      <c r="AO12" s="1410"/>
      <c r="AP12" s="1410"/>
      <c r="AQ12" s="1410"/>
      <c r="AR12" s="1410"/>
      <c r="AS12" s="1410"/>
      <c r="AT12" s="1410"/>
      <c r="AU12" s="1410"/>
      <c r="AV12" s="1410"/>
      <c r="AW12" s="1410"/>
      <c r="AX12" s="1410"/>
      <c r="AY12" s="1410"/>
      <c r="AZ12" s="1410"/>
      <c r="BA12" s="1410"/>
      <c r="BB12" s="1410"/>
      <c r="BC12" s="1410"/>
      <c r="BD12" s="1410"/>
      <c r="BE12" s="1410"/>
      <c r="BF12" s="1410"/>
      <c r="BG12" s="1410"/>
      <c r="BH12" s="1410"/>
      <c r="BI12" s="1410"/>
      <c r="BJ12" s="1410"/>
      <c r="BK12" s="1410"/>
      <c r="BL12" s="1410"/>
      <c r="BM12" s="1410"/>
      <c r="BN12" s="1410"/>
      <c r="BO12" s="1410"/>
      <c r="BP12" s="1410"/>
      <c r="BQ12" s="1410"/>
      <c r="BR12" s="1410"/>
      <c r="BS12" s="1410"/>
      <c r="BT12" s="1410"/>
      <c r="BU12" s="1410"/>
      <c r="BV12" s="1410"/>
      <c r="BW12" s="1410"/>
      <c r="BX12" s="1410"/>
      <c r="BY12" s="1410"/>
      <c r="BZ12" s="1410"/>
      <c r="CA12" s="1410"/>
      <c r="CB12" s="1410"/>
      <c r="CC12" s="1410"/>
      <c r="CD12" s="1410"/>
      <c r="CE12" s="1410"/>
      <c r="CF12" s="1410"/>
      <c r="CG12" s="1410"/>
      <c r="CH12" s="1410"/>
      <c r="CI12" s="1410"/>
      <c r="CJ12" s="1410"/>
      <c r="CK12" s="1410"/>
      <c r="CL12" s="1410"/>
      <c r="CM12" s="1410"/>
      <c r="CN12" s="1410"/>
      <c r="CO12" s="1410"/>
      <c r="CP12" s="1410"/>
      <c r="CQ12" s="1410"/>
    </row>
    <row r="13" spans="1:95" ht="15.9" customHeight="1">
      <c r="A13" s="740"/>
      <c r="B13" s="1081">
        <f>$BH$31</f>
        <v>64</v>
      </c>
      <c r="C13" s="1080">
        <f>$BI$31</f>
        <v>78</v>
      </c>
      <c r="D13" s="1079">
        <f>$BG$31</f>
        <v>142</v>
      </c>
      <c r="E13" s="1223"/>
      <c r="F13" s="1232" t="s">
        <v>524</v>
      </c>
      <c r="G13" s="1233">
        <f>($AH$31)-($AI$31)</f>
        <v>81</v>
      </c>
      <c r="H13" s="1234">
        <f>$BK$31</f>
        <v>126.56248022461244</v>
      </c>
      <c r="I13" s="1080">
        <f>($AJ$31)-($AK$31)</f>
        <v>66</v>
      </c>
      <c r="J13" s="1234">
        <f>$BL$31</f>
        <v>84.615373767259769</v>
      </c>
      <c r="K13" s="1235">
        <f>($AF$31)-($AG$31)</f>
        <v>147</v>
      </c>
      <c r="L13" s="1236">
        <f>$BJ$31</f>
        <v>103.52111947034371</v>
      </c>
      <c r="M13" s="1237" t="s">
        <v>524</v>
      </c>
      <c r="N13" s="1238">
        <f>$BQ$31</f>
        <v>6</v>
      </c>
      <c r="O13" s="1239">
        <f>$CC$31</f>
        <v>9.3749985351564789</v>
      </c>
      <c r="P13" s="1238">
        <f>$BR$31</f>
        <v>33</v>
      </c>
      <c r="Q13" s="1239">
        <f>$CD$31</f>
        <v>42.307686883629884</v>
      </c>
      <c r="R13" s="1238">
        <f>$BP$31</f>
        <v>39</v>
      </c>
      <c r="S13" s="1240">
        <f>$CB$31</f>
        <v>27.464786798254448</v>
      </c>
      <c r="T13" s="1237" t="s">
        <v>524</v>
      </c>
      <c r="U13" s="1241">
        <f>B13-(G13+N13)</f>
        <v>-23</v>
      </c>
      <c r="V13" s="1242">
        <f>$CO$31</f>
        <v>-35.937488759768911</v>
      </c>
      <c r="W13" s="1243">
        <f>C13-(I13+P13)</f>
        <v>-21</v>
      </c>
      <c r="X13" s="1244">
        <f>$CP$31</f>
        <v>-26.923070650889656</v>
      </c>
      <c r="Y13" s="1245">
        <f>D13-(K13+R13)</f>
        <v>-44</v>
      </c>
      <c r="Z13" s="1246">
        <f>$CN$31</f>
        <v>-30.985916268598146</v>
      </c>
      <c r="AA13" s="740"/>
      <c r="AB13" s="1410"/>
      <c r="AC13" s="1410"/>
      <c r="AD13" s="1410"/>
      <c r="AE13" s="1410"/>
      <c r="AF13" s="1410"/>
      <c r="AG13" s="1410"/>
      <c r="AH13" s="1410"/>
      <c r="AI13" s="1410"/>
      <c r="AJ13" s="1410"/>
      <c r="AK13" s="1410"/>
      <c r="AL13" s="1410"/>
      <c r="AM13" s="1410"/>
      <c r="AN13" s="1410"/>
      <c r="AO13" s="1410"/>
      <c r="AP13" s="1410"/>
      <c r="AQ13" s="1410"/>
      <c r="AR13" s="1410"/>
      <c r="AS13" s="1410"/>
      <c r="AT13" s="1410"/>
      <c r="AU13" s="1410"/>
      <c r="AV13" s="1410"/>
      <c r="AW13" s="1410"/>
      <c r="AX13" s="1410"/>
      <c r="AY13" s="1410"/>
      <c r="AZ13" s="1410"/>
      <c r="BA13" s="1410"/>
      <c r="BB13" s="1410"/>
      <c r="BC13" s="1410"/>
      <c r="BD13" s="1410"/>
      <c r="BE13" s="1410"/>
      <c r="BF13" s="1410"/>
      <c r="BG13" s="1410"/>
      <c r="BH13" s="1410"/>
      <c r="BI13" s="1410"/>
      <c r="BJ13" s="1410"/>
      <c r="BK13" s="1410"/>
      <c r="BL13" s="1410"/>
      <c r="BM13" s="1410"/>
      <c r="BN13" s="1410"/>
      <c r="BO13" s="1410"/>
      <c r="BP13" s="1410"/>
      <c r="BQ13" s="1410"/>
      <c r="BR13" s="1410"/>
      <c r="BS13" s="1410"/>
      <c r="BT13" s="1410"/>
      <c r="BU13" s="1410"/>
      <c r="BV13" s="1410"/>
      <c r="BW13" s="1410"/>
      <c r="BX13" s="1410"/>
      <c r="BY13" s="1410"/>
      <c r="BZ13" s="1410"/>
      <c r="CA13" s="1410"/>
      <c r="CB13" s="1410"/>
      <c r="CC13" s="1410"/>
      <c r="CD13" s="1410"/>
      <c r="CE13" s="1410"/>
      <c r="CF13" s="1410"/>
      <c r="CG13" s="1410"/>
      <c r="CH13" s="1410"/>
      <c r="CI13" s="1410"/>
      <c r="CJ13" s="1410"/>
      <c r="CK13" s="1410"/>
      <c r="CL13" s="1410"/>
      <c r="CM13" s="1410"/>
      <c r="CN13" s="1410"/>
      <c r="CO13" s="1410"/>
      <c r="CP13" s="1410"/>
      <c r="CQ13" s="1410"/>
    </row>
    <row r="14" spans="1:95" ht="15.9" customHeight="1">
      <c r="A14" s="740"/>
      <c r="B14" s="1078">
        <f>$BH$38</f>
        <v>89</v>
      </c>
      <c r="C14" s="1077">
        <f>$BI$38</f>
        <v>109</v>
      </c>
      <c r="D14" s="1076">
        <f>$BG$38</f>
        <v>198</v>
      </c>
      <c r="E14" s="1223"/>
      <c r="F14" s="1247" t="s">
        <v>474</v>
      </c>
      <c r="G14" s="1248">
        <f>($AH$38)-($AI$38)</f>
        <v>94</v>
      </c>
      <c r="H14" s="1249">
        <f>$BK$38</f>
        <v>105.61796566090274</v>
      </c>
      <c r="I14" s="1077">
        <f>($AJ$38)-($AK$38)</f>
        <v>57</v>
      </c>
      <c r="J14" s="1249">
        <f>$BL$38</f>
        <v>52.293573184075846</v>
      </c>
      <c r="K14" s="1250">
        <f>($AF$38)-($AG$38)</f>
        <v>151</v>
      </c>
      <c r="L14" s="1251">
        <f>$BJ$38</f>
        <v>76.262622410978665</v>
      </c>
      <c r="M14" s="1252" t="s">
        <v>474</v>
      </c>
      <c r="N14" s="1253">
        <f>$BQ$38</f>
        <v>4</v>
      </c>
      <c r="O14" s="1254">
        <f>$CC$38</f>
        <v>4.4943815174852224</v>
      </c>
      <c r="P14" s="1253">
        <f>$BR$38</f>
        <v>22</v>
      </c>
      <c r="Q14" s="1254">
        <f>$CD$38</f>
        <v>20.183484386836295</v>
      </c>
      <c r="R14" s="1253">
        <f>$BP$38</f>
        <v>26</v>
      </c>
      <c r="S14" s="1255">
        <f>$CB$38</f>
        <v>13.131312468115533</v>
      </c>
      <c r="T14" s="1252" t="s">
        <v>474</v>
      </c>
      <c r="U14" s="1256">
        <f>B14-(G14+N14)</f>
        <v>-9</v>
      </c>
      <c r="V14" s="1257">
        <f>$CO$38</f>
        <v>-10.112357178387967</v>
      </c>
      <c r="W14" s="1258">
        <f>C14-(I14+P14)</f>
        <v>30</v>
      </c>
      <c r="X14" s="1259">
        <f>$CP$38</f>
        <v>27.522932429087859</v>
      </c>
      <c r="Y14" s="1260">
        <f>D14-(K14+R14)</f>
        <v>21</v>
      </c>
      <c r="Z14" s="1261">
        <f>$CN$38</f>
        <v>10.606055120905793</v>
      </c>
      <c r="AA14" s="740"/>
      <c r="AB14" s="1410"/>
      <c r="AC14" s="1410"/>
      <c r="AD14" s="1410"/>
      <c r="AE14" s="1410"/>
      <c r="AF14" s="1410"/>
      <c r="AG14" s="1410"/>
      <c r="AH14" s="1410"/>
      <c r="AI14" s="1410"/>
      <c r="AJ14" s="1410"/>
      <c r="AK14" s="1410"/>
      <c r="AL14" s="1410"/>
      <c r="AM14" s="1410"/>
      <c r="AN14" s="1410"/>
      <c r="AO14" s="1410"/>
      <c r="AP14" s="1410"/>
      <c r="AQ14" s="1410"/>
      <c r="AR14" s="1410"/>
      <c r="AS14" s="1410"/>
      <c r="AT14" s="1410"/>
      <c r="AU14" s="1410"/>
      <c r="AV14" s="1410"/>
      <c r="AW14" s="1410"/>
      <c r="AX14" s="1410"/>
      <c r="AY14" s="1410"/>
      <c r="AZ14" s="1410"/>
      <c r="BA14" s="1410"/>
      <c r="BB14" s="1410"/>
      <c r="BC14" s="1410"/>
      <c r="BD14" s="1410"/>
      <c r="BE14" s="1410"/>
      <c r="BF14" s="1410"/>
      <c r="BG14" s="1410"/>
      <c r="BH14" s="1410"/>
      <c r="BI14" s="1410"/>
      <c r="BJ14" s="1410"/>
      <c r="BK14" s="1410"/>
      <c r="BL14" s="1410"/>
      <c r="BM14" s="1410"/>
      <c r="BN14" s="1410"/>
      <c r="BO14" s="1410"/>
      <c r="BP14" s="1410"/>
      <c r="BQ14" s="1410"/>
      <c r="BR14" s="1410"/>
      <c r="BS14" s="1410"/>
      <c r="BT14" s="1410"/>
      <c r="BU14" s="1410"/>
      <c r="BV14" s="1410"/>
      <c r="BW14" s="1410"/>
      <c r="BX14" s="1410"/>
      <c r="BY14" s="1410"/>
      <c r="BZ14" s="1410"/>
      <c r="CA14" s="1410"/>
      <c r="CB14" s="1410"/>
      <c r="CC14" s="1410"/>
      <c r="CD14" s="1410"/>
      <c r="CE14" s="1410"/>
      <c r="CF14" s="1410"/>
      <c r="CG14" s="1410"/>
      <c r="CH14" s="1410"/>
      <c r="CI14" s="1410"/>
      <c r="CJ14" s="1410"/>
      <c r="CK14" s="1410"/>
      <c r="CL14" s="1410"/>
      <c r="CM14" s="1410"/>
      <c r="CN14" s="1410"/>
      <c r="CO14" s="1410"/>
      <c r="CP14" s="1410"/>
      <c r="CQ14" s="1410"/>
    </row>
    <row r="15" spans="1:95" ht="15.9" customHeight="1">
      <c r="A15" s="740"/>
      <c r="B15" s="1078">
        <f>$BH$45</f>
        <v>86</v>
      </c>
      <c r="C15" s="1077">
        <f>$BI$45</f>
        <v>84</v>
      </c>
      <c r="D15" s="1076">
        <f>$BG$45</f>
        <v>170</v>
      </c>
      <c r="E15" s="1223"/>
      <c r="F15" s="1247" t="s">
        <v>473</v>
      </c>
      <c r="G15" s="1248">
        <f>($AH$45)-($AI$45)</f>
        <v>67</v>
      </c>
      <c r="H15" s="1249">
        <f>$BK$45</f>
        <v>77.90696768523631</v>
      </c>
      <c r="I15" s="1077">
        <f>($AJ$45)-($AK$45)</f>
        <v>63</v>
      </c>
      <c r="J15" s="1249">
        <f>$BL$45</f>
        <v>74.999991071429633</v>
      </c>
      <c r="K15" s="1250">
        <f>($AF$45)-($AG$45)</f>
        <v>130</v>
      </c>
      <c r="L15" s="1251">
        <f>$BJ$45</f>
        <v>76.470583737024484</v>
      </c>
      <c r="M15" s="1252" t="s">
        <v>473</v>
      </c>
      <c r="N15" s="1253">
        <f>$BQ$45</f>
        <v>2</v>
      </c>
      <c r="O15" s="1254">
        <f>$CC$45</f>
        <v>2.3255811249324272</v>
      </c>
      <c r="P15" s="1253">
        <f>$BR$45</f>
        <v>11</v>
      </c>
      <c r="Q15" s="1254">
        <f>$CD$45</f>
        <v>13.095236536281366</v>
      </c>
      <c r="R15" s="1253">
        <f>$BP$45</f>
        <v>13</v>
      </c>
      <c r="S15" s="1255">
        <f>$CB$45</f>
        <v>7.647058373702448</v>
      </c>
      <c r="T15" s="1252" t="s">
        <v>473</v>
      </c>
      <c r="U15" s="1256">
        <f>B15-(G15+N15)</f>
        <v>17</v>
      </c>
      <c r="V15" s="1257">
        <f>$CO$45</f>
        <v>19.76744118983126</v>
      </c>
      <c r="W15" s="1258">
        <f>C15-(I15+P15)</f>
        <v>10</v>
      </c>
      <c r="X15" s="1259">
        <f>$CP$45</f>
        <v>11.904762392289001</v>
      </c>
      <c r="Y15" s="1260">
        <f>D15-(K15+R15)</f>
        <v>27</v>
      </c>
      <c r="Z15" s="1261">
        <f>$CN$45</f>
        <v>15.882347889273063</v>
      </c>
      <c r="AA15" s="740"/>
      <c r="AB15" s="1410"/>
      <c r="AC15" s="1410"/>
      <c r="AD15" s="1410"/>
      <c r="AE15" s="1410"/>
      <c r="AF15" s="1410"/>
      <c r="AG15" s="1410"/>
      <c r="AH15" s="1410"/>
      <c r="AI15" s="1410"/>
      <c r="AJ15" s="1410"/>
      <c r="AK15" s="1410"/>
      <c r="AL15" s="1410"/>
      <c r="AM15" s="1410"/>
      <c r="AN15" s="1410"/>
      <c r="AO15" s="1410"/>
      <c r="AP15" s="1410"/>
      <c r="AQ15" s="1410"/>
      <c r="AR15" s="1410"/>
      <c r="AS15" s="1410"/>
      <c r="AT15" s="1410"/>
      <c r="AU15" s="1410"/>
      <c r="AV15" s="1410"/>
      <c r="AW15" s="1410"/>
      <c r="AX15" s="1410"/>
      <c r="AY15" s="1410"/>
      <c r="AZ15" s="1410"/>
      <c r="BA15" s="1410"/>
      <c r="BB15" s="1410"/>
      <c r="BC15" s="1410"/>
      <c r="BD15" s="1410"/>
      <c r="BE15" s="1410"/>
      <c r="BF15" s="1410"/>
      <c r="BG15" s="1410"/>
      <c r="BH15" s="1410"/>
      <c r="BI15" s="1410"/>
      <c r="BJ15" s="1410"/>
      <c r="BK15" s="1410"/>
      <c r="BL15" s="1410"/>
      <c r="BM15" s="1410"/>
      <c r="BN15" s="1410"/>
      <c r="BO15" s="1410"/>
      <c r="BP15" s="1410"/>
      <c r="BQ15" s="1410"/>
      <c r="BR15" s="1410"/>
      <c r="BS15" s="1410"/>
      <c r="BT15" s="1410"/>
      <c r="BU15" s="1410"/>
      <c r="BV15" s="1410"/>
      <c r="BW15" s="1410"/>
      <c r="BX15" s="1410"/>
      <c r="BY15" s="1410"/>
      <c r="BZ15" s="1410"/>
      <c r="CA15" s="1410"/>
      <c r="CB15" s="1410"/>
      <c r="CC15" s="1410"/>
      <c r="CD15" s="1410"/>
      <c r="CE15" s="1410"/>
      <c r="CF15" s="1410"/>
      <c r="CG15" s="1410"/>
      <c r="CH15" s="1410"/>
      <c r="CI15" s="1410"/>
      <c r="CJ15" s="1410"/>
      <c r="CK15" s="1410"/>
      <c r="CL15" s="1410"/>
      <c r="CM15" s="1410"/>
      <c r="CN15" s="1410"/>
      <c r="CO15" s="1410"/>
      <c r="CP15" s="1410"/>
      <c r="CQ15" s="1410"/>
    </row>
    <row r="16" spans="1:95" ht="15.9" customHeight="1">
      <c r="A16" s="740"/>
      <c r="B16" s="1075">
        <f>$BH$52</f>
        <v>107</v>
      </c>
      <c r="C16" s="1074">
        <f>$BI$52</f>
        <v>85</v>
      </c>
      <c r="D16" s="1073">
        <f>$BG$52</f>
        <v>192</v>
      </c>
      <c r="E16" s="1223"/>
      <c r="F16" s="1262" t="s">
        <v>472</v>
      </c>
      <c r="G16" s="1263">
        <f>($AH$52)-($AI$52)</f>
        <v>65</v>
      </c>
      <c r="H16" s="1264">
        <f>$BK$52</f>
        <v>60.747657874050667</v>
      </c>
      <c r="I16" s="1074">
        <f>($AJ$52)-($AK$52)</f>
        <v>41</v>
      </c>
      <c r="J16" s="1264">
        <f>$BL$52</f>
        <v>48.23528844290724</v>
      </c>
      <c r="K16" s="1265">
        <f>($AF$52)-($AG$52)</f>
        <v>106</v>
      </c>
      <c r="L16" s="1266">
        <f>$BJ$52</f>
        <v>55.208330457899457</v>
      </c>
      <c r="M16" s="1267" t="s">
        <v>472</v>
      </c>
      <c r="N16" s="1268">
        <f>$BQ$52</f>
        <v>8</v>
      </c>
      <c r="O16" s="1269">
        <f>$CC$52</f>
        <v>7.476634815267774</v>
      </c>
      <c r="P16" s="1268">
        <f>$BR$52</f>
        <v>25</v>
      </c>
      <c r="Q16" s="1269">
        <f>$CD$52</f>
        <v>29.411761245675144</v>
      </c>
      <c r="R16" s="1268">
        <f>$BP$52</f>
        <v>33</v>
      </c>
      <c r="S16" s="1270">
        <f>$CB$52</f>
        <v>17.187499104817753</v>
      </c>
      <c r="T16" s="1267" t="s">
        <v>472</v>
      </c>
      <c r="U16" s="1271">
        <f>B16-(G16+N16)</f>
        <v>34</v>
      </c>
      <c r="V16" s="1272">
        <f>$CO$52</f>
        <v>31.775697310681551</v>
      </c>
      <c r="W16" s="1273">
        <f>C16-(I16+P16)</f>
        <v>19</v>
      </c>
      <c r="X16" s="1274">
        <f>$CP$52</f>
        <v>22.352940311417612</v>
      </c>
      <c r="Y16" s="1275">
        <f>D16-(K16+R16)</f>
        <v>53</v>
      </c>
      <c r="Z16" s="1276">
        <f>$CN$52</f>
        <v>27.604160437282786</v>
      </c>
      <c r="AA16" s="740"/>
      <c r="AB16" s="1410"/>
      <c r="AC16" s="1410"/>
      <c r="AD16" s="1410"/>
      <c r="AE16" s="1410"/>
      <c r="AF16" s="1410"/>
      <c r="AG16" s="1410"/>
      <c r="AH16" s="1410"/>
      <c r="AI16" s="1410"/>
      <c r="AJ16" s="1410"/>
      <c r="AK16" s="1410"/>
      <c r="AL16" s="1410"/>
      <c r="AM16" s="1410"/>
      <c r="AN16" s="1410"/>
      <c r="AO16" s="1410"/>
      <c r="AP16" s="1410"/>
      <c r="AQ16" s="1410"/>
      <c r="AR16" s="1410"/>
      <c r="AS16" s="1410"/>
      <c r="AT16" s="1410"/>
      <c r="AU16" s="1410"/>
      <c r="AV16" s="1410"/>
      <c r="AW16" s="1410"/>
      <c r="AX16" s="1410"/>
      <c r="AY16" s="1410"/>
      <c r="AZ16" s="1410"/>
      <c r="BA16" s="1410"/>
      <c r="BB16" s="1410"/>
      <c r="BC16" s="1410"/>
      <c r="BD16" s="1410"/>
      <c r="BE16" s="1410"/>
      <c r="BF16" s="1410"/>
      <c r="BG16" s="1410"/>
      <c r="BH16" s="1410"/>
      <c r="BI16" s="1410"/>
      <c r="BJ16" s="1410"/>
      <c r="BK16" s="1410"/>
      <c r="BL16" s="1410"/>
      <c r="BM16" s="1410"/>
      <c r="BN16" s="1410"/>
      <c r="BO16" s="1410"/>
      <c r="BP16" s="1410"/>
      <c r="BQ16" s="1410"/>
      <c r="BR16" s="1410"/>
      <c r="BS16" s="1410"/>
      <c r="BT16" s="1410"/>
      <c r="BU16" s="1410"/>
      <c r="BV16" s="1410"/>
      <c r="BW16" s="1410"/>
      <c r="BX16" s="1410"/>
      <c r="BY16" s="1410"/>
      <c r="BZ16" s="1410"/>
      <c r="CA16" s="1410"/>
      <c r="CB16" s="1410"/>
      <c r="CC16" s="1410"/>
      <c r="CD16" s="1410"/>
      <c r="CE16" s="1410"/>
      <c r="CF16" s="1410"/>
      <c r="CG16" s="1410"/>
      <c r="CH16" s="1410"/>
      <c r="CI16" s="1410"/>
      <c r="CJ16" s="1410"/>
      <c r="CK16" s="1410"/>
      <c r="CL16" s="1410"/>
      <c r="CM16" s="1410"/>
      <c r="CN16" s="1410"/>
      <c r="CO16" s="1410"/>
      <c r="CP16" s="1410"/>
      <c r="CQ16" s="1410"/>
    </row>
    <row r="17" spans="1:95" ht="15.9" customHeight="1">
      <c r="A17" s="740"/>
      <c r="B17" s="4854">
        <f>SUM(B13:B16)</f>
        <v>346</v>
      </c>
      <c r="C17" s="4856">
        <f>SUM(C13:C16)</f>
        <v>356</v>
      </c>
      <c r="D17" s="4858">
        <f>SUM(D13:D16)</f>
        <v>702</v>
      </c>
      <c r="E17" s="1223"/>
      <c r="F17" s="4860" t="s">
        <v>758</v>
      </c>
      <c r="G17" s="4862">
        <f>SUM(G13:G16)</f>
        <v>307</v>
      </c>
      <c r="H17" s="4791">
        <f>(G17*100)/(B17+0.0001)</f>
        <v>88.72829805540519</v>
      </c>
      <c r="I17" s="4789">
        <f>SUM(I13:I16)</f>
        <v>227</v>
      </c>
      <c r="J17" s="4791">
        <f>(I17*100)/(C17+0.0001)</f>
        <v>63.764027032576678</v>
      </c>
      <c r="K17" s="4830">
        <f>SUM(K13:K16)</f>
        <v>534</v>
      </c>
      <c r="L17" s="4832">
        <f>(K17*100)/(D17+0.0001)</f>
        <v>76.068365232426615</v>
      </c>
      <c r="M17" s="4834" t="s">
        <v>758</v>
      </c>
      <c r="N17" s="4836">
        <f>SUM(N13:N16)</f>
        <v>20</v>
      </c>
      <c r="O17" s="4844">
        <f>(N17*100)/(B17+0.0001)</f>
        <v>5.7803451501892633</v>
      </c>
      <c r="P17" s="4836">
        <f>SUM(P13:P16)</f>
        <v>91</v>
      </c>
      <c r="Q17" s="4844">
        <f>(P17*100)/(C17+0.0001)</f>
        <v>25.561790572530739</v>
      </c>
      <c r="R17" s="4864">
        <f>SUM(R13:R16)</f>
        <v>111</v>
      </c>
      <c r="S17" s="4866">
        <f>(R17*100)/(D17+0.0001)</f>
        <v>15.811963559549351</v>
      </c>
      <c r="T17" s="4834" t="s">
        <v>758</v>
      </c>
      <c r="U17" s="4901">
        <f>SUM(U13:U16)</f>
        <v>19</v>
      </c>
      <c r="V17" s="5124">
        <f>(U17*100)/(B17+0.0001)</f>
        <v>5.4913278926798004</v>
      </c>
      <c r="W17" s="4901">
        <f>SUM(W13:W16)</f>
        <v>38</v>
      </c>
      <c r="X17" s="4903">
        <f>(W17*100)/(C17+0.0001)</f>
        <v>10.674154305012836</v>
      </c>
      <c r="Y17" s="4905">
        <f>SUM(Y13:Y16)</f>
        <v>57</v>
      </c>
      <c r="Z17" s="5126">
        <f>(Y17*100)/(D17+0.0001)</f>
        <v>8.1196569630118294</v>
      </c>
      <c r="AA17" s="740"/>
      <c r="AB17" s="1410"/>
      <c r="AC17" s="1410"/>
      <c r="AD17" s="1410"/>
      <c r="AE17" s="1410"/>
      <c r="AF17" s="1410"/>
      <c r="AG17" s="1410"/>
      <c r="AH17" s="1410"/>
      <c r="AI17" s="1410"/>
      <c r="AJ17" s="1410"/>
      <c r="AK17" s="1410"/>
      <c r="AL17" s="1410"/>
      <c r="AM17" s="1410"/>
      <c r="AN17" s="1410"/>
      <c r="AO17" s="1410"/>
      <c r="AP17" s="1410"/>
      <c r="AQ17" s="1410"/>
      <c r="AR17" s="1410"/>
      <c r="AS17" s="1410"/>
      <c r="AT17" s="1410"/>
      <c r="AU17" s="1410"/>
      <c r="AV17" s="1410"/>
      <c r="AW17" s="1410"/>
      <c r="AX17" s="1410"/>
      <c r="AY17" s="1410"/>
      <c r="AZ17" s="1410"/>
      <c r="BA17" s="1410"/>
      <c r="BB17" s="1410"/>
      <c r="BC17" s="1410"/>
      <c r="BD17" s="1410"/>
      <c r="BE17" s="1410"/>
      <c r="BF17" s="1410"/>
      <c r="BG17" s="1410"/>
      <c r="BH17" s="1410"/>
      <c r="BI17" s="1410"/>
      <c r="BJ17" s="1410"/>
      <c r="BK17" s="1410"/>
      <c r="BL17" s="1410"/>
      <c r="BM17" s="1410"/>
      <c r="BN17" s="1410"/>
      <c r="BO17" s="1410"/>
      <c r="BP17" s="1410"/>
      <c r="BQ17" s="1410"/>
      <c r="BR17" s="1410"/>
      <c r="BS17" s="1410"/>
      <c r="BT17" s="1410"/>
      <c r="BU17" s="1410"/>
      <c r="BV17" s="1410"/>
      <c r="BW17" s="1410"/>
      <c r="BX17" s="1410"/>
      <c r="BY17" s="1410"/>
      <c r="BZ17" s="1410"/>
      <c r="CA17" s="1410"/>
      <c r="CB17" s="1410"/>
      <c r="CC17" s="1410"/>
      <c r="CD17" s="1410"/>
      <c r="CE17" s="1410"/>
      <c r="CF17" s="1410"/>
      <c r="CG17" s="1410"/>
      <c r="CH17" s="1410"/>
      <c r="CI17" s="1410"/>
      <c r="CJ17" s="1410"/>
      <c r="CK17" s="1410"/>
      <c r="CL17" s="1410"/>
      <c r="CM17" s="1410"/>
      <c r="CN17" s="1410"/>
      <c r="CO17" s="1410"/>
      <c r="CP17" s="1410"/>
      <c r="CQ17" s="1410"/>
    </row>
    <row r="18" spans="1:95" ht="15.9" customHeight="1">
      <c r="A18" s="740"/>
      <c r="B18" s="4855"/>
      <c r="C18" s="4857"/>
      <c r="D18" s="4859"/>
      <c r="E18" s="1223"/>
      <c r="F18" s="4861"/>
      <c r="G18" s="4863"/>
      <c r="H18" s="4792"/>
      <c r="I18" s="4790"/>
      <c r="J18" s="4792"/>
      <c r="K18" s="4831"/>
      <c r="L18" s="4833"/>
      <c r="M18" s="4835"/>
      <c r="N18" s="4837"/>
      <c r="O18" s="4845"/>
      <c r="P18" s="4837"/>
      <c r="Q18" s="4845"/>
      <c r="R18" s="4865"/>
      <c r="S18" s="4867"/>
      <c r="T18" s="4835"/>
      <c r="U18" s="4902"/>
      <c r="V18" s="5125"/>
      <c r="W18" s="4902"/>
      <c r="X18" s="4904"/>
      <c r="Y18" s="4906"/>
      <c r="Z18" s="5127"/>
      <c r="AA18" s="740"/>
      <c r="AB18" s="1410"/>
      <c r="AC18" s="1410"/>
      <c r="AD18" s="1410"/>
      <c r="AE18" s="1410"/>
      <c r="AF18" s="1410"/>
      <c r="AG18" s="1410"/>
      <c r="AH18" s="1410"/>
      <c r="AI18" s="1410"/>
      <c r="AJ18" s="1410"/>
      <c r="AK18" s="1410"/>
      <c r="AL18" s="1410"/>
      <c r="AM18" s="1410"/>
      <c r="AN18" s="1410"/>
      <c r="AO18" s="1410"/>
      <c r="AP18" s="1410"/>
      <c r="AQ18" s="1410"/>
      <c r="AR18" s="1410"/>
      <c r="AS18" s="1410"/>
      <c r="AT18" s="1410"/>
      <c r="AU18" s="1410"/>
      <c r="AV18" s="1410"/>
      <c r="AW18" s="1410"/>
      <c r="AX18" s="1410"/>
      <c r="AY18" s="1410"/>
      <c r="AZ18" s="1410"/>
      <c r="BA18" s="1410"/>
      <c r="BB18" s="1410"/>
      <c r="BC18" s="1410"/>
      <c r="BD18" s="1410"/>
      <c r="BE18" s="1410"/>
      <c r="BF18" s="1410"/>
      <c r="BG18" s="1410"/>
      <c r="BH18" s="1410"/>
      <c r="BI18" s="1410"/>
      <c r="BJ18" s="1410"/>
      <c r="BK18" s="1410"/>
      <c r="BL18" s="1410"/>
      <c r="BM18" s="1410"/>
      <c r="BN18" s="1410"/>
      <c r="BO18" s="1410"/>
      <c r="BP18" s="1410"/>
      <c r="BQ18" s="1410"/>
      <c r="BR18" s="1410"/>
      <c r="BS18" s="1410"/>
      <c r="BT18" s="1410"/>
      <c r="BU18" s="1410"/>
      <c r="BV18" s="1410"/>
      <c r="BW18" s="1410"/>
      <c r="BX18" s="1410"/>
      <c r="BY18" s="1410"/>
      <c r="BZ18" s="1410"/>
      <c r="CA18" s="1410"/>
      <c r="CB18" s="1410"/>
      <c r="CC18" s="1410"/>
      <c r="CD18" s="1410"/>
      <c r="CE18" s="1410"/>
      <c r="CF18" s="1410"/>
      <c r="CG18" s="1410"/>
      <c r="CH18" s="1410"/>
      <c r="CI18" s="1410"/>
      <c r="CJ18" s="1410"/>
      <c r="CK18" s="1410"/>
      <c r="CL18" s="1410"/>
      <c r="CM18" s="1410"/>
      <c r="CN18" s="1410"/>
      <c r="CO18" s="1410"/>
      <c r="CP18" s="1410"/>
      <c r="CQ18" s="1410"/>
    </row>
    <row r="19" spans="1:95" ht="6" customHeight="1" thickBot="1">
      <c r="A19" s="740"/>
      <c r="B19" s="2134"/>
      <c r="C19" s="2135"/>
      <c r="D19" s="2136"/>
      <c r="E19" s="1223"/>
      <c r="F19" s="2125"/>
      <c r="G19" s="2126"/>
      <c r="H19" s="2127"/>
      <c r="I19" s="2126"/>
      <c r="J19" s="2127"/>
      <c r="K19" s="2128"/>
      <c r="L19" s="2129"/>
      <c r="M19" s="2127"/>
      <c r="N19" s="2130"/>
      <c r="O19" s="2127"/>
      <c r="P19" s="2130"/>
      <c r="Q19" s="2127"/>
      <c r="R19" s="2131"/>
      <c r="S19" s="2131"/>
      <c r="T19" s="2127"/>
      <c r="U19" s="2130"/>
      <c r="V19" s="2132"/>
      <c r="W19" s="2130"/>
      <c r="X19" s="2127"/>
      <c r="Y19" s="2127"/>
      <c r="Z19" s="2133"/>
      <c r="AA19" s="740"/>
      <c r="AB19" s="1410"/>
      <c r="AC19" s="1410"/>
      <c r="AD19" s="1410"/>
      <c r="AE19" s="1410"/>
      <c r="AF19" s="1410"/>
      <c r="AG19" s="1410"/>
      <c r="AH19" s="1410"/>
      <c r="AI19" s="1410"/>
      <c r="AJ19" s="1410"/>
      <c r="AK19" s="1410"/>
      <c r="AL19" s="1410"/>
      <c r="AM19" s="1410"/>
      <c r="AN19" s="1410"/>
      <c r="AO19" s="1410"/>
      <c r="AP19" s="1410"/>
      <c r="AQ19" s="1410"/>
      <c r="AR19" s="1410"/>
      <c r="AS19" s="1410"/>
      <c r="AT19" s="1410"/>
      <c r="AU19" s="1410"/>
      <c r="AV19" s="1410"/>
      <c r="AW19" s="1410"/>
      <c r="AX19" s="1410"/>
      <c r="AY19" s="1410"/>
      <c r="AZ19" s="1410"/>
      <c r="BA19" s="1410"/>
      <c r="BB19" s="1410"/>
      <c r="BC19" s="1410"/>
      <c r="BD19" s="1410"/>
      <c r="BE19" s="1410"/>
      <c r="BF19" s="1410"/>
      <c r="BG19" s="1410"/>
      <c r="BH19" s="1410"/>
      <c r="BI19" s="1410"/>
      <c r="BJ19" s="1410"/>
      <c r="BK19" s="1410"/>
      <c r="BL19" s="1410"/>
      <c r="BM19" s="1410"/>
      <c r="BN19" s="1410"/>
      <c r="BO19" s="1410"/>
      <c r="BP19" s="1410"/>
      <c r="BQ19" s="1410"/>
      <c r="BR19" s="1410"/>
      <c r="BS19" s="1410"/>
      <c r="BT19" s="1410"/>
      <c r="BU19" s="1410"/>
      <c r="BV19" s="1410"/>
      <c r="BW19" s="1410"/>
      <c r="BX19" s="1410"/>
      <c r="BY19" s="1410"/>
      <c r="BZ19" s="1410"/>
      <c r="CA19" s="1410"/>
      <c r="CB19" s="1410"/>
      <c r="CC19" s="1410"/>
      <c r="CD19" s="1410"/>
      <c r="CE19" s="1410"/>
      <c r="CF19" s="1410"/>
      <c r="CG19" s="1410"/>
      <c r="CH19" s="1410"/>
      <c r="CI19" s="1410"/>
      <c r="CJ19" s="1410"/>
      <c r="CK19" s="1410"/>
      <c r="CL19" s="1410"/>
      <c r="CM19" s="1410"/>
      <c r="CN19" s="1410"/>
      <c r="CO19" s="1410"/>
      <c r="CP19" s="1410"/>
      <c r="CQ19" s="1410"/>
    </row>
    <row r="20" spans="1:95" ht="2.25" customHeight="1" thickTop="1">
      <c r="A20" s="740"/>
      <c r="B20" s="1218"/>
      <c r="C20" s="1218"/>
      <c r="D20" s="1218"/>
      <c r="E20" s="1218"/>
      <c r="F20" s="1277"/>
      <c r="G20" s="1277"/>
      <c r="H20" s="1277"/>
      <c r="I20" s="1277"/>
      <c r="J20" s="1277"/>
      <c r="K20" s="1277"/>
      <c r="L20" s="1277"/>
      <c r="M20" s="1277"/>
      <c r="N20" s="1277"/>
      <c r="O20" s="1277"/>
      <c r="P20" s="1277"/>
      <c r="Q20" s="1277"/>
      <c r="R20" s="1277"/>
      <c r="S20" s="1277"/>
      <c r="T20" s="1278"/>
      <c r="U20" s="1278"/>
      <c r="V20" s="1278"/>
      <c r="W20" s="1278"/>
      <c r="X20" s="1278"/>
      <c r="Y20" s="1278"/>
      <c r="Z20" s="1279"/>
      <c r="AA20" s="1072"/>
      <c r="AB20" s="1413"/>
      <c r="AC20" s="1410"/>
      <c r="AD20" s="1410"/>
      <c r="AE20" s="1410"/>
      <c r="AF20" s="1410"/>
      <c r="AG20" s="1410"/>
      <c r="AH20" s="1410"/>
      <c r="AI20" s="1410"/>
      <c r="AJ20" s="1410"/>
      <c r="AK20" s="1410"/>
      <c r="AL20" s="1410"/>
      <c r="AM20" s="1410"/>
      <c r="AN20" s="1410"/>
      <c r="AO20" s="1410"/>
      <c r="AP20" s="1410"/>
      <c r="AQ20" s="1410"/>
      <c r="AR20" s="1410"/>
      <c r="AS20" s="1410"/>
      <c r="AT20" s="1410"/>
      <c r="AU20" s="1410"/>
      <c r="AV20" s="1410"/>
      <c r="AW20" s="1410"/>
      <c r="AX20" s="1410"/>
      <c r="AY20" s="1410"/>
      <c r="AZ20" s="1410"/>
      <c r="BA20" s="1410"/>
      <c r="BB20" s="1410"/>
      <c r="BC20" s="1410"/>
      <c r="BD20" s="1410"/>
      <c r="BE20" s="1410"/>
      <c r="BF20" s="1410"/>
      <c r="BG20" s="1410"/>
      <c r="BH20" s="1410"/>
      <c r="BI20" s="1410"/>
      <c r="BJ20" s="1410"/>
      <c r="BK20" s="1410"/>
      <c r="BL20" s="1410"/>
      <c r="BM20" s="1410"/>
      <c r="BN20" s="1410"/>
      <c r="BO20" s="1410"/>
      <c r="BP20" s="1410"/>
      <c r="BQ20" s="1410"/>
      <c r="BR20" s="1410"/>
      <c r="BS20" s="1410"/>
      <c r="BT20" s="1410"/>
      <c r="BU20" s="1410"/>
      <c r="BV20" s="1410"/>
      <c r="BW20" s="1410"/>
      <c r="BX20" s="1410"/>
      <c r="BY20" s="1410"/>
      <c r="BZ20" s="1410"/>
      <c r="CA20" s="1410"/>
      <c r="CB20" s="1410"/>
      <c r="CC20" s="1410"/>
      <c r="CD20" s="1410"/>
      <c r="CE20" s="1410"/>
      <c r="CF20" s="1410"/>
      <c r="CG20" s="1410"/>
      <c r="CH20" s="1410"/>
      <c r="CI20" s="1410"/>
      <c r="CJ20" s="1410"/>
      <c r="CK20" s="1410"/>
      <c r="CL20" s="1410"/>
      <c r="CM20" s="1410"/>
      <c r="CN20" s="1410"/>
      <c r="CO20" s="1410"/>
      <c r="CP20" s="1410"/>
      <c r="CQ20" s="1410"/>
    </row>
    <row r="21" spans="1:95" ht="12.9" customHeight="1">
      <c r="A21" s="740"/>
      <c r="B21" s="2137" t="s">
        <v>772</v>
      </c>
      <c r="C21" s="1218"/>
      <c r="D21" s="1218"/>
      <c r="E21" s="1218"/>
      <c r="F21" s="1280"/>
      <c r="G21" s="1280"/>
      <c r="H21" s="1280"/>
      <c r="I21" s="1280"/>
      <c r="J21" s="1280"/>
      <c r="K21" s="1280"/>
      <c r="L21" s="1280"/>
      <c r="M21" s="1280"/>
      <c r="N21" s="1280"/>
      <c r="O21" s="1280"/>
      <c r="P21" s="1280"/>
      <c r="Q21" s="1280"/>
      <c r="R21" s="1280"/>
      <c r="S21" s="1280"/>
      <c r="T21" s="1280"/>
      <c r="U21" s="1280"/>
      <c r="V21" s="1280"/>
      <c r="W21" s="1280"/>
      <c r="X21" s="1280"/>
      <c r="Y21" s="1280"/>
      <c r="Z21" s="2138" t="s">
        <v>757</v>
      </c>
      <c r="AA21" s="1071"/>
      <c r="AB21" s="1414"/>
      <c r="AC21" s="1410"/>
      <c r="AD21" s="1410"/>
      <c r="AE21" s="1410"/>
      <c r="AF21" s="1410"/>
      <c r="AG21" s="1410"/>
      <c r="AH21" s="1410"/>
      <c r="AI21" s="1410"/>
      <c r="AJ21" s="1410"/>
      <c r="AK21" s="1410"/>
      <c r="AL21" s="1410"/>
      <c r="AM21" s="1410"/>
      <c r="AN21" s="1410"/>
      <c r="AO21" s="1410"/>
      <c r="AP21" s="1410"/>
      <c r="AQ21" s="1410"/>
      <c r="AR21" s="1410"/>
      <c r="AS21" s="1410"/>
      <c r="AT21" s="1410"/>
      <c r="AU21" s="1410"/>
      <c r="AV21" s="1410"/>
      <c r="AW21" s="1410"/>
      <c r="AX21" s="1410"/>
      <c r="AY21" s="1410"/>
      <c r="AZ21" s="1410"/>
      <c r="BA21" s="1410"/>
      <c r="BB21" s="1410"/>
      <c r="BC21" s="1410"/>
      <c r="BD21" s="1410"/>
      <c r="BE21" s="1410"/>
      <c r="BF21" s="1410"/>
      <c r="BG21" s="1410"/>
      <c r="BH21" s="1410"/>
      <c r="BI21" s="1410"/>
      <c r="BJ21" s="1410"/>
      <c r="BK21" s="1410"/>
      <c r="BL21" s="1410"/>
      <c r="BM21" s="1410"/>
      <c r="BN21" s="1410"/>
      <c r="BO21" s="1410"/>
      <c r="BP21" s="1410"/>
      <c r="BQ21" s="1410"/>
      <c r="BR21" s="1410"/>
      <c r="BS21" s="1410"/>
      <c r="BT21" s="1410"/>
      <c r="BU21" s="1410"/>
      <c r="BV21" s="1410"/>
      <c r="BW21" s="1410"/>
      <c r="BX21" s="1410"/>
      <c r="BY21" s="1410"/>
      <c r="BZ21" s="1410"/>
      <c r="CA21" s="1410"/>
      <c r="CB21" s="1410"/>
      <c r="CC21" s="1410"/>
      <c r="CD21" s="1410"/>
      <c r="CE21" s="1410"/>
      <c r="CF21" s="1410"/>
      <c r="CG21" s="1410"/>
      <c r="CH21" s="1410"/>
      <c r="CI21" s="1410"/>
      <c r="CJ21" s="1410"/>
      <c r="CK21" s="1410"/>
      <c r="CL21" s="1410"/>
      <c r="CM21" s="1410"/>
      <c r="CN21" s="1410"/>
      <c r="CO21" s="1410"/>
      <c r="CP21" s="1410"/>
      <c r="CQ21" s="1410"/>
    </row>
    <row r="22" spans="1:95" ht="10.5" customHeight="1">
      <c r="A22" s="740"/>
      <c r="G22" s="1069"/>
      <c r="H22" s="1069"/>
      <c r="I22" s="1069"/>
      <c r="J22" s="1069"/>
      <c r="K22" s="1069"/>
      <c r="L22" s="1069"/>
      <c r="M22" s="1070"/>
      <c r="N22" s="1069"/>
      <c r="O22" s="1069"/>
      <c r="P22" s="1069"/>
      <c r="Q22" s="1069"/>
      <c r="R22" s="1069"/>
      <c r="S22" s="1069"/>
      <c r="T22" s="1069"/>
      <c r="U22" s="1069"/>
      <c r="V22" s="1069"/>
      <c r="W22" s="1069"/>
      <c r="X22" s="1069"/>
      <c r="Y22" s="1069"/>
      <c r="Z22" s="1069"/>
      <c r="AA22" s="740"/>
      <c r="AB22" s="1410"/>
      <c r="AC22" s="1410"/>
      <c r="AD22" s="1410"/>
      <c r="AE22" s="1410"/>
      <c r="AF22" s="1410"/>
      <c r="AG22" s="1410"/>
      <c r="AH22" s="1410"/>
      <c r="AI22" s="1410"/>
      <c r="AJ22" s="1410"/>
      <c r="AK22" s="1410"/>
      <c r="AL22" s="1410"/>
      <c r="AM22" s="1410"/>
      <c r="AN22" s="1410"/>
      <c r="AO22" s="1410"/>
      <c r="AP22" s="1410"/>
      <c r="AQ22" s="1410"/>
      <c r="AR22" s="1410"/>
      <c r="AS22" s="1410"/>
      <c r="AT22" s="1410"/>
      <c r="AU22" s="1410"/>
      <c r="AV22" s="1410"/>
      <c r="AW22" s="1410"/>
      <c r="AX22" s="1410"/>
      <c r="AY22" s="1410"/>
      <c r="AZ22" s="1410"/>
      <c r="BA22" s="1410"/>
      <c r="BB22" s="1410"/>
      <c r="BC22" s="1410"/>
      <c r="BD22" s="1410"/>
      <c r="BE22" s="1410"/>
      <c r="BF22" s="1410"/>
      <c r="BG22" s="1410"/>
      <c r="BH22" s="1410"/>
      <c r="BI22" s="1410"/>
      <c r="BJ22" s="1410"/>
      <c r="BK22" s="1410"/>
      <c r="BL22" s="1410"/>
      <c r="BM22" s="1410"/>
      <c r="BN22" s="1410"/>
      <c r="BO22" s="1410"/>
      <c r="BP22" s="1410"/>
      <c r="BQ22" s="1410"/>
      <c r="BR22" s="1410"/>
      <c r="BS22" s="1410"/>
      <c r="BT22" s="1410"/>
      <c r="BU22" s="1410"/>
      <c r="BV22" s="1410"/>
      <c r="BW22" s="1410"/>
      <c r="BX22" s="1410"/>
      <c r="BY22" s="1410"/>
      <c r="BZ22" s="1410"/>
      <c r="CA22" s="1410"/>
      <c r="CB22" s="1410"/>
      <c r="CC22" s="1410"/>
      <c r="CD22" s="1410"/>
      <c r="CE22" s="1410"/>
      <c r="CF22" s="1410"/>
      <c r="CG22" s="1410"/>
      <c r="CH22" s="1410"/>
      <c r="CI22" s="1410"/>
      <c r="CJ22" s="1410"/>
      <c r="CK22" s="1410"/>
      <c r="CL22" s="1410"/>
      <c r="CM22" s="1410"/>
      <c r="CN22" s="1410"/>
    </row>
    <row r="23" spans="1:95" ht="12.9" customHeight="1">
      <c r="A23" s="740"/>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1410"/>
      <c r="AC23" s="1410"/>
      <c r="AD23" s="1410"/>
      <c r="AE23" s="1410"/>
      <c r="AF23" s="1410"/>
      <c r="AG23" s="1410"/>
      <c r="AH23" s="1410"/>
      <c r="AI23" s="1410"/>
      <c r="AJ23" s="1410"/>
      <c r="AK23" s="1410"/>
      <c r="AL23" s="1410"/>
      <c r="AM23" s="1410"/>
      <c r="AN23" s="1410"/>
      <c r="AO23" s="1410"/>
      <c r="AP23" s="1410"/>
      <c r="AQ23" s="1410"/>
      <c r="AR23" s="1410"/>
      <c r="AS23" s="1410"/>
      <c r="AT23" s="1410"/>
      <c r="AU23" s="1410"/>
      <c r="AV23" s="1410"/>
      <c r="AW23" s="1410"/>
      <c r="AX23" s="1410"/>
      <c r="AY23" s="1410"/>
      <c r="AZ23" s="1410"/>
      <c r="BA23" s="1410"/>
      <c r="BB23" s="1410"/>
      <c r="BC23" s="1410"/>
      <c r="BD23" s="1410"/>
      <c r="BE23" s="1410"/>
      <c r="BF23" s="1410"/>
      <c r="BG23" s="1410"/>
      <c r="BH23" s="1410"/>
      <c r="BI23" s="1410"/>
      <c r="BJ23" s="1410"/>
      <c r="BK23" s="1410"/>
      <c r="BL23" s="1410"/>
      <c r="BM23" s="1410"/>
      <c r="BN23" s="1410"/>
      <c r="BO23" s="1410"/>
      <c r="BP23" s="1410"/>
      <c r="BQ23" s="1410"/>
      <c r="BR23" s="1410"/>
      <c r="BS23" s="1410"/>
      <c r="BT23" s="1410"/>
      <c r="BU23" s="1410"/>
      <c r="BV23" s="1410"/>
      <c r="BW23" s="1410"/>
      <c r="BX23" s="1410"/>
      <c r="BY23" s="1410"/>
      <c r="BZ23" s="1410"/>
      <c r="CA23" s="1410"/>
      <c r="CB23" s="1410"/>
      <c r="CC23" s="1410"/>
      <c r="CD23" s="1410"/>
      <c r="CE23" s="1410"/>
      <c r="CF23" s="1410"/>
      <c r="CG23" s="1410"/>
      <c r="CH23" s="1410"/>
      <c r="CI23" s="1410"/>
      <c r="CJ23" s="1410"/>
      <c r="CK23" s="1410"/>
      <c r="CL23" s="1410"/>
      <c r="CM23" s="1410"/>
      <c r="CN23" s="1410"/>
      <c r="CO23" s="1410"/>
      <c r="CP23" s="1410"/>
      <c r="CQ23" s="1410"/>
    </row>
    <row r="24" spans="1:95" ht="12.9" customHeight="1">
      <c r="A24" s="740"/>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1410"/>
      <c r="AC24" s="1410"/>
      <c r="AD24" s="1410"/>
      <c r="AE24" s="1410"/>
      <c r="AF24" s="1410"/>
      <c r="AG24" s="1410"/>
      <c r="AH24" s="1410"/>
      <c r="AI24" s="1410"/>
      <c r="AJ24" s="1410"/>
      <c r="AK24" s="1410"/>
      <c r="AL24" s="1410"/>
      <c r="AM24" s="1410"/>
      <c r="AN24" s="1410"/>
      <c r="AO24" s="1410"/>
      <c r="AP24" s="1410"/>
      <c r="AQ24" s="1410"/>
      <c r="AR24" s="1410"/>
      <c r="AS24" s="1410"/>
      <c r="AT24" s="1410"/>
      <c r="AU24" s="1410"/>
      <c r="AV24" s="1410"/>
      <c r="AW24" s="1410"/>
      <c r="AX24" s="1410"/>
      <c r="AY24" s="1410"/>
      <c r="AZ24" s="1410"/>
      <c r="BA24" s="1410"/>
      <c r="BB24" s="1410"/>
      <c r="BC24" s="1410"/>
      <c r="BD24" s="1410"/>
      <c r="BE24" s="1410"/>
      <c r="BF24" s="1410"/>
      <c r="BG24" s="1410"/>
      <c r="BH24" s="1410"/>
      <c r="BI24" s="1410"/>
      <c r="BJ24" s="1410"/>
      <c r="BK24" s="1410"/>
      <c r="BL24" s="1410"/>
      <c r="BM24" s="1410"/>
      <c r="BN24" s="1410"/>
      <c r="BO24" s="1410"/>
      <c r="BP24" s="1410"/>
      <c r="BQ24" s="1410"/>
      <c r="BR24" s="1410"/>
      <c r="BS24" s="1410"/>
      <c r="BT24" s="1410"/>
      <c r="BU24" s="1410"/>
      <c r="BV24" s="1410"/>
      <c r="BW24" s="1410"/>
      <c r="BX24" s="1410"/>
      <c r="BY24" s="1410"/>
      <c r="BZ24" s="1410"/>
      <c r="CA24" s="1410"/>
      <c r="CB24" s="1410"/>
      <c r="CC24" s="1410"/>
      <c r="CD24" s="1410"/>
      <c r="CE24" s="1410"/>
      <c r="CF24" s="1410"/>
      <c r="CG24" s="1410"/>
      <c r="CH24" s="1410"/>
      <c r="CI24" s="1410"/>
      <c r="CJ24" s="1410"/>
      <c r="CK24" s="1410"/>
      <c r="CL24" s="1410"/>
      <c r="CM24" s="1410"/>
      <c r="CN24" s="1410"/>
      <c r="CO24" s="1410"/>
      <c r="CP24" s="1410"/>
      <c r="CQ24" s="1410"/>
    </row>
    <row r="25" spans="1:95" ht="12.75" customHeight="1">
      <c r="A25" s="1410"/>
      <c r="B25" s="1410"/>
      <c r="C25" s="1410"/>
      <c r="D25" s="1410"/>
      <c r="E25" s="1410"/>
      <c r="F25" s="1410"/>
      <c r="G25" s="1410"/>
      <c r="H25" s="1410"/>
      <c r="I25" s="1410"/>
      <c r="J25" s="1410"/>
      <c r="K25" s="1410"/>
      <c r="L25" s="1410"/>
      <c r="M25" s="1410"/>
      <c r="N25" s="1410"/>
      <c r="O25" s="1410"/>
      <c r="P25" s="1410"/>
      <c r="Q25" s="1410"/>
      <c r="R25" s="1410"/>
      <c r="S25" s="1410"/>
      <c r="T25" s="1410"/>
      <c r="U25" s="1410"/>
      <c r="V25" s="1410"/>
      <c r="W25" s="1410"/>
      <c r="X25" s="1410"/>
      <c r="Y25" s="1410"/>
      <c r="Z25" s="1410"/>
      <c r="AA25" s="1410"/>
      <c r="AB25" s="1410"/>
      <c r="AC25" s="1084"/>
      <c r="AD25" s="1085"/>
      <c r="AE25" s="1085"/>
      <c r="AF25" s="1085"/>
      <c r="AG25" s="1085"/>
      <c r="AH25" s="1085"/>
      <c r="AI25" s="1085"/>
      <c r="AJ25" s="1085"/>
      <c r="AK25" s="1085"/>
      <c r="AL25" s="1085"/>
      <c r="AM25" s="1085"/>
      <c r="AN25" s="1085"/>
      <c r="AO25" s="1085"/>
      <c r="AP25" s="1085"/>
      <c r="AQ25" s="1085"/>
      <c r="AR25" s="1085"/>
      <c r="AS25" s="1085"/>
      <c r="AT25" s="1085"/>
      <c r="AU25" s="1085"/>
      <c r="AV25" s="1085"/>
      <c r="AW25" s="1085"/>
      <c r="AX25" s="1085"/>
      <c r="AY25" s="1085"/>
      <c r="AZ25" s="1085"/>
      <c r="BA25" s="1085"/>
      <c r="BB25" s="1085"/>
      <c r="BC25" s="1085"/>
      <c r="BD25" s="1085"/>
      <c r="BE25" s="1085"/>
      <c r="BF25" s="1085"/>
      <c r="BG25" s="1085"/>
      <c r="BH25" s="1085"/>
      <c r="BI25" s="1085"/>
      <c r="BJ25" s="1085"/>
      <c r="BK25" s="1085"/>
      <c r="BL25" s="1085"/>
      <c r="BM25" s="1085"/>
      <c r="BN25" s="1085"/>
      <c r="BO25" s="1085"/>
      <c r="BP25" s="1085"/>
      <c r="BQ25" s="1085"/>
      <c r="BR25" s="1085"/>
      <c r="BS25" s="1085"/>
      <c r="BT25" s="1085"/>
      <c r="BU25" s="1085"/>
      <c r="BV25" s="1085"/>
      <c r="BW25" s="1085"/>
      <c r="BX25" s="1085"/>
      <c r="BY25" s="1085"/>
      <c r="BZ25" s="1085"/>
      <c r="CA25" s="1085"/>
      <c r="CB25" s="1085"/>
      <c r="CC25" s="1085"/>
      <c r="CD25" s="1085"/>
      <c r="CE25" s="1085"/>
      <c r="CF25" s="1085"/>
      <c r="CG25" s="1085"/>
      <c r="CH25" s="1085"/>
      <c r="CI25" s="1085"/>
      <c r="CJ25" s="1085"/>
      <c r="CK25" s="1085"/>
      <c r="CL25" s="1085"/>
      <c r="CM25" s="1085"/>
      <c r="CN25" s="1085"/>
      <c r="CO25" s="1085"/>
      <c r="CP25" s="1085"/>
      <c r="CQ25" s="1085"/>
    </row>
    <row r="26" spans="1:95" ht="17.25" customHeight="1" thickBot="1">
      <c r="A26" s="1410"/>
      <c r="B26" s="1410"/>
      <c r="C26" s="1410"/>
      <c r="D26" s="1410"/>
      <c r="E26" s="1410"/>
      <c r="F26" s="1410"/>
      <c r="G26" s="1410"/>
      <c r="H26" s="1410"/>
      <c r="I26" s="1410"/>
      <c r="J26" s="1410"/>
      <c r="K26" s="1410"/>
      <c r="L26" s="1410"/>
      <c r="M26" s="1410"/>
      <c r="N26" s="1410"/>
      <c r="O26" s="1410"/>
      <c r="P26" s="1410"/>
      <c r="Q26" s="1410"/>
      <c r="R26" s="1410"/>
      <c r="S26" s="1410"/>
      <c r="T26" s="1410"/>
      <c r="U26" s="1410"/>
      <c r="V26" s="1410"/>
      <c r="W26" s="1410"/>
      <c r="X26" s="1410"/>
      <c r="Y26" s="1410"/>
      <c r="Z26" s="1410"/>
      <c r="AA26" s="1410"/>
      <c r="AB26" s="1410"/>
      <c r="AC26" s="1084"/>
      <c r="AD26" s="1086" t="s">
        <v>756</v>
      </c>
      <c r="AE26" s="1087"/>
      <c r="AF26" s="1088"/>
      <c r="AG26" s="1088"/>
      <c r="AH26" s="1088"/>
      <c r="AI26" s="1088"/>
      <c r="AJ26" s="1088"/>
      <c r="AK26" s="1088"/>
      <c r="AL26" s="1088"/>
      <c r="AM26" s="1088"/>
      <c r="AN26" s="1088"/>
      <c r="AO26" s="1088"/>
      <c r="AP26" s="1088"/>
      <c r="AQ26" s="1088"/>
      <c r="AR26" s="1089" t="s">
        <v>474</v>
      </c>
      <c r="AS26" s="1090"/>
      <c r="AT26" s="1090"/>
      <c r="AU26" s="1092" t="s">
        <v>524</v>
      </c>
      <c r="AV26" s="1091"/>
      <c r="AW26" s="1091"/>
      <c r="AX26" s="1088"/>
      <c r="AY26" s="1088"/>
      <c r="AZ26" s="1088"/>
      <c r="BA26" s="1092" t="s">
        <v>524</v>
      </c>
      <c r="BB26" s="1091"/>
      <c r="BC26" s="1091"/>
      <c r="BD26" s="1088"/>
      <c r="BE26" s="1088"/>
      <c r="BF26" s="1088"/>
      <c r="BG26" s="1088"/>
      <c r="BH26" s="1088"/>
      <c r="BI26" s="1088"/>
      <c r="BJ26" s="1088"/>
      <c r="BK26" s="1088"/>
      <c r="BL26" s="1088"/>
      <c r="BM26" s="1093"/>
      <c r="BN26" s="1086" t="s">
        <v>755</v>
      </c>
      <c r="BO26" s="1088"/>
      <c r="BP26" s="1088"/>
      <c r="BQ26" s="1088"/>
      <c r="BR26" s="1088"/>
      <c r="BS26" s="1088"/>
      <c r="BT26" s="1088"/>
      <c r="BU26" s="1088"/>
      <c r="BV26" s="1088"/>
      <c r="BW26" s="1088"/>
      <c r="BX26" s="1088"/>
      <c r="BY26" s="1088"/>
      <c r="BZ26" s="1088"/>
      <c r="CA26" s="1088"/>
      <c r="CB26" s="1088"/>
      <c r="CC26" s="1088"/>
      <c r="CD26" s="1088"/>
      <c r="CE26" s="1093"/>
      <c r="CF26" s="1094" t="s">
        <v>754</v>
      </c>
      <c r="CG26" s="1087"/>
      <c r="CH26" s="1088"/>
      <c r="CI26" s="1088"/>
      <c r="CJ26" s="1088"/>
      <c r="CK26" s="1088"/>
      <c r="CL26" s="1088"/>
      <c r="CM26" s="1088"/>
      <c r="CN26" s="1088"/>
      <c r="CO26" s="1088"/>
      <c r="CP26" s="1088"/>
      <c r="CQ26" s="1095"/>
    </row>
    <row r="27" spans="1:95" ht="12.75" customHeight="1">
      <c r="A27" s="1410"/>
      <c r="B27" s="1410"/>
      <c r="C27" s="1410"/>
      <c r="D27" s="1410"/>
      <c r="E27" s="1410"/>
      <c r="F27" s="1410"/>
      <c r="G27" s="1410"/>
      <c r="H27" s="1410"/>
      <c r="I27" s="1410"/>
      <c r="J27" s="1410"/>
      <c r="K27" s="1410"/>
      <c r="L27" s="1410"/>
      <c r="M27" s="1410"/>
      <c r="N27" s="1410"/>
      <c r="O27" s="1410"/>
      <c r="P27" s="1410"/>
      <c r="Q27" s="1410"/>
      <c r="R27" s="1410"/>
      <c r="S27" s="1410"/>
      <c r="T27" s="1410"/>
      <c r="U27" s="1410"/>
      <c r="V27" s="1410"/>
      <c r="W27" s="1410"/>
      <c r="X27" s="1410"/>
      <c r="Y27" s="1410"/>
      <c r="Z27" s="1410"/>
      <c r="AA27" s="1410"/>
      <c r="AB27" s="1410"/>
      <c r="AC27" s="1084"/>
      <c r="AD27" s="4895"/>
      <c r="AE27" s="4898" t="str">
        <f>$E$4</f>
        <v>بلحاتم رابح</v>
      </c>
      <c r="AF27" s="1096"/>
      <c r="AG27" s="4868" t="s">
        <v>753</v>
      </c>
      <c r="AH27" s="4869"/>
      <c r="AI27" s="4869"/>
      <c r="AJ27" s="4869"/>
      <c r="AK27" s="1097"/>
      <c r="AL27" s="4871" t="s">
        <v>752</v>
      </c>
      <c r="AM27" s="4872"/>
      <c r="AN27" s="4873"/>
      <c r="AO27" s="1098"/>
      <c r="AP27" s="1099"/>
      <c r="AQ27" s="1100"/>
      <c r="AR27" s="1101"/>
      <c r="AS27" s="1102" t="s">
        <v>1214</v>
      </c>
      <c r="AT27" s="1103"/>
      <c r="AU27" s="1101"/>
      <c r="AV27" s="1102" t="s">
        <v>725</v>
      </c>
      <c r="AW27" s="1103"/>
      <c r="AX27" s="1101"/>
      <c r="AY27" s="1102"/>
      <c r="AZ27" s="1103"/>
      <c r="BA27" s="1104"/>
      <c r="BB27" s="1105" t="s">
        <v>1216</v>
      </c>
      <c r="BC27" s="1106"/>
      <c r="BD27" s="4880" t="s">
        <v>441</v>
      </c>
      <c r="BE27" s="4881"/>
      <c r="BF27" s="4882"/>
      <c r="BG27" s="5022" t="s">
        <v>436</v>
      </c>
      <c r="BH27" s="5023"/>
      <c r="BI27" s="5024"/>
      <c r="BJ27" s="1107"/>
      <c r="BK27" s="1108"/>
      <c r="BL27" s="1109"/>
      <c r="BM27" s="1085"/>
      <c r="BN27" s="4918"/>
      <c r="BO27" s="4921"/>
      <c r="BP27" s="1110"/>
      <c r="BQ27" s="1111" t="s">
        <v>751</v>
      </c>
      <c r="BR27" s="1112"/>
      <c r="BS27" s="4924" t="s">
        <v>750</v>
      </c>
      <c r="BT27" s="4925"/>
      <c r="BU27" s="4926"/>
      <c r="BV27" s="4946" t="s">
        <v>749</v>
      </c>
      <c r="BW27" s="4946"/>
      <c r="BX27" s="4946"/>
      <c r="BY27" s="1113"/>
      <c r="BZ27" s="1114" t="s">
        <v>748</v>
      </c>
      <c r="CA27" s="1115"/>
      <c r="CB27" s="4948" t="s">
        <v>435</v>
      </c>
      <c r="CC27" s="4948"/>
      <c r="CD27" s="4949"/>
      <c r="CE27" s="1085"/>
      <c r="CF27" s="4985"/>
      <c r="CG27" s="4988"/>
      <c r="CH27" s="1116"/>
      <c r="CI27" s="1117" t="s">
        <v>747</v>
      </c>
      <c r="CJ27" s="1118"/>
      <c r="CK27" s="1119"/>
      <c r="CL27" s="1120" t="s">
        <v>746</v>
      </c>
      <c r="CM27" s="1121"/>
      <c r="CN27" s="4930" t="s">
        <v>722</v>
      </c>
      <c r="CO27" s="4930"/>
      <c r="CP27" s="4931"/>
      <c r="CQ27" s="1122"/>
    </row>
    <row r="28" spans="1:95" ht="12.75" customHeight="1">
      <c r="A28" s="1410"/>
      <c r="B28" s="1410"/>
      <c r="C28" s="1410"/>
      <c r="D28" s="1410"/>
      <c r="E28" s="1410"/>
      <c r="F28" s="1410"/>
      <c r="G28" s="1410"/>
      <c r="H28" s="1410"/>
      <c r="I28" s="1410"/>
      <c r="J28" s="1410"/>
      <c r="K28" s="1410"/>
      <c r="L28" s="1410"/>
      <c r="M28" s="1410"/>
      <c r="N28" s="1410"/>
      <c r="O28" s="1410"/>
      <c r="P28" s="1410"/>
      <c r="Q28" s="1410"/>
      <c r="R28" s="1410"/>
      <c r="S28" s="1410"/>
      <c r="T28" s="1410"/>
      <c r="U28" s="1410"/>
      <c r="V28" s="1410"/>
      <c r="W28" s="1410"/>
      <c r="X28" s="1410"/>
      <c r="Y28" s="1410"/>
      <c r="Z28" s="1410"/>
      <c r="AA28" s="1410"/>
      <c r="AB28" s="1410"/>
      <c r="AC28" s="1084"/>
      <c r="AD28" s="4896"/>
      <c r="AE28" s="4899"/>
      <c r="AF28" s="1123"/>
      <c r="AG28" s="4870"/>
      <c r="AH28" s="4870"/>
      <c r="AI28" s="4870"/>
      <c r="AJ28" s="4870"/>
      <c r="AK28" s="1124"/>
      <c r="AL28" s="4874"/>
      <c r="AM28" s="4875"/>
      <c r="AN28" s="4876"/>
      <c r="AO28" s="1125"/>
      <c r="AP28" s="1126" t="s">
        <v>451</v>
      </c>
      <c r="AQ28" s="1127"/>
      <c r="AR28" s="1128"/>
      <c r="AS28" s="1129" t="s">
        <v>1215</v>
      </c>
      <c r="AT28" s="1130"/>
      <c r="AU28" s="1128"/>
      <c r="AV28" s="1129" t="s">
        <v>1215</v>
      </c>
      <c r="AW28" s="1130"/>
      <c r="AX28" s="1128"/>
      <c r="AY28" s="1129" t="s">
        <v>446</v>
      </c>
      <c r="AZ28" s="1130"/>
      <c r="BA28" s="1131"/>
      <c r="BB28" s="1132" t="s">
        <v>1215</v>
      </c>
      <c r="BC28" s="1133"/>
      <c r="BD28" s="4883"/>
      <c r="BE28" s="4884"/>
      <c r="BF28" s="4885"/>
      <c r="BG28" s="5025"/>
      <c r="BH28" s="5026"/>
      <c r="BI28" s="5027"/>
      <c r="BJ28" s="1134"/>
      <c r="BK28" s="1135" t="s">
        <v>440</v>
      </c>
      <c r="BL28" s="1136"/>
      <c r="BM28" s="1085"/>
      <c r="BN28" s="4919"/>
      <c r="BO28" s="4922"/>
      <c r="BP28" s="1137"/>
      <c r="BQ28" s="1138" t="s">
        <v>744</v>
      </c>
      <c r="BR28" s="1139"/>
      <c r="BS28" s="4927"/>
      <c r="BT28" s="4928"/>
      <c r="BU28" s="4929"/>
      <c r="BV28" s="4947"/>
      <c r="BW28" s="4947"/>
      <c r="BX28" s="4947"/>
      <c r="BY28" s="1140"/>
      <c r="BZ28" s="1141" t="s">
        <v>745</v>
      </c>
      <c r="CA28" s="1142"/>
      <c r="CB28" s="4950"/>
      <c r="CC28" s="4950"/>
      <c r="CD28" s="4951"/>
      <c r="CE28" s="1085"/>
      <c r="CF28" s="4986"/>
      <c r="CG28" s="4989"/>
      <c r="CH28" s="1143"/>
      <c r="CI28" s="1144" t="s">
        <v>744</v>
      </c>
      <c r="CJ28" s="1145"/>
      <c r="CK28" s="1146"/>
      <c r="CL28" s="1147" t="s">
        <v>744</v>
      </c>
      <c r="CM28" s="1148"/>
      <c r="CN28" s="4932"/>
      <c r="CO28" s="4933"/>
      <c r="CP28" s="4934"/>
      <c r="CQ28" s="1122"/>
    </row>
    <row r="29" spans="1:95" ht="12.75" customHeight="1">
      <c r="A29" s="1410"/>
      <c r="B29" s="1410"/>
      <c r="C29" s="1410"/>
      <c r="D29" s="1410"/>
      <c r="E29" s="1410"/>
      <c r="F29" s="1410"/>
      <c r="G29" s="1410"/>
      <c r="H29" s="1410"/>
      <c r="I29" s="1410"/>
      <c r="J29" s="1410"/>
      <c r="K29" s="1410"/>
      <c r="L29" s="1410"/>
      <c r="M29" s="1410"/>
      <c r="N29" s="1410"/>
      <c r="O29" s="1410"/>
      <c r="P29" s="1410"/>
      <c r="Q29" s="1410"/>
      <c r="R29" s="1410"/>
      <c r="S29" s="1410"/>
      <c r="T29" s="1410"/>
      <c r="U29" s="1410"/>
      <c r="V29" s="1410"/>
      <c r="W29" s="1410"/>
      <c r="X29" s="1410"/>
      <c r="Y29" s="1410"/>
      <c r="Z29" s="1410"/>
      <c r="AA29" s="1410"/>
      <c r="AB29" s="1410"/>
      <c r="AC29" s="1084"/>
      <c r="AD29" s="4896"/>
      <c r="AE29" s="4899"/>
      <c r="AF29" s="4889" t="s">
        <v>20</v>
      </c>
      <c r="AG29" s="4890"/>
      <c r="AH29" s="4891" t="s">
        <v>721</v>
      </c>
      <c r="AI29" s="4892"/>
      <c r="AJ29" s="4893" t="s">
        <v>355</v>
      </c>
      <c r="AK29" s="4894"/>
      <c r="AL29" s="4877"/>
      <c r="AM29" s="4878"/>
      <c r="AN29" s="4879"/>
      <c r="AO29" s="1149"/>
      <c r="AP29" s="1150"/>
      <c r="AQ29" s="1151"/>
      <c r="AR29" s="1152"/>
      <c r="AS29" s="1153"/>
      <c r="AT29" s="1154"/>
      <c r="AU29" s="1152"/>
      <c r="AV29" s="1153"/>
      <c r="AW29" s="1154"/>
      <c r="AX29" s="1152"/>
      <c r="AY29" s="1153"/>
      <c r="AZ29" s="1154"/>
      <c r="BA29" s="1155"/>
      <c r="BB29" s="1156"/>
      <c r="BC29" s="1157"/>
      <c r="BD29" s="4886"/>
      <c r="BE29" s="4887"/>
      <c r="BF29" s="4888"/>
      <c r="BG29" s="5028"/>
      <c r="BH29" s="5029"/>
      <c r="BI29" s="5030"/>
      <c r="BJ29" s="1158"/>
      <c r="BK29" s="1159"/>
      <c r="BL29" s="1160"/>
      <c r="BM29" s="1085"/>
      <c r="BN29" s="4919"/>
      <c r="BO29" s="4922"/>
      <c r="BP29" s="4935" t="s">
        <v>20</v>
      </c>
      <c r="BQ29" s="4937" t="s">
        <v>356</v>
      </c>
      <c r="BR29" s="4939" t="s">
        <v>355</v>
      </c>
      <c r="BS29" s="4941" t="s">
        <v>20</v>
      </c>
      <c r="BT29" s="4937" t="s">
        <v>356</v>
      </c>
      <c r="BU29" s="4939" t="s">
        <v>355</v>
      </c>
      <c r="BV29" s="4941" t="s">
        <v>20</v>
      </c>
      <c r="BW29" s="4937" t="s">
        <v>356</v>
      </c>
      <c r="BX29" s="4939" t="s">
        <v>355</v>
      </c>
      <c r="BY29" s="4941" t="s">
        <v>20</v>
      </c>
      <c r="BZ29" s="4937" t="s">
        <v>356</v>
      </c>
      <c r="CA29" s="4939" t="s">
        <v>355</v>
      </c>
      <c r="CB29" s="4941" t="s">
        <v>20</v>
      </c>
      <c r="CC29" s="4937" t="s">
        <v>356</v>
      </c>
      <c r="CD29" s="4953" t="s">
        <v>355</v>
      </c>
      <c r="CE29" s="1085"/>
      <c r="CF29" s="4986"/>
      <c r="CG29" s="4989"/>
      <c r="CH29" s="4944" t="s">
        <v>20</v>
      </c>
      <c r="CI29" s="4907" t="s">
        <v>356</v>
      </c>
      <c r="CJ29" s="4911" t="s">
        <v>355</v>
      </c>
      <c r="CK29" s="4913" t="s">
        <v>20</v>
      </c>
      <c r="CL29" s="4907" t="s">
        <v>356</v>
      </c>
      <c r="CM29" s="4911" t="s">
        <v>355</v>
      </c>
      <c r="CN29" s="4913" t="s">
        <v>20</v>
      </c>
      <c r="CO29" s="4907" t="s">
        <v>356</v>
      </c>
      <c r="CP29" s="4909" t="s">
        <v>355</v>
      </c>
      <c r="CQ29" s="1122"/>
    </row>
    <row r="30" spans="1:95" ht="12.75" customHeight="1" thickBot="1">
      <c r="A30" s="1410"/>
      <c r="B30" s="1410"/>
      <c r="C30" s="1410"/>
      <c r="D30" s="1410"/>
      <c r="E30" s="1410"/>
      <c r="F30" s="1410"/>
      <c r="G30" s="1410"/>
      <c r="H30" s="1410"/>
      <c r="I30" s="1410"/>
      <c r="J30" s="1410"/>
      <c r="K30" s="1410"/>
      <c r="L30" s="1410"/>
      <c r="M30" s="1410"/>
      <c r="N30" s="1410"/>
      <c r="O30" s="1410"/>
      <c r="P30" s="1410"/>
      <c r="Q30" s="1410"/>
      <c r="R30" s="1410"/>
      <c r="S30" s="1410"/>
      <c r="T30" s="1410"/>
      <c r="U30" s="1410"/>
      <c r="V30" s="1410"/>
      <c r="W30" s="1410"/>
      <c r="X30" s="1410"/>
      <c r="Y30" s="1410"/>
      <c r="Z30" s="1410"/>
      <c r="AA30" s="1410"/>
      <c r="AB30" s="1410"/>
      <c r="AC30" s="1084"/>
      <c r="AD30" s="4897"/>
      <c r="AE30" s="4900"/>
      <c r="AF30" s="1161" t="s">
        <v>411</v>
      </c>
      <c r="AG30" s="1162" t="s">
        <v>730</v>
      </c>
      <c r="AH30" s="1163" t="s">
        <v>411</v>
      </c>
      <c r="AI30" s="1162" t="s">
        <v>730</v>
      </c>
      <c r="AJ30" s="1163" t="s">
        <v>411</v>
      </c>
      <c r="AK30" s="1164" t="s">
        <v>730</v>
      </c>
      <c r="AL30" s="1165" t="s">
        <v>20</v>
      </c>
      <c r="AM30" s="1166" t="s">
        <v>356</v>
      </c>
      <c r="AN30" s="1167" t="s">
        <v>355</v>
      </c>
      <c r="AO30" s="1168" t="s">
        <v>20</v>
      </c>
      <c r="AP30" s="1166" t="s">
        <v>356</v>
      </c>
      <c r="AQ30" s="1169" t="s">
        <v>355</v>
      </c>
      <c r="AR30" s="1170" t="s">
        <v>20</v>
      </c>
      <c r="AS30" s="1171" t="s">
        <v>356</v>
      </c>
      <c r="AT30" s="1172" t="s">
        <v>355</v>
      </c>
      <c r="AU30" s="1170" t="s">
        <v>20</v>
      </c>
      <c r="AV30" s="1171" t="s">
        <v>356</v>
      </c>
      <c r="AW30" s="1172" t="s">
        <v>355</v>
      </c>
      <c r="AX30" s="1170" t="s">
        <v>20</v>
      </c>
      <c r="AY30" s="1171" t="s">
        <v>356</v>
      </c>
      <c r="AZ30" s="1172" t="s">
        <v>355</v>
      </c>
      <c r="BA30" s="1173" t="s">
        <v>20</v>
      </c>
      <c r="BB30" s="1174" t="s">
        <v>356</v>
      </c>
      <c r="BC30" s="1167" t="s">
        <v>355</v>
      </c>
      <c r="BD30" s="1173" t="s">
        <v>20</v>
      </c>
      <c r="BE30" s="1166" t="s">
        <v>356</v>
      </c>
      <c r="BF30" s="1167" t="s">
        <v>355</v>
      </c>
      <c r="BG30" s="1170" t="s">
        <v>20</v>
      </c>
      <c r="BH30" s="1171" t="s">
        <v>356</v>
      </c>
      <c r="BI30" s="1175" t="s">
        <v>355</v>
      </c>
      <c r="BJ30" s="1176" t="s">
        <v>20</v>
      </c>
      <c r="BK30" s="1177" t="s">
        <v>356</v>
      </c>
      <c r="BL30" s="1178" t="s">
        <v>355</v>
      </c>
      <c r="BM30" s="1085"/>
      <c r="BN30" s="4920"/>
      <c r="BO30" s="4923"/>
      <c r="BP30" s="4936"/>
      <c r="BQ30" s="4938"/>
      <c r="BR30" s="4940"/>
      <c r="BS30" s="4942"/>
      <c r="BT30" s="4943"/>
      <c r="BU30" s="4940"/>
      <c r="BV30" s="4942"/>
      <c r="BW30" s="4943"/>
      <c r="BX30" s="4940"/>
      <c r="BY30" s="4942"/>
      <c r="BZ30" s="4943"/>
      <c r="CA30" s="4940"/>
      <c r="CB30" s="4942"/>
      <c r="CC30" s="4943"/>
      <c r="CD30" s="4954"/>
      <c r="CE30" s="1085"/>
      <c r="CF30" s="4987"/>
      <c r="CG30" s="4990"/>
      <c r="CH30" s="4945"/>
      <c r="CI30" s="4952"/>
      <c r="CJ30" s="4912"/>
      <c r="CK30" s="4914"/>
      <c r="CL30" s="4908"/>
      <c r="CM30" s="4912"/>
      <c r="CN30" s="4914"/>
      <c r="CO30" s="4908"/>
      <c r="CP30" s="4910"/>
      <c r="CQ30" s="1122"/>
    </row>
    <row r="31" spans="1:95" ht="12.75" customHeight="1" thickBot="1">
      <c r="A31" s="1410"/>
      <c r="B31" s="1410"/>
      <c r="C31" s="1410"/>
      <c r="D31" s="1410"/>
      <c r="E31" s="1410"/>
      <c r="F31" s="1410"/>
      <c r="G31" s="1410"/>
      <c r="H31" s="1410"/>
      <c r="I31" s="1410"/>
      <c r="J31" s="1410"/>
      <c r="K31" s="1410"/>
      <c r="L31" s="1410"/>
      <c r="M31" s="1410"/>
      <c r="N31" s="1410"/>
      <c r="O31" s="1410"/>
      <c r="P31" s="1410"/>
      <c r="Q31" s="1410"/>
      <c r="R31" s="1410"/>
      <c r="S31" s="1410"/>
      <c r="T31" s="1410"/>
      <c r="U31" s="1410"/>
      <c r="V31" s="1410"/>
      <c r="W31" s="1410"/>
      <c r="X31" s="1410"/>
      <c r="Y31" s="1410"/>
      <c r="Z31" s="1410"/>
      <c r="AA31" s="1410"/>
      <c r="AB31" s="1410"/>
      <c r="AC31" s="1179">
        <f>'الصفحة 1'!$Q$14</f>
        <v>4300</v>
      </c>
      <c r="AD31" s="1312"/>
      <c r="AE31" s="1313"/>
      <c r="AF31" s="1287">
        <f>(IF(($AC31&gt;=0),('الصفحة 7'!$O$26),""))</f>
        <v>173</v>
      </c>
      <c r="AG31" s="1288">
        <f>(IF(($AC31&gt;=0),('الصفحة 7'!$O$42),""))</f>
        <v>26</v>
      </c>
      <c r="AH31" s="1289">
        <f>(IF(($AC31&gt;=0),('الصفحة 7'!$O$27),""))</f>
        <v>85</v>
      </c>
      <c r="AI31" s="1290">
        <f>(IF(($AC31&gt;=0),('الصفحة 7'!$O$43),""))</f>
        <v>4</v>
      </c>
      <c r="AJ31" s="1291">
        <f>(IF(($AC31&gt;=0),(AF31-AH31),0))</f>
        <v>88</v>
      </c>
      <c r="AK31" s="1288">
        <f>(IF(($AC31&gt;=0),(AG31-AI31),0))</f>
        <v>22</v>
      </c>
      <c r="AL31" s="1287">
        <f>(IF(($AC31&gt;=0),('الصفحة 6'!$O$13),""))</f>
        <v>195</v>
      </c>
      <c r="AM31" s="1292">
        <f>(IF(($AC31&gt;=0),('الصفحة 6'!$O$14),""))</f>
        <v>90</v>
      </c>
      <c r="AN31" s="1293">
        <f>(IF(($AC31&gt;=0),(AL31-AM31),0))</f>
        <v>105</v>
      </c>
      <c r="AO31" s="1294">
        <f>(IF(($AC31&gt;=0),(((AF31-AG31)/(AL31+0.00001))*100),0))</f>
        <v>75.38461151873787</v>
      </c>
      <c r="AP31" s="1295">
        <f>(IF(($AC31&gt;=0),(((AH31-AI31)/(AM31+0.00001))*100),0))</f>
        <v>89.999990000001105</v>
      </c>
      <c r="AQ31" s="1296">
        <f>(IF(($AC31&gt;=0),(((AJ31-AK31)/(AN31+0.00001))*100),0))</f>
        <v>62.857136870748867</v>
      </c>
      <c r="AR31" s="1297">
        <f>(IF(($AC31&gt;=0),('الصفحة 7'!$O$30-'الصفحة 7'!$O$46),0))</f>
        <v>8</v>
      </c>
      <c r="AS31" s="1298">
        <f>(IF(($AC31&gt;=0),('الصفحة 7'!$O$31-'الصفحة 7'!$O$47),0))</f>
        <v>5</v>
      </c>
      <c r="AT31" s="1299">
        <f>(IF(($AC31&gt;=0),(AR31-AS31),0))</f>
        <v>3</v>
      </c>
      <c r="AU31" s="1287">
        <f>(IF(($AC31&gt;=0),('الصفحة 6'!$O$46),""))</f>
        <v>0</v>
      </c>
      <c r="AV31" s="1292">
        <f>(IF(($AC31&gt;=0),('الصفحة 6'!$O$47),""))</f>
        <v>0</v>
      </c>
      <c r="AW31" s="1288">
        <f>(IF(($AC31&gt;=0),(AU31-AV31),0))</f>
        <v>0</v>
      </c>
      <c r="AX31" s="1300">
        <f>(IF(($AC31&gt;=0),(AR31+AU31),0))</f>
        <v>8</v>
      </c>
      <c r="AY31" s="1301">
        <f>(IF(($AC31&gt;=0),(AS31+AV31),0))</f>
        <v>5</v>
      </c>
      <c r="AZ31" s="1302">
        <f>(IF(($AC31&gt;=0),(AX31-AY31),0))</f>
        <v>3</v>
      </c>
      <c r="BA31" s="1300">
        <f>(IF(($AC31&gt;=0),('الصفحة 6'!$O$17),""))</f>
        <v>61</v>
      </c>
      <c r="BB31" s="1301">
        <f>(IF(($AC31&gt;=0),('الصفحة 6'!$O$18),""))</f>
        <v>31</v>
      </c>
      <c r="BC31" s="1303">
        <f>(IF(($AC31&gt;=0),(BA31-BB31),0))</f>
        <v>30</v>
      </c>
      <c r="BD31" s="1300">
        <f>(IF(($AC31&gt;=0),(BA31),0))</f>
        <v>61</v>
      </c>
      <c r="BE31" s="1301">
        <f>(IF(($AC31&gt;=0),(BB31),0))</f>
        <v>31</v>
      </c>
      <c r="BF31" s="1302">
        <f>(IF(($AC31&gt;=0),(BD31-BE31),0))</f>
        <v>30</v>
      </c>
      <c r="BG31" s="1304">
        <f>(IF(($AC31&gt;=0),(((AL31-BD31)+(AX31))),0))</f>
        <v>142</v>
      </c>
      <c r="BH31" s="1305">
        <f>(IF(($AC31&gt;=0),(((AM31-BE31)+(AY31))),0))</f>
        <v>64</v>
      </c>
      <c r="BI31" s="1306">
        <f>(IF(($AC31&gt;=0),(BG31-BH31),0))</f>
        <v>78</v>
      </c>
      <c r="BJ31" s="1294">
        <f>(IF(($AC31&gt;=0),(((AF31-AG31)/(BG31+0.00001))*100),0))</f>
        <v>103.52111947034371</v>
      </c>
      <c r="BK31" s="1295">
        <f>(IF(($AC31&gt;=0),(((AH31-AI31)/(BH31+0.00001))*100),0))</f>
        <v>126.56248022461244</v>
      </c>
      <c r="BL31" s="1307">
        <f>(IF(($AC31&gt;=0),(((AJ31-AK31)/(BI31+0.00001))*100),0))</f>
        <v>84.615373767259769</v>
      </c>
      <c r="BM31" s="1308"/>
      <c r="BN31" s="4915"/>
      <c r="BO31" s="4916"/>
      <c r="BP31" s="1287">
        <f>(IF(($AC31&gt;=0),('الصفحة 6'!$O$42),""))</f>
        <v>39</v>
      </c>
      <c r="BQ31" s="1292">
        <f>(IF(($AC31&gt;=0),('الصفحة 6'!$O$43),""))</f>
        <v>6</v>
      </c>
      <c r="BR31" s="1288">
        <f>(IF(($AC31&gt;=0),(BP31-BQ31),0))</f>
        <v>33</v>
      </c>
      <c r="BS31" s="1289">
        <f>(IF(($AC31&gt;=0),('الصفحة 6'!$O$13),""))</f>
        <v>195</v>
      </c>
      <c r="BT31" s="1292">
        <f>(IF(($AC31&gt;=0),('الصفحة 6'!$O$14),""))</f>
        <v>90</v>
      </c>
      <c r="BU31" s="1290">
        <f>(IF(($AC31&gt;=0),(BS31-BT31),0))</f>
        <v>105</v>
      </c>
      <c r="BV31" s="1309">
        <f>(IF(($AC31&gt;=0),((BP31/(BS31+0.00001))*100),0))</f>
        <v>19.999998974359027</v>
      </c>
      <c r="BW31" s="1295">
        <f>(IF(($AC31&gt;=0),((BQ31/(BT31+0.00001))*100),0))</f>
        <v>6.6666659259260079</v>
      </c>
      <c r="BX31" s="1310">
        <f>(IF(($AC31&gt;=0),((BR31/(BU31+0.00001))*100),0))</f>
        <v>31.428568435374434</v>
      </c>
      <c r="BY31" s="1289">
        <f>(IF(($AC31&gt;=0),((AL31-BD31)+(AX31)),0))</f>
        <v>142</v>
      </c>
      <c r="BZ31" s="1292">
        <f>(IF(($AC31&gt;=0),((AM31-BE31)+(AY31)),0))</f>
        <v>64</v>
      </c>
      <c r="CA31" s="1290">
        <f>(IF(($AC31&gt;=0),(BY31-BZ31),0))</f>
        <v>78</v>
      </c>
      <c r="CB31" s="1309">
        <f>(IF(($AC31&gt;=0),((BP31/(BY31+0.00001))*100),0))</f>
        <v>27.464786798254448</v>
      </c>
      <c r="CC31" s="1295">
        <f>(IF(($AC31&gt;=0),((BQ31/(BZ31+0.00001))*100),0))</f>
        <v>9.3749985351564789</v>
      </c>
      <c r="CD31" s="1307">
        <f>(IF(($AC31&gt;=0),((BR31/(CA31+0.00001))*100),0))</f>
        <v>42.307686883629884</v>
      </c>
      <c r="CE31" s="1308"/>
      <c r="CF31" s="4917"/>
      <c r="CG31" s="4916"/>
      <c r="CH31" s="1311">
        <f>(IF(($AC31&gt;=0),(BJ31),0))</f>
        <v>103.52111947034371</v>
      </c>
      <c r="CI31" s="1295">
        <f>(IF(($AC31&gt;=0),(BK31),0))</f>
        <v>126.56248022461244</v>
      </c>
      <c r="CJ31" s="1296">
        <f>(IF(($AC31&gt;=0),(BL31),0))</f>
        <v>84.615373767259769</v>
      </c>
      <c r="CK31" s="1309">
        <f>(IF(($AC31&gt;=0),(CB31),0))</f>
        <v>27.464786798254448</v>
      </c>
      <c r="CL31" s="1295">
        <f>(IF(($AC31&gt;=0),(CC31),0))</f>
        <v>9.3749985351564789</v>
      </c>
      <c r="CM31" s="1310">
        <f>(IF(($AC31&gt;=0),(CD31),0))</f>
        <v>42.307686883629884</v>
      </c>
      <c r="CN31" s="1309">
        <f>IF(($AC31&gt;=0),((IF((CH31&gt;0),(((100)-((CH31)+(CK31)+0.00001))),0))),(0))</f>
        <v>-30.985916268598146</v>
      </c>
      <c r="CO31" s="1295">
        <f>IF(($AC31&gt;=0),((IF((CI31&gt;0),(((100)-((CI31)+(CL31)+0.00001))),0))),(0))</f>
        <v>-35.937488759768911</v>
      </c>
      <c r="CP31" s="1307">
        <f>IF(($AC31&gt;=0),((IF((CJ31&gt;0),(((100)-((CJ31)+(CM31)+0.00001))),0))),(0))</f>
        <v>-26.923070650889656</v>
      </c>
      <c r="CQ31" s="1122"/>
    </row>
    <row r="32" spans="1:95" ht="12.75" customHeight="1">
      <c r="A32" s="1410"/>
      <c r="B32" s="1410"/>
      <c r="C32" s="1410"/>
      <c r="D32" s="1410"/>
      <c r="E32" s="1410"/>
      <c r="F32" s="1410"/>
      <c r="G32" s="1410"/>
      <c r="H32" s="1410"/>
      <c r="I32" s="1410"/>
      <c r="J32" s="1410"/>
      <c r="K32" s="1410"/>
      <c r="L32" s="1410"/>
      <c r="M32" s="1410"/>
      <c r="N32" s="1410"/>
      <c r="O32" s="1410"/>
      <c r="P32" s="1410"/>
      <c r="Q32" s="1410"/>
      <c r="R32" s="1410"/>
      <c r="S32" s="1410"/>
      <c r="T32" s="1410"/>
      <c r="U32" s="1410"/>
      <c r="V32" s="1410"/>
      <c r="W32" s="1410"/>
      <c r="X32" s="1410"/>
      <c r="Y32" s="1410"/>
      <c r="Z32" s="1410"/>
      <c r="AA32" s="1410"/>
      <c r="AB32" s="1410"/>
      <c r="AC32" s="1084"/>
      <c r="AD32" s="1085"/>
      <c r="AE32" s="1085"/>
      <c r="AF32" s="1085"/>
      <c r="AG32" s="1085"/>
      <c r="AH32" s="1085"/>
      <c r="AI32" s="1085"/>
      <c r="AJ32" s="1085"/>
      <c r="AK32" s="1085"/>
      <c r="AL32" s="1085"/>
      <c r="AM32" s="1085"/>
      <c r="AN32" s="1085"/>
      <c r="AO32" s="1085"/>
      <c r="AP32" s="1085"/>
      <c r="AQ32" s="1085"/>
      <c r="AR32" s="1085"/>
      <c r="AS32" s="1085"/>
      <c r="AT32" s="1085"/>
      <c r="AU32" s="1085"/>
      <c r="AV32" s="1085"/>
      <c r="AW32" s="1085"/>
      <c r="AX32" s="1085"/>
      <c r="AY32" s="1085"/>
      <c r="AZ32" s="1085"/>
      <c r="BA32" s="1085"/>
      <c r="BB32" s="1085"/>
      <c r="BC32" s="1085"/>
      <c r="BD32" s="1085"/>
      <c r="BE32" s="1085"/>
      <c r="BF32" s="1085"/>
      <c r="BG32" s="1085"/>
      <c r="BH32" s="1085"/>
      <c r="BI32" s="1085"/>
      <c r="BJ32" s="1085"/>
      <c r="BK32" s="1085"/>
      <c r="BL32" s="1085"/>
      <c r="BM32" s="1085"/>
      <c r="BN32" s="1085"/>
      <c r="BO32" s="1085"/>
      <c r="BP32" s="1085"/>
      <c r="BQ32" s="1085"/>
      <c r="BR32" s="1085"/>
      <c r="BS32" s="1085"/>
      <c r="BT32" s="1085"/>
      <c r="BU32" s="1085"/>
      <c r="BV32" s="1085"/>
      <c r="BW32" s="1085"/>
      <c r="BX32" s="1085"/>
      <c r="BY32" s="1085"/>
      <c r="BZ32" s="1085"/>
      <c r="CA32" s="1085"/>
      <c r="CB32" s="1085"/>
      <c r="CC32" s="1085"/>
      <c r="CD32" s="1085"/>
      <c r="CE32" s="1085"/>
      <c r="CF32" s="1085"/>
      <c r="CG32" s="1085"/>
      <c r="CH32" s="1085"/>
      <c r="CI32" s="1085"/>
      <c r="CJ32" s="1085"/>
      <c r="CK32" s="1085"/>
      <c r="CL32" s="1085"/>
      <c r="CM32" s="1085"/>
      <c r="CN32" s="1085"/>
      <c r="CO32" s="1085"/>
      <c r="CP32" s="1085"/>
      <c r="CQ32" s="1085"/>
    </row>
    <row r="33" spans="1:95" ht="15.75" customHeight="1" thickBot="1">
      <c r="A33" s="1410"/>
      <c r="B33" s="1410"/>
      <c r="C33" s="1410"/>
      <c r="D33" s="1410"/>
      <c r="E33" s="1410"/>
      <c r="F33" s="1410"/>
      <c r="G33" s="1410"/>
      <c r="H33" s="1410"/>
      <c r="I33" s="1410"/>
      <c r="J33" s="1410"/>
      <c r="K33" s="1410"/>
      <c r="L33" s="1410"/>
      <c r="M33" s="1410"/>
      <c r="N33" s="1410"/>
      <c r="O33" s="1410"/>
      <c r="P33" s="1410"/>
      <c r="Q33" s="1410"/>
      <c r="R33" s="1410"/>
      <c r="S33" s="1410"/>
      <c r="T33" s="1410"/>
      <c r="U33" s="1410"/>
      <c r="V33" s="1410"/>
      <c r="W33" s="1410"/>
      <c r="X33" s="1410"/>
      <c r="Y33" s="1410"/>
      <c r="Z33" s="1410"/>
      <c r="AA33" s="1410"/>
      <c r="AB33" s="1410"/>
      <c r="AC33" s="1084"/>
      <c r="AD33" s="1094" t="s">
        <v>743</v>
      </c>
      <c r="AE33" s="1087"/>
      <c r="AF33" s="1088"/>
      <c r="AG33" s="1088"/>
      <c r="AH33" s="1088"/>
      <c r="AI33" s="1088"/>
      <c r="AJ33" s="1088"/>
      <c r="AK33" s="1088"/>
      <c r="AL33" s="1088"/>
      <c r="AM33" s="1088"/>
      <c r="AN33" s="1088"/>
      <c r="AO33" s="1088"/>
      <c r="AP33" s="1088"/>
      <c r="AQ33" s="1088"/>
      <c r="AR33" s="1089" t="s">
        <v>473</v>
      </c>
      <c r="AS33" s="1090"/>
      <c r="AT33" s="1090"/>
      <c r="AU33" s="1092" t="s">
        <v>474</v>
      </c>
      <c r="AV33" s="1180"/>
      <c r="AW33" s="1180"/>
      <c r="AX33" s="1088"/>
      <c r="AY33" s="1088"/>
      <c r="AZ33" s="1088"/>
      <c r="BA33" s="1092" t="s">
        <v>474</v>
      </c>
      <c r="BB33" s="1180"/>
      <c r="BC33" s="1180"/>
      <c r="BD33" s="1088"/>
      <c r="BE33" s="1088"/>
      <c r="BF33" s="1088"/>
      <c r="BG33" s="1088"/>
      <c r="BH33" s="1088"/>
      <c r="BI33" s="1088"/>
      <c r="BJ33" s="1088"/>
      <c r="BK33" s="1088"/>
      <c r="BL33" s="1088"/>
      <c r="BM33" s="1093"/>
      <c r="BN33" s="1094" t="s">
        <v>742</v>
      </c>
      <c r="BO33" s="1087"/>
      <c r="BP33" s="1088"/>
      <c r="BQ33" s="1088"/>
      <c r="BR33" s="1088"/>
      <c r="BS33" s="1088"/>
      <c r="BT33" s="1088"/>
      <c r="BU33" s="1088"/>
      <c r="BV33" s="1088"/>
      <c r="BW33" s="1088"/>
      <c r="BX33" s="1088"/>
      <c r="BY33" s="1088"/>
      <c r="BZ33" s="1088"/>
      <c r="CA33" s="1088"/>
      <c r="CB33" s="1088"/>
      <c r="CC33" s="1091"/>
      <c r="CD33" s="1091"/>
      <c r="CE33" s="1093"/>
      <c r="CF33" s="1094" t="s">
        <v>741</v>
      </c>
      <c r="CG33" s="1087"/>
      <c r="CH33" s="1088"/>
      <c r="CI33" s="1088"/>
      <c r="CJ33" s="1088"/>
      <c r="CK33" s="1088"/>
      <c r="CL33" s="1088"/>
      <c r="CM33" s="1088"/>
      <c r="CN33" s="1088"/>
      <c r="CO33" s="1088"/>
      <c r="CP33" s="1088"/>
      <c r="CQ33" s="1095"/>
    </row>
    <row r="34" spans="1:95" ht="12.75" customHeight="1">
      <c r="A34" s="1410"/>
      <c r="B34" s="1410"/>
      <c r="C34" s="1410"/>
      <c r="D34" s="1410"/>
      <c r="E34" s="1410"/>
      <c r="F34" s="1410"/>
      <c r="G34" s="1410"/>
      <c r="H34" s="1410"/>
      <c r="I34" s="1410"/>
      <c r="J34" s="1410"/>
      <c r="K34" s="1410"/>
      <c r="L34" s="1410"/>
      <c r="M34" s="1410"/>
      <c r="N34" s="1410"/>
      <c r="O34" s="1410"/>
      <c r="P34" s="1410"/>
      <c r="Q34" s="1410"/>
      <c r="R34" s="1410"/>
      <c r="S34" s="1410"/>
      <c r="T34" s="1410"/>
      <c r="U34" s="1410"/>
      <c r="V34" s="1410"/>
      <c r="W34" s="1410"/>
      <c r="X34" s="1410"/>
      <c r="Y34" s="1410"/>
      <c r="Z34" s="1410"/>
      <c r="AA34" s="1410"/>
      <c r="AB34" s="1410"/>
      <c r="AC34" s="1084"/>
      <c r="AD34" s="5014"/>
      <c r="AE34" s="5031" t="str">
        <f>$AE$27</f>
        <v>بلحاتم رابح</v>
      </c>
      <c r="AF34" s="1096"/>
      <c r="AG34" s="4868" t="s">
        <v>740</v>
      </c>
      <c r="AH34" s="4869"/>
      <c r="AI34" s="4869"/>
      <c r="AJ34" s="4869"/>
      <c r="AK34" s="1097"/>
      <c r="AL34" s="4871" t="s">
        <v>478</v>
      </c>
      <c r="AM34" s="4872"/>
      <c r="AN34" s="4873"/>
      <c r="AO34" s="1098"/>
      <c r="AP34" s="1099"/>
      <c r="AQ34" s="1100"/>
      <c r="AR34" s="1101"/>
      <c r="AS34" s="1102" t="s">
        <v>1214</v>
      </c>
      <c r="AT34" s="1103"/>
      <c r="AU34" s="1101"/>
      <c r="AV34" s="1102" t="s">
        <v>725</v>
      </c>
      <c r="AW34" s="1103"/>
      <c r="AX34" s="1101"/>
      <c r="AY34" s="1102"/>
      <c r="AZ34" s="1103"/>
      <c r="BA34" s="1104"/>
      <c r="BB34" s="1105" t="s">
        <v>1216</v>
      </c>
      <c r="BC34" s="1106"/>
      <c r="BD34" s="4880" t="s">
        <v>441</v>
      </c>
      <c r="BE34" s="4881"/>
      <c r="BF34" s="4882"/>
      <c r="BG34" s="5022" t="s">
        <v>436</v>
      </c>
      <c r="BH34" s="5023"/>
      <c r="BI34" s="5024"/>
      <c r="BJ34" s="1107"/>
      <c r="BK34" s="1108"/>
      <c r="BL34" s="1109"/>
      <c r="BM34" s="1085"/>
      <c r="BN34" s="5011"/>
      <c r="BO34" s="4982"/>
      <c r="BP34" s="4955" t="s">
        <v>479</v>
      </c>
      <c r="BQ34" s="4956"/>
      <c r="BR34" s="4956"/>
      <c r="BS34" s="4961" t="s">
        <v>478</v>
      </c>
      <c r="BT34" s="4962"/>
      <c r="BU34" s="4963"/>
      <c r="BV34" s="4956" t="s">
        <v>437</v>
      </c>
      <c r="BW34" s="4956"/>
      <c r="BX34" s="4956"/>
      <c r="BY34" s="4970" t="s">
        <v>436</v>
      </c>
      <c r="BZ34" s="4956"/>
      <c r="CA34" s="4971"/>
      <c r="CB34" s="4976" t="s">
        <v>435</v>
      </c>
      <c r="CC34" s="4976"/>
      <c r="CD34" s="4977"/>
      <c r="CE34" s="1085"/>
      <c r="CF34" s="5011"/>
      <c r="CG34" s="4982"/>
      <c r="CH34" s="4995" t="s">
        <v>739</v>
      </c>
      <c r="CI34" s="4996"/>
      <c r="CJ34" s="4996"/>
      <c r="CK34" s="4999" t="s">
        <v>738</v>
      </c>
      <c r="CL34" s="5000"/>
      <c r="CM34" s="5001"/>
      <c r="CN34" s="4956" t="s">
        <v>722</v>
      </c>
      <c r="CO34" s="4956"/>
      <c r="CP34" s="4993"/>
      <c r="CQ34" s="1122"/>
    </row>
    <row r="35" spans="1:95" ht="12.75" customHeight="1">
      <c r="A35" s="1410"/>
      <c r="B35" s="1410"/>
      <c r="C35" s="1410"/>
      <c r="D35" s="1410"/>
      <c r="E35" s="1410"/>
      <c r="F35" s="1410"/>
      <c r="G35" s="1410"/>
      <c r="H35" s="1410"/>
      <c r="I35" s="1410"/>
      <c r="J35" s="1410"/>
      <c r="K35" s="1410"/>
      <c r="L35" s="1410"/>
      <c r="M35" s="1410"/>
      <c r="N35" s="1410"/>
      <c r="O35" s="1410"/>
      <c r="P35" s="1410"/>
      <c r="Q35" s="1410"/>
      <c r="R35" s="1410"/>
      <c r="S35" s="1410"/>
      <c r="T35" s="1410"/>
      <c r="U35" s="1410"/>
      <c r="V35" s="1410"/>
      <c r="W35" s="1410"/>
      <c r="X35" s="1410"/>
      <c r="Y35" s="1410"/>
      <c r="Z35" s="1410"/>
      <c r="AA35" s="1410"/>
      <c r="AB35" s="1410"/>
      <c r="AC35" s="1084"/>
      <c r="AD35" s="5015"/>
      <c r="AE35" s="5032"/>
      <c r="AF35" s="1123"/>
      <c r="AG35" s="4870"/>
      <c r="AH35" s="4870"/>
      <c r="AI35" s="4870"/>
      <c r="AJ35" s="4870"/>
      <c r="AK35" s="1124"/>
      <c r="AL35" s="4874"/>
      <c r="AM35" s="4875"/>
      <c r="AN35" s="4876"/>
      <c r="AO35" s="1125"/>
      <c r="AP35" s="1126" t="s">
        <v>451</v>
      </c>
      <c r="AQ35" s="1127"/>
      <c r="AR35" s="1128"/>
      <c r="AS35" s="1129" t="s">
        <v>1215</v>
      </c>
      <c r="AT35" s="1130"/>
      <c r="AU35" s="1128"/>
      <c r="AV35" s="1129" t="s">
        <v>1215</v>
      </c>
      <c r="AW35" s="1130"/>
      <c r="AX35" s="1128"/>
      <c r="AY35" s="1129" t="s">
        <v>446</v>
      </c>
      <c r="AZ35" s="1130"/>
      <c r="BA35" s="1131"/>
      <c r="BB35" s="1132" t="s">
        <v>1215</v>
      </c>
      <c r="BC35" s="1133"/>
      <c r="BD35" s="4883"/>
      <c r="BE35" s="4884"/>
      <c r="BF35" s="4885"/>
      <c r="BG35" s="5025"/>
      <c r="BH35" s="5026"/>
      <c r="BI35" s="5027"/>
      <c r="BJ35" s="1134"/>
      <c r="BK35" s="1135" t="s">
        <v>440</v>
      </c>
      <c r="BL35" s="1136"/>
      <c r="BM35" s="1085"/>
      <c r="BN35" s="5012"/>
      <c r="BO35" s="4983"/>
      <c r="BP35" s="4957"/>
      <c r="BQ35" s="4958"/>
      <c r="BR35" s="4958"/>
      <c r="BS35" s="4964"/>
      <c r="BT35" s="4965"/>
      <c r="BU35" s="4966"/>
      <c r="BV35" s="4958"/>
      <c r="BW35" s="4958"/>
      <c r="BX35" s="4958"/>
      <c r="BY35" s="4972"/>
      <c r="BZ35" s="4958"/>
      <c r="CA35" s="4973"/>
      <c r="CB35" s="4978"/>
      <c r="CC35" s="4978"/>
      <c r="CD35" s="4979"/>
      <c r="CE35" s="1085"/>
      <c r="CF35" s="5012"/>
      <c r="CG35" s="4983"/>
      <c r="CH35" s="4997"/>
      <c r="CI35" s="4998"/>
      <c r="CJ35" s="4998"/>
      <c r="CK35" s="5002"/>
      <c r="CL35" s="5003"/>
      <c r="CM35" s="5004"/>
      <c r="CN35" s="4958"/>
      <c r="CO35" s="4958"/>
      <c r="CP35" s="4994"/>
      <c r="CQ35" s="1122"/>
    </row>
    <row r="36" spans="1:95" ht="12.75" customHeight="1">
      <c r="A36" s="1410"/>
      <c r="B36" s="1410"/>
      <c r="C36" s="1410"/>
      <c r="D36" s="1410"/>
      <c r="E36" s="1410"/>
      <c r="F36" s="1410"/>
      <c r="G36" s="1410"/>
      <c r="H36" s="1410"/>
      <c r="I36" s="1410"/>
      <c r="J36" s="1410"/>
      <c r="K36" s="1410"/>
      <c r="L36" s="1410"/>
      <c r="M36" s="1410"/>
      <c r="N36" s="1410"/>
      <c r="O36" s="1410"/>
      <c r="P36" s="1410"/>
      <c r="Q36" s="1410"/>
      <c r="R36" s="1410"/>
      <c r="S36" s="1410"/>
      <c r="T36" s="1410"/>
      <c r="U36" s="1410"/>
      <c r="V36" s="1410"/>
      <c r="W36" s="1410"/>
      <c r="X36" s="1410"/>
      <c r="Y36" s="1410"/>
      <c r="Z36" s="1410"/>
      <c r="AA36" s="1410"/>
      <c r="AB36" s="1410"/>
      <c r="AC36" s="1084"/>
      <c r="AD36" s="5015"/>
      <c r="AE36" s="5032"/>
      <c r="AF36" s="4889" t="s">
        <v>20</v>
      </c>
      <c r="AG36" s="5010"/>
      <c r="AH36" s="4891" t="s">
        <v>721</v>
      </c>
      <c r="AI36" s="4892"/>
      <c r="AJ36" s="4893" t="s">
        <v>355</v>
      </c>
      <c r="AK36" s="4894"/>
      <c r="AL36" s="4877"/>
      <c r="AM36" s="4878"/>
      <c r="AN36" s="4879"/>
      <c r="AO36" s="1181"/>
      <c r="AP36" s="1150"/>
      <c r="AQ36" s="1151"/>
      <c r="AR36" s="1152"/>
      <c r="AS36" s="1153"/>
      <c r="AT36" s="1154"/>
      <c r="AU36" s="1152"/>
      <c r="AV36" s="1153"/>
      <c r="AW36" s="1154"/>
      <c r="AX36" s="1152"/>
      <c r="AY36" s="1153"/>
      <c r="AZ36" s="1154"/>
      <c r="BA36" s="1155"/>
      <c r="BB36" s="1156"/>
      <c r="BC36" s="1157"/>
      <c r="BD36" s="4886"/>
      <c r="BE36" s="4887"/>
      <c r="BF36" s="4888"/>
      <c r="BG36" s="5028"/>
      <c r="BH36" s="5029"/>
      <c r="BI36" s="5030"/>
      <c r="BJ36" s="1158"/>
      <c r="BK36" s="1159"/>
      <c r="BL36" s="1160"/>
      <c r="BM36" s="1085"/>
      <c r="BN36" s="5012"/>
      <c r="BO36" s="4983"/>
      <c r="BP36" s="4959"/>
      <c r="BQ36" s="4960"/>
      <c r="BR36" s="4960"/>
      <c r="BS36" s="4967"/>
      <c r="BT36" s="4968"/>
      <c r="BU36" s="4969"/>
      <c r="BV36" s="4960"/>
      <c r="BW36" s="4960"/>
      <c r="BX36" s="4960"/>
      <c r="BY36" s="4974"/>
      <c r="BZ36" s="4960"/>
      <c r="CA36" s="4975"/>
      <c r="CB36" s="4980"/>
      <c r="CC36" s="4980"/>
      <c r="CD36" s="4981"/>
      <c r="CE36" s="1085"/>
      <c r="CF36" s="5012"/>
      <c r="CG36" s="4983"/>
      <c r="CH36" s="5019" t="s">
        <v>20</v>
      </c>
      <c r="CI36" s="5008" t="s">
        <v>356</v>
      </c>
      <c r="CJ36" s="4991" t="s">
        <v>355</v>
      </c>
      <c r="CK36" s="5006" t="s">
        <v>20</v>
      </c>
      <c r="CL36" s="5008" t="s">
        <v>356</v>
      </c>
      <c r="CM36" s="4991" t="s">
        <v>355</v>
      </c>
      <c r="CN36" s="5006" t="s">
        <v>20</v>
      </c>
      <c r="CO36" s="5008" t="s">
        <v>356</v>
      </c>
      <c r="CP36" s="5017" t="s">
        <v>355</v>
      </c>
      <c r="CQ36" s="1122"/>
    </row>
    <row r="37" spans="1:95" ht="12.75" customHeight="1" thickBot="1">
      <c r="A37" s="1410"/>
      <c r="B37" s="1410"/>
      <c r="C37" s="1410"/>
      <c r="D37" s="1410"/>
      <c r="E37" s="1410"/>
      <c r="F37" s="1410"/>
      <c r="G37" s="1410"/>
      <c r="H37" s="1410"/>
      <c r="I37" s="1410"/>
      <c r="J37" s="1410"/>
      <c r="K37" s="1410"/>
      <c r="L37" s="1410"/>
      <c r="M37" s="1410"/>
      <c r="N37" s="1410"/>
      <c r="O37" s="1410"/>
      <c r="P37" s="1410"/>
      <c r="Q37" s="1410"/>
      <c r="R37" s="1410"/>
      <c r="S37" s="1410"/>
      <c r="T37" s="1410"/>
      <c r="U37" s="1410"/>
      <c r="V37" s="1410"/>
      <c r="W37" s="1410"/>
      <c r="X37" s="1410"/>
      <c r="Y37" s="1410"/>
      <c r="Z37" s="1410"/>
      <c r="AA37" s="1410"/>
      <c r="AB37" s="1410"/>
      <c r="AC37" s="1084"/>
      <c r="AD37" s="5016"/>
      <c r="AE37" s="5033"/>
      <c r="AF37" s="1161" t="s">
        <v>411</v>
      </c>
      <c r="AG37" s="1162" t="s">
        <v>410</v>
      </c>
      <c r="AH37" s="1163" t="s">
        <v>411</v>
      </c>
      <c r="AI37" s="1162" t="s">
        <v>410</v>
      </c>
      <c r="AJ37" s="1163" t="s">
        <v>411</v>
      </c>
      <c r="AK37" s="1164" t="s">
        <v>410</v>
      </c>
      <c r="AL37" s="1165" t="s">
        <v>20</v>
      </c>
      <c r="AM37" s="1166" t="s">
        <v>356</v>
      </c>
      <c r="AN37" s="1167" t="s">
        <v>355</v>
      </c>
      <c r="AO37" s="1168" t="s">
        <v>20</v>
      </c>
      <c r="AP37" s="1166" t="s">
        <v>356</v>
      </c>
      <c r="AQ37" s="1169" t="s">
        <v>355</v>
      </c>
      <c r="AR37" s="1170" t="s">
        <v>20</v>
      </c>
      <c r="AS37" s="1171" t="s">
        <v>356</v>
      </c>
      <c r="AT37" s="1172" t="s">
        <v>355</v>
      </c>
      <c r="AU37" s="1170" t="s">
        <v>20</v>
      </c>
      <c r="AV37" s="1171" t="s">
        <v>356</v>
      </c>
      <c r="AW37" s="1172" t="s">
        <v>355</v>
      </c>
      <c r="AX37" s="1170" t="s">
        <v>20</v>
      </c>
      <c r="AY37" s="1171" t="s">
        <v>356</v>
      </c>
      <c r="AZ37" s="1172" t="s">
        <v>355</v>
      </c>
      <c r="BA37" s="1173" t="s">
        <v>20</v>
      </c>
      <c r="BB37" s="1174" t="s">
        <v>356</v>
      </c>
      <c r="BC37" s="1167" t="s">
        <v>355</v>
      </c>
      <c r="BD37" s="1173" t="s">
        <v>20</v>
      </c>
      <c r="BE37" s="1166" t="s">
        <v>356</v>
      </c>
      <c r="BF37" s="1167" t="s">
        <v>355</v>
      </c>
      <c r="BG37" s="1170" t="s">
        <v>20</v>
      </c>
      <c r="BH37" s="1171" t="s">
        <v>356</v>
      </c>
      <c r="BI37" s="1175" t="s">
        <v>355</v>
      </c>
      <c r="BJ37" s="1176" t="s">
        <v>20</v>
      </c>
      <c r="BK37" s="1177" t="s">
        <v>356</v>
      </c>
      <c r="BL37" s="1178" t="s">
        <v>355</v>
      </c>
      <c r="BM37" s="1085"/>
      <c r="BN37" s="5013"/>
      <c r="BO37" s="4984"/>
      <c r="BP37" s="1182" t="s">
        <v>20</v>
      </c>
      <c r="BQ37" s="1183" t="s">
        <v>356</v>
      </c>
      <c r="BR37" s="1184" t="s">
        <v>355</v>
      </c>
      <c r="BS37" s="1185" t="s">
        <v>20</v>
      </c>
      <c r="BT37" s="1183" t="s">
        <v>356</v>
      </c>
      <c r="BU37" s="1186" t="s">
        <v>355</v>
      </c>
      <c r="BV37" s="1187" t="s">
        <v>20</v>
      </c>
      <c r="BW37" s="1183" t="s">
        <v>356</v>
      </c>
      <c r="BX37" s="1184" t="s">
        <v>355</v>
      </c>
      <c r="BY37" s="1188" t="s">
        <v>20</v>
      </c>
      <c r="BZ37" s="1183" t="s">
        <v>356</v>
      </c>
      <c r="CA37" s="1186" t="s">
        <v>355</v>
      </c>
      <c r="CB37" s="1187" t="s">
        <v>20</v>
      </c>
      <c r="CC37" s="1183" t="s">
        <v>356</v>
      </c>
      <c r="CD37" s="1189" t="s">
        <v>355</v>
      </c>
      <c r="CE37" s="1085"/>
      <c r="CF37" s="5013"/>
      <c r="CG37" s="4984"/>
      <c r="CH37" s="5020"/>
      <c r="CI37" s="5021"/>
      <c r="CJ37" s="4992"/>
      <c r="CK37" s="5007"/>
      <c r="CL37" s="5009"/>
      <c r="CM37" s="4992"/>
      <c r="CN37" s="5007"/>
      <c r="CO37" s="5009"/>
      <c r="CP37" s="5018"/>
      <c r="CQ37" s="1122"/>
    </row>
    <row r="38" spans="1:95" ht="12.75" customHeight="1" thickBot="1">
      <c r="A38" s="1410"/>
      <c r="B38" s="1410"/>
      <c r="C38" s="1410"/>
      <c r="D38" s="1410"/>
      <c r="E38" s="1410"/>
      <c r="F38" s="1410"/>
      <c r="G38" s="1410"/>
      <c r="H38" s="1410"/>
      <c r="I38" s="1410"/>
      <c r="J38" s="1410"/>
      <c r="K38" s="1410"/>
      <c r="L38" s="1410"/>
      <c r="M38" s="1410"/>
      <c r="N38" s="1410"/>
      <c r="O38" s="1410"/>
      <c r="P38" s="1410"/>
      <c r="Q38" s="1410"/>
      <c r="R38" s="1410"/>
      <c r="S38" s="1410"/>
      <c r="T38" s="1410"/>
      <c r="U38" s="1410"/>
      <c r="V38" s="1410"/>
      <c r="W38" s="1410"/>
      <c r="X38" s="1410"/>
      <c r="Y38" s="1410"/>
      <c r="Z38" s="1410"/>
      <c r="AA38" s="1410"/>
      <c r="AB38" s="1410"/>
      <c r="AC38" s="1190">
        <f>$AC$31</f>
        <v>4300</v>
      </c>
      <c r="AD38" s="4917"/>
      <c r="AE38" s="5005"/>
      <c r="AF38" s="1287">
        <f>(IF(($AC38&gt;=0),('الصفحة 8'!$O$26),""))</f>
        <v>164</v>
      </c>
      <c r="AG38" s="1288">
        <f>(IF(($AC38&gt;=0),('الصفحة 8'!$O$42),""))</f>
        <v>13</v>
      </c>
      <c r="AH38" s="1289">
        <f>(IF(($AC38&gt;=0),('الصفحة 8'!$O$27),""))</f>
        <v>96</v>
      </c>
      <c r="AI38" s="1290">
        <f>(IF(($AC38&gt;=0),('الصفحة 8'!$O$43),""))</f>
        <v>2</v>
      </c>
      <c r="AJ38" s="1291">
        <f>(IF(($AC38&gt;=0),(AF38-AH38),0))</f>
        <v>68</v>
      </c>
      <c r="AK38" s="1288">
        <f>(IF(($AC38&gt;=0),(AG38-AI38),0))</f>
        <v>11</v>
      </c>
      <c r="AL38" s="1287">
        <f>(IF(($AC38&gt;=0),('الصفحة 7'!$O$13),""))</f>
        <v>193</v>
      </c>
      <c r="AM38" s="1292">
        <f>(IF(($AC38&gt;=0),('الصفحة 7'!$O$14),""))</f>
        <v>88</v>
      </c>
      <c r="AN38" s="1293">
        <f>(IF(($AC38&gt;=0),(AL38-AM38),0))</f>
        <v>105</v>
      </c>
      <c r="AO38" s="1294">
        <f>(IF(($AC38&gt;=0),(((AF38-AG38)/(AL38+0.00001))*100),0))</f>
        <v>78.238337915112027</v>
      </c>
      <c r="AP38" s="1295">
        <f>(IF(($AC38&gt;=0),(((AH38-AI38)/(AM38+0.00001))*100),0))</f>
        <v>106.81816967975344</v>
      </c>
      <c r="AQ38" s="1296">
        <f>(IF(($AC38&gt;=0),(((AJ38-AK38)/(AN38+0.00001))*100),0))</f>
        <v>54.285709115646753</v>
      </c>
      <c r="AR38" s="1297">
        <f>(IF(($AC38&gt;=0),('الصفحة 8'!$O$30-'الصفحة 8'!$O$46),0))</f>
        <v>5</v>
      </c>
      <c r="AS38" s="1298">
        <f>(IF(($AC38&gt;=0),('الصفحة 8'!$O$31-'الصفحة 8'!$O$47),0))</f>
        <v>1</v>
      </c>
      <c r="AT38" s="1299">
        <f>(IF(($AC38&gt;=0),(AR38-AS38),0))</f>
        <v>4</v>
      </c>
      <c r="AU38" s="1287">
        <f>(IF(($AC38&gt;=0),('الصفحة 7'!$O$46),""))</f>
        <v>0</v>
      </c>
      <c r="AV38" s="1292">
        <f>(IF(($AC38&gt;=0),('الصفحة 7'!$O$47),""))</f>
        <v>0</v>
      </c>
      <c r="AW38" s="1288">
        <f>(IF(($AC38&gt;=0),(AU38-AV38),0))</f>
        <v>0</v>
      </c>
      <c r="AX38" s="1300">
        <f>(IF(($AC38&gt;=0),(AR38+AU38),0))</f>
        <v>5</v>
      </c>
      <c r="AY38" s="1301">
        <f>(IF(($AC38&gt;=0),(AS38+AV38),0))</f>
        <v>1</v>
      </c>
      <c r="AZ38" s="1302">
        <f>(IF(($AC38&gt;=0),(AX38-AY38),0))</f>
        <v>4</v>
      </c>
      <c r="BA38" s="1300">
        <f>(IF(($AC38&gt;=0),('الصفحة 7'!$O$17),""))</f>
        <v>0</v>
      </c>
      <c r="BB38" s="1301">
        <f>(IF(($AC38&gt;=0),('الصفحة 7'!$O$18),""))</f>
        <v>0</v>
      </c>
      <c r="BC38" s="1303">
        <f>(IF(($AC38&gt;=0),(BA38-BB38),0))</f>
        <v>0</v>
      </c>
      <c r="BD38" s="1300">
        <f>(IF(($AC38&gt;=0),(BA38),0))</f>
        <v>0</v>
      </c>
      <c r="BE38" s="1301">
        <f>(IF(($AC38&gt;=0),(BB38),0))</f>
        <v>0</v>
      </c>
      <c r="BF38" s="1302">
        <f>(IF(($AC38&gt;=0),(BD38-BE38),0))</f>
        <v>0</v>
      </c>
      <c r="BG38" s="1304">
        <f>(IF(($AC38&gt;=0),(((AL38-BD38)+(AX38))),0))</f>
        <v>198</v>
      </c>
      <c r="BH38" s="1305">
        <f>(IF(($AC38&gt;=0),(((AM38-BE38)+(AY38))),0))</f>
        <v>89</v>
      </c>
      <c r="BI38" s="1306">
        <f>(IF(($AC38&gt;=0),(BG38-BH38),0))</f>
        <v>109</v>
      </c>
      <c r="BJ38" s="1294">
        <f>(IF(($AC38&gt;=0),(((AF38-AG38)/(BG38+0.00001))*100),0))</f>
        <v>76.262622410978665</v>
      </c>
      <c r="BK38" s="1295">
        <f>(IF(($AC38&gt;=0),(((AH38-AI38)/(BH38+0.00001))*100),0))</f>
        <v>105.61796566090274</v>
      </c>
      <c r="BL38" s="1307">
        <f>(IF(($AC38&gt;=0),(((AJ38-AK38)/(BI38+0.00001))*100),0))</f>
        <v>52.293573184075846</v>
      </c>
      <c r="BM38" s="1308"/>
      <c r="BN38" s="4915"/>
      <c r="BO38" s="4916"/>
      <c r="BP38" s="1287">
        <f>(IF(($AC38&gt;=0),('الصفحة 7'!$O$42),""))</f>
        <v>26</v>
      </c>
      <c r="BQ38" s="1292">
        <f>(IF(($AC38&gt;=0),('الصفحة 7'!$O$43),""))</f>
        <v>4</v>
      </c>
      <c r="BR38" s="1288">
        <f>(IF(($AC38&gt;=0),(BP38-BQ38),0))</f>
        <v>22</v>
      </c>
      <c r="BS38" s="1289">
        <f>(IF(($AC38&gt;=0),('الصفحة 7'!$O$13),""))</f>
        <v>193</v>
      </c>
      <c r="BT38" s="1292">
        <f>(IF(($AC38&gt;=0),('الصفحة 7'!$O$14),""))</f>
        <v>88</v>
      </c>
      <c r="BU38" s="1290">
        <f>(IF(($AC38&gt;=0),(BS38-BT38),0))</f>
        <v>105</v>
      </c>
      <c r="BV38" s="1309">
        <f>(IF(($AC38&gt;=0),((BP38/(BS38+0.00001))*100),0))</f>
        <v>13.471501892668295</v>
      </c>
      <c r="BW38" s="1295">
        <f>(IF(($AC38&gt;=0),((BQ38/(BT38+0.00001))*100),0))</f>
        <v>4.5454540289256791</v>
      </c>
      <c r="BX38" s="1310">
        <f>(IF(($AC38&gt;=0),((BR38/(BU38+0.00001))*100),0))</f>
        <v>20.952378956916291</v>
      </c>
      <c r="BY38" s="1289">
        <f>(IF(($AC38&gt;=0),((AL38-BD38)+(AX38)),0))</f>
        <v>198</v>
      </c>
      <c r="BZ38" s="1292">
        <f>(IF(($AC38&gt;=0),((AM38-BE38)+(AY38)),0))</f>
        <v>89</v>
      </c>
      <c r="CA38" s="1290">
        <f>(IF(($AC38&gt;=0),(BY38-BZ38),0))</f>
        <v>109</v>
      </c>
      <c r="CB38" s="1309">
        <f>(IF(($AC38&gt;=0),((BP38/(BY38+0.00001))*100),0))</f>
        <v>13.131312468115533</v>
      </c>
      <c r="CC38" s="1295">
        <f>(IF(($AC38&gt;=0),((BQ38/(BZ38+0.00001))*100),0))</f>
        <v>4.4943815174852224</v>
      </c>
      <c r="CD38" s="1307">
        <f>(IF(($AC38&gt;=0),((BR38/(CA38+0.00001))*100),0))</f>
        <v>20.183484386836295</v>
      </c>
      <c r="CE38" s="1308"/>
      <c r="CF38" s="4917"/>
      <c r="CG38" s="4916"/>
      <c r="CH38" s="1311">
        <f>(IF(($AC38&gt;=0),(BJ38),0))</f>
        <v>76.262622410978665</v>
      </c>
      <c r="CI38" s="1295">
        <f>(IF(($AC38&gt;=0),(BK38),0))</f>
        <v>105.61796566090274</v>
      </c>
      <c r="CJ38" s="1296">
        <f>(IF(($AC38&gt;=0),(BL38),0))</f>
        <v>52.293573184075846</v>
      </c>
      <c r="CK38" s="1309">
        <f>(IF(($AC38&gt;=0),(CB38),0))</f>
        <v>13.131312468115533</v>
      </c>
      <c r="CL38" s="1295">
        <f>(IF(($AC38&gt;=0),(CC38),0))</f>
        <v>4.4943815174852224</v>
      </c>
      <c r="CM38" s="1310">
        <f>(IF(($AC38&gt;=0),(CD38),0))</f>
        <v>20.183484386836295</v>
      </c>
      <c r="CN38" s="1309">
        <f>IF(($AC38&gt;=0),((IF((CH38&gt;0),(((100)-((CH38)+(CK38)+0.00001))),0))),(0))</f>
        <v>10.606055120905793</v>
      </c>
      <c r="CO38" s="1295">
        <f>IF(($AC38&gt;=0),((IF((CI38&gt;0),(((100)-((CI38)+(CL38)+0.00001))),0))),(0))</f>
        <v>-10.112357178387967</v>
      </c>
      <c r="CP38" s="1307">
        <f>IF(($AC38&gt;=0),((IF((CJ38&gt;0),(((100)-((CJ38)+(CM38)+0.00001))),0))),(0))</f>
        <v>27.522932429087859</v>
      </c>
      <c r="CQ38" s="1122"/>
    </row>
    <row r="39" spans="1:95" ht="12.75" customHeight="1">
      <c r="A39" s="1410"/>
      <c r="B39" s="1410"/>
      <c r="C39" s="1410"/>
      <c r="D39" s="1410"/>
      <c r="E39" s="1410"/>
      <c r="F39" s="1410"/>
      <c r="G39" s="1410"/>
      <c r="H39" s="1410"/>
      <c r="I39" s="1410"/>
      <c r="J39" s="1410"/>
      <c r="K39" s="1410"/>
      <c r="L39" s="1410"/>
      <c r="M39" s="1410"/>
      <c r="N39" s="1410"/>
      <c r="O39" s="1410"/>
      <c r="P39" s="1410"/>
      <c r="Q39" s="1410"/>
      <c r="R39" s="1410"/>
      <c r="S39" s="1410"/>
      <c r="T39" s="1410"/>
      <c r="U39" s="1410"/>
      <c r="V39" s="1410"/>
      <c r="W39" s="1410"/>
      <c r="X39" s="1410"/>
      <c r="Y39" s="1410"/>
      <c r="Z39" s="1410"/>
      <c r="AA39" s="1410"/>
      <c r="AB39" s="1410"/>
      <c r="AC39" s="1084"/>
      <c r="AD39" s="1085"/>
      <c r="AE39" s="1085"/>
      <c r="AF39" s="1085"/>
      <c r="AG39" s="1085"/>
      <c r="AH39" s="1085"/>
      <c r="AI39" s="1085"/>
      <c r="AJ39" s="1085"/>
      <c r="AK39" s="1085"/>
      <c r="AL39" s="1085"/>
      <c r="AM39" s="1085"/>
      <c r="AN39" s="1085"/>
      <c r="AO39" s="1085"/>
      <c r="AP39" s="1085"/>
      <c r="AQ39" s="1085"/>
      <c r="AR39" s="1085"/>
      <c r="AS39" s="1085"/>
      <c r="AT39" s="1085"/>
      <c r="AU39" s="1085"/>
      <c r="AV39" s="1085"/>
      <c r="AW39" s="1085"/>
      <c r="AX39" s="1085"/>
      <c r="AY39" s="1085"/>
      <c r="AZ39" s="1085"/>
      <c r="BA39" s="1085"/>
      <c r="BB39" s="1085"/>
      <c r="BC39" s="1085"/>
      <c r="BD39" s="1085"/>
      <c r="BE39" s="1085"/>
      <c r="BF39" s="1085"/>
      <c r="BG39" s="1085"/>
      <c r="BH39" s="1085"/>
      <c r="BI39" s="1085"/>
      <c r="BJ39" s="1085"/>
      <c r="BK39" s="1085"/>
      <c r="BL39" s="1085"/>
      <c r="BM39" s="1085"/>
      <c r="BN39" s="1085"/>
      <c r="BO39" s="1085"/>
      <c r="BP39" s="1085"/>
      <c r="BQ39" s="1085"/>
      <c r="BR39" s="1085"/>
      <c r="BS39" s="1085"/>
      <c r="BT39" s="1085"/>
      <c r="BU39" s="1085"/>
      <c r="BV39" s="1085"/>
      <c r="BW39" s="1085"/>
      <c r="BX39" s="1085"/>
      <c r="BY39" s="1085"/>
      <c r="BZ39" s="1085"/>
      <c r="CA39" s="1085"/>
      <c r="CB39" s="1085"/>
      <c r="CC39" s="1085"/>
      <c r="CD39" s="1085"/>
      <c r="CE39" s="1085"/>
      <c r="CF39" s="1085"/>
      <c r="CG39" s="1085"/>
      <c r="CH39" s="1085"/>
      <c r="CI39" s="1085"/>
      <c r="CJ39" s="1085"/>
      <c r="CK39" s="1085"/>
      <c r="CL39" s="1085"/>
      <c r="CM39" s="1085"/>
      <c r="CN39" s="1085"/>
      <c r="CO39" s="1085"/>
      <c r="CP39" s="1085"/>
      <c r="CQ39" s="1085"/>
    </row>
    <row r="40" spans="1:95" ht="15.75" customHeight="1" thickBot="1">
      <c r="A40" s="1410"/>
      <c r="B40" s="1410"/>
      <c r="C40" s="1410"/>
      <c r="D40" s="1410"/>
      <c r="E40" s="1410"/>
      <c r="F40" s="1410"/>
      <c r="G40" s="1410"/>
      <c r="H40" s="1410"/>
      <c r="I40" s="1410"/>
      <c r="J40" s="1410"/>
      <c r="K40" s="1410"/>
      <c r="L40" s="1410"/>
      <c r="M40" s="1410"/>
      <c r="N40" s="1410"/>
      <c r="O40" s="1410"/>
      <c r="P40" s="1410"/>
      <c r="Q40" s="1410"/>
      <c r="R40" s="1410"/>
      <c r="S40" s="1410"/>
      <c r="T40" s="1410"/>
      <c r="U40" s="1410"/>
      <c r="V40" s="1410"/>
      <c r="W40" s="1410"/>
      <c r="X40" s="1410"/>
      <c r="Y40" s="1410"/>
      <c r="Z40" s="1410"/>
      <c r="AA40" s="1410"/>
      <c r="AB40" s="1410"/>
      <c r="AC40" s="1084"/>
      <c r="AD40" s="1094" t="s">
        <v>737</v>
      </c>
      <c r="AE40" s="1087"/>
      <c r="AF40" s="1088"/>
      <c r="AG40" s="1088"/>
      <c r="AH40" s="1088"/>
      <c r="AI40" s="1088"/>
      <c r="AJ40" s="1088"/>
      <c r="AK40" s="1088"/>
      <c r="AL40" s="1088"/>
      <c r="AM40" s="1088"/>
      <c r="AN40" s="1088"/>
      <c r="AO40" s="1088"/>
      <c r="AP40" s="1088"/>
      <c r="AQ40" s="1088"/>
      <c r="AR40" s="1089" t="s">
        <v>472</v>
      </c>
      <c r="AS40" s="1090"/>
      <c r="AT40" s="1090"/>
      <c r="AU40" s="1092" t="s">
        <v>473</v>
      </c>
      <c r="AV40" s="1180"/>
      <c r="AW40" s="1180"/>
      <c r="AX40" s="1088"/>
      <c r="AY40" s="1088"/>
      <c r="AZ40" s="1088"/>
      <c r="BA40" s="1092" t="s">
        <v>473</v>
      </c>
      <c r="BB40" s="1180"/>
      <c r="BC40" s="1180"/>
      <c r="BD40" s="1088"/>
      <c r="BE40" s="1088"/>
      <c r="BF40" s="1088"/>
      <c r="BG40" s="1088"/>
      <c r="BH40" s="1088"/>
      <c r="BI40" s="1088"/>
      <c r="BJ40" s="1088"/>
      <c r="BK40" s="1088"/>
      <c r="BL40" s="1088"/>
      <c r="BM40" s="1093"/>
      <c r="BN40" s="1094" t="s">
        <v>736</v>
      </c>
      <c r="BO40" s="1087"/>
      <c r="BP40" s="1088"/>
      <c r="BQ40" s="1088"/>
      <c r="BR40" s="1088"/>
      <c r="BS40" s="1088"/>
      <c r="BT40" s="1088"/>
      <c r="BU40" s="1088"/>
      <c r="BV40" s="1088"/>
      <c r="BW40" s="1088"/>
      <c r="BX40" s="1088"/>
      <c r="BY40" s="1088"/>
      <c r="BZ40" s="1088"/>
      <c r="CA40" s="1088"/>
      <c r="CB40" s="1088"/>
      <c r="CC40" s="1091"/>
      <c r="CD40" s="1091"/>
      <c r="CE40" s="1093"/>
      <c r="CF40" s="1094" t="s">
        <v>735</v>
      </c>
      <c r="CG40" s="1087"/>
      <c r="CH40" s="1088"/>
      <c r="CI40" s="1088"/>
      <c r="CJ40" s="1088"/>
      <c r="CK40" s="1088"/>
      <c r="CL40" s="1088"/>
      <c r="CM40" s="1088"/>
      <c r="CN40" s="1088"/>
      <c r="CO40" s="1088"/>
      <c r="CP40" s="1088"/>
      <c r="CQ40" s="1095"/>
    </row>
    <row r="41" spans="1:95" ht="12.75" customHeight="1">
      <c r="A41" s="1410"/>
      <c r="B41" s="1410"/>
      <c r="C41" s="1410"/>
      <c r="D41" s="1410"/>
      <c r="E41" s="1410"/>
      <c r="F41" s="1410"/>
      <c r="G41" s="1410"/>
      <c r="H41" s="1410"/>
      <c r="I41" s="1410"/>
      <c r="J41" s="1410"/>
      <c r="K41" s="1410"/>
      <c r="L41" s="1410"/>
      <c r="M41" s="1410"/>
      <c r="N41" s="1410"/>
      <c r="O41" s="1410"/>
      <c r="P41" s="1410"/>
      <c r="Q41" s="1410"/>
      <c r="R41" s="1410"/>
      <c r="S41" s="1410"/>
      <c r="T41" s="1410"/>
      <c r="U41" s="1410"/>
      <c r="V41" s="1410"/>
      <c r="W41" s="1410"/>
      <c r="X41" s="1410"/>
      <c r="Y41" s="1410"/>
      <c r="Z41" s="1410"/>
      <c r="AA41" s="1410"/>
      <c r="AB41" s="1410"/>
      <c r="AC41" s="1084"/>
      <c r="AD41" s="5014"/>
      <c r="AE41" s="5092" t="str">
        <f>$AE$27</f>
        <v>بلحاتم رابح</v>
      </c>
      <c r="AF41" s="1096"/>
      <c r="AG41" s="4868" t="s">
        <v>734</v>
      </c>
      <c r="AH41" s="4868"/>
      <c r="AI41" s="4868"/>
      <c r="AJ41" s="4868"/>
      <c r="AK41" s="1097"/>
      <c r="AL41" s="4871" t="s">
        <v>455</v>
      </c>
      <c r="AM41" s="4872"/>
      <c r="AN41" s="4873"/>
      <c r="AO41" s="1098"/>
      <c r="AP41" s="1099"/>
      <c r="AQ41" s="1100"/>
      <c r="AR41" s="1101"/>
      <c r="AS41" s="1102" t="s">
        <v>1214</v>
      </c>
      <c r="AT41" s="1103"/>
      <c r="AU41" s="1101"/>
      <c r="AV41" s="1102" t="s">
        <v>725</v>
      </c>
      <c r="AW41" s="1103"/>
      <c r="AX41" s="1101"/>
      <c r="AY41" s="1102"/>
      <c r="AZ41" s="1103"/>
      <c r="BA41" s="1104"/>
      <c r="BB41" s="1105" t="s">
        <v>1216</v>
      </c>
      <c r="BC41" s="1106"/>
      <c r="BD41" s="4880" t="s">
        <v>441</v>
      </c>
      <c r="BE41" s="4881"/>
      <c r="BF41" s="4882"/>
      <c r="BG41" s="5022" t="s">
        <v>436</v>
      </c>
      <c r="BH41" s="5023"/>
      <c r="BI41" s="5024"/>
      <c r="BJ41" s="1191"/>
      <c r="BK41" s="1192"/>
      <c r="BL41" s="1193"/>
      <c r="BM41" s="1085"/>
      <c r="BN41" s="5049"/>
      <c r="BO41" s="5051"/>
      <c r="BP41" s="4955" t="s">
        <v>733</v>
      </c>
      <c r="BQ41" s="4956"/>
      <c r="BR41" s="4971"/>
      <c r="BS41" s="4961" t="s">
        <v>455</v>
      </c>
      <c r="BT41" s="4962"/>
      <c r="BU41" s="4963"/>
      <c r="BV41" s="4970" t="s">
        <v>437</v>
      </c>
      <c r="BW41" s="4956"/>
      <c r="BX41" s="4971"/>
      <c r="BY41" s="4970" t="s">
        <v>436</v>
      </c>
      <c r="BZ41" s="4956"/>
      <c r="CA41" s="4971"/>
      <c r="CB41" s="5044" t="s">
        <v>435</v>
      </c>
      <c r="CC41" s="4976"/>
      <c r="CD41" s="4977"/>
      <c r="CE41" s="1085"/>
      <c r="CF41" s="5049"/>
      <c r="CG41" s="5051"/>
      <c r="CH41" s="4995" t="s">
        <v>732</v>
      </c>
      <c r="CI41" s="4996"/>
      <c r="CJ41" s="5034"/>
      <c r="CK41" s="4999" t="s">
        <v>731</v>
      </c>
      <c r="CL41" s="5000"/>
      <c r="CM41" s="5001"/>
      <c r="CN41" s="4970" t="s">
        <v>722</v>
      </c>
      <c r="CO41" s="4956"/>
      <c r="CP41" s="4993"/>
      <c r="CQ41" s="1122"/>
    </row>
    <row r="42" spans="1:95" ht="12.75" customHeight="1">
      <c r="A42" s="1410"/>
      <c r="B42" s="1410"/>
      <c r="C42" s="1410"/>
      <c r="D42" s="1410"/>
      <c r="E42" s="1410"/>
      <c r="F42" s="1410"/>
      <c r="G42" s="1410"/>
      <c r="H42" s="1410"/>
      <c r="I42" s="1410"/>
      <c r="J42" s="1410"/>
      <c r="K42" s="1410"/>
      <c r="L42" s="1410"/>
      <c r="M42" s="1410"/>
      <c r="N42" s="1410"/>
      <c r="O42" s="1410"/>
      <c r="P42" s="1410"/>
      <c r="Q42" s="1410"/>
      <c r="R42" s="1410"/>
      <c r="S42" s="1410"/>
      <c r="T42" s="1410"/>
      <c r="U42" s="1410"/>
      <c r="V42" s="1410"/>
      <c r="W42" s="1410"/>
      <c r="X42" s="1410"/>
      <c r="Y42" s="1410"/>
      <c r="Z42" s="1410"/>
      <c r="AA42" s="1410"/>
      <c r="AB42" s="1410"/>
      <c r="AC42" s="1084"/>
      <c r="AD42" s="5015"/>
      <c r="AE42" s="5093"/>
      <c r="AF42" s="1123"/>
      <c r="AG42" s="5114"/>
      <c r="AH42" s="5114"/>
      <c r="AI42" s="5114"/>
      <c r="AJ42" s="5114"/>
      <c r="AK42" s="1124"/>
      <c r="AL42" s="4874"/>
      <c r="AM42" s="4875"/>
      <c r="AN42" s="4876"/>
      <c r="AO42" s="1125"/>
      <c r="AP42" s="1126" t="s">
        <v>451</v>
      </c>
      <c r="AQ42" s="1127"/>
      <c r="AR42" s="1128"/>
      <c r="AS42" s="1129" t="s">
        <v>1215</v>
      </c>
      <c r="AT42" s="1130"/>
      <c r="AU42" s="1128"/>
      <c r="AV42" s="1129" t="s">
        <v>1215</v>
      </c>
      <c r="AW42" s="1130"/>
      <c r="AX42" s="1128"/>
      <c r="AY42" s="1129" t="s">
        <v>446</v>
      </c>
      <c r="AZ42" s="1130"/>
      <c r="BA42" s="1131"/>
      <c r="BB42" s="1132" t="s">
        <v>1215</v>
      </c>
      <c r="BC42" s="1133"/>
      <c r="BD42" s="4883"/>
      <c r="BE42" s="4884"/>
      <c r="BF42" s="4885"/>
      <c r="BG42" s="5025"/>
      <c r="BH42" s="5026"/>
      <c r="BI42" s="5027"/>
      <c r="BJ42" s="1194"/>
      <c r="BK42" s="1195" t="s">
        <v>440</v>
      </c>
      <c r="BL42" s="1196"/>
      <c r="BM42" s="1085"/>
      <c r="BN42" s="5012"/>
      <c r="BO42" s="4983"/>
      <c r="BP42" s="4957"/>
      <c r="BQ42" s="4958"/>
      <c r="BR42" s="4973"/>
      <c r="BS42" s="4964"/>
      <c r="BT42" s="4965"/>
      <c r="BU42" s="4966"/>
      <c r="BV42" s="4972"/>
      <c r="BW42" s="4958"/>
      <c r="BX42" s="4973"/>
      <c r="BY42" s="4972"/>
      <c r="BZ42" s="4958"/>
      <c r="CA42" s="4973"/>
      <c r="CB42" s="5045"/>
      <c r="CC42" s="4978"/>
      <c r="CD42" s="4979"/>
      <c r="CE42" s="1085"/>
      <c r="CF42" s="5012"/>
      <c r="CG42" s="4983"/>
      <c r="CH42" s="5035"/>
      <c r="CI42" s="5036"/>
      <c r="CJ42" s="5037"/>
      <c r="CK42" s="5002"/>
      <c r="CL42" s="5003"/>
      <c r="CM42" s="5004"/>
      <c r="CN42" s="4974"/>
      <c r="CO42" s="4960"/>
      <c r="CP42" s="5038"/>
      <c r="CQ42" s="1122"/>
    </row>
    <row r="43" spans="1:95" ht="12.75" customHeight="1">
      <c r="A43" s="1410"/>
      <c r="B43" s="1410"/>
      <c r="C43" s="1410"/>
      <c r="D43" s="1410"/>
      <c r="E43" s="1410"/>
      <c r="F43" s="1410"/>
      <c r="G43" s="1410"/>
      <c r="H43" s="1410"/>
      <c r="I43" s="1410"/>
      <c r="J43" s="1410"/>
      <c r="K43" s="1410"/>
      <c r="L43" s="1410"/>
      <c r="M43" s="1410"/>
      <c r="N43" s="1410"/>
      <c r="O43" s="1410"/>
      <c r="P43" s="1410"/>
      <c r="Q43" s="1410"/>
      <c r="R43" s="1410"/>
      <c r="S43" s="1410"/>
      <c r="T43" s="1410"/>
      <c r="U43" s="1410"/>
      <c r="V43" s="1410"/>
      <c r="W43" s="1410"/>
      <c r="X43" s="1410"/>
      <c r="Y43" s="1410"/>
      <c r="Z43" s="1410"/>
      <c r="AA43" s="1410"/>
      <c r="AB43" s="1410"/>
      <c r="AC43" s="1084"/>
      <c r="AD43" s="5015"/>
      <c r="AE43" s="5093"/>
      <c r="AF43" s="4889" t="s">
        <v>20</v>
      </c>
      <c r="AG43" s="5121"/>
      <c r="AH43" s="5122" t="s">
        <v>721</v>
      </c>
      <c r="AI43" s="5123"/>
      <c r="AJ43" s="5122" t="s">
        <v>355</v>
      </c>
      <c r="AK43" s="4894"/>
      <c r="AL43" s="4877"/>
      <c r="AM43" s="4878"/>
      <c r="AN43" s="4879"/>
      <c r="AO43" s="1181"/>
      <c r="AP43" s="1150"/>
      <c r="AQ43" s="1151"/>
      <c r="AR43" s="1152"/>
      <c r="AS43" s="1153"/>
      <c r="AT43" s="1154"/>
      <c r="AU43" s="1152"/>
      <c r="AV43" s="1153"/>
      <c r="AW43" s="1154"/>
      <c r="AX43" s="1152"/>
      <c r="AY43" s="1153"/>
      <c r="AZ43" s="1154"/>
      <c r="BA43" s="1155"/>
      <c r="BB43" s="1156"/>
      <c r="BC43" s="1157"/>
      <c r="BD43" s="5115"/>
      <c r="BE43" s="5116"/>
      <c r="BF43" s="5117"/>
      <c r="BG43" s="5118"/>
      <c r="BH43" s="5119"/>
      <c r="BI43" s="5120"/>
      <c r="BJ43" s="1197"/>
      <c r="BK43" s="1198"/>
      <c r="BL43" s="1199"/>
      <c r="BM43" s="1085"/>
      <c r="BN43" s="5012"/>
      <c r="BO43" s="4983"/>
      <c r="BP43" s="4959"/>
      <c r="BQ43" s="4960"/>
      <c r="BR43" s="4975"/>
      <c r="BS43" s="4967"/>
      <c r="BT43" s="4968"/>
      <c r="BU43" s="4969"/>
      <c r="BV43" s="4974"/>
      <c r="BW43" s="4960"/>
      <c r="BX43" s="4975"/>
      <c r="BY43" s="4974"/>
      <c r="BZ43" s="4960"/>
      <c r="CA43" s="4975"/>
      <c r="CB43" s="5046"/>
      <c r="CC43" s="5047"/>
      <c r="CD43" s="5048"/>
      <c r="CE43" s="1085"/>
      <c r="CF43" s="5012"/>
      <c r="CG43" s="4983"/>
      <c r="CH43" s="5019" t="s">
        <v>20</v>
      </c>
      <c r="CI43" s="5008" t="s">
        <v>356</v>
      </c>
      <c r="CJ43" s="5055" t="s">
        <v>355</v>
      </c>
      <c r="CK43" s="5006" t="s">
        <v>20</v>
      </c>
      <c r="CL43" s="5008" t="s">
        <v>356</v>
      </c>
      <c r="CM43" s="5055" t="s">
        <v>355</v>
      </c>
      <c r="CN43" s="5006" t="s">
        <v>20</v>
      </c>
      <c r="CO43" s="5008" t="s">
        <v>356</v>
      </c>
      <c r="CP43" s="5017" t="s">
        <v>355</v>
      </c>
      <c r="CQ43" s="1122"/>
    </row>
    <row r="44" spans="1:95" ht="12.75" customHeight="1" thickBot="1">
      <c r="A44" s="1410"/>
      <c r="B44" s="1410"/>
      <c r="C44" s="1410"/>
      <c r="D44" s="1410"/>
      <c r="E44" s="1410"/>
      <c r="F44" s="1410"/>
      <c r="G44" s="1410"/>
      <c r="H44" s="1410"/>
      <c r="I44" s="1410"/>
      <c r="J44" s="1410"/>
      <c r="K44" s="1410"/>
      <c r="L44" s="1410"/>
      <c r="M44" s="1410"/>
      <c r="N44" s="1410"/>
      <c r="O44" s="1410"/>
      <c r="P44" s="1410"/>
      <c r="Q44" s="1410"/>
      <c r="R44" s="1410"/>
      <c r="S44" s="1410"/>
      <c r="T44" s="1410"/>
      <c r="U44" s="1410"/>
      <c r="V44" s="1410"/>
      <c r="W44" s="1410"/>
      <c r="X44" s="1410"/>
      <c r="Y44" s="1410"/>
      <c r="Z44" s="1410"/>
      <c r="AA44" s="1410"/>
      <c r="AB44" s="1410"/>
      <c r="AC44" s="1084"/>
      <c r="AD44" s="5016"/>
      <c r="AE44" s="5094"/>
      <c r="AF44" s="1161" t="s">
        <v>411</v>
      </c>
      <c r="AG44" s="1162" t="s">
        <v>730</v>
      </c>
      <c r="AH44" s="1163" t="s">
        <v>411</v>
      </c>
      <c r="AI44" s="1162" t="s">
        <v>730</v>
      </c>
      <c r="AJ44" s="1163" t="s">
        <v>411</v>
      </c>
      <c r="AK44" s="1164" t="s">
        <v>730</v>
      </c>
      <c r="AL44" s="1165" t="s">
        <v>20</v>
      </c>
      <c r="AM44" s="1166" t="s">
        <v>356</v>
      </c>
      <c r="AN44" s="1167" t="s">
        <v>355</v>
      </c>
      <c r="AO44" s="1168" t="s">
        <v>20</v>
      </c>
      <c r="AP44" s="1166" t="s">
        <v>356</v>
      </c>
      <c r="AQ44" s="1169" t="s">
        <v>355</v>
      </c>
      <c r="AR44" s="1170" t="s">
        <v>20</v>
      </c>
      <c r="AS44" s="1171" t="s">
        <v>356</v>
      </c>
      <c r="AT44" s="1172" t="s">
        <v>355</v>
      </c>
      <c r="AU44" s="1170" t="s">
        <v>20</v>
      </c>
      <c r="AV44" s="1171" t="s">
        <v>356</v>
      </c>
      <c r="AW44" s="1172" t="s">
        <v>355</v>
      </c>
      <c r="AX44" s="1170" t="s">
        <v>20</v>
      </c>
      <c r="AY44" s="1171" t="s">
        <v>356</v>
      </c>
      <c r="AZ44" s="1172" t="s">
        <v>355</v>
      </c>
      <c r="BA44" s="1173" t="s">
        <v>20</v>
      </c>
      <c r="BB44" s="1174" t="s">
        <v>356</v>
      </c>
      <c r="BC44" s="1167" t="s">
        <v>355</v>
      </c>
      <c r="BD44" s="1173" t="s">
        <v>20</v>
      </c>
      <c r="BE44" s="1166" t="s">
        <v>356</v>
      </c>
      <c r="BF44" s="1167" t="s">
        <v>355</v>
      </c>
      <c r="BG44" s="1170" t="s">
        <v>20</v>
      </c>
      <c r="BH44" s="1171" t="s">
        <v>356</v>
      </c>
      <c r="BI44" s="1175" t="s">
        <v>355</v>
      </c>
      <c r="BJ44" s="1182" t="s">
        <v>20</v>
      </c>
      <c r="BK44" s="1183" t="s">
        <v>356</v>
      </c>
      <c r="BL44" s="1189" t="s">
        <v>355</v>
      </c>
      <c r="BM44" s="1085"/>
      <c r="BN44" s="5050"/>
      <c r="BO44" s="5052"/>
      <c r="BP44" s="1182" t="s">
        <v>20</v>
      </c>
      <c r="BQ44" s="1183" t="s">
        <v>356</v>
      </c>
      <c r="BR44" s="1184" t="s">
        <v>355</v>
      </c>
      <c r="BS44" s="1185" t="s">
        <v>20</v>
      </c>
      <c r="BT44" s="1183" t="s">
        <v>356</v>
      </c>
      <c r="BU44" s="1186" t="s">
        <v>355</v>
      </c>
      <c r="BV44" s="1187" t="s">
        <v>20</v>
      </c>
      <c r="BW44" s="1183" t="s">
        <v>356</v>
      </c>
      <c r="BX44" s="1184" t="s">
        <v>355</v>
      </c>
      <c r="BY44" s="1188" t="s">
        <v>20</v>
      </c>
      <c r="BZ44" s="1183" t="s">
        <v>356</v>
      </c>
      <c r="CA44" s="1186" t="s">
        <v>355</v>
      </c>
      <c r="CB44" s="1187" t="s">
        <v>20</v>
      </c>
      <c r="CC44" s="1183" t="s">
        <v>356</v>
      </c>
      <c r="CD44" s="1189" t="s">
        <v>355</v>
      </c>
      <c r="CE44" s="1085"/>
      <c r="CF44" s="5050"/>
      <c r="CG44" s="5052"/>
      <c r="CH44" s="5054"/>
      <c r="CI44" s="5009"/>
      <c r="CJ44" s="5056"/>
      <c r="CK44" s="5007"/>
      <c r="CL44" s="5009"/>
      <c r="CM44" s="5056"/>
      <c r="CN44" s="5007"/>
      <c r="CO44" s="5009"/>
      <c r="CP44" s="5053"/>
      <c r="CQ44" s="1122"/>
    </row>
    <row r="45" spans="1:95" ht="12.75" customHeight="1" thickBot="1">
      <c r="A45" s="1410"/>
      <c r="B45" s="1410"/>
      <c r="C45" s="1410"/>
      <c r="D45" s="1410"/>
      <c r="E45" s="1410"/>
      <c r="F45" s="1410"/>
      <c r="G45" s="1410"/>
      <c r="H45" s="1410"/>
      <c r="I45" s="1410"/>
      <c r="J45" s="1410"/>
      <c r="K45" s="1410"/>
      <c r="L45" s="1410"/>
      <c r="M45" s="1410"/>
      <c r="N45" s="1410"/>
      <c r="O45" s="1410"/>
      <c r="P45" s="1410"/>
      <c r="Q45" s="1410"/>
      <c r="R45" s="1410"/>
      <c r="S45" s="1410"/>
      <c r="T45" s="1410"/>
      <c r="U45" s="1410"/>
      <c r="V45" s="1410"/>
      <c r="W45" s="1410"/>
      <c r="X45" s="1410"/>
      <c r="Y45" s="1410"/>
      <c r="Z45" s="1410"/>
      <c r="AA45" s="1410"/>
      <c r="AB45" s="1410"/>
      <c r="AC45" s="1190">
        <f>$AC$31</f>
        <v>4300</v>
      </c>
      <c r="AD45" s="4917"/>
      <c r="AE45" s="5005"/>
      <c r="AF45" s="1287">
        <f>(IF(($AC45&gt;=0),('الصفحة 9'!$O$26),""))</f>
        <v>163</v>
      </c>
      <c r="AG45" s="1288">
        <f>(IF(($AC45&gt;=0),('الصفحة 9'!$O$42),""))</f>
        <v>33</v>
      </c>
      <c r="AH45" s="1289">
        <f>(IF(($AC45&gt;=0),('الصفحة 9'!$O$27),""))</f>
        <v>75</v>
      </c>
      <c r="AI45" s="1290">
        <f>(IF(($AC45&gt;=0),('الصفحة 9'!$O$43),""))</f>
        <v>8</v>
      </c>
      <c r="AJ45" s="1291">
        <f>(IF(($AC45&gt;=0),(AF45-AH45),0))</f>
        <v>88</v>
      </c>
      <c r="AK45" s="1288">
        <f>(IF(($AC45&gt;=0),(AG45-AI45),0))</f>
        <v>25</v>
      </c>
      <c r="AL45" s="1287">
        <f>(IF(($AC45&gt;=0),('الصفحة 8'!$O$13),""))</f>
        <v>165</v>
      </c>
      <c r="AM45" s="1292">
        <f>(IF(($AC45&gt;=0),('الصفحة 8'!$O$14),""))</f>
        <v>83</v>
      </c>
      <c r="AN45" s="1293">
        <f>(IF(($AC45&gt;=0),(AL45-AM45),0))</f>
        <v>82</v>
      </c>
      <c r="AO45" s="1294">
        <f>(IF(($AC45&gt;=0),(((AF45-AG45)/(AL45+0.00001))*100),0))</f>
        <v>78.787874012856122</v>
      </c>
      <c r="AP45" s="1295">
        <f>(IF(($AC45&gt;=0),(((AH45-AI45)/(AM45+0.00001))*100),0))</f>
        <v>80.722881840616651</v>
      </c>
      <c r="AQ45" s="1296">
        <f>(IF(($AC45&gt;=0),(((AJ45-AK45)/(AN45+0.00001))*100),0))</f>
        <v>76.829258923261108</v>
      </c>
      <c r="AR45" s="1297">
        <f>(IF(($AC45&gt;=0),('الصفحة 9'!$O$30-'الصفحة 9'!$O$46),0))</f>
        <v>5</v>
      </c>
      <c r="AS45" s="1298">
        <f>(IF(($AC45&gt;=0),('الصفحة 9'!$O$31-'الصفحة 9'!$O$47),0))</f>
        <v>3</v>
      </c>
      <c r="AT45" s="1299">
        <f>(IF(($AC45&gt;=0),(AR45-AS45),0))</f>
        <v>2</v>
      </c>
      <c r="AU45" s="1287">
        <f>(IF(($AC45&gt;=0),('الصفحة 8'!$O$46),""))</f>
        <v>0</v>
      </c>
      <c r="AV45" s="1292">
        <f>(IF(($AC45&gt;=0),('الصفحة 8'!$O$47),""))</f>
        <v>0</v>
      </c>
      <c r="AW45" s="1288">
        <f>(IF(($AC45&gt;=0),(AU45-AV45),0))</f>
        <v>0</v>
      </c>
      <c r="AX45" s="1300">
        <f>(IF(($AC45&gt;=0),(AR45+AU45),0))</f>
        <v>5</v>
      </c>
      <c r="AY45" s="1301">
        <f>(IF(($AC45&gt;=0),(AS45+AV45),0))</f>
        <v>3</v>
      </c>
      <c r="AZ45" s="1302">
        <f>(IF(($AC45&gt;=0),(AX45-AY45),0))</f>
        <v>2</v>
      </c>
      <c r="BA45" s="1300">
        <f>(IF(($AC45&gt;=0),('الصفحة 8'!$O$17),""))</f>
        <v>0</v>
      </c>
      <c r="BB45" s="1301">
        <f>(IF(($AC45&gt;=0),('الصفحة 8'!$O$18),""))</f>
        <v>0</v>
      </c>
      <c r="BC45" s="1288">
        <f>(IF(($AC45&gt;=0),(BA45-BB45),0))</f>
        <v>0</v>
      </c>
      <c r="BD45" s="1300">
        <f>(IF(($AC45&gt;=0),(BA45),0))</f>
        <v>0</v>
      </c>
      <c r="BE45" s="1301">
        <f>(IF(($AC45&gt;=0),(BB45),0))</f>
        <v>0</v>
      </c>
      <c r="BF45" s="1302">
        <f>(IF(($AC45&gt;=0),(BD45-BE45),0))</f>
        <v>0</v>
      </c>
      <c r="BG45" s="1304">
        <f>(IF(($AC45&gt;=0),(((AL45-BD45)+(AX45))),0))</f>
        <v>170</v>
      </c>
      <c r="BH45" s="1305">
        <f>(IF(($AC45&gt;=0),(((AM45-BE45)+(AY45))),0))</f>
        <v>86</v>
      </c>
      <c r="BI45" s="1306">
        <f>(IF(($AC45&gt;=0),(BG45-BH45),0))</f>
        <v>84</v>
      </c>
      <c r="BJ45" s="1294">
        <f>(IF(($AC45&gt;=0),(((AF45-AG45)/(BG45+0.00001))*100),0))</f>
        <v>76.470583737024484</v>
      </c>
      <c r="BK45" s="1295">
        <f>(IF(($AC45&gt;=0),(((AH45-AI45)/(BH45+0.00001))*100),0))</f>
        <v>77.90696768523631</v>
      </c>
      <c r="BL45" s="1307">
        <f>(IF(($AC45&gt;=0),(((AJ45-AK45)/(BI45+0.00001))*100),0))</f>
        <v>74.999991071429633</v>
      </c>
      <c r="BM45" s="1308"/>
      <c r="BN45" s="4915"/>
      <c r="BO45" s="4916"/>
      <c r="BP45" s="1287">
        <f>(IF(($AC45&gt;=0),('الصفحة 8'!$O$42),""))</f>
        <v>13</v>
      </c>
      <c r="BQ45" s="1292">
        <f>(IF(($AC45&gt;=0),('الصفحة 8'!$O$43),""))</f>
        <v>2</v>
      </c>
      <c r="BR45" s="1288">
        <f>(IF(($AC45&gt;=0),(BP45-BQ45),0))</f>
        <v>11</v>
      </c>
      <c r="BS45" s="1289">
        <f>(IF(($AC45&gt;=0),('الصفحة 8'!$O$13),""))</f>
        <v>165</v>
      </c>
      <c r="BT45" s="1292">
        <f>(IF(($AC45&gt;=0),('الصفحة 8'!$O$14),""))</f>
        <v>83</v>
      </c>
      <c r="BU45" s="1290">
        <f>(IF(($AC45&gt;=0),(BS45-BT45),0))</f>
        <v>82</v>
      </c>
      <c r="BV45" s="1309">
        <f>(IF(($AC45&gt;=0),((BP45/(BS45+0.00001))*100),0))</f>
        <v>7.8787874012856109</v>
      </c>
      <c r="BW45" s="1295">
        <f>(IF(($AC45&gt;=0),((BQ45/(BT45+0.00001))*100),0))</f>
        <v>2.4096382638990042</v>
      </c>
      <c r="BX45" s="1310">
        <f>(IF(($AC45&gt;=0),((BR45/(BU45+0.00001))*100),0))</f>
        <v>13.414632510410668</v>
      </c>
      <c r="BY45" s="1289">
        <f>(IF(($AC45&gt;=0),((AL45-BD45)+(AX45)),0))</f>
        <v>170</v>
      </c>
      <c r="BZ45" s="1292">
        <f>(IF(($AC45&gt;=0),((AM45-BE45)+(AY45)),0))</f>
        <v>86</v>
      </c>
      <c r="CA45" s="1290">
        <f>(IF(($AC45&gt;=0),(BY45-BZ45),0))</f>
        <v>84</v>
      </c>
      <c r="CB45" s="1309">
        <f>(IF(($AC45&gt;=0),((BP45/(BY45+0.00001))*100),0))</f>
        <v>7.647058373702448</v>
      </c>
      <c r="CC45" s="1295">
        <f>(IF(($AC45&gt;=0),((BQ45/(BZ45+0.00001))*100),0))</f>
        <v>2.3255811249324272</v>
      </c>
      <c r="CD45" s="1307">
        <f>(IF(($AC45&gt;=0),((BR45/(CA45+0.00001))*100),0))</f>
        <v>13.095236536281366</v>
      </c>
      <c r="CE45" s="1308"/>
      <c r="CF45" s="4917"/>
      <c r="CG45" s="4916"/>
      <c r="CH45" s="1311">
        <f>(IF(($AC45&gt;=0),(BJ45),0))</f>
        <v>76.470583737024484</v>
      </c>
      <c r="CI45" s="1295">
        <f>(IF(($AC45&gt;=0),(BK45),0))</f>
        <v>77.90696768523631</v>
      </c>
      <c r="CJ45" s="1296">
        <f>(IF(($AC45&gt;=0),(BL45),0))</f>
        <v>74.999991071429633</v>
      </c>
      <c r="CK45" s="1309">
        <f>(IF(($AC45&gt;=0),(CB45),0))</f>
        <v>7.647058373702448</v>
      </c>
      <c r="CL45" s="1295">
        <f>(IF(($AC45&gt;=0),(CC45),0))</f>
        <v>2.3255811249324272</v>
      </c>
      <c r="CM45" s="1310">
        <f>(IF(($AC45&gt;=0),(CD45),0))</f>
        <v>13.095236536281366</v>
      </c>
      <c r="CN45" s="1309">
        <f>IF(($AC45&gt;=0),((IF((CH45&gt;0),(((100)-((CH45)+(CK45)+0.00001))),0))),(0))</f>
        <v>15.882347889273063</v>
      </c>
      <c r="CO45" s="1295">
        <f>IF(($AC45&gt;=0),((IF((CI45&gt;0),(((100)-((CI45)+(CL45)+0.00001))),0))),(0))</f>
        <v>19.76744118983126</v>
      </c>
      <c r="CP45" s="1307">
        <f>IF(($AC45&gt;=0),((IF((CJ45&gt;0),(((100)-((CJ45)+(CM45)+0.00001))),0))),(0))</f>
        <v>11.904762392289001</v>
      </c>
      <c r="CQ45" s="1122"/>
    </row>
    <row r="46" spans="1:95" ht="12.75" customHeight="1">
      <c r="A46" s="1410"/>
      <c r="B46" s="1410"/>
      <c r="C46" s="1410"/>
      <c r="D46" s="1410"/>
      <c r="E46" s="1410"/>
      <c r="F46" s="1410"/>
      <c r="G46" s="1410"/>
      <c r="H46" s="1410"/>
      <c r="I46" s="1410"/>
      <c r="J46" s="1410"/>
      <c r="K46" s="1410"/>
      <c r="L46" s="1410"/>
      <c r="M46" s="1410"/>
      <c r="N46" s="1410"/>
      <c r="O46" s="1410"/>
      <c r="P46" s="1410"/>
      <c r="Q46" s="1410"/>
      <c r="R46" s="1410"/>
      <c r="S46" s="1410"/>
      <c r="T46" s="1410"/>
      <c r="U46" s="1410"/>
      <c r="V46" s="1410"/>
      <c r="W46" s="1410"/>
      <c r="X46" s="1410"/>
      <c r="Y46" s="1410"/>
      <c r="Z46" s="1410"/>
      <c r="AA46" s="1410"/>
      <c r="AB46" s="1410"/>
      <c r="AC46" s="1084"/>
      <c r="AD46" s="1085"/>
      <c r="AE46" s="1085"/>
      <c r="AF46" s="1085"/>
      <c r="AG46" s="1085"/>
      <c r="AH46" s="1085"/>
      <c r="AI46" s="1085"/>
      <c r="AJ46" s="1085"/>
      <c r="AK46" s="1085"/>
      <c r="AL46" s="1085"/>
      <c r="AM46" s="1085"/>
      <c r="AN46" s="1085"/>
      <c r="AO46" s="1085"/>
      <c r="AP46" s="1085"/>
      <c r="AQ46" s="1085"/>
      <c r="AR46" s="1085"/>
      <c r="AS46" s="1085"/>
      <c r="AT46" s="1085"/>
      <c r="AU46" s="1085"/>
      <c r="AV46" s="1085"/>
      <c r="AW46" s="1085"/>
      <c r="AX46" s="1085"/>
      <c r="AY46" s="1085"/>
      <c r="AZ46" s="1085"/>
      <c r="BA46" s="1085"/>
      <c r="BB46" s="1085"/>
      <c r="BC46" s="1085"/>
      <c r="BD46" s="1085"/>
      <c r="BE46" s="1085"/>
      <c r="BF46" s="1085"/>
      <c r="BG46" s="1085"/>
      <c r="BH46" s="1085"/>
      <c r="BI46" s="1085"/>
      <c r="BJ46" s="1085"/>
      <c r="BK46" s="1085"/>
      <c r="BL46" s="1085"/>
      <c r="BM46" s="1085"/>
      <c r="BN46" s="1085"/>
      <c r="BO46" s="1085"/>
      <c r="BP46" s="1085"/>
      <c r="BQ46" s="1085"/>
      <c r="BR46" s="1085"/>
      <c r="BS46" s="1085"/>
      <c r="BT46" s="1085"/>
      <c r="BU46" s="1085"/>
      <c r="BV46" s="1085"/>
      <c r="BW46" s="1085"/>
      <c r="BX46" s="1085"/>
      <c r="BY46" s="1085"/>
      <c r="BZ46" s="1085"/>
      <c r="CA46" s="1085"/>
      <c r="CB46" s="1085"/>
      <c r="CC46" s="1085"/>
      <c r="CD46" s="1085"/>
      <c r="CE46" s="1085"/>
      <c r="CF46" s="1085"/>
      <c r="CG46" s="1085"/>
      <c r="CH46" s="1085"/>
      <c r="CI46" s="1085"/>
      <c r="CJ46" s="1085"/>
      <c r="CK46" s="1085"/>
      <c r="CL46" s="1085"/>
      <c r="CM46" s="1085"/>
      <c r="CN46" s="1085"/>
      <c r="CO46" s="1085"/>
      <c r="CP46" s="1085"/>
      <c r="CQ46" s="1085"/>
    </row>
    <row r="47" spans="1:95" ht="18.75" customHeight="1" thickBot="1">
      <c r="A47" s="1410"/>
      <c r="B47" s="1410"/>
      <c r="C47" s="1410"/>
      <c r="D47" s="1410"/>
      <c r="E47" s="1410"/>
      <c r="F47" s="1410"/>
      <c r="G47" s="1410"/>
      <c r="H47" s="1410"/>
      <c r="I47" s="1410"/>
      <c r="J47" s="1410"/>
      <c r="K47" s="1410"/>
      <c r="L47" s="1410"/>
      <c r="M47" s="1410"/>
      <c r="N47" s="1410"/>
      <c r="O47" s="1410"/>
      <c r="P47" s="1410"/>
      <c r="Q47" s="1410"/>
      <c r="R47" s="1410"/>
      <c r="S47" s="1410"/>
      <c r="T47" s="1410"/>
      <c r="U47" s="1410"/>
      <c r="V47" s="1410"/>
      <c r="W47" s="1410"/>
      <c r="X47" s="1410"/>
      <c r="Y47" s="1410"/>
      <c r="Z47" s="1410"/>
      <c r="AA47" s="1410"/>
      <c r="AB47" s="1410"/>
      <c r="AC47" s="1084"/>
      <c r="AD47" s="1094" t="s">
        <v>729</v>
      </c>
      <c r="AE47" s="1087"/>
      <c r="AF47" s="1088"/>
      <c r="AG47" s="1088"/>
      <c r="AH47" s="1088"/>
      <c r="AI47" s="1088"/>
      <c r="AJ47" s="1088"/>
      <c r="AK47" s="1088"/>
      <c r="AL47" s="1088"/>
      <c r="AM47" s="1088"/>
      <c r="AN47" s="1088"/>
      <c r="AO47" s="1088"/>
      <c r="AP47" s="1088"/>
      <c r="AQ47" s="1088"/>
      <c r="AR47" s="1200"/>
      <c r="AS47" s="1200"/>
      <c r="AT47" s="1200"/>
      <c r="AU47" s="1092" t="s">
        <v>472</v>
      </c>
      <c r="AV47" s="1091"/>
      <c r="AW47" s="1091"/>
      <c r="AX47" s="1088"/>
      <c r="AY47" s="1088"/>
      <c r="AZ47" s="1088"/>
      <c r="BA47" s="1092" t="s">
        <v>472</v>
      </c>
      <c r="BB47" s="1091"/>
      <c r="BC47" s="1091"/>
      <c r="BD47" s="1088"/>
      <c r="BE47" s="1088"/>
      <c r="BF47" s="1088"/>
      <c r="BG47" s="1088"/>
      <c r="BH47" s="1088"/>
      <c r="BI47" s="1088"/>
      <c r="BJ47" s="1088"/>
      <c r="BK47" s="1088"/>
      <c r="BL47" s="1088"/>
      <c r="BM47" s="1093"/>
      <c r="BN47" s="1094" t="s">
        <v>728</v>
      </c>
      <c r="BO47" s="1087"/>
      <c r="BP47" s="1088"/>
      <c r="BQ47" s="1088"/>
      <c r="BR47" s="1088"/>
      <c r="BS47" s="1088"/>
      <c r="BT47" s="1088"/>
      <c r="BU47" s="1088"/>
      <c r="BV47" s="1088"/>
      <c r="BW47" s="1088"/>
      <c r="BX47" s="1088"/>
      <c r="BY47" s="1088"/>
      <c r="BZ47" s="1088"/>
      <c r="CA47" s="1088"/>
      <c r="CB47" s="1088"/>
      <c r="CC47" s="1091"/>
      <c r="CD47" s="1091"/>
      <c r="CE47" s="1093"/>
      <c r="CF47" s="1094" t="s">
        <v>727</v>
      </c>
      <c r="CG47" s="1087"/>
      <c r="CH47" s="1086"/>
      <c r="CI47" s="1088"/>
      <c r="CJ47" s="1088"/>
      <c r="CK47" s="1088"/>
      <c r="CL47" s="1088"/>
      <c r="CM47" s="1088"/>
      <c r="CN47" s="1088"/>
      <c r="CO47" s="1088"/>
      <c r="CP47" s="1088"/>
      <c r="CQ47" s="1095"/>
    </row>
    <row r="48" spans="1:95" ht="12.75" customHeight="1">
      <c r="A48" s="1410"/>
      <c r="B48" s="1410"/>
      <c r="C48" s="1410"/>
      <c r="D48" s="1410"/>
      <c r="E48" s="1410"/>
      <c r="F48" s="1410"/>
      <c r="G48" s="1410"/>
      <c r="H48" s="1410"/>
      <c r="I48" s="1410"/>
      <c r="J48" s="1410"/>
      <c r="K48" s="1410"/>
      <c r="L48" s="1410"/>
      <c r="M48" s="1410"/>
      <c r="N48" s="1410"/>
      <c r="O48" s="1410"/>
      <c r="P48" s="1410"/>
      <c r="Q48" s="1410"/>
      <c r="R48" s="1410"/>
      <c r="S48" s="1410"/>
      <c r="T48" s="1410"/>
      <c r="U48" s="1410"/>
      <c r="V48" s="1410"/>
      <c r="W48" s="1410"/>
      <c r="X48" s="1410"/>
      <c r="Y48" s="1410"/>
      <c r="Z48" s="1410"/>
      <c r="AA48" s="1410"/>
      <c r="AB48" s="1410"/>
      <c r="AC48" s="1084"/>
      <c r="AD48" s="5014"/>
      <c r="AE48" s="5092" t="str">
        <f>$AE$27</f>
        <v>بلحاتم رابح</v>
      </c>
      <c r="AF48" s="1096"/>
      <c r="AG48" s="5095" t="s">
        <v>726</v>
      </c>
      <c r="AH48" s="5096"/>
      <c r="AI48" s="5096"/>
      <c r="AJ48" s="5096"/>
      <c r="AK48" s="1097"/>
      <c r="AL48" s="4871" t="s">
        <v>438</v>
      </c>
      <c r="AM48" s="4872"/>
      <c r="AN48" s="4873"/>
      <c r="AO48" s="1098"/>
      <c r="AP48" s="1099"/>
      <c r="AQ48" s="1100"/>
      <c r="AR48" s="1101"/>
      <c r="AS48" s="1102" t="s">
        <v>1214</v>
      </c>
      <c r="AT48" s="1103"/>
      <c r="AU48" s="1101"/>
      <c r="AV48" s="1102" t="s">
        <v>725</v>
      </c>
      <c r="AW48" s="1103"/>
      <c r="AX48" s="1101"/>
      <c r="AY48" s="1102"/>
      <c r="AZ48" s="1103"/>
      <c r="BA48" s="1104"/>
      <c r="BB48" s="1105" t="s">
        <v>1216</v>
      </c>
      <c r="BC48" s="1106"/>
      <c r="BD48" s="4880" t="s">
        <v>441</v>
      </c>
      <c r="BE48" s="4881"/>
      <c r="BF48" s="4882"/>
      <c r="BG48" s="5022" t="s">
        <v>436</v>
      </c>
      <c r="BH48" s="5023"/>
      <c r="BI48" s="5024"/>
      <c r="BJ48" s="1201"/>
      <c r="BK48" s="1202"/>
      <c r="BL48" s="1203"/>
      <c r="BM48" s="1204"/>
      <c r="BN48" s="5107"/>
      <c r="BO48" s="5110"/>
      <c r="BP48" s="5087" t="s">
        <v>724</v>
      </c>
      <c r="BQ48" s="5039"/>
      <c r="BR48" s="5040"/>
      <c r="BS48" s="5078" t="s">
        <v>438</v>
      </c>
      <c r="BT48" s="5079"/>
      <c r="BU48" s="5080"/>
      <c r="BV48" s="5087" t="s">
        <v>437</v>
      </c>
      <c r="BW48" s="5039"/>
      <c r="BX48" s="5040"/>
      <c r="BY48" s="5087" t="s">
        <v>436</v>
      </c>
      <c r="BZ48" s="5039"/>
      <c r="CA48" s="5040"/>
      <c r="CB48" s="5098" t="s">
        <v>435</v>
      </c>
      <c r="CC48" s="5099"/>
      <c r="CD48" s="5100"/>
      <c r="CE48" s="1204"/>
      <c r="CF48" s="5107"/>
      <c r="CG48" s="5110"/>
      <c r="CH48" s="5065" t="s">
        <v>434</v>
      </c>
      <c r="CI48" s="5066"/>
      <c r="CJ48" s="5066"/>
      <c r="CK48" s="5069" t="s">
        <v>723</v>
      </c>
      <c r="CL48" s="5070"/>
      <c r="CM48" s="5071"/>
      <c r="CN48" s="5039" t="s">
        <v>722</v>
      </c>
      <c r="CO48" s="5039"/>
      <c r="CP48" s="5040"/>
      <c r="CQ48" s="1122"/>
    </row>
    <row r="49" spans="1:95" ht="12.75" customHeight="1">
      <c r="A49" s="1410"/>
      <c r="B49" s="1410"/>
      <c r="C49" s="1410"/>
      <c r="D49" s="1410"/>
      <c r="E49" s="1410"/>
      <c r="F49" s="1410"/>
      <c r="G49" s="1410"/>
      <c r="H49" s="1410"/>
      <c r="I49" s="1410"/>
      <c r="J49" s="1410"/>
      <c r="K49" s="1410"/>
      <c r="L49" s="1410"/>
      <c r="M49" s="1410"/>
      <c r="N49" s="1410"/>
      <c r="O49" s="1410"/>
      <c r="P49" s="1410"/>
      <c r="Q49" s="1410"/>
      <c r="R49" s="1410"/>
      <c r="S49" s="1410"/>
      <c r="T49" s="1410"/>
      <c r="U49" s="1410"/>
      <c r="V49" s="1410"/>
      <c r="W49" s="1410"/>
      <c r="X49" s="1410"/>
      <c r="Y49" s="1410"/>
      <c r="Z49" s="1410"/>
      <c r="AA49" s="1410"/>
      <c r="AB49" s="1410"/>
      <c r="AC49" s="1084"/>
      <c r="AD49" s="5015"/>
      <c r="AE49" s="5093"/>
      <c r="AF49" s="1123"/>
      <c r="AG49" s="5097"/>
      <c r="AH49" s="5097"/>
      <c r="AI49" s="5097"/>
      <c r="AJ49" s="5097"/>
      <c r="AK49" s="1124"/>
      <c r="AL49" s="4874"/>
      <c r="AM49" s="4875"/>
      <c r="AN49" s="4876"/>
      <c r="AO49" s="1125"/>
      <c r="AP49" s="1126" t="s">
        <v>451</v>
      </c>
      <c r="AQ49" s="1127"/>
      <c r="AR49" s="1128"/>
      <c r="AS49" s="1129" t="s">
        <v>1215</v>
      </c>
      <c r="AT49" s="1130"/>
      <c r="AU49" s="1128"/>
      <c r="AV49" s="1129" t="s">
        <v>1215</v>
      </c>
      <c r="AW49" s="1130"/>
      <c r="AX49" s="1128"/>
      <c r="AY49" s="1129" t="s">
        <v>446</v>
      </c>
      <c r="AZ49" s="1130"/>
      <c r="BA49" s="1131"/>
      <c r="BB49" s="1132" t="s">
        <v>1215</v>
      </c>
      <c r="BC49" s="1133"/>
      <c r="BD49" s="4883"/>
      <c r="BE49" s="4884"/>
      <c r="BF49" s="4885"/>
      <c r="BG49" s="5025"/>
      <c r="BH49" s="5026"/>
      <c r="BI49" s="5027"/>
      <c r="BJ49" s="1205"/>
      <c r="BK49" s="1206" t="s">
        <v>440</v>
      </c>
      <c r="BL49" s="1207"/>
      <c r="BM49" s="1204"/>
      <c r="BN49" s="5108"/>
      <c r="BO49" s="5111"/>
      <c r="BP49" s="5088"/>
      <c r="BQ49" s="5041"/>
      <c r="BR49" s="5043"/>
      <c r="BS49" s="5081"/>
      <c r="BT49" s="5082"/>
      <c r="BU49" s="5083"/>
      <c r="BV49" s="5088"/>
      <c r="BW49" s="5041"/>
      <c r="BX49" s="5043"/>
      <c r="BY49" s="5088"/>
      <c r="BZ49" s="5041"/>
      <c r="CA49" s="5043"/>
      <c r="CB49" s="5101"/>
      <c r="CC49" s="5102"/>
      <c r="CD49" s="5103"/>
      <c r="CE49" s="1204"/>
      <c r="CF49" s="5108"/>
      <c r="CG49" s="5111"/>
      <c r="CH49" s="5067"/>
      <c r="CI49" s="5068"/>
      <c r="CJ49" s="5068"/>
      <c r="CK49" s="5072"/>
      <c r="CL49" s="5073"/>
      <c r="CM49" s="5074"/>
      <c r="CN49" s="5041"/>
      <c r="CO49" s="5042"/>
      <c r="CP49" s="5043"/>
      <c r="CQ49" s="1122"/>
    </row>
    <row r="50" spans="1:95" ht="12.75" customHeight="1">
      <c r="A50" s="1410"/>
      <c r="B50" s="1410"/>
      <c r="C50" s="1410"/>
      <c r="D50" s="1410"/>
      <c r="E50" s="1410"/>
      <c r="F50" s="1410"/>
      <c r="G50" s="1410"/>
      <c r="H50" s="1410"/>
      <c r="I50" s="1410"/>
      <c r="J50" s="1410"/>
      <c r="K50" s="1410"/>
      <c r="L50" s="1410"/>
      <c r="M50" s="1410"/>
      <c r="N50" s="1410"/>
      <c r="O50" s="1410"/>
      <c r="P50" s="1410"/>
      <c r="Q50" s="1410"/>
      <c r="R50" s="1410"/>
      <c r="S50" s="1410"/>
      <c r="T50" s="1410"/>
      <c r="U50" s="1410"/>
      <c r="V50" s="1410"/>
      <c r="W50" s="1410"/>
      <c r="X50" s="1410"/>
      <c r="Y50" s="1410"/>
      <c r="Z50" s="1410"/>
      <c r="AA50" s="1410"/>
      <c r="AB50" s="1410"/>
      <c r="AC50" s="1084"/>
      <c r="AD50" s="5015"/>
      <c r="AE50" s="5093"/>
      <c r="AF50" s="4889" t="s">
        <v>20</v>
      </c>
      <c r="AG50" s="4890"/>
      <c r="AH50" s="4891" t="s">
        <v>721</v>
      </c>
      <c r="AI50" s="4892"/>
      <c r="AJ50" s="4893" t="s">
        <v>355</v>
      </c>
      <c r="AK50" s="4894"/>
      <c r="AL50" s="4877"/>
      <c r="AM50" s="4878"/>
      <c r="AN50" s="4879"/>
      <c r="AO50" s="1149"/>
      <c r="AP50" s="1150"/>
      <c r="AQ50" s="1151"/>
      <c r="AR50" s="1152"/>
      <c r="AS50" s="1153"/>
      <c r="AT50" s="1154"/>
      <c r="AU50" s="1152"/>
      <c r="AV50" s="1153"/>
      <c r="AW50" s="1154"/>
      <c r="AX50" s="1152"/>
      <c r="AY50" s="1153"/>
      <c r="AZ50" s="1154"/>
      <c r="BA50" s="1155"/>
      <c r="BB50" s="1156"/>
      <c r="BC50" s="1157"/>
      <c r="BD50" s="4886"/>
      <c r="BE50" s="4887"/>
      <c r="BF50" s="4888"/>
      <c r="BG50" s="5028"/>
      <c r="BH50" s="5029"/>
      <c r="BI50" s="5030"/>
      <c r="BJ50" s="1208"/>
      <c r="BK50" s="1209"/>
      <c r="BL50" s="1210"/>
      <c r="BM50" s="1204"/>
      <c r="BN50" s="5108"/>
      <c r="BO50" s="5111"/>
      <c r="BP50" s="5089"/>
      <c r="BQ50" s="5090"/>
      <c r="BR50" s="5091"/>
      <c r="BS50" s="5084"/>
      <c r="BT50" s="5085"/>
      <c r="BU50" s="5086"/>
      <c r="BV50" s="5089"/>
      <c r="BW50" s="5090"/>
      <c r="BX50" s="5091"/>
      <c r="BY50" s="5089"/>
      <c r="BZ50" s="5090"/>
      <c r="CA50" s="5091"/>
      <c r="CB50" s="5104"/>
      <c r="CC50" s="5105"/>
      <c r="CD50" s="5106"/>
      <c r="CE50" s="1204"/>
      <c r="CF50" s="5108"/>
      <c r="CG50" s="5111"/>
      <c r="CH50" s="5075" t="s">
        <v>20</v>
      </c>
      <c r="CI50" s="5061" t="s">
        <v>356</v>
      </c>
      <c r="CJ50" s="5057" t="s">
        <v>355</v>
      </c>
      <c r="CK50" s="5059" t="s">
        <v>20</v>
      </c>
      <c r="CL50" s="5061" t="s">
        <v>356</v>
      </c>
      <c r="CM50" s="5057" t="s">
        <v>355</v>
      </c>
      <c r="CN50" s="5059" t="s">
        <v>20</v>
      </c>
      <c r="CO50" s="5061" t="s">
        <v>356</v>
      </c>
      <c r="CP50" s="5063" t="s">
        <v>355</v>
      </c>
      <c r="CQ50" s="1122"/>
    </row>
    <row r="51" spans="1:95" ht="12.75" customHeight="1" thickBot="1">
      <c r="A51" s="1410"/>
      <c r="B51" s="1410"/>
      <c r="C51" s="1410"/>
      <c r="D51" s="1410"/>
      <c r="E51" s="1410"/>
      <c r="F51" s="1410"/>
      <c r="G51" s="1410"/>
      <c r="H51" s="1410"/>
      <c r="I51" s="1410"/>
      <c r="J51" s="1410"/>
      <c r="K51" s="1410"/>
      <c r="L51" s="1410"/>
      <c r="M51" s="1410"/>
      <c r="N51" s="1410"/>
      <c r="O51" s="1410"/>
      <c r="P51" s="1410"/>
      <c r="Q51" s="1410"/>
      <c r="R51" s="1410"/>
      <c r="S51" s="1410"/>
      <c r="T51" s="1410"/>
      <c r="U51" s="1410"/>
      <c r="V51" s="1410"/>
      <c r="W51" s="1410"/>
      <c r="X51" s="1410"/>
      <c r="Y51" s="1410"/>
      <c r="Z51" s="1410"/>
      <c r="AA51" s="1410"/>
      <c r="AB51" s="1410"/>
      <c r="AC51" s="1084"/>
      <c r="AD51" s="5016"/>
      <c r="AE51" s="5094"/>
      <c r="AF51" s="1161" t="s">
        <v>641</v>
      </c>
      <c r="AG51" s="1162"/>
      <c r="AH51" s="1163" t="s">
        <v>641</v>
      </c>
      <c r="AI51" s="1162"/>
      <c r="AJ51" s="1163" t="s">
        <v>641</v>
      </c>
      <c r="AK51" s="1164"/>
      <c r="AL51" s="1165" t="s">
        <v>20</v>
      </c>
      <c r="AM51" s="1166" t="s">
        <v>356</v>
      </c>
      <c r="AN51" s="1167" t="s">
        <v>355</v>
      </c>
      <c r="AO51" s="1168" t="s">
        <v>20</v>
      </c>
      <c r="AP51" s="1166" t="s">
        <v>356</v>
      </c>
      <c r="AQ51" s="1169" t="s">
        <v>355</v>
      </c>
      <c r="AR51" s="1170" t="s">
        <v>20</v>
      </c>
      <c r="AS51" s="1171" t="s">
        <v>356</v>
      </c>
      <c r="AT51" s="1172" t="s">
        <v>355</v>
      </c>
      <c r="AU51" s="1170" t="s">
        <v>20</v>
      </c>
      <c r="AV51" s="1171" t="s">
        <v>356</v>
      </c>
      <c r="AW51" s="1172" t="s">
        <v>355</v>
      </c>
      <c r="AX51" s="1170" t="s">
        <v>20</v>
      </c>
      <c r="AY51" s="1171" t="s">
        <v>356</v>
      </c>
      <c r="AZ51" s="1172" t="s">
        <v>355</v>
      </c>
      <c r="BA51" s="1173" t="s">
        <v>20</v>
      </c>
      <c r="BB51" s="1174" t="s">
        <v>356</v>
      </c>
      <c r="BC51" s="1167" t="s">
        <v>355</v>
      </c>
      <c r="BD51" s="1173" t="s">
        <v>20</v>
      </c>
      <c r="BE51" s="1166" t="s">
        <v>356</v>
      </c>
      <c r="BF51" s="1167" t="s">
        <v>355</v>
      </c>
      <c r="BG51" s="1170" t="s">
        <v>20</v>
      </c>
      <c r="BH51" s="1171" t="s">
        <v>356</v>
      </c>
      <c r="BI51" s="1175" t="s">
        <v>355</v>
      </c>
      <c r="BJ51" s="1211" t="s">
        <v>20</v>
      </c>
      <c r="BK51" s="1212" t="s">
        <v>356</v>
      </c>
      <c r="BL51" s="1213" t="s">
        <v>355</v>
      </c>
      <c r="BM51" s="1204"/>
      <c r="BN51" s="5109"/>
      <c r="BO51" s="5112"/>
      <c r="BP51" s="1211" t="s">
        <v>20</v>
      </c>
      <c r="BQ51" s="1212" t="s">
        <v>356</v>
      </c>
      <c r="BR51" s="1213" t="s">
        <v>355</v>
      </c>
      <c r="BS51" s="1211" t="s">
        <v>20</v>
      </c>
      <c r="BT51" s="1212" t="s">
        <v>356</v>
      </c>
      <c r="BU51" s="1213" t="s">
        <v>355</v>
      </c>
      <c r="BV51" s="1214" t="s">
        <v>20</v>
      </c>
      <c r="BW51" s="1212" t="s">
        <v>356</v>
      </c>
      <c r="BX51" s="1213" t="s">
        <v>355</v>
      </c>
      <c r="BY51" s="1215" t="s">
        <v>20</v>
      </c>
      <c r="BZ51" s="1212" t="s">
        <v>356</v>
      </c>
      <c r="CA51" s="1216" t="s">
        <v>355</v>
      </c>
      <c r="CB51" s="1214" t="s">
        <v>20</v>
      </c>
      <c r="CC51" s="1212" t="s">
        <v>356</v>
      </c>
      <c r="CD51" s="1213" t="s">
        <v>355</v>
      </c>
      <c r="CE51" s="1204"/>
      <c r="CF51" s="5109"/>
      <c r="CG51" s="5112"/>
      <c r="CH51" s="5076"/>
      <c r="CI51" s="5077"/>
      <c r="CJ51" s="5058"/>
      <c r="CK51" s="5060"/>
      <c r="CL51" s="5062"/>
      <c r="CM51" s="5058"/>
      <c r="CN51" s="5060"/>
      <c r="CO51" s="5062"/>
      <c r="CP51" s="5064"/>
      <c r="CQ51" s="1122"/>
    </row>
    <row r="52" spans="1:95" ht="12.75" customHeight="1" thickBot="1">
      <c r="A52" s="1410"/>
      <c r="B52" s="1410"/>
      <c r="C52" s="1410"/>
      <c r="D52" s="1410"/>
      <c r="E52" s="1410"/>
      <c r="F52" s="1410"/>
      <c r="G52" s="1410"/>
      <c r="H52" s="1410"/>
      <c r="I52" s="1410"/>
      <c r="J52" s="1410"/>
      <c r="K52" s="1410"/>
      <c r="L52" s="1410"/>
      <c r="M52" s="1410"/>
      <c r="N52" s="1410"/>
      <c r="O52" s="1410"/>
      <c r="P52" s="1410"/>
      <c r="Q52" s="1410"/>
      <c r="R52" s="1410"/>
      <c r="S52" s="1410"/>
      <c r="T52" s="1410"/>
      <c r="U52" s="1410"/>
      <c r="V52" s="1410"/>
      <c r="W52" s="1410"/>
      <c r="X52" s="1410"/>
      <c r="Y52" s="1410"/>
      <c r="Z52" s="1410"/>
      <c r="AA52" s="1410"/>
      <c r="AB52" s="1410"/>
      <c r="AC52" s="1190">
        <f>$AC$31</f>
        <v>4300</v>
      </c>
      <c r="AD52" s="4917"/>
      <c r="AE52" s="5005"/>
      <c r="AF52" s="1287">
        <f>(IF(($AC52&gt;=0),('الصفحة 13'!$I$23),""))</f>
        <v>106</v>
      </c>
      <c r="AG52" s="1288"/>
      <c r="AH52" s="1289">
        <f>(IF(($AC52&gt;=0),('الصفحة 13'!$J$23),""))</f>
        <v>65</v>
      </c>
      <c r="AI52" s="1290"/>
      <c r="AJ52" s="1291">
        <f>(IF(($AC52&gt;=0),(AF52-AH52),0))</f>
        <v>41</v>
      </c>
      <c r="AK52" s="1288"/>
      <c r="AL52" s="1287">
        <f>(IF(($AC52&gt;=0),('الصفحة 9'!$O$13),""))</f>
        <v>192</v>
      </c>
      <c r="AM52" s="1292">
        <f>(IF(($AC52&gt;=0),('الصفحة 9'!$O$14),""))</f>
        <v>107</v>
      </c>
      <c r="AN52" s="1293">
        <f>(IF(($AC52&gt;=0),(AL52-AM52),0))</f>
        <v>85</v>
      </c>
      <c r="AO52" s="1294">
        <f>(IF(($AC52&gt;=0),(((AF52-AG52)/(AL52+0.00001))*100),0))</f>
        <v>55.208330457899457</v>
      </c>
      <c r="AP52" s="1295">
        <f>(IF(($AC52&gt;=0),(((AH52-AI52)/(AM52+0.00001))*100),0))</f>
        <v>60.747657874050667</v>
      </c>
      <c r="AQ52" s="1296">
        <f>(IF(($AC52&gt;=0),(((AJ52-AK52)/(AN52+0.00001))*100),0))</f>
        <v>48.23528844290724</v>
      </c>
      <c r="AR52" s="2897"/>
      <c r="AS52" s="2898"/>
      <c r="AT52" s="2899"/>
      <c r="AU52" s="1287">
        <f>(IF(($AC52&gt;=0),('الصفحة 9'!$O$46),""))</f>
        <v>0</v>
      </c>
      <c r="AV52" s="1292">
        <f>(IF(($AC52&gt;=0),('الصفحة 9'!$O$47),""))</f>
        <v>0</v>
      </c>
      <c r="AW52" s="1288">
        <f>(IF(($AC52&gt;=0),(AU52-AV52),0))</f>
        <v>0</v>
      </c>
      <c r="AX52" s="1300">
        <f>(IF(($AC52&gt;=0),(AR52+AU52),0))</f>
        <v>0</v>
      </c>
      <c r="AY52" s="1301">
        <f>(IF(($AC52&gt;=0),(AS52+AV52),0))</f>
        <v>0</v>
      </c>
      <c r="AZ52" s="1302">
        <f>(IF(($AC52&gt;=0),(AX52-AY52),0))</f>
        <v>0</v>
      </c>
      <c r="BA52" s="1300">
        <f>(IF(($AC52&gt;=0),('الصفحة 9'!$O$17),""))</f>
        <v>0</v>
      </c>
      <c r="BB52" s="1301">
        <f>(IF(($AC52&gt;=0),('الصفحة 9'!$O$18),""))</f>
        <v>0</v>
      </c>
      <c r="BC52" s="1288">
        <f>(IF(($AC52&gt;=0),(BA52-BB52),0))</f>
        <v>0</v>
      </c>
      <c r="BD52" s="1300">
        <f>(IF(($AC52&gt;=0),(BA52),0))</f>
        <v>0</v>
      </c>
      <c r="BE52" s="1301">
        <f>(IF(($AC52&gt;=0),(BB52),0))</f>
        <v>0</v>
      </c>
      <c r="BF52" s="1302">
        <f>(IF(($AC52&gt;=0),(BD52-BE52),0))</f>
        <v>0</v>
      </c>
      <c r="BG52" s="1304">
        <f>(IF(($AC52&gt;=0),(((AL52-BD52)+(AX52))),0))</f>
        <v>192</v>
      </c>
      <c r="BH52" s="1305">
        <f>(IF(($AC52&gt;=0),(((AM52-BE52)+(AY52))),0))</f>
        <v>107</v>
      </c>
      <c r="BI52" s="1306">
        <f>(IF(($AC52&gt;=0),(BG52-BH52),0))</f>
        <v>85</v>
      </c>
      <c r="BJ52" s="1294">
        <f>(IF(($AC52&gt;=0),(((AF52-AG52)/(BG52+0.00001))*100),0))</f>
        <v>55.208330457899457</v>
      </c>
      <c r="BK52" s="1295">
        <f>(IF(($AC52&gt;=0),(((AH52-AI52)/(BH52+0.00001))*100),0))</f>
        <v>60.747657874050667</v>
      </c>
      <c r="BL52" s="1307">
        <f>(IF(($AC52&gt;=0),(((AJ52-AK52)/(BI52+0.00001))*100),0))</f>
        <v>48.23528844290724</v>
      </c>
      <c r="BM52" s="1308"/>
      <c r="BN52" s="4915"/>
      <c r="BO52" s="4916"/>
      <c r="BP52" s="1287">
        <f>(IF(($AC52&gt;=0),('الصفحة 9'!$O$42),""))</f>
        <v>33</v>
      </c>
      <c r="BQ52" s="1292">
        <f>(IF(($AC52&gt;=0),('الصفحة 9'!$O$43),""))</f>
        <v>8</v>
      </c>
      <c r="BR52" s="1288">
        <f>(IF(($AC52&gt;=0),(BP52-BQ52),0))</f>
        <v>25</v>
      </c>
      <c r="BS52" s="1289">
        <f>(IF(($AC52&gt;=0),('الصفحة 9'!$O$13),""))</f>
        <v>192</v>
      </c>
      <c r="BT52" s="1292">
        <f>(IF(($AC52&gt;=0),('الصفحة 9'!$O$14),""))</f>
        <v>107</v>
      </c>
      <c r="BU52" s="1290">
        <f>(IF(($AC52&gt;=0),(BS52-BT52),0))</f>
        <v>85</v>
      </c>
      <c r="BV52" s="1309">
        <f>(IF(($AC52&gt;=0),((BP52/(BS52+0.00001))*100),0))</f>
        <v>17.187499104817753</v>
      </c>
      <c r="BW52" s="1295">
        <f>(IF(($AC52&gt;=0),((BQ52/(BT52+0.00001))*100),0))</f>
        <v>7.476634815267774</v>
      </c>
      <c r="BX52" s="1310">
        <f>(IF(($AC52&gt;=0),((BR52/(BU52+0.00001))*100),0))</f>
        <v>29.411761245675144</v>
      </c>
      <c r="BY52" s="1289">
        <f>(IF(($AC52&gt;=0),((AL52-BD52)+(AX52)),0))</f>
        <v>192</v>
      </c>
      <c r="BZ52" s="1292">
        <f>(IF(($AC52&gt;=0),((AM52-BE52)+(AY52)),0))</f>
        <v>107</v>
      </c>
      <c r="CA52" s="1290">
        <f>(IF(($AC52&gt;=0),(BY52-BZ52),0))</f>
        <v>85</v>
      </c>
      <c r="CB52" s="1309">
        <f>(IF(($AC52&gt;=0),((BP52/(BY52+0.00001))*100),0))</f>
        <v>17.187499104817753</v>
      </c>
      <c r="CC52" s="1295">
        <f>(IF(($AC52&gt;=0),((BQ52/(BZ52+0.00001))*100),0))</f>
        <v>7.476634815267774</v>
      </c>
      <c r="CD52" s="1307">
        <f>(IF(($AC52&gt;=0),((BR52/(CA52+0.00001))*100),0))</f>
        <v>29.411761245675144</v>
      </c>
      <c r="CE52" s="1308"/>
      <c r="CF52" s="4917"/>
      <c r="CG52" s="4916"/>
      <c r="CH52" s="1311">
        <f>(IF(($AC52&gt;=0),(BJ52),0))</f>
        <v>55.208330457899457</v>
      </c>
      <c r="CI52" s="1295">
        <f>(IF(($AC52&gt;=0),(BK52),0))</f>
        <v>60.747657874050667</v>
      </c>
      <c r="CJ52" s="1296">
        <f>(IF(($AC52&gt;=0),(BL52),0))</f>
        <v>48.23528844290724</v>
      </c>
      <c r="CK52" s="1309">
        <f>(IF(($AC52&gt;=0),(CB52),0))</f>
        <v>17.187499104817753</v>
      </c>
      <c r="CL52" s="1295">
        <f>(IF(($AC52&gt;=0),(CC52),0))</f>
        <v>7.476634815267774</v>
      </c>
      <c r="CM52" s="1310">
        <f>(IF(($AC52&gt;=0),(CD52),0))</f>
        <v>29.411761245675144</v>
      </c>
      <c r="CN52" s="1309">
        <f>IF(($AC52&gt;=0),((IF((CH52&gt;0),(((100)-((CH52)+(CK52)+0.00001))),0))),(0))</f>
        <v>27.604160437282786</v>
      </c>
      <c r="CO52" s="1295">
        <f>IF(($AC52&gt;=0),((IF((CI52&gt;0),(((100)-((CI52)+(CL52)+0.00001))),0))),(0))</f>
        <v>31.775697310681551</v>
      </c>
      <c r="CP52" s="1307">
        <f>IF(($AC52&gt;=0),((IF((CJ52&gt;0),(((100)-((CJ52)+(CM52)+0.00001))),0))),(0))</f>
        <v>22.352940311417612</v>
      </c>
      <c r="CQ52" s="1122"/>
    </row>
    <row r="53" spans="1:95" ht="12.75" customHeight="1">
      <c r="A53" s="1410"/>
      <c r="B53" s="1410"/>
      <c r="C53" s="1410"/>
      <c r="D53" s="1410"/>
      <c r="E53" s="1410"/>
      <c r="F53" s="1410"/>
      <c r="G53" s="1410"/>
      <c r="H53" s="1410"/>
      <c r="I53" s="1410"/>
      <c r="J53" s="1410"/>
      <c r="K53" s="1410"/>
      <c r="L53" s="1410"/>
      <c r="M53" s="1410"/>
      <c r="N53" s="1410"/>
      <c r="O53" s="1410"/>
      <c r="P53" s="1410"/>
      <c r="Q53" s="1410"/>
      <c r="R53" s="1410"/>
      <c r="S53" s="1410"/>
      <c r="T53" s="1410"/>
      <c r="U53" s="1410"/>
      <c r="V53" s="1410"/>
      <c r="W53" s="1410"/>
      <c r="X53" s="1410"/>
      <c r="Y53" s="1410"/>
      <c r="Z53" s="1410"/>
      <c r="AA53" s="1410"/>
      <c r="AB53" s="1410"/>
      <c r="AC53" s="1217"/>
      <c r="AD53" s="1085"/>
      <c r="AE53" s="1085"/>
      <c r="AF53" s="1085"/>
      <c r="AG53" s="1085"/>
      <c r="AH53" s="1085"/>
      <c r="AI53" s="1085"/>
      <c r="AJ53" s="1085"/>
      <c r="AK53" s="1085"/>
      <c r="AL53" s="1085"/>
      <c r="AM53" s="1085"/>
      <c r="AN53" s="1085"/>
      <c r="AO53" s="1085"/>
      <c r="AP53" s="1085"/>
      <c r="AQ53" s="1085"/>
      <c r="AR53" s="1085"/>
      <c r="AS53" s="1085"/>
      <c r="AT53" s="1085"/>
      <c r="AU53" s="1085"/>
      <c r="AV53" s="1085"/>
      <c r="AW53" s="1085"/>
      <c r="AX53" s="1085"/>
      <c r="AY53" s="1085"/>
      <c r="AZ53" s="1085"/>
      <c r="BA53" s="1085"/>
      <c r="BB53" s="1085"/>
      <c r="BC53" s="1085"/>
      <c r="BD53" s="1085"/>
      <c r="BE53" s="1085"/>
      <c r="BF53" s="1085"/>
      <c r="BG53" s="1085"/>
      <c r="BH53" s="1085"/>
      <c r="BI53" s="1085"/>
      <c r="BJ53" s="1085"/>
      <c r="BK53" s="1085"/>
      <c r="BL53" s="1085"/>
      <c r="BM53" s="1085"/>
      <c r="BN53" s="1085"/>
      <c r="BO53" s="1085"/>
      <c r="BP53" s="1085"/>
      <c r="BQ53" s="1085"/>
      <c r="BR53" s="1085"/>
      <c r="BS53" s="1085"/>
      <c r="BT53" s="1085"/>
      <c r="BU53" s="1085"/>
      <c r="BV53" s="1085"/>
      <c r="BW53" s="1085"/>
      <c r="BX53" s="1085"/>
      <c r="BY53" s="1085"/>
      <c r="BZ53" s="1085"/>
      <c r="CA53" s="1085"/>
      <c r="CB53" s="1085"/>
      <c r="CC53" s="1085"/>
      <c r="CD53" s="1085"/>
      <c r="CE53" s="1085"/>
      <c r="CF53" s="1085"/>
      <c r="CG53" s="1085"/>
      <c r="CH53" s="1085"/>
      <c r="CI53" s="1085"/>
      <c r="CJ53" s="1085"/>
      <c r="CK53" s="1085"/>
      <c r="CL53" s="1085"/>
      <c r="CM53" s="1085"/>
      <c r="CN53" s="1085"/>
      <c r="CO53" s="1085"/>
      <c r="CP53" s="1085"/>
      <c r="CQ53" s="1085"/>
    </row>
  </sheetData>
  <sheetProtection password="D8D3" sheet="1" objects="1" scenarios="1"/>
  <mergeCells count="219">
    <mergeCell ref="U3:V3"/>
    <mergeCell ref="AG34:AJ35"/>
    <mergeCell ref="AD41:AD44"/>
    <mergeCell ref="AE41:AE44"/>
    <mergeCell ref="AG41:AJ42"/>
    <mergeCell ref="AL41:AN43"/>
    <mergeCell ref="BD41:BF43"/>
    <mergeCell ref="BG41:BI43"/>
    <mergeCell ref="AF43:AG43"/>
    <mergeCell ref="AH43:AI43"/>
    <mergeCell ref="AJ43:AK43"/>
    <mergeCell ref="U17:U18"/>
    <mergeCell ref="V17:V18"/>
    <mergeCell ref="Z17:Z18"/>
    <mergeCell ref="BG27:BI29"/>
    <mergeCell ref="Y10:Z10"/>
    <mergeCell ref="V11:V12"/>
    <mergeCell ref="W11:W12"/>
    <mergeCell ref="X11:X12"/>
    <mergeCell ref="Y11:Y12"/>
    <mergeCell ref="BG48:BI50"/>
    <mergeCell ref="AF50:AG50"/>
    <mergeCell ref="AD52:AE52"/>
    <mergeCell ref="BN52:BO52"/>
    <mergeCell ref="CF52:CG52"/>
    <mergeCell ref="CB48:CD50"/>
    <mergeCell ref="CF48:CF51"/>
    <mergeCell ref="CG48:CG51"/>
    <mergeCell ref="BN48:BN51"/>
    <mergeCell ref="BO48:BO51"/>
    <mergeCell ref="BP48:BR50"/>
    <mergeCell ref="CM50:CM51"/>
    <mergeCell ref="CN50:CN51"/>
    <mergeCell ref="CO50:CO51"/>
    <mergeCell ref="CP50:CP51"/>
    <mergeCell ref="AD45:AE45"/>
    <mergeCell ref="BN45:BO45"/>
    <mergeCell ref="CF45:CG45"/>
    <mergeCell ref="AJ50:AK50"/>
    <mergeCell ref="CH48:CJ49"/>
    <mergeCell ref="CK48:CM49"/>
    <mergeCell ref="AH50:AI50"/>
    <mergeCell ref="CH50:CH51"/>
    <mergeCell ref="CI50:CI51"/>
    <mergeCell ref="CJ50:CJ51"/>
    <mergeCell ref="CK50:CK51"/>
    <mergeCell ref="CL50:CL51"/>
    <mergeCell ref="BS48:BU50"/>
    <mergeCell ref="BV48:BX50"/>
    <mergeCell ref="BY48:CA50"/>
    <mergeCell ref="AD48:AD51"/>
    <mergeCell ref="AE48:AE51"/>
    <mergeCell ref="AG48:AJ49"/>
    <mergeCell ref="AL48:AN50"/>
    <mergeCell ref="BD48:BF50"/>
    <mergeCell ref="CH41:CJ42"/>
    <mergeCell ref="CK41:CM42"/>
    <mergeCell ref="CN41:CP42"/>
    <mergeCell ref="CN48:CP49"/>
    <mergeCell ref="CB41:CD43"/>
    <mergeCell ref="CF41:CF44"/>
    <mergeCell ref="CG41:CG44"/>
    <mergeCell ref="BN41:BN44"/>
    <mergeCell ref="BO41:BO44"/>
    <mergeCell ref="BP41:BR43"/>
    <mergeCell ref="BS41:BU43"/>
    <mergeCell ref="BV41:BX43"/>
    <mergeCell ref="BY41:CA43"/>
    <mergeCell ref="CO43:CO44"/>
    <mergeCell ref="CP43:CP44"/>
    <mergeCell ref="CH43:CH44"/>
    <mergeCell ref="CI43:CI44"/>
    <mergeCell ref="CJ43:CJ44"/>
    <mergeCell ref="CK43:CK44"/>
    <mergeCell ref="CL43:CL44"/>
    <mergeCell ref="CM43:CM44"/>
    <mergeCell ref="CN43:CN44"/>
    <mergeCell ref="CM36:CM37"/>
    <mergeCell ref="BD34:BF36"/>
    <mergeCell ref="CN34:CP35"/>
    <mergeCell ref="CH34:CJ35"/>
    <mergeCell ref="CK34:CM35"/>
    <mergeCell ref="AD38:AE38"/>
    <mergeCell ref="CN36:CN37"/>
    <mergeCell ref="CO36:CO37"/>
    <mergeCell ref="AF36:AG36"/>
    <mergeCell ref="AH36:AI36"/>
    <mergeCell ref="AJ36:AK36"/>
    <mergeCell ref="BN34:BN37"/>
    <mergeCell ref="BO34:BO37"/>
    <mergeCell ref="CF34:CF37"/>
    <mergeCell ref="AD34:AD37"/>
    <mergeCell ref="CP36:CP37"/>
    <mergeCell ref="CH36:CH37"/>
    <mergeCell ref="CI36:CI37"/>
    <mergeCell ref="CJ36:CJ37"/>
    <mergeCell ref="CK36:CK37"/>
    <mergeCell ref="CL36:CL37"/>
    <mergeCell ref="AL34:AN36"/>
    <mergeCell ref="BG34:BI36"/>
    <mergeCell ref="AE34:AE37"/>
    <mergeCell ref="CJ29:CJ30"/>
    <mergeCell ref="CK29:CK30"/>
    <mergeCell ref="BZ29:BZ30"/>
    <mergeCell ref="CA29:CA30"/>
    <mergeCell ref="CB29:CB30"/>
    <mergeCell ref="CC29:CC30"/>
    <mergeCell ref="CD29:CD30"/>
    <mergeCell ref="BN38:BO38"/>
    <mergeCell ref="CF38:CG38"/>
    <mergeCell ref="BP34:BR36"/>
    <mergeCell ref="BS34:BU36"/>
    <mergeCell ref="BV34:BX36"/>
    <mergeCell ref="BY34:CA36"/>
    <mergeCell ref="CB34:CD36"/>
    <mergeCell ref="CG34:CG37"/>
    <mergeCell ref="CF27:CF30"/>
    <mergeCell ref="CG27:CG30"/>
    <mergeCell ref="BY29:BY30"/>
    <mergeCell ref="CO29:CO30"/>
    <mergeCell ref="CP29:CP30"/>
    <mergeCell ref="CL29:CL30"/>
    <mergeCell ref="CM29:CM30"/>
    <mergeCell ref="CN29:CN30"/>
    <mergeCell ref="BN31:BO31"/>
    <mergeCell ref="CF31:CG31"/>
    <mergeCell ref="BN27:BN30"/>
    <mergeCell ref="BO27:BO30"/>
    <mergeCell ref="BS27:BU28"/>
    <mergeCell ref="CN27:CP28"/>
    <mergeCell ref="BP29:BP30"/>
    <mergeCell ref="BQ29:BQ30"/>
    <mergeCell ref="BR29:BR30"/>
    <mergeCell ref="BS29:BS30"/>
    <mergeCell ref="BT29:BT30"/>
    <mergeCell ref="BU29:BU30"/>
    <mergeCell ref="BV29:BV30"/>
    <mergeCell ref="BW29:BW30"/>
    <mergeCell ref="BX29:BX30"/>
    <mergeCell ref="CH29:CH30"/>
    <mergeCell ref="BV27:BX28"/>
    <mergeCell ref="CB27:CD28"/>
    <mergeCell ref="CI29:CI30"/>
    <mergeCell ref="R17:R18"/>
    <mergeCell ref="S17:S18"/>
    <mergeCell ref="T17:T18"/>
    <mergeCell ref="AG27:AJ28"/>
    <mergeCell ref="AL27:AN29"/>
    <mergeCell ref="BD27:BF29"/>
    <mergeCell ref="AF29:AG29"/>
    <mergeCell ref="AH29:AI29"/>
    <mergeCell ref="AJ29:AK29"/>
    <mergeCell ref="AD27:AD30"/>
    <mergeCell ref="AE27:AE30"/>
    <mergeCell ref="W17:W18"/>
    <mergeCell ref="X17:X18"/>
    <mergeCell ref="Y17:Y18"/>
    <mergeCell ref="B11:B12"/>
    <mergeCell ref="C11:C12"/>
    <mergeCell ref="D11:D12"/>
    <mergeCell ref="G11:G12"/>
    <mergeCell ref="H11:H12"/>
    <mergeCell ref="I11:I12"/>
    <mergeCell ref="B17:B18"/>
    <mergeCell ref="C17:C18"/>
    <mergeCell ref="D17:D18"/>
    <mergeCell ref="F17:F18"/>
    <mergeCell ref="G17:G18"/>
    <mergeCell ref="H17:H18"/>
    <mergeCell ref="K17:K18"/>
    <mergeCell ref="L17:L18"/>
    <mergeCell ref="M17:M18"/>
    <mergeCell ref="N17:N18"/>
    <mergeCell ref="J11:J12"/>
    <mergeCell ref="K11:K12"/>
    <mergeCell ref="L11:L12"/>
    <mergeCell ref="N10:O10"/>
    <mergeCell ref="P10:Q10"/>
    <mergeCell ref="N11:N12"/>
    <mergeCell ref="O11:O12"/>
    <mergeCell ref="P11:P12"/>
    <mergeCell ref="Q11:Q12"/>
    <mergeCell ref="O17:O18"/>
    <mergeCell ref="P17:P18"/>
    <mergeCell ref="Q17:Q18"/>
    <mergeCell ref="R10:S10"/>
    <mergeCell ref="I17:I18"/>
    <mergeCell ref="J17:J18"/>
    <mergeCell ref="R11:R12"/>
    <mergeCell ref="F3:S3"/>
    <mergeCell ref="L4:Z4"/>
    <mergeCell ref="B6:D6"/>
    <mergeCell ref="F6:L6"/>
    <mergeCell ref="M6:S6"/>
    <mergeCell ref="T6:Z6"/>
    <mergeCell ref="B4:D4"/>
    <mergeCell ref="E4:H4"/>
    <mergeCell ref="Z11:Z12"/>
    <mergeCell ref="S11:S12"/>
    <mergeCell ref="U11:U12"/>
    <mergeCell ref="B10:D10"/>
    <mergeCell ref="F10:F12"/>
    <mergeCell ref="G10:H10"/>
    <mergeCell ref="I10:J10"/>
    <mergeCell ref="K10:L10"/>
    <mergeCell ref="M10:M12"/>
    <mergeCell ref="T10:T12"/>
    <mergeCell ref="U10:V10"/>
    <mergeCell ref="W10:X10"/>
    <mergeCell ref="B7:D7"/>
    <mergeCell ref="F7:G7"/>
    <mergeCell ref="X7:Z7"/>
    <mergeCell ref="F8:L8"/>
    <mergeCell ref="M8:S8"/>
    <mergeCell ref="T8:Z8"/>
    <mergeCell ref="Q7:S7"/>
    <mergeCell ref="T7:U7"/>
    <mergeCell ref="J7:L7"/>
    <mergeCell ref="M7:N7"/>
  </mergeCells>
  <conditionalFormatting sqref="T13:T19 M13:M19 F13:F19">
    <cfRule type="cellIs" dxfId="5" priority="6" stopIfTrue="1" operator="equal">
      <formula>0</formula>
    </cfRule>
  </conditionalFormatting>
  <conditionalFormatting sqref="F13:F17 H13:H17 J13:J17 O13:O17 Q13:Q17 S13:T17 L13:M17 Z13:Z17">
    <cfRule type="cellIs" dxfId="4" priority="5" operator="lessThan">
      <formula>0</formula>
    </cfRule>
  </conditionalFormatting>
  <conditionalFormatting sqref="D4:F4">
    <cfRule type="cellIs" dxfId="3" priority="3" operator="equal">
      <formula>0</formula>
    </cfRule>
  </conditionalFormatting>
  <conditionalFormatting sqref="O13">
    <cfRule type="cellIs" dxfId="2" priority="2" operator="equal">
      <formula>0</formula>
    </cfRule>
  </conditionalFormatting>
  <conditionalFormatting sqref="B13:Z18">
    <cfRule type="cellIs" dxfId="1" priority="1" operator="equal">
      <formula>0</formula>
    </cfRule>
  </conditionalFormatting>
  <printOptions horizontalCentered="1" verticalCentered="1"/>
  <pageMargins left="0.11811023622047245" right="0.11811023622047245" top="0.19685039370078741" bottom="0.19685039370078741" header="0" footer="0.31496062992125984"/>
  <pageSetup paperSize="9" scale="110" orientation="landscape" horizontalDpi="300" verticalDpi="300" r:id="rId1"/>
  <headerFooter alignWithMargins="0">
    <oddFooter xml:space="preserve">&amp;R&amp;"-,Gras"&amp;8&amp;K00-034Echamil.V08  &amp;F &amp;A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tabColor indexed="17"/>
  </sheetPr>
  <dimension ref="A1:IV271"/>
  <sheetViews>
    <sheetView rightToLeft="1" zoomScale="80" zoomScaleNormal="80" workbookViewId="0"/>
  </sheetViews>
  <sheetFormatPr baseColWidth="10" defaultColWidth="2.6640625" defaultRowHeight="13.2"/>
  <cols>
    <col min="1" max="1" width="4" style="20" customWidth="1"/>
    <col min="2" max="5" width="4.6640625" style="20" customWidth="1"/>
    <col min="6" max="8" width="5.6640625" style="20" customWidth="1"/>
    <col min="9" max="9" width="4.6640625" style="20" customWidth="1"/>
    <col min="10" max="12" width="5.6640625" style="20" customWidth="1"/>
    <col min="13" max="13" width="6.109375" style="20" customWidth="1"/>
    <col min="14" max="20" width="5.6640625" style="20" customWidth="1"/>
    <col min="21" max="23" width="4.6640625" style="20" customWidth="1"/>
    <col min="24" max="26" width="5.6640625" style="20" customWidth="1"/>
    <col min="27" max="29" width="4.6640625" style="20" customWidth="1"/>
    <col min="30" max="33" width="5.6640625" style="20" customWidth="1"/>
    <col min="34" max="36" width="4.6640625" style="20" customWidth="1"/>
    <col min="37" max="40" width="5.6640625" style="20" customWidth="1"/>
    <col min="41" max="41" width="7.109375" style="20" customWidth="1"/>
    <col min="42" max="43" width="7" style="20" customWidth="1"/>
    <col min="44" max="48" width="5.6640625" style="20" customWidth="1"/>
    <col min="49" max="49" width="7.109375" style="20" customWidth="1"/>
    <col min="50" max="68" width="5.6640625" style="20" customWidth="1"/>
    <col min="69" max="69" width="6.6640625" style="20" customWidth="1"/>
    <col min="70" max="70" width="5.6640625" style="20" customWidth="1"/>
    <col min="71" max="71" width="5.33203125" style="20" customWidth="1"/>
    <col min="72" max="72" width="5.6640625" style="20" customWidth="1"/>
    <col min="73" max="73" width="5.33203125" style="20" customWidth="1"/>
    <col min="74" max="74" width="5.6640625" style="20" customWidth="1"/>
    <col min="75" max="75" width="6.109375" style="20" customWidth="1"/>
    <col min="76" max="76" width="6.33203125" style="20" customWidth="1"/>
    <col min="77" max="77" width="6.5546875" style="20" customWidth="1"/>
    <col min="78" max="78" width="5.6640625" style="20" customWidth="1"/>
    <col min="79" max="79" width="4.6640625" style="20" customWidth="1"/>
    <col min="80" max="89" width="5.6640625" style="20" customWidth="1"/>
    <col min="90" max="90" width="4.6640625" style="20" customWidth="1"/>
    <col min="91" max="94" width="5.6640625" style="20" customWidth="1"/>
    <col min="95" max="97" width="4.6640625" style="20" customWidth="1"/>
    <col min="98" max="98" width="6" style="20" customWidth="1"/>
    <col min="99" max="100" width="5.6640625" style="20" customWidth="1"/>
    <col min="101" max="101" width="6.33203125" style="20" customWidth="1"/>
    <col min="102" max="104" width="4.6640625" style="20" customWidth="1"/>
    <col min="105" max="106" width="5.6640625" style="20" customWidth="1"/>
    <col min="107" max="107" width="6.5546875" style="20" customWidth="1"/>
    <col min="108" max="108" width="6.109375" style="20" customWidth="1"/>
    <col min="109" max="109" width="6.33203125" style="20" customWidth="1"/>
    <col min="110" max="110" width="4.6640625" style="20" customWidth="1"/>
    <col min="111" max="113" width="5.6640625" style="20" customWidth="1"/>
    <col min="114" max="114" width="5.88671875" style="20" customWidth="1"/>
    <col min="115" max="119" width="5.6640625" style="20" customWidth="1"/>
    <col min="120" max="121" width="4.6640625" style="20" customWidth="1"/>
    <col min="122" max="122" width="5.5546875" style="20" customWidth="1"/>
    <col min="123" max="125" width="5.6640625" style="20" customWidth="1"/>
    <col min="126" max="126" width="4.6640625" style="20" customWidth="1"/>
    <col min="127" max="127" width="5.5546875" style="20" customWidth="1"/>
    <col min="128" max="132" width="5.6640625" style="20" customWidth="1"/>
    <col min="133" max="133" width="6.109375" style="20" customWidth="1"/>
    <col min="134" max="138" width="5.6640625" style="20" customWidth="1"/>
    <col min="139" max="139" width="6" style="20" customWidth="1"/>
    <col min="140" max="140" width="5.109375" style="20" customWidth="1"/>
    <col min="141" max="141" width="6.88671875" style="20" customWidth="1"/>
    <col min="142" max="142" width="5.6640625" style="20" customWidth="1"/>
    <col min="143" max="143" width="6.33203125" style="20" customWidth="1"/>
    <col min="144" max="144" width="6.5546875" style="20" customWidth="1"/>
    <col min="145" max="145" width="6.109375" style="20" customWidth="1"/>
    <col min="146" max="150" width="5.6640625" style="20" customWidth="1"/>
    <col min="151" max="151" width="5.5546875" style="20" customWidth="1"/>
    <col min="152" max="156" width="5.6640625" style="20" customWidth="1"/>
    <col min="157" max="157" width="5.5546875" style="20" customWidth="1"/>
    <col min="158" max="167" width="5.6640625" style="20" customWidth="1"/>
    <col min="168" max="168" width="6.109375" style="20" customWidth="1"/>
    <col min="169" max="169" width="6.6640625" style="20" customWidth="1"/>
    <col min="170" max="170" width="6.109375" style="20" customWidth="1"/>
    <col min="171" max="171" width="5.6640625" style="20" customWidth="1"/>
    <col min="172" max="172" width="6.33203125" style="20" customWidth="1"/>
    <col min="173" max="175" width="5.6640625" style="20" customWidth="1"/>
    <col min="176" max="176" width="4.6640625" style="20" customWidth="1"/>
    <col min="177" max="178" width="5.33203125" style="20" customWidth="1"/>
    <col min="179" max="181" width="5.6640625" style="20" customWidth="1"/>
    <col min="182" max="182" width="4.6640625" style="20" customWidth="1"/>
    <col min="183" max="183" width="5.109375" style="20" customWidth="1"/>
    <col min="184" max="184" width="4.6640625" style="20" customWidth="1"/>
    <col min="185" max="187" width="5.6640625" style="20" customWidth="1"/>
    <col min="188" max="188" width="5.109375" style="20" customWidth="1"/>
    <col min="189" max="189" width="5.6640625" style="20" customWidth="1"/>
    <col min="190" max="191" width="4.6640625" style="20" customWidth="1"/>
    <col min="192" max="194" width="5.6640625" style="20" customWidth="1"/>
    <col min="195" max="197" width="4.6640625" style="20" customWidth="1"/>
    <col min="198" max="200" width="5.6640625" style="20" customWidth="1"/>
    <col min="201" max="201" width="5.33203125" style="20" customWidth="1"/>
    <col min="202" max="202" width="4.6640625" style="20" customWidth="1"/>
    <col min="203" max="203" width="5.109375" style="20" customWidth="1"/>
    <col min="204" max="206" width="5.6640625" style="20" customWidth="1"/>
    <col min="207" max="207" width="5.44140625" style="20" customWidth="1"/>
    <col min="208" max="208" width="4.6640625" style="20" customWidth="1"/>
    <col min="209" max="209" width="5.109375" style="20" customWidth="1"/>
    <col min="210" max="212" width="5.6640625" style="20" customWidth="1"/>
    <col min="213" max="213" width="5.33203125" style="20" customWidth="1"/>
    <col min="214" max="214" width="4.6640625" style="20" customWidth="1"/>
    <col min="215" max="215" width="5.109375" style="20" customWidth="1"/>
    <col min="216" max="218" width="5.6640625" style="20" customWidth="1"/>
    <col min="219" max="222" width="4.6640625" style="20" customWidth="1"/>
    <col min="223" max="225" width="5.6640625" style="20" customWidth="1"/>
    <col min="226" max="228" width="4.6640625" style="20" customWidth="1"/>
    <col min="229" max="231" width="5.6640625" style="20" customWidth="1"/>
    <col min="232" max="232" width="4.6640625" style="20" customWidth="1"/>
    <col min="233" max="233" width="5.109375" style="20" customWidth="1"/>
    <col min="234" max="234" width="4.6640625" style="20" customWidth="1"/>
    <col min="235" max="237" width="5.6640625" style="20" customWidth="1"/>
    <col min="238" max="238" width="5.109375" style="20" customWidth="1"/>
    <col min="239" max="239" width="5.33203125" style="20" customWidth="1"/>
    <col min="240" max="240" width="4.6640625" style="20" customWidth="1"/>
    <col min="241" max="244" width="5.6640625" style="20" customWidth="1"/>
    <col min="245" max="245" width="6" style="20" customWidth="1"/>
    <col min="246" max="246" width="5.88671875" style="20" customWidth="1"/>
    <col min="247" max="249" width="5.6640625" style="20" customWidth="1"/>
    <col min="250" max="254" width="4.6640625" style="20" customWidth="1"/>
    <col min="255" max="16384" width="2.6640625" style="20"/>
  </cols>
  <sheetData>
    <row r="1" spans="1:256" s="21" customFormat="1" ht="17.399999999999999">
      <c r="A1" s="460"/>
      <c r="B1" s="5711" t="s">
        <v>547</v>
      </c>
      <c r="C1" s="5711"/>
      <c r="D1" s="22"/>
      <c r="E1" s="22"/>
      <c r="F1" s="22"/>
      <c r="G1" s="22"/>
      <c r="H1" s="22"/>
      <c r="I1" s="22"/>
      <c r="J1" s="22"/>
      <c r="K1" s="22"/>
      <c r="L1" s="22"/>
      <c r="M1" s="22"/>
      <c r="N1" s="22"/>
      <c r="O1" s="22"/>
      <c r="P1" s="22"/>
      <c r="Q1" s="22"/>
      <c r="R1" s="22"/>
      <c r="S1" s="22"/>
      <c r="T1" s="22"/>
      <c r="U1" s="22"/>
      <c r="V1" s="22"/>
    </row>
    <row r="2" spans="1:256" s="24" customFormat="1" ht="15" customHeight="1" thickBot="1">
      <c r="A2" s="5686">
        <v>1</v>
      </c>
      <c r="B2" s="458" t="s">
        <v>546</v>
      </c>
      <c r="C2" s="459"/>
      <c r="D2" s="455"/>
      <c r="E2" s="455"/>
      <c r="G2" s="106"/>
      <c r="H2" s="106"/>
      <c r="I2" s="106"/>
      <c r="J2" s="106"/>
      <c r="N2" s="458" t="s">
        <v>545</v>
      </c>
      <c r="V2" s="170" t="s">
        <v>544</v>
      </c>
      <c r="AE2" s="170"/>
      <c r="AL2" s="170" t="s">
        <v>543</v>
      </c>
      <c r="AU2" s="170"/>
      <c r="BB2" s="170" t="s">
        <v>542</v>
      </c>
      <c r="BK2" s="170"/>
      <c r="BR2" s="170" t="s">
        <v>541</v>
      </c>
      <c r="CA2" s="170"/>
      <c r="CH2" s="456" t="s">
        <v>523</v>
      </c>
      <c r="CI2" s="455"/>
      <c r="CJ2" s="455"/>
      <c r="CK2" s="455"/>
      <c r="CL2" s="106"/>
      <c r="CM2" s="106"/>
      <c r="CN2" s="106"/>
      <c r="CO2" s="106"/>
      <c r="CP2" s="106"/>
      <c r="CQ2" s="457"/>
      <c r="CR2" s="456" t="s">
        <v>523</v>
      </c>
      <c r="CS2" s="106"/>
      <c r="CT2" s="106"/>
      <c r="CU2" s="106"/>
      <c r="CV2" s="457"/>
      <c r="CW2" s="455"/>
      <c r="CX2" s="455"/>
      <c r="CY2" s="455"/>
      <c r="CZ2" s="106"/>
      <c r="DA2" s="106"/>
      <c r="DB2" s="456" t="s">
        <v>523</v>
      </c>
      <c r="DC2" s="106"/>
      <c r="DD2" s="106"/>
      <c r="DE2" s="457"/>
      <c r="DF2" s="455"/>
      <c r="DG2" s="106"/>
      <c r="DH2" s="106"/>
      <c r="DI2" s="457"/>
      <c r="DJ2" s="106"/>
      <c r="DK2" s="106"/>
      <c r="DL2" s="456" t="s">
        <v>523</v>
      </c>
      <c r="DM2" s="457"/>
      <c r="DN2" s="455"/>
      <c r="DO2" s="455"/>
      <c r="DP2" s="455"/>
      <c r="DQ2" s="106"/>
      <c r="DR2" s="106"/>
      <c r="DS2" s="106"/>
      <c r="DT2" s="106"/>
      <c r="DU2" s="106"/>
      <c r="DV2" s="456" t="s">
        <v>523</v>
      </c>
      <c r="DW2" s="455"/>
      <c r="DX2" s="106"/>
      <c r="DY2" s="106"/>
      <c r="EF2" s="454" t="s">
        <v>540</v>
      </c>
      <c r="EN2" s="454"/>
      <c r="EO2" s="170"/>
      <c r="EV2" s="170" t="s">
        <v>539</v>
      </c>
      <c r="FE2" s="170"/>
      <c r="FL2" s="453" t="s">
        <v>538</v>
      </c>
      <c r="FM2" s="25"/>
      <c r="FN2" s="25"/>
      <c r="FO2" s="25"/>
      <c r="FP2" s="25"/>
      <c r="FQ2" s="25"/>
      <c r="FT2" s="170" t="s">
        <v>537</v>
      </c>
      <c r="GC2" s="170"/>
      <c r="GI2" s="25"/>
      <c r="GJ2" s="170" t="s">
        <v>536</v>
      </c>
      <c r="GS2" s="170"/>
      <c r="GZ2" s="170" t="s">
        <v>535</v>
      </c>
      <c r="HI2" s="170"/>
      <c r="HQ2" s="452" t="s">
        <v>534</v>
      </c>
      <c r="HR2" s="339"/>
      <c r="HS2" s="339"/>
      <c r="HT2" s="339"/>
      <c r="HU2" s="339"/>
      <c r="HV2" s="339"/>
      <c r="HW2" s="193"/>
      <c r="HX2" s="193"/>
      <c r="HY2" s="339"/>
      <c r="HZ2" s="339"/>
      <c r="IA2" s="339"/>
      <c r="IB2" s="339"/>
      <c r="IC2" s="170"/>
      <c r="ID2" s="339"/>
      <c r="IE2" s="339"/>
      <c r="IF2" s="170"/>
      <c r="IG2" s="339"/>
      <c r="IH2" s="339"/>
      <c r="II2" s="340"/>
      <c r="IJ2" s="339"/>
      <c r="IK2" s="84"/>
      <c r="IO2" s="170"/>
      <c r="IV2" s="21"/>
    </row>
    <row r="3" spans="1:256" s="24" customFormat="1" ht="12.75" customHeight="1" thickTop="1" thickBot="1">
      <c r="A3" s="5686"/>
      <c r="B3" s="152"/>
      <c r="C3" s="5712" t="s">
        <v>503</v>
      </c>
      <c r="D3" s="5712" t="s">
        <v>533</v>
      </c>
      <c r="E3" s="5712" t="s">
        <v>532</v>
      </c>
      <c r="F3" s="5712" t="s">
        <v>531</v>
      </c>
      <c r="G3" s="5712" t="s">
        <v>530</v>
      </c>
      <c r="H3" s="5739" t="s">
        <v>529</v>
      </c>
      <c r="I3" s="5740"/>
      <c r="J3" s="5740"/>
      <c r="K3" s="5740"/>
      <c r="L3" s="5741"/>
      <c r="N3" s="5730" t="s">
        <v>528</v>
      </c>
      <c r="O3" s="5706" t="s">
        <v>527</v>
      </c>
      <c r="P3" s="5702" t="s">
        <v>526</v>
      </c>
      <c r="Q3" s="5703"/>
      <c r="R3" s="5699" t="s">
        <v>525</v>
      </c>
      <c r="V3" s="5269" t="s">
        <v>524</v>
      </c>
      <c r="W3" s="5270"/>
      <c r="X3" s="5271"/>
      <c r="Y3" s="5269" t="s">
        <v>474</v>
      </c>
      <c r="Z3" s="5270"/>
      <c r="AA3" s="5271"/>
      <c r="AB3" s="5269" t="s">
        <v>473</v>
      </c>
      <c r="AC3" s="5270"/>
      <c r="AD3" s="5271"/>
      <c r="AE3" s="5269" t="s">
        <v>472</v>
      </c>
      <c r="AF3" s="5270"/>
      <c r="AG3" s="5271"/>
      <c r="AH3" s="5269" t="s">
        <v>187</v>
      </c>
      <c r="AI3" s="5270"/>
      <c r="AJ3" s="5271"/>
      <c r="AL3" s="5320" t="s">
        <v>524</v>
      </c>
      <c r="AM3" s="5315"/>
      <c r="AN3" s="5321"/>
      <c r="AO3" s="5314" t="s">
        <v>474</v>
      </c>
      <c r="AP3" s="5315"/>
      <c r="AQ3" s="5321"/>
      <c r="AR3" s="5314" t="s">
        <v>473</v>
      </c>
      <c r="AS3" s="5315"/>
      <c r="AT3" s="5321"/>
      <c r="AU3" s="5314" t="s">
        <v>472</v>
      </c>
      <c r="AV3" s="5315"/>
      <c r="AW3" s="5321"/>
      <c r="AX3" s="5314" t="s">
        <v>187</v>
      </c>
      <c r="AY3" s="5315"/>
      <c r="AZ3" s="5316"/>
      <c r="BB3" s="5269" t="s">
        <v>524</v>
      </c>
      <c r="BC3" s="5270"/>
      <c r="BD3" s="5271"/>
      <c r="BE3" s="5269" t="s">
        <v>474</v>
      </c>
      <c r="BF3" s="5270"/>
      <c r="BG3" s="5271"/>
      <c r="BH3" s="5269" t="s">
        <v>473</v>
      </c>
      <c r="BI3" s="5270"/>
      <c r="BJ3" s="5271"/>
      <c r="BK3" s="5269" t="s">
        <v>472</v>
      </c>
      <c r="BL3" s="5270"/>
      <c r="BM3" s="5271"/>
      <c r="BN3" s="5269" t="s">
        <v>187</v>
      </c>
      <c r="BO3" s="5270"/>
      <c r="BP3" s="5271"/>
      <c r="BR3" s="5320" t="s">
        <v>524</v>
      </c>
      <c r="BS3" s="5315"/>
      <c r="BT3" s="5321"/>
      <c r="BU3" s="5314" t="s">
        <v>474</v>
      </c>
      <c r="BV3" s="5315"/>
      <c r="BW3" s="5321"/>
      <c r="BX3" s="5314" t="s">
        <v>473</v>
      </c>
      <c r="BY3" s="5315"/>
      <c r="BZ3" s="5321"/>
      <c r="CA3" s="5314" t="s">
        <v>472</v>
      </c>
      <c r="CB3" s="5315"/>
      <c r="CC3" s="5321"/>
      <c r="CD3" s="5314" t="s">
        <v>187</v>
      </c>
      <c r="CE3" s="5315"/>
      <c r="CF3" s="5316"/>
      <c r="CH3" s="451"/>
      <c r="CI3" s="449"/>
      <c r="CJ3" s="449"/>
      <c r="CK3" s="449"/>
      <c r="CL3" s="450" t="s">
        <v>523</v>
      </c>
      <c r="CM3" s="449"/>
      <c r="CN3" s="449"/>
      <c r="CO3" s="449"/>
      <c r="CP3" s="448"/>
      <c r="CR3" s="5341" t="s">
        <v>523</v>
      </c>
      <c r="CS3" s="5342"/>
      <c r="CT3" s="5342"/>
      <c r="CU3" s="5342"/>
      <c r="CV3" s="5342"/>
      <c r="CW3" s="5342"/>
      <c r="CX3" s="5342"/>
      <c r="CY3" s="5342"/>
      <c r="CZ3" s="5343"/>
      <c r="DB3" s="5341" t="s">
        <v>523</v>
      </c>
      <c r="DC3" s="5342"/>
      <c r="DD3" s="5342"/>
      <c r="DE3" s="5342"/>
      <c r="DF3" s="5342"/>
      <c r="DG3" s="5342"/>
      <c r="DH3" s="5342"/>
      <c r="DI3" s="5342"/>
      <c r="DJ3" s="5343"/>
      <c r="DL3" s="5341" t="s">
        <v>523</v>
      </c>
      <c r="DM3" s="5342"/>
      <c r="DN3" s="5342"/>
      <c r="DO3" s="5342"/>
      <c r="DP3" s="5342"/>
      <c r="DQ3" s="5342"/>
      <c r="DR3" s="5342"/>
      <c r="DS3" s="5342"/>
      <c r="DT3" s="5343"/>
      <c r="DU3" s="106"/>
      <c r="DV3" s="5341" t="s">
        <v>523</v>
      </c>
      <c r="DW3" s="5342"/>
      <c r="DX3" s="5342"/>
      <c r="DY3" s="5342"/>
      <c r="DZ3" s="5342"/>
      <c r="EA3" s="5342"/>
      <c r="EB3" s="5342"/>
      <c r="EC3" s="5342"/>
      <c r="ED3" s="5343"/>
      <c r="EF3" s="5335" t="s">
        <v>364</v>
      </c>
      <c r="EG3" s="5336"/>
      <c r="EH3" s="5337"/>
      <c r="EI3" s="5335" t="s">
        <v>363</v>
      </c>
      <c r="EJ3" s="5336"/>
      <c r="EK3" s="5337"/>
      <c r="EL3" s="5335" t="s">
        <v>362</v>
      </c>
      <c r="EM3" s="5336"/>
      <c r="EN3" s="5337"/>
      <c r="EO3" s="5335" t="s">
        <v>361</v>
      </c>
      <c r="EP3" s="5336"/>
      <c r="EQ3" s="5337"/>
      <c r="ER3" s="5335" t="s">
        <v>365</v>
      </c>
      <c r="ES3" s="5336"/>
      <c r="ET3" s="5337"/>
      <c r="EV3" s="5566" t="s">
        <v>475</v>
      </c>
      <c r="EW3" s="5567"/>
      <c r="EX3" s="5568"/>
      <c r="EY3" s="5566" t="s">
        <v>474</v>
      </c>
      <c r="EZ3" s="5567"/>
      <c r="FA3" s="5568"/>
      <c r="FB3" s="5566" t="s">
        <v>473</v>
      </c>
      <c r="FC3" s="5567"/>
      <c r="FD3" s="5568"/>
      <c r="FE3" s="5566" t="s">
        <v>472</v>
      </c>
      <c r="FF3" s="5567"/>
      <c r="FG3" s="5568"/>
      <c r="FH3" s="5566" t="s">
        <v>187</v>
      </c>
      <c r="FI3" s="5567"/>
      <c r="FJ3" s="5568"/>
      <c r="FL3" s="5390" t="s">
        <v>522</v>
      </c>
      <c r="FM3" s="5375" t="s">
        <v>521</v>
      </c>
      <c r="FN3" s="5376"/>
      <c r="FO3" s="5377"/>
      <c r="FP3" s="5387" t="s">
        <v>520</v>
      </c>
      <c r="FQ3" s="5384" t="s">
        <v>519</v>
      </c>
      <c r="FR3" s="5384" t="s">
        <v>319</v>
      </c>
      <c r="FT3" s="5369" t="s">
        <v>475</v>
      </c>
      <c r="FU3" s="5370"/>
      <c r="FV3" s="5371"/>
      <c r="FW3" s="5369" t="s">
        <v>474</v>
      </c>
      <c r="FX3" s="5370"/>
      <c r="FY3" s="5371"/>
      <c r="FZ3" s="5369" t="s">
        <v>473</v>
      </c>
      <c r="GA3" s="5370"/>
      <c r="GB3" s="5371"/>
      <c r="GC3" s="5369" t="s">
        <v>472</v>
      </c>
      <c r="GD3" s="5370"/>
      <c r="GE3" s="5371"/>
      <c r="GF3" s="5369" t="s">
        <v>187</v>
      </c>
      <c r="GG3" s="5370"/>
      <c r="GH3" s="5371"/>
      <c r="GI3" s="25"/>
      <c r="GJ3" s="5369" t="s">
        <v>475</v>
      </c>
      <c r="GK3" s="5370"/>
      <c r="GL3" s="5371"/>
      <c r="GM3" s="5369" t="s">
        <v>474</v>
      </c>
      <c r="GN3" s="5370"/>
      <c r="GO3" s="5371"/>
      <c r="GP3" s="5369" t="s">
        <v>473</v>
      </c>
      <c r="GQ3" s="5370"/>
      <c r="GR3" s="5371"/>
      <c r="GS3" s="5369" t="s">
        <v>472</v>
      </c>
      <c r="GT3" s="5370"/>
      <c r="GU3" s="5371"/>
      <c r="GV3" s="5369" t="s">
        <v>187</v>
      </c>
      <c r="GW3" s="5370"/>
      <c r="GX3" s="5371"/>
      <c r="GZ3" s="5369" t="s">
        <v>475</v>
      </c>
      <c r="HA3" s="5370"/>
      <c r="HB3" s="5371"/>
      <c r="HC3" s="5369" t="s">
        <v>474</v>
      </c>
      <c r="HD3" s="5370"/>
      <c r="HE3" s="5371"/>
      <c r="HF3" s="5369" t="s">
        <v>473</v>
      </c>
      <c r="HG3" s="5370"/>
      <c r="HH3" s="5371"/>
      <c r="HI3" s="5369" t="s">
        <v>472</v>
      </c>
      <c r="HJ3" s="5370"/>
      <c r="HK3" s="5371"/>
      <c r="HL3" s="5369" t="s">
        <v>187</v>
      </c>
      <c r="HM3" s="5370"/>
      <c r="HN3" s="5371"/>
      <c r="HQ3" s="5218" t="s">
        <v>400</v>
      </c>
      <c r="HR3" s="5219"/>
      <c r="HS3" s="5220"/>
      <c r="HT3" s="5218" t="s">
        <v>399</v>
      </c>
      <c r="HU3" s="5219"/>
      <c r="HV3" s="5220"/>
      <c r="HW3" s="5218" t="s">
        <v>398</v>
      </c>
      <c r="HX3" s="5219"/>
      <c r="HY3" s="5220"/>
      <c r="HZ3" s="5218" t="s">
        <v>397</v>
      </c>
      <c r="IA3" s="5219"/>
      <c r="IB3" s="5220"/>
      <c r="IC3" s="5218" t="s">
        <v>396</v>
      </c>
      <c r="ID3" s="5219"/>
      <c r="IE3" s="5220"/>
      <c r="IF3" s="5218" t="s">
        <v>395</v>
      </c>
      <c r="IG3" s="5219"/>
      <c r="IH3" s="5220"/>
      <c r="II3" s="5218" t="s">
        <v>394</v>
      </c>
      <c r="IJ3" s="5219"/>
      <c r="IK3" s="5220"/>
      <c r="IL3" s="5218" t="s">
        <v>393</v>
      </c>
      <c r="IM3" s="5219"/>
      <c r="IN3" s="5220"/>
      <c r="IO3" s="5218" t="s">
        <v>392</v>
      </c>
      <c r="IP3" s="5219"/>
      <c r="IQ3" s="5220"/>
      <c r="IR3" s="5218" t="s">
        <v>518</v>
      </c>
      <c r="IS3" s="5219"/>
      <c r="IT3" s="5220"/>
      <c r="IV3" s="21"/>
    </row>
    <row r="4" spans="1:256" s="24" customFormat="1" ht="12.75" customHeight="1">
      <c r="A4" s="5686"/>
      <c r="B4" s="152"/>
      <c r="C4" s="5713"/>
      <c r="D4" s="5713"/>
      <c r="E4" s="5713"/>
      <c r="F4" s="5713"/>
      <c r="G4" s="5713"/>
      <c r="H4" s="5687" t="s">
        <v>517</v>
      </c>
      <c r="I4" s="5687" t="s">
        <v>516</v>
      </c>
      <c r="J4" s="5687" t="s">
        <v>515</v>
      </c>
      <c r="K4" s="5687" t="s">
        <v>514</v>
      </c>
      <c r="L4" s="5687" t="s">
        <v>513</v>
      </c>
      <c r="N4" s="5731"/>
      <c r="O4" s="5707"/>
      <c r="P4" s="5704"/>
      <c r="Q4" s="5705"/>
      <c r="R4" s="5700"/>
      <c r="V4" s="5272"/>
      <c r="W4" s="5273"/>
      <c r="X4" s="5274"/>
      <c r="Y4" s="5272"/>
      <c r="Z4" s="5273"/>
      <c r="AA4" s="5274"/>
      <c r="AB4" s="5272"/>
      <c r="AC4" s="5273"/>
      <c r="AD4" s="5274"/>
      <c r="AE4" s="5272"/>
      <c r="AF4" s="5273"/>
      <c r="AG4" s="5274"/>
      <c r="AH4" s="5272"/>
      <c r="AI4" s="5273"/>
      <c r="AJ4" s="5274"/>
      <c r="AL4" s="5322"/>
      <c r="AM4" s="5318"/>
      <c r="AN4" s="5323"/>
      <c r="AO4" s="5317"/>
      <c r="AP4" s="5318"/>
      <c r="AQ4" s="5323"/>
      <c r="AR4" s="5317"/>
      <c r="AS4" s="5318"/>
      <c r="AT4" s="5323"/>
      <c r="AU4" s="5317"/>
      <c r="AV4" s="5318"/>
      <c r="AW4" s="5323"/>
      <c r="AX4" s="5317"/>
      <c r="AY4" s="5318"/>
      <c r="AZ4" s="5319"/>
      <c r="BB4" s="5272"/>
      <c r="BC4" s="5273"/>
      <c r="BD4" s="5274"/>
      <c r="BE4" s="5272"/>
      <c r="BF4" s="5273"/>
      <c r="BG4" s="5274"/>
      <c r="BH4" s="5272"/>
      <c r="BI4" s="5273"/>
      <c r="BJ4" s="5274"/>
      <c r="BK4" s="5272"/>
      <c r="BL4" s="5273"/>
      <c r="BM4" s="5274"/>
      <c r="BN4" s="5272"/>
      <c r="BO4" s="5273"/>
      <c r="BP4" s="5274"/>
      <c r="BR4" s="5322"/>
      <c r="BS4" s="5318"/>
      <c r="BT4" s="5323"/>
      <c r="BU4" s="5317"/>
      <c r="BV4" s="5318"/>
      <c r="BW4" s="5323"/>
      <c r="BX4" s="5317"/>
      <c r="BY4" s="5318"/>
      <c r="BZ4" s="5323"/>
      <c r="CA4" s="5317"/>
      <c r="CB4" s="5318"/>
      <c r="CC4" s="5323"/>
      <c r="CD4" s="5317"/>
      <c r="CE4" s="5318"/>
      <c r="CF4" s="5319"/>
      <c r="CH4" s="447"/>
      <c r="CI4" s="446"/>
      <c r="CJ4" s="446"/>
      <c r="CK4" s="446"/>
      <c r="CL4" s="444" t="s">
        <v>365</v>
      </c>
      <c r="CM4" s="446"/>
      <c r="CN4" s="446"/>
      <c r="CO4" s="446"/>
      <c r="CP4" s="445"/>
      <c r="CR4" s="5308" t="s">
        <v>364</v>
      </c>
      <c r="CS4" s="5309"/>
      <c r="CT4" s="5309"/>
      <c r="CU4" s="5309"/>
      <c r="CV4" s="5309"/>
      <c r="CW4" s="5309"/>
      <c r="CX4" s="5309"/>
      <c r="CY4" s="5309"/>
      <c r="CZ4" s="5310"/>
      <c r="DB4" s="5308" t="s">
        <v>363</v>
      </c>
      <c r="DC4" s="5309"/>
      <c r="DD4" s="5309"/>
      <c r="DE4" s="5309"/>
      <c r="DF4" s="5309"/>
      <c r="DG4" s="5309"/>
      <c r="DH4" s="5309"/>
      <c r="DI4" s="5309"/>
      <c r="DJ4" s="5310"/>
      <c r="DL4" s="5308" t="s">
        <v>362</v>
      </c>
      <c r="DM4" s="5309"/>
      <c r="DN4" s="5309"/>
      <c r="DO4" s="5309"/>
      <c r="DP4" s="5309"/>
      <c r="DQ4" s="5309"/>
      <c r="DR4" s="5309"/>
      <c r="DS4" s="5309"/>
      <c r="DT4" s="5310"/>
      <c r="DU4" s="106"/>
      <c r="DV4" s="5308" t="s">
        <v>361</v>
      </c>
      <c r="DW4" s="5309"/>
      <c r="DX4" s="5309"/>
      <c r="DY4" s="5309"/>
      <c r="DZ4" s="5309"/>
      <c r="EA4" s="5309"/>
      <c r="EB4" s="5309"/>
      <c r="EC4" s="5309"/>
      <c r="ED4" s="5310"/>
      <c r="EF4" s="5338"/>
      <c r="EG4" s="5339"/>
      <c r="EH4" s="5340"/>
      <c r="EI4" s="5338"/>
      <c r="EJ4" s="5339"/>
      <c r="EK4" s="5340"/>
      <c r="EL4" s="5338"/>
      <c r="EM4" s="5339"/>
      <c r="EN4" s="5340"/>
      <c r="EO4" s="5563"/>
      <c r="EP4" s="5564"/>
      <c r="EQ4" s="5565"/>
      <c r="ER4" s="5563"/>
      <c r="ES4" s="5564"/>
      <c r="ET4" s="5565"/>
      <c r="EV4" s="5569"/>
      <c r="EW4" s="5570"/>
      <c r="EX4" s="5571"/>
      <c r="EY4" s="5569"/>
      <c r="EZ4" s="5570"/>
      <c r="FA4" s="5571"/>
      <c r="FB4" s="5569"/>
      <c r="FC4" s="5570"/>
      <c r="FD4" s="5571"/>
      <c r="FE4" s="5569"/>
      <c r="FF4" s="5570"/>
      <c r="FG4" s="5571"/>
      <c r="FH4" s="5569"/>
      <c r="FI4" s="5570"/>
      <c r="FJ4" s="5571"/>
      <c r="FL4" s="5391"/>
      <c r="FM4" s="5378"/>
      <c r="FN4" s="5379"/>
      <c r="FO4" s="5380"/>
      <c r="FP4" s="5388"/>
      <c r="FQ4" s="5385"/>
      <c r="FR4" s="5385"/>
      <c r="FT4" s="5372"/>
      <c r="FU4" s="5373"/>
      <c r="FV4" s="5374"/>
      <c r="FW4" s="5372"/>
      <c r="FX4" s="5373"/>
      <c r="FY4" s="5374"/>
      <c r="FZ4" s="5372"/>
      <c r="GA4" s="5373"/>
      <c r="GB4" s="5374"/>
      <c r="GC4" s="5372"/>
      <c r="GD4" s="5373"/>
      <c r="GE4" s="5374"/>
      <c r="GF4" s="5372"/>
      <c r="GG4" s="5373"/>
      <c r="GH4" s="5374"/>
      <c r="GI4" s="25"/>
      <c r="GJ4" s="5372"/>
      <c r="GK4" s="5373"/>
      <c r="GL4" s="5374"/>
      <c r="GM4" s="5372"/>
      <c r="GN4" s="5373"/>
      <c r="GO4" s="5374"/>
      <c r="GP4" s="5372"/>
      <c r="GQ4" s="5373"/>
      <c r="GR4" s="5374"/>
      <c r="GS4" s="5372"/>
      <c r="GT4" s="5373"/>
      <c r="GU4" s="5374"/>
      <c r="GV4" s="5372"/>
      <c r="GW4" s="5373"/>
      <c r="GX4" s="5374"/>
      <c r="GZ4" s="5372"/>
      <c r="HA4" s="5373"/>
      <c r="HB4" s="5374"/>
      <c r="HC4" s="5372"/>
      <c r="HD4" s="5373"/>
      <c r="HE4" s="5374"/>
      <c r="HF4" s="5372"/>
      <c r="HG4" s="5373"/>
      <c r="HH4" s="5374"/>
      <c r="HI4" s="5372"/>
      <c r="HJ4" s="5373"/>
      <c r="HK4" s="5374"/>
      <c r="HL4" s="5372"/>
      <c r="HM4" s="5373"/>
      <c r="HN4" s="5374"/>
      <c r="HQ4" s="5221"/>
      <c r="HR4" s="5222"/>
      <c r="HS4" s="5223"/>
      <c r="HT4" s="5221"/>
      <c r="HU4" s="5222"/>
      <c r="HV4" s="5223"/>
      <c r="HW4" s="5221"/>
      <c r="HX4" s="5222"/>
      <c r="HY4" s="5223"/>
      <c r="HZ4" s="5221"/>
      <c r="IA4" s="5222"/>
      <c r="IB4" s="5223"/>
      <c r="IC4" s="5221"/>
      <c r="ID4" s="5222"/>
      <c r="IE4" s="5223"/>
      <c r="IF4" s="5221"/>
      <c r="IG4" s="5222"/>
      <c r="IH4" s="5223"/>
      <c r="II4" s="5221"/>
      <c r="IJ4" s="5222"/>
      <c r="IK4" s="5223"/>
      <c r="IL4" s="5221"/>
      <c r="IM4" s="5222"/>
      <c r="IN4" s="5223"/>
      <c r="IO4" s="5221"/>
      <c r="IP4" s="5222"/>
      <c r="IQ4" s="5223"/>
      <c r="IR4" s="5221"/>
      <c r="IS4" s="5222"/>
      <c r="IT4" s="5223"/>
      <c r="IV4" s="21"/>
    </row>
    <row r="5" spans="1:256" s="24" customFormat="1" ht="12.75" customHeight="1">
      <c r="A5" s="5686"/>
      <c r="B5" s="152"/>
      <c r="C5" s="5713"/>
      <c r="D5" s="5713"/>
      <c r="E5" s="5713"/>
      <c r="F5" s="5713"/>
      <c r="G5" s="5713"/>
      <c r="H5" s="5688"/>
      <c r="I5" s="5688"/>
      <c r="J5" s="5688"/>
      <c r="K5" s="5688"/>
      <c r="L5" s="5688"/>
      <c r="N5" s="5731"/>
      <c r="O5" s="5707"/>
      <c r="P5" s="5275" t="s">
        <v>512</v>
      </c>
      <c r="Q5" s="5709" t="s">
        <v>511</v>
      </c>
      <c r="R5" s="5700"/>
      <c r="V5" s="5277" t="s">
        <v>356</v>
      </c>
      <c r="W5" s="5194" t="s">
        <v>355</v>
      </c>
      <c r="X5" s="5196" t="s">
        <v>314</v>
      </c>
      <c r="Y5" s="5277" t="s">
        <v>356</v>
      </c>
      <c r="Z5" s="5194" t="s">
        <v>355</v>
      </c>
      <c r="AA5" s="5196" t="s">
        <v>314</v>
      </c>
      <c r="AB5" s="5277" t="s">
        <v>356</v>
      </c>
      <c r="AC5" s="5194" t="s">
        <v>355</v>
      </c>
      <c r="AD5" s="5196" t="s">
        <v>314</v>
      </c>
      <c r="AE5" s="5277" t="s">
        <v>356</v>
      </c>
      <c r="AF5" s="5194" t="s">
        <v>355</v>
      </c>
      <c r="AG5" s="5196" t="s">
        <v>314</v>
      </c>
      <c r="AH5" s="5277" t="s">
        <v>356</v>
      </c>
      <c r="AI5" s="5194" t="s">
        <v>355</v>
      </c>
      <c r="AJ5" s="5196" t="s">
        <v>314</v>
      </c>
      <c r="AL5" s="5279" t="s">
        <v>356</v>
      </c>
      <c r="AM5" s="5194" t="s">
        <v>20</v>
      </c>
      <c r="AN5" s="5196" t="s">
        <v>312</v>
      </c>
      <c r="AO5" s="5277" t="s">
        <v>356</v>
      </c>
      <c r="AP5" s="5194" t="s">
        <v>20</v>
      </c>
      <c r="AQ5" s="5196" t="s">
        <v>312</v>
      </c>
      <c r="AR5" s="5277" t="s">
        <v>356</v>
      </c>
      <c r="AS5" s="5194" t="s">
        <v>20</v>
      </c>
      <c r="AT5" s="5196" t="s">
        <v>312</v>
      </c>
      <c r="AU5" s="5277" t="s">
        <v>356</v>
      </c>
      <c r="AV5" s="5194" t="s">
        <v>20</v>
      </c>
      <c r="AW5" s="5196" t="s">
        <v>312</v>
      </c>
      <c r="AX5" s="5277" t="s">
        <v>356</v>
      </c>
      <c r="AY5" s="5194" t="s">
        <v>20</v>
      </c>
      <c r="AZ5" s="5333" t="s">
        <v>312</v>
      </c>
      <c r="BB5" s="5277" t="s">
        <v>356</v>
      </c>
      <c r="BC5" s="5194" t="s">
        <v>355</v>
      </c>
      <c r="BD5" s="5196" t="s">
        <v>314</v>
      </c>
      <c r="BE5" s="5277" t="s">
        <v>356</v>
      </c>
      <c r="BF5" s="5194" t="s">
        <v>355</v>
      </c>
      <c r="BG5" s="5196" t="s">
        <v>314</v>
      </c>
      <c r="BH5" s="5277" t="s">
        <v>356</v>
      </c>
      <c r="BI5" s="5194" t="s">
        <v>355</v>
      </c>
      <c r="BJ5" s="5196" t="s">
        <v>314</v>
      </c>
      <c r="BK5" s="5277" t="s">
        <v>356</v>
      </c>
      <c r="BL5" s="5194" t="s">
        <v>355</v>
      </c>
      <c r="BM5" s="5196" t="s">
        <v>314</v>
      </c>
      <c r="BN5" s="5277" t="s">
        <v>356</v>
      </c>
      <c r="BO5" s="5194" t="s">
        <v>355</v>
      </c>
      <c r="BP5" s="5196" t="s">
        <v>314</v>
      </c>
      <c r="BR5" s="5279" t="s">
        <v>356</v>
      </c>
      <c r="BS5" s="5194" t="s">
        <v>20</v>
      </c>
      <c r="BT5" s="5196" t="s">
        <v>312</v>
      </c>
      <c r="BU5" s="5277" t="s">
        <v>356</v>
      </c>
      <c r="BV5" s="5194" t="s">
        <v>20</v>
      </c>
      <c r="BW5" s="5196" t="s">
        <v>312</v>
      </c>
      <c r="BX5" s="5277" t="s">
        <v>356</v>
      </c>
      <c r="BY5" s="5194" t="s">
        <v>20</v>
      </c>
      <c r="BZ5" s="5196" t="s">
        <v>312</v>
      </c>
      <c r="CA5" s="5277" t="s">
        <v>356</v>
      </c>
      <c r="CB5" s="5194" t="s">
        <v>20</v>
      </c>
      <c r="CC5" s="5196" t="s">
        <v>312</v>
      </c>
      <c r="CD5" s="5277" t="s">
        <v>356</v>
      </c>
      <c r="CE5" s="5194" t="s">
        <v>20</v>
      </c>
      <c r="CF5" s="5333" t="s">
        <v>312</v>
      </c>
      <c r="CH5" s="443"/>
      <c r="CI5" s="440" t="s">
        <v>510</v>
      </c>
      <c r="CJ5" s="442"/>
      <c r="CK5" s="441"/>
      <c r="CL5" s="440" t="s">
        <v>509</v>
      </c>
      <c r="CM5" s="442"/>
      <c r="CN5" s="441"/>
      <c r="CO5" s="440" t="s">
        <v>508</v>
      </c>
      <c r="CP5" s="439"/>
      <c r="CR5" s="5346" t="s">
        <v>510</v>
      </c>
      <c r="CS5" s="5312"/>
      <c r="CT5" s="5347"/>
      <c r="CU5" s="5311" t="s">
        <v>509</v>
      </c>
      <c r="CV5" s="5312"/>
      <c r="CW5" s="5347"/>
      <c r="CX5" s="5311" t="s">
        <v>508</v>
      </c>
      <c r="CY5" s="5312"/>
      <c r="CZ5" s="5313"/>
      <c r="DB5" s="5346" t="s">
        <v>510</v>
      </c>
      <c r="DC5" s="5312"/>
      <c r="DD5" s="5347"/>
      <c r="DE5" s="5311" t="s">
        <v>509</v>
      </c>
      <c r="DF5" s="5312"/>
      <c r="DG5" s="5347"/>
      <c r="DH5" s="5311" t="s">
        <v>508</v>
      </c>
      <c r="DI5" s="5312"/>
      <c r="DJ5" s="5313"/>
      <c r="DL5" s="5346" t="s">
        <v>510</v>
      </c>
      <c r="DM5" s="5312"/>
      <c r="DN5" s="5347"/>
      <c r="DO5" s="5311" t="s">
        <v>509</v>
      </c>
      <c r="DP5" s="5312"/>
      <c r="DQ5" s="5347"/>
      <c r="DR5" s="5311" t="s">
        <v>508</v>
      </c>
      <c r="DS5" s="5312"/>
      <c r="DT5" s="5313"/>
      <c r="DU5" s="106"/>
      <c r="DV5" s="5346" t="s">
        <v>510</v>
      </c>
      <c r="DW5" s="5312"/>
      <c r="DX5" s="5347"/>
      <c r="DY5" s="5311" t="s">
        <v>509</v>
      </c>
      <c r="DZ5" s="5312"/>
      <c r="EA5" s="5347"/>
      <c r="EB5" s="5311" t="s">
        <v>508</v>
      </c>
      <c r="EC5" s="5312"/>
      <c r="ED5" s="5313"/>
      <c r="EF5" s="5363" t="s">
        <v>503</v>
      </c>
      <c r="EG5" s="5365" t="s">
        <v>507</v>
      </c>
      <c r="EH5" s="5344" t="s">
        <v>506</v>
      </c>
      <c r="EI5" s="5363" t="s">
        <v>503</v>
      </c>
      <c r="EJ5" s="5365" t="s">
        <v>507</v>
      </c>
      <c r="EK5" s="5344" t="s">
        <v>506</v>
      </c>
      <c r="EL5" s="5363" t="s">
        <v>503</v>
      </c>
      <c r="EM5" s="5365" t="s">
        <v>507</v>
      </c>
      <c r="EN5" s="5344" t="s">
        <v>506</v>
      </c>
      <c r="EO5" s="5363" t="s">
        <v>503</v>
      </c>
      <c r="EP5" s="5365" t="s">
        <v>507</v>
      </c>
      <c r="EQ5" s="5344" t="s">
        <v>506</v>
      </c>
      <c r="ER5" s="5363" t="s">
        <v>503</v>
      </c>
      <c r="ES5" s="5365" t="s">
        <v>507</v>
      </c>
      <c r="ET5" s="5344" t="s">
        <v>506</v>
      </c>
      <c r="EV5" s="5277" t="s">
        <v>503</v>
      </c>
      <c r="EW5" s="5194" t="s">
        <v>507</v>
      </c>
      <c r="EX5" s="5196" t="s">
        <v>506</v>
      </c>
      <c r="EY5" s="5277" t="s">
        <v>503</v>
      </c>
      <c r="EZ5" s="5194" t="s">
        <v>507</v>
      </c>
      <c r="FA5" s="5196" t="s">
        <v>506</v>
      </c>
      <c r="FB5" s="5277" t="s">
        <v>503</v>
      </c>
      <c r="FC5" s="5194" t="s">
        <v>507</v>
      </c>
      <c r="FD5" s="5196" t="s">
        <v>506</v>
      </c>
      <c r="FE5" s="5277" t="s">
        <v>503</v>
      </c>
      <c r="FF5" s="5194" t="s">
        <v>507</v>
      </c>
      <c r="FG5" s="5196" t="s">
        <v>506</v>
      </c>
      <c r="FH5" s="5277" t="s">
        <v>503</v>
      </c>
      <c r="FI5" s="5194" t="s">
        <v>507</v>
      </c>
      <c r="FJ5" s="5196" t="s">
        <v>506</v>
      </c>
      <c r="FL5" s="5391"/>
      <c r="FM5" s="5381"/>
      <c r="FN5" s="5382"/>
      <c r="FO5" s="5383"/>
      <c r="FP5" s="5388"/>
      <c r="FQ5" s="5385"/>
      <c r="FR5" s="5385"/>
      <c r="FT5" s="5277" t="s">
        <v>503</v>
      </c>
      <c r="FU5" s="5194" t="s">
        <v>507</v>
      </c>
      <c r="FV5" s="5196" t="s">
        <v>506</v>
      </c>
      <c r="FW5" s="5277" t="s">
        <v>503</v>
      </c>
      <c r="FX5" s="5194" t="s">
        <v>507</v>
      </c>
      <c r="FY5" s="5196" t="s">
        <v>506</v>
      </c>
      <c r="FZ5" s="5277" t="s">
        <v>503</v>
      </c>
      <c r="GA5" s="5194" t="s">
        <v>507</v>
      </c>
      <c r="GB5" s="5196" t="s">
        <v>506</v>
      </c>
      <c r="GC5" s="5277" t="s">
        <v>503</v>
      </c>
      <c r="GD5" s="5194" t="s">
        <v>507</v>
      </c>
      <c r="GE5" s="5196" t="s">
        <v>506</v>
      </c>
      <c r="GF5" s="5277" t="s">
        <v>503</v>
      </c>
      <c r="GG5" s="5194" t="s">
        <v>507</v>
      </c>
      <c r="GH5" s="5196" t="s">
        <v>506</v>
      </c>
      <c r="GI5" s="25"/>
      <c r="GJ5" s="5399" t="s">
        <v>503</v>
      </c>
      <c r="GK5" s="5216" t="s">
        <v>505</v>
      </c>
      <c r="GL5" s="5397" t="s">
        <v>504</v>
      </c>
      <c r="GM5" s="5399" t="s">
        <v>503</v>
      </c>
      <c r="GN5" s="5216" t="s">
        <v>505</v>
      </c>
      <c r="GO5" s="5397" t="s">
        <v>504</v>
      </c>
      <c r="GP5" s="5399" t="s">
        <v>503</v>
      </c>
      <c r="GQ5" s="5216" t="s">
        <v>505</v>
      </c>
      <c r="GR5" s="5397" t="s">
        <v>504</v>
      </c>
      <c r="GS5" s="5399" t="s">
        <v>503</v>
      </c>
      <c r="GT5" s="5216" t="s">
        <v>505</v>
      </c>
      <c r="GU5" s="5397" t="s">
        <v>504</v>
      </c>
      <c r="GV5" s="5399" t="s">
        <v>503</v>
      </c>
      <c r="GW5" s="5216" t="s">
        <v>505</v>
      </c>
      <c r="GX5" s="5397" t="s">
        <v>504</v>
      </c>
      <c r="GZ5" s="5367" t="s">
        <v>503</v>
      </c>
      <c r="HA5" s="5395" t="s">
        <v>502</v>
      </c>
      <c r="HB5" s="5393" t="s">
        <v>501</v>
      </c>
      <c r="HC5" s="5367" t="s">
        <v>503</v>
      </c>
      <c r="HD5" s="5395" t="s">
        <v>502</v>
      </c>
      <c r="HE5" s="5393" t="s">
        <v>501</v>
      </c>
      <c r="HF5" s="5367" t="s">
        <v>503</v>
      </c>
      <c r="HG5" s="5395" t="s">
        <v>502</v>
      </c>
      <c r="HH5" s="5393" t="s">
        <v>501</v>
      </c>
      <c r="HI5" s="5367" t="s">
        <v>503</v>
      </c>
      <c r="HJ5" s="5395" t="s">
        <v>502</v>
      </c>
      <c r="HK5" s="5393" t="s">
        <v>501</v>
      </c>
      <c r="HL5" s="5367" t="s">
        <v>503</v>
      </c>
      <c r="HM5" s="5395" t="s">
        <v>502</v>
      </c>
      <c r="HN5" s="5393" t="s">
        <v>501</v>
      </c>
      <c r="HQ5" s="338"/>
      <c r="HR5" s="337"/>
      <c r="HS5" s="336"/>
      <c r="HT5" s="338"/>
      <c r="HU5" s="337"/>
      <c r="HV5" s="336"/>
      <c r="HW5" s="338"/>
      <c r="HX5" s="337"/>
      <c r="HY5" s="336"/>
      <c r="HZ5" s="338"/>
      <c r="IA5" s="337"/>
      <c r="IB5" s="336"/>
      <c r="IC5" s="338"/>
      <c r="ID5" s="337"/>
      <c r="IE5" s="336"/>
      <c r="IF5" s="338"/>
      <c r="IG5" s="337"/>
      <c r="IH5" s="336"/>
      <c r="II5" s="338"/>
      <c r="IJ5" s="337"/>
      <c r="IK5" s="336"/>
      <c r="IL5" s="338"/>
      <c r="IM5" s="337"/>
      <c r="IN5" s="336"/>
      <c r="IO5" s="338"/>
      <c r="IP5" s="337"/>
      <c r="IQ5" s="336"/>
      <c r="IR5" s="338"/>
      <c r="IS5" s="337"/>
      <c r="IT5" s="336"/>
      <c r="IV5" s="21"/>
    </row>
    <row r="6" spans="1:256" s="24" customFormat="1" ht="12.75" customHeight="1" thickBot="1">
      <c r="A6" s="5686"/>
      <c r="B6" s="152"/>
      <c r="C6" s="5714"/>
      <c r="D6" s="5714"/>
      <c r="E6" s="5714"/>
      <c r="F6" s="5714"/>
      <c r="G6" s="5714"/>
      <c r="H6" s="5689"/>
      <c r="I6" s="5689"/>
      <c r="J6" s="5689"/>
      <c r="K6" s="5689"/>
      <c r="L6" s="5689"/>
      <c r="N6" s="5732"/>
      <c r="O6" s="5708"/>
      <c r="P6" s="5276"/>
      <c r="Q6" s="5710"/>
      <c r="R6" s="5701"/>
      <c r="V6" s="5278"/>
      <c r="W6" s="5195"/>
      <c r="X6" s="5197"/>
      <c r="Y6" s="5278"/>
      <c r="Z6" s="5195"/>
      <c r="AA6" s="5197"/>
      <c r="AB6" s="5278"/>
      <c r="AC6" s="5195"/>
      <c r="AD6" s="5197"/>
      <c r="AE6" s="5278"/>
      <c r="AF6" s="5195"/>
      <c r="AG6" s="5197"/>
      <c r="AH6" s="5278"/>
      <c r="AI6" s="5195"/>
      <c r="AJ6" s="5197"/>
      <c r="AL6" s="5280"/>
      <c r="AM6" s="5195"/>
      <c r="AN6" s="5197"/>
      <c r="AO6" s="5278"/>
      <c r="AP6" s="5195"/>
      <c r="AQ6" s="5197"/>
      <c r="AR6" s="5278"/>
      <c r="AS6" s="5195"/>
      <c r="AT6" s="5197"/>
      <c r="AU6" s="5278"/>
      <c r="AV6" s="5195"/>
      <c r="AW6" s="5197"/>
      <c r="AX6" s="5278"/>
      <c r="AY6" s="5195"/>
      <c r="AZ6" s="5334"/>
      <c r="BB6" s="5278"/>
      <c r="BC6" s="5195"/>
      <c r="BD6" s="5197"/>
      <c r="BE6" s="5278"/>
      <c r="BF6" s="5195"/>
      <c r="BG6" s="5197"/>
      <c r="BH6" s="5278"/>
      <c r="BI6" s="5195"/>
      <c r="BJ6" s="5197"/>
      <c r="BK6" s="5278"/>
      <c r="BL6" s="5195"/>
      <c r="BM6" s="5197"/>
      <c r="BN6" s="5278"/>
      <c r="BO6" s="5195"/>
      <c r="BP6" s="5197"/>
      <c r="BR6" s="5280"/>
      <c r="BS6" s="5195"/>
      <c r="BT6" s="5197"/>
      <c r="BU6" s="5278"/>
      <c r="BV6" s="5195"/>
      <c r="BW6" s="5197"/>
      <c r="BX6" s="5278"/>
      <c r="BY6" s="5195"/>
      <c r="BZ6" s="5197"/>
      <c r="CA6" s="5278"/>
      <c r="CB6" s="5195"/>
      <c r="CC6" s="5197"/>
      <c r="CD6" s="5278"/>
      <c r="CE6" s="5195"/>
      <c r="CF6" s="5334"/>
      <c r="CH6" s="438" t="s">
        <v>20</v>
      </c>
      <c r="CI6" s="433" t="s">
        <v>409</v>
      </c>
      <c r="CJ6" s="437" t="s">
        <v>499</v>
      </c>
      <c r="CK6" s="436" t="s">
        <v>20</v>
      </c>
      <c r="CL6" s="433" t="s">
        <v>409</v>
      </c>
      <c r="CM6" s="435" t="s">
        <v>499</v>
      </c>
      <c r="CN6" s="434" t="s">
        <v>20</v>
      </c>
      <c r="CO6" s="433" t="s">
        <v>409</v>
      </c>
      <c r="CP6" s="432" t="s">
        <v>499</v>
      </c>
      <c r="CR6" s="431" t="s">
        <v>20</v>
      </c>
      <c r="CS6" s="430" t="s">
        <v>500</v>
      </c>
      <c r="CT6" s="430" t="s">
        <v>499</v>
      </c>
      <c r="CU6" s="430" t="s">
        <v>20</v>
      </c>
      <c r="CV6" s="430" t="s">
        <v>500</v>
      </c>
      <c r="CW6" s="430" t="s">
        <v>499</v>
      </c>
      <c r="CX6" s="430" t="s">
        <v>20</v>
      </c>
      <c r="CY6" s="430" t="s">
        <v>500</v>
      </c>
      <c r="CZ6" s="429" t="s">
        <v>499</v>
      </c>
      <c r="DB6" s="431" t="s">
        <v>20</v>
      </c>
      <c r="DC6" s="430" t="s">
        <v>500</v>
      </c>
      <c r="DD6" s="430" t="s">
        <v>499</v>
      </c>
      <c r="DE6" s="430" t="s">
        <v>20</v>
      </c>
      <c r="DF6" s="430" t="s">
        <v>500</v>
      </c>
      <c r="DG6" s="430" t="s">
        <v>499</v>
      </c>
      <c r="DH6" s="430" t="s">
        <v>20</v>
      </c>
      <c r="DI6" s="430" t="s">
        <v>500</v>
      </c>
      <c r="DJ6" s="429" t="s">
        <v>499</v>
      </c>
      <c r="DL6" s="431" t="s">
        <v>20</v>
      </c>
      <c r="DM6" s="430" t="s">
        <v>500</v>
      </c>
      <c r="DN6" s="430" t="s">
        <v>499</v>
      </c>
      <c r="DO6" s="430" t="s">
        <v>20</v>
      </c>
      <c r="DP6" s="430" t="s">
        <v>500</v>
      </c>
      <c r="DQ6" s="430" t="s">
        <v>499</v>
      </c>
      <c r="DR6" s="430" t="s">
        <v>20</v>
      </c>
      <c r="DS6" s="430" t="s">
        <v>500</v>
      </c>
      <c r="DT6" s="429" t="s">
        <v>499</v>
      </c>
      <c r="DU6" s="106"/>
      <c r="DV6" s="431" t="s">
        <v>20</v>
      </c>
      <c r="DW6" s="430" t="s">
        <v>500</v>
      </c>
      <c r="DX6" s="430" t="s">
        <v>499</v>
      </c>
      <c r="DY6" s="430" t="s">
        <v>20</v>
      </c>
      <c r="DZ6" s="430" t="s">
        <v>500</v>
      </c>
      <c r="EA6" s="430" t="s">
        <v>499</v>
      </c>
      <c r="EB6" s="430" t="s">
        <v>20</v>
      </c>
      <c r="EC6" s="430" t="s">
        <v>500</v>
      </c>
      <c r="ED6" s="429" t="s">
        <v>499</v>
      </c>
      <c r="EF6" s="5364"/>
      <c r="EG6" s="5366"/>
      <c r="EH6" s="5345"/>
      <c r="EI6" s="5364"/>
      <c r="EJ6" s="5366"/>
      <c r="EK6" s="5345"/>
      <c r="EL6" s="5364"/>
      <c r="EM6" s="5366"/>
      <c r="EN6" s="5345"/>
      <c r="EO6" s="5364"/>
      <c r="EP6" s="5366"/>
      <c r="EQ6" s="5345"/>
      <c r="ER6" s="5364"/>
      <c r="ES6" s="5366"/>
      <c r="ET6" s="5345"/>
      <c r="EV6" s="5278"/>
      <c r="EW6" s="5195"/>
      <c r="EX6" s="5197"/>
      <c r="EY6" s="5278"/>
      <c r="EZ6" s="5195"/>
      <c r="FA6" s="5197"/>
      <c r="FB6" s="5278"/>
      <c r="FC6" s="5195"/>
      <c r="FD6" s="5197"/>
      <c r="FE6" s="5278"/>
      <c r="FF6" s="5195"/>
      <c r="FG6" s="5197"/>
      <c r="FH6" s="5278"/>
      <c r="FI6" s="5195"/>
      <c r="FJ6" s="5197"/>
      <c r="FL6" s="5392"/>
      <c r="FM6" s="428" t="s">
        <v>20</v>
      </c>
      <c r="FN6" s="428" t="s">
        <v>49</v>
      </c>
      <c r="FO6" s="427" t="s">
        <v>311</v>
      </c>
      <c r="FP6" s="5389"/>
      <c r="FQ6" s="5386"/>
      <c r="FR6" s="5386"/>
      <c r="FT6" s="5278"/>
      <c r="FU6" s="5195"/>
      <c r="FV6" s="5197"/>
      <c r="FW6" s="5278"/>
      <c r="FX6" s="5195"/>
      <c r="FY6" s="5197"/>
      <c r="FZ6" s="5278"/>
      <c r="GA6" s="5195"/>
      <c r="GB6" s="5197"/>
      <c r="GC6" s="5278"/>
      <c r="GD6" s="5195"/>
      <c r="GE6" s="5197"/>
      <c r="GF6" s="5278"/>
      <c r="GG6" s="5195"/>
      <c r="GH6" s="5197"/>
      <c r="GI6" s="25"/>
      <c r="GJ6" s="5400"/>
      <c r="GK6" s="5217"/>
      <c r="GL6" s="5398"/>
      <c r="GM6" s="5400"/>
      <c r="GN6" s="5217"/>
      <c r="GO6" s="5398"/>
      <c r="GP6" s="5400"/>
      <c r="GQ6" s="5217"/>
      <c r="GR6" s="5398"/>
      <c r="GS6" s="5400"/>
      <c r="GT6" s="5217"/>
      <c r="GU6" s="5398"/>
      <c r="GV6" s="5400"/>
      <c r="GW6" s="5217"/>
      <c r="GX6" s="5398"/>
      <c r="GZ6" s="5368"/>
      <c r="HA6" s="5396"/>
      <c r="HB6" s="5394"/>
      <c r="HC6" s="5368"/>
      <c r="HD6" s="5396"/>
      <c r="HE6" s="5394"/>
      <c r="HF6" s="5368"/>
      <c r="HG6" s="5396"/>
      <c r="HH6" s="5394"/>
      <c r="HI6" s="5368"/>
      <c r="HJ6" s="5396"/>
      <c r="HK6" s="5394"/>
      <c r="HL6" s="5368"/>
      <c r="HM6" s="5396"/>
      <c r="HN6" s="5394"/>
      <c r="HQ6" s="335" t="s">
        <v>20</v>
      </c>
      <c r="HR6" s="334" t="s">
        <v>356</v>
      </c>
      <c r="HS6" s="333" t="s">
        <v>355</v>
      </c>
      <c r="HT6" s="335" t="s">
        <v>20</v>
      </c>
      <c r="HU6" s="334" t="s">
        <v>356</v>
      </c>
      <c r="HV6" s="333" t="s">
        <v>355</v>
      </c>
      <c r="HW6" s="335" t="s">
        <v>20</v>
      </c>
      <c r="HX6" s="334" t="s">
        <v>356</v>
      </c>
      <c r="HY6" s="333" t="s">
        <v>355</v>
      </c>
      <c r="HZ6" s="335" t="s">
        <v>20</v>
      </c>
      <c r="IA6" s="334" t="s">
        <v>356</v>
      </c>
      <c r="IB6" s="333" t="s">
        <v>355</v>
      </c>
      <c r="IC6" s="335" t="s">
        <v>20</v>
      </c>
      <c r="ID6" s="334" t="s">
        <v>356</v>
      </c>
      <c r="IE6" s="333" t="s">
        <v>355</v>
      </c>
      <c r="IF6" s="335" t="s">
        <v>20</v>
      </c>
      <c r="IG6" s="334" t="s">
        <v>356</v>
      </c>
      <c r="IH6" s="333" t="s">
        <v>355</v>
      </c>
      <c r="II6" s="335" t="s">
        <v>20</v>
      </c>
      <c r="IJ6" s="334" t="s">
        <v>356</v>
      </c>
      <c r="IK6" s="333" t="s">
        <v>355</v>
      </c>
      <c r="IL6" s="335" t="s">
        <v>20</v>
      </c>
      <c r="IM6" s="334" t="s">
        <v>356</v>
      </c>
      <c r="IN6" s="333" t="s">
        <v>355</v>
      </c>
      <c r="IO6" s="335" t="s">
        <v>20</v>
      </c>
      <c r="IP6" s="334" t="s">
        <v>356</v>
      </c>
      <c r="IQ6" s="333" t="s">
        <v>355</v>
      </c>
      <c r="IR6" s="335" t="s">
        <v>20</v>
      </c>
      <c r="IS6" s="334" t="s">
        <v>356</v>
      </c>
      <c r="IT6" s="333" t="s">
        <v>355</v>
      </c>
      <c r="IV6" s="21"/>
    </row>
    <row r="7" spans="1:256" s="24" customFormat="1" ht="12.75" customHeight="1" thickBot="1">
      <c r="A7" s="5686"/>
      <c r="B7" s="152"/>
      <c r="C7" s="426">
        <f>('الصفحة 10'!$N$20)</f>
        <v>738</v>
      </c>
      <c r="D7" s="426">
        <f>('الصفحة 1'!$G$46)</f>
        <v>1</v>
      </c>
      <c r="E7" s="426">
        <f>('الصفحة 1'!$I$64)</f>
        <v>2</v>
      </c>
      <c r="F7" s="426">
        <f>('الصفحة 1'!$K$66)</f>
        <v>0</v>
      </c>
      <c r="G7" s="426">
        <f>('الصفحة 1'!$I$62)</f>
        <v>3</v>
      </c>
      <c r="H7" s="426">
        <f>('الصفحة 1'!$K$48)</f>
        <v>1</v>
      </c>
      <c r="I7" s="426">
        <f>('الصفحة 1'!$K$50)</f>
        <v>0</v>
      </c>
      <c r="J7" s="426">
        <f>('الصفحة 1'!$K$52)</f>
        <v>0</v>
      </c>
      <c r="K7" s="426">
        <f>('الصفحة 1'!$K$54)</f>
        <v>0</v>
      </c>
      <c r="L7" s="425">
        <f>('الصفحة 1'!$K$56)</f>
        <v>0</v>
      </c>
      <c r="N7" s="424">
        <f>(C7)/(D7+E7+F7+(G7/2)+0.00001)</f>
        <v>163.99963555636543</v>
      </c>
      <c r="O7" s="423">
        <f>(C7)/(H7+E7+F7+(G7/2)+0.00001)</f>
        <v>163.99963555636543</v>
      </c>
      <c r="P7" s="422">
        <f>((H7)/(D7+0.00001))*100</f>
        <v>99.999000009999889</v>
      </c>
      <c r="Q7" s="421">
        <f>((I7+J7+K7+L7)/(D7+0.00001))*100</f>
        <v>0</v>
      </c>
      <c r="R7" s="420">
        <f>((C7)/((((H7+E7+F7+(G7/2))*40))+0.00001))</f>
        <v>4.099999772222235</v>
      </c>
      <c r="V7" s="259">
        <f>AL7</f>
        <v>103</v>
      </c>
      <c r="W7" s="251">
        <f>AM7-AL7</f>
        <v>135</v>
      </c>
      <c r="X7" s="321">
        <f>((V7)/(W7+0.00001))</f>
        <v>0.76296290644719211</v>
      </c>
      <c r="Y7" s="259">
        <f>AO7</f>
        <v>85</v>
      </c>
      <c r="Z7" s="251">
        <f>AP7-AO7</f>
        <v>88</v>
      </c>
      <c r="AA7" s="321">
        <f>((Y7)/(Z7+0.00001))</f>
        <v>0.96590898114670665</v>
      </c>
      <c r="AB7" s="259">
        <f>AR7</f>
        <v>96</v>
      </c>
      <c r="AC7" s="251">
        <f>AS7-AR7</f>
        <v>68</v>
      </c>
      <c r="AD7" s="321">
        <f>((AB7)/(AC7+0.00001))</f>
        <v>1.4117644982699267</v>
      </c>
      <c r="AE7" s="259">
        <f>AU7</f>
        <v>75</v>
      </c>
      <c r="AF7" s="251">
        <f>AV7-AU7</f>
        <v>88</v>
      </c>
      <c r="AG7" s="321">
        <f>((AE7)/(AF7+0.00001))</f>
        <v>0.85227263042356471</v>
      </c>
      <c r="AH7" s="259">
        <f>(V7+Y7+AB7+AE7)</f>
        <v>359</v>
      </c>
      <c r="AI7" s="251">
        <f>(W7+Z7+AC7+AF7)</f>
        <v>379</v>
      </c>
      <c r="AJ7" s="321">
        <f>((AH7)/(AI7+0.00001))</f>
        <v>0.94722952645832392</v>
      </c>
      <c r="AL7" s="419">
        <f>('الصفحة 10'!$G$20)</f>
        <v>103</v>
      </c>
      <c r="AM7" s="416">
        <f>('الصفحة 10'!$F$20)</f>
        <v>238</v>
      </c>
      <c r="AN7" s="418">
        <f>((AL7)/(AM7+0.00001))*100</f>
        <v>43.277309105995414</v>
      </c>
      <c r="AO7" s="417">
        <f>('الصفحة 10'!$I$20)</f>
        <v>85</v>
      </c>
      <c r="AP7" s="416">
        <f>('الصفحة 10'!$H$20)</f>
        <v>173</v>
      </c>
      <c r="AQ7" s="418">
        <f>((AO7)/(AP7+0.00001))*100</f>
        <v>49.132945136823977</v>
      </c>
      <c r="AR7" s="417">
        <f>('الصفحة 10'!$K$20)</f>
        <v>96</v>
      </c>
      <c r="AS7" s="416">
        <f>('الصفحة 10'!$J$20)</f>
        <v>164</v>
      </c>
      <c r="AT7" s="418">
        <f>((AR7)/(AS7+0.00001))*100</f>
        <v>58.536581796549889</v>
      </c>
      <c r="AU7" s="417">
        <f>('الصفحة 10'!$M$20)</f>
        <v>75</v>
      </c>
      <c r="AV7" s="416">
        <f>('الصفحة 10'!$L$20)</f>
        <v>163</v>
      </c>
      <c r="AW7" s="418">
        <f>((AU7)/(AV7+0.00001))*100</f>
        <v>46.012267115811831</v>
      </c>
      <c r="AX7" s="417">
        <f>(AL7+AO7+AR7+AU7)</f>
        <v>359</v>
      </c>
      <c r="AY7" s="416">
        <f>(AM7+AP7+AS7+AV7)</f>
        <v>738</v>
      </c>
      <c r="AZ7" s="415">
        <f>((AX7)/(AY7+0.00001))*100</f>
        <v>48.644985790718351</v>
      </c>
      <c r="BB7" s="259" t="e">
        <f>BR7</f>
        <v>#REF!</v>
      </c>
      <c r="BC7" s="251" t="e">
        <f>BS7-BR7</f>
        <v>#REF!</v>
      </c>
      <c r="BD7" s="321" t="e">
        <f>((BB7)/(BC7+0.00001))</f>
        <v>#REF!</v>
      </c>
      <c r="BE7" s="259" t="e">
        <f>BU7</f>
        <v>#REF!</v>
      </c>
      <c r="BF7" s="251" t="e">
        <f>BV7-BU7</f>
        <v>#REF!</v>
      </c>
      <c r="BG7" s="321" t="e">
        <f>((BE7)/(BF7+0.00001))</f>
        <v>#REF!</v>
      </c>
      <c r="BH7" s="259" t="e">
        <f>BX7</f>
        <v>#REF!</v>
      </c>
      <c r="BI7" s="251" t="e">
        <f>BY7-BX7</f>
        <v>#REF!</v>
      </c>
      <c r="BJ7" s="321" t="e">
        <f>((BH7)/(BI7+0.00001))</f>
        <v>#REF!</v>
      </c>
      <c r="BK7" s="259" t="e">
        <f>CA7</f>
        <v>#REF!</v>
      </c>
      <c r="BL7" s="251" t="e">
        <f>CB7-CA7</f>
        <v>#REF!</v>
      </c>
      <c r="BM7" s="321" t="e">
        <f>((BK7)/(BL7+0.00001))</f>
        <v>#REF!</v>
      </c>
      <c r="BN7" s="259" t="e">
        <f>(BB7+BE7+BH7+BK7)</f>
        <v>#REF!</v>
      </c>
      <c r="BO7" s="251" t="e">
        <f>(BC7+BF7+BI7+BL7)</f>
        <v>#REF!</v>
      </c>
      <c r="BP7" s="321" t="e">
        <f>((BN7)/(BO7+0.00001))</f>
        <v>#REF!</v>
      </c>
      <c r="BR7" s="419" t="e">
        <f>(#REF!)</f>
        <v>#REF!</v>
      </c>
      <c r="BS7" s="416" t="e">
        <f>(#REF!)</f>
        <v>#REF!</v>
      </c>
      <c r="BT7" s="418" t="e">
        <f>((BR7)/(BS7+0.00001))*100</f>
        <v>#REF!</v>
      </c>
      <c r="BU7" s="417" t="e">
        <f>(#REF!)</f>
        <v>#REF!</v>
      </c>
      <c r="BV7" s="416" t="e">
        <f>(#REF!)</f>
        <v>#REF!</v>
      </c>
      <c r="BW7" s="418" t="e">
        <f>((BU7)/(BV7+0.00001))*100</f>
        <v>#REF!</v>
      </c>
      <c r="BX7" s="417" t="e">
        <f>(#REF!)</f>
        <v>#REF!</v>
      </c>
      <c r="BY7" s="416" t="e">
        <f>(#REF!)</f>
        <v>#REF!</v>
      </c>
      <c r="BZ7" s="418" t="e">
        <f>((BX7)/(BY7+0.00001))*100</f>
        <v>#REF!</v>
      </c>
      <c r="CA7" s="417" t="e">
        <f>(#REF!)</f>
        <v>#REF!</v>
      </c>
      <c r="CB7" s="416" t="e">
        <f>(#REF!)</f>
        <v>#REF!</v>
      </c>
      <c r="CC7" s="418" t="e">
        <f>((CA7)/(CB7+0.00001))*100</f>
        <v>#REF!</v>
      </c>
      <c r="CD7" s="417" t="e">
        <f>(BR7+BU7+BX7+CA7)</f>
        <v>#REF!</v>
      </c>
      <c r="CE7" s="416" t="e">
        <f>(BS7+BV7+BY7+CB7)</f>
        <v>#REF!</v>
      </c>
      <c r="CF7" s="415" t="e">
        <f>((CD7)/(CE7+0.00001))*100</f>
        <v>#REF!</v>
      </c>
      <c r="CH7" s="414" t="e">
        <f>CE7</f>
        <v>#REF!</v>
      </c>
      <c r="CI7" s="413" t="e">
        <f>CD7</f>
        <v>#REF!</v>
      </c>
      <c r="CJ7" s="413" t="e">
        <f>(CH$7)-(CI$7)</f>
        <v>#REF!</v>
      </c>
      <c r="CK7" s="413">
        <f>AY7</f>
        <v>738</v>
      </c>
      <c r="CL7" s="413">
        <f>AX7</f>
        <v>359</v>
      </c>
      <c r="CM7" s="413">
        <f>(CK$7)-(CL$7)</f>
        <v>379</v>
      </c>
      <c r="CN7" s="412" t="e">
        <f>((CK7-CH7)/(CH7+0.00001))*100</f>
        <v>#REF!</v>
      </c>
      <c r="CO7" s="412" t="e">
        <f>((CL7-CI7)/(CI7+0.00001))*100</f>
        <v>#REF!</v>
      </c>
      <c r="CP7" s="411" t="e">
        <f>((CM7-CJ7)/(CJ7+0.00001))*100</f>
        <v>#REF!</v>
      </c>
      <c r="CQ7" s="103"/>
      <c r="CR7" s="414" t="e">
        <f>+BS7</f>
        <v>#REF!</v>
      </c>
      <c r="CS7" s="413" t="e">
        <f>+BR7</f>
        <v>#REF!</v>
      </c>
      <c r="CT7" s="413" t="e">
        <f>(CR$7)-(CS$7)</f>
        <v>#REF!</v>
      </c>
      <c r="CU7" s="413">
        <f>+AM7</f>
        <v>238</v>
      </c>
      <c r="CV7" s="413">
        <f>+AL7</f>
        <v>103</v>
      </c>
      <c r="CW7" s="413">
        <f>(CU$7)-(CV$7)</f>
        <v>135</v>
      </c>
      <c r="CX7" s="412" t="e">
        <f>((CU7-CR7)/(CR7+0.00001))*100</f>
        <v>#REF!</v>
      </c>
      <c r="CY7" s="412" t="e">
        <f>((CV7-CS7)/(CS7+0.00001))*100</f>
        <v>#REF!</v>
      </c>
      <c r="CZ7" s="411" t="e">
        <f>((CW7-CT7)/(CT7+0.00001))*100</f>
        <v>#REF!</v>
      </c>
      <c r="DA7" s="103"/>
      <c r="DB7" s="414" t="e">
        <f>+BV7</f>
        <v>#REF!</v>
      </c>
      <c r="DC7" s="413" t="e">
        <f>+BU7</f>
        <v>#REF!</v>
      </c>
      <c r="DD7" s="413" t="e">
        <f>(DB$7)-(DC$7)</f>
        <v>#REF!</v>
      </c>
      <c r="DE7" s="413">
        <f>+AP7</f>
        <v>173</v>
      </c>
      <c r="DF7" s="413">
        <f>+AO7</f>
        <v>85</v>
      </c>
      <c r="DG7" s="413">
        <f>(DE$7)-(DF$7)</f>
        <v>88</v>
      </c>
      <c r="DH7" s="412" t="e">
        <f>((DE7-DB7)/(DB7+0.00001))*100</f>
        <v>#REF!</v>
      </c>
      <c r="DI7" s="412" t="e">
        <f>((DF7-DC7)/(DC7+0.00001))*100</f>
        <v>#REF!</v>
      </c>
      <c r="DJ7" s="411" t="e">
        <f>((DG7-DD7)/(DD7+0.00001))*100</f>
        <v>#REF!</v>
      </c>
      <c r="DK7" s="103"/>
      <c r="DL7" s="414" t="e">
        <f>+BY7</f>
        <v>#REF!</v>
      </c>
      <c r="DM7" s="413" t="e">
        <f>+BX7</f>
        <v>#REF!</v>
      </c>
      <c r="DN7" s="413" t="e">
        <f>(DL$7)-(DM$7)</f>
        <v>#REF!</v>
      </c>
      <c r="DO7" s="413">
        <f>+AS7</f>
        <v>164</v>
      </c>
      <c r="DP7" s="413">
        <f>+AR7</f>
        <v>96</v>
      </c>
      <c r="DQ7" s="413">
        <f>(DO$7)-(DP$7)</f>
        <v>68</v>
      </c>
      <c r="DR7" s="412" t="e">
        <f>((DO7-DL7)/(DL7+0.00001))*100</f>
        <v>#REF!</v>
      </c>
      <c r="DS7" s="412" t="e">
        <f>((DP7-DM7)/(DM7+0.00001))*100</f>
        <v>#REF!</v>
      </c>
      <c r="DT7" s="411" t="e">
        <f>((DQ7-DN7)/(DN7+0.00001))*100</f>
        <v>#REF!</v>
      </c>
      <c r="DU7" s="106"/>
      <c r="DV7" s="414" t="e">
        <f>+CB7</f>
        <v>#REF!</v>
      </c>
      <c r="DW7" s="413" t="e">
        <f>+CA7</f>
        <v>#REF!</v>
      </c>
      <c r="DX7" s="413" t="e">
        <f>(DV$7)-(DW$7)</f>
        <v>#REF!</v>
      </c>
      <c r="DY7" s="413">
        <f>+AV7</f>
        <v>163</v>
      </c>
      <c r="DZ7" s="413">
        <f>+AU7</f>
        <v>75</v>
      </c>
      <c r="EA7" s="413">
        <f>(DY$7)-(DZ$7)</f>
        <v>88</v>
      </c>
      <c r="EB7" s="412" t="e">
        <f>((DY7-DV7)/(DV7+0.00001))*100</f>
        <v>#REF!</v>
      </c>
      <c r="EC7" s="412" t="e">
        <f>((DZ7-DW7)/(DW7+0.00001))*100</f>
        <v>#REF!</v>
      </c>
      <c r="ED7" s="411" t="e">
        <f>((EA7-DX7)/(DX7+0.00001))*100</f>
        <v>#REF!</v>
      </c>
      <c r="EF7" s="259">
        <f>AM7</f>
        <v>238</v>
      </c>
      <c r="EG7" s="251">
        <f>('الصفحة 12'!$E$9)</f>
        <v>7</v>
      </c>
      <c r="EH7" s="321">
        <f>((EF7)/(EG7+0.00001))</f>
        <v>33.99995142864082</v>
      </c>
      <c r="EI7" s="259">
        <f>AP7</f>
        <v>173</v>
      </c>
      <c r="EJ7" s="251">
        <f>('الصفحة 12'!$G$9)</f>
        <v>5</v>
      </c>
      <c r="EK7" s="321">
        <f>((EI7)/(EJ7+0.00001))</f>
        <v>34.599930800138402</v>
      </c>
      <c r="EL7" s="259">
        <f>AS7</f>
        <v>164</v>
      </c>
      <c r="EM7" s="251">
        <f>('الصفحة 12'!$I$9)</f>
        <v>4</v>
      </c>
      <c r="EN7" s="321">
        <f>((EL7)/(EM7+0.00001))</f>
        <v>40.999897500256253</v>
      </c>
      <c r="EO7" s="259">
        <f>AV7</f>
        <v>163</v>
      </c>
      <c r="EP7" s="251">
        <f>('الصفحة 12'!$K$9)</f>
        <v>5</v>
      </c>
      <c r="EQ7" s="321">
        <f>((EO7)/(EP7+0.00001))</f>
        <v>32.599934800130406</v>
      </c>
      <c r="ER7" s="259">
        <f>(EF7+EI7+EL7+EO7)</f>
        <v>738</v>
      </c>
      <c r="ES7" s="251">
        <f>(EG7+EJ7+EM7+EP7)</f>
        <v>21</v>
      </c>
      <c r="ET7" s="321">
        <f>((ER7)/(ES7+0.00001))</f>
        <v>35.142840408171232</v>
      </c>
      <c r="EV7" s="259">
        <f>('الصفحة 12'!$E$21)</f>
        <v>0</v>
      </c>
      <c r="EW7" s="251">
        <f>('الصفحة 12'!$E$19)</f>
        <v>0</v>
      </c>
      <c r="EX7" s="321">
        <f>((EV7)/(EW7+0.00001))</f>
        <v>0</v>
      </c>
      <c r="EY7" s="259">
        <f>('الصفحة 12'!$G$21)</f>
        <v>0</v>
      </c>
      <c r="EZ7" s="251">
        <f>('الصفحة 12'!$G$19)</f>
        <v>0</v>
      </c>
      <c r="FA7" s="321">
        <f>((EY7)/(EZ7+0.00001))</f>
        <v>0</v>
      </c>
      <c r="FB7" s="259">
        <f>('الصفحة 12'!$I$21)</f>
        <v>0</v>
      </c>
      <c r="FC7" s="251">
        <f>('الصفحة 12'!$I$19)</f>
        <v>0</v>
      </c>
      <c r="FD7" s="321">
        <f>((FB7)/(FC7+0.00001))</f>
        <v>0</v>
      </c>
      <c r="FE7" s="259">
        <f>('الصفحة 12'!$K$21)</f>
        <v>0</v>
      </c>
      <c r="FF7" s="251">
        <f>('الصفحة 12'!$K$19)</f>
        <v>0</v>
      </c>
      <c r="FG7" s="321">
        <f>((FE7)/(FF7+0.00001))</f>
        <v>0</v>
      </c>
      <c r="FH7" s="259">
        <f>(EV7+EY7+FB7+FE7)</f>
        <v>0</v>
      </c>
      <c r="FI7" s="251">
        <f>(EW7+EZ7+FC7+FF7)</f>
        <v>0</v>
      </c>
      <c r="FJ7" s="321">
        <f>((FH7)/(FI7+0.00001))</f>
        <v>0</v>
      </c>
      <c r="FL7" s="253">
        <f>FH7</f>
        <v>0</v>
      </c>
      <c r="FM7" s="252">
        <f>'الصفحة 12'!$M$28</f>
        <v>0</v>
      </c>
      <c r="FN7" s="252">
        <f>'الصفحة 12'!$N$28</f>
        <v>0</v>
      </c>
      <c r="FO7" s="251">
        <f>(FM7-FN7)</f>
        <v>0</v>
      </c>
      <c r="FP7" s="410">
        <f>((FL7)/(FM7+0.00001))</f>
        <v>0</v>
      </c>
      <c r="FQ7" s="249">
        <f>((FN7)/(FO7+0.00001))</f>
        <v>0</v>
      </c>
      <c r="FR7" s="249">
        <f>((FN7)/(FM7+0.00001))*100</f>
        <v>0</v>
      </c>
      <c r="FT7" s="259">
        <f>('الصفحة 12'!$E$39)</f>
        <v>238</v>
      </c>
      <c r="FU7" s="251">
        <f>('الصفحة 12'!$E$37)</f>
        <v>7</v>
      </c>
      <c r="FV7" s="321">
        <f>((FT7)/(FU7+0.00001))</f>
        <v>33.99995142864082</v>
      </c>
      <c r="FW7" s="259">
        <f>('الصفحة 12'!$G$39)</f>
        <v>173</v>
      </c>
      <c r="FX7" s="251">
        <f>('الصفحة 12'!$G$37)</f>
        <v>5</v>
      </c>
      <c r="FY7" s="321">
        <f>((FW7)/(FX7+0.00001))</f>
        <v>34.599930800138402</v>
      </c>
      <c r="FZ7" s="259">
        <f>('الصفحة 12'!$I$39)</f>
        <v>164</v>
      </c>
      <c r="GA7" s="251">
        <f>('الصفحة 12'!$I$37)</f>
        <v>4</v>
      </c>
      <c r="GB7" s="321">
        <f>((FZ7)/(GA7+0.00001))</f>
        <v>40.999897500256253</v>
      </c>
      <c r="GC7" s="259">
        <f>('الصفحة 12'!$K$39)</f>
        <v>163</v>
      </c>
      <c r="GD7" s="251">
        <f>('الصفحة 12'!$K$37)</f>
        <v>5</v>
      </c>
      <c r="GE7" s="321">
        <f>((GC7)/(GD7+0.00001))</f>
        <v>32.599934800130406</v>
      </c>
      <c r="GF7" s="259">
        <f>(FT7+FW7+FZ7+GC7)</f>
        <v>738</v>
      </c>
      <c r="GG7" s="251">
        <f>(FU7+FX7+GA7+GD7)</f>
        <v>21</v>
      </c>
      <c r="GH7" s="321">
        <f>((GF7)/(GG7+0.00001))</f>
        <v>35.142840408171232</v>
      </c>
      <c r="GI7" s="25"/>
      <c r="GJ7" s="259">
        <f>('الصفحة 12'!$E$39)</f>
        <v>238</v>
      </c>
      <c r="GK7" s="251">
        <f>('الصفحة 12'!$E$41)</f>
        <v>0</v>
      </c>
      <c r="GL7" s="321">
        <f>((GJ7)/(GK7+0.00001))</f>
        <v>23799999.999999996</v>
      </c>
      <c r="GM7" s="259">
        <f>('الصفحة 12'!$G$39)</f>
        <v>173</v>
      </c>
      <c r="GN7" s="251">
        <f>('الصفحة 12'!$G$41)</f>
        <v>0</v>
      </c>
      <c r="GO7" s="321">
        <f>((GM7)/(GN7+0.00001))</f>
        <v>17300000</v>
      </c>
      <c r="GP7" s="259">
        <f>('الصفحة 12'!$I$39)</f>
        <v>164</v>
      </c>
      <c r="GQ7" s="251">
        <f>('الصفحة 12'!$I$41)</f>
        <v>0</v>
      </c>
      <c r="GR7" s="321">
        <f>((GP7)/(GQ7+0.00001))</f>
        <v>16399999.999999998</v>
      </c>
      <c r="GS7" s="259">
        <f>('الصفحة 12'!$K$39)</f>
        <v>163</v>
      </c>
      <c r="GT7" s="251">
        <f>('الصفحة 12'!$K$41)</f>
        <v>0</v>
      </c>
      <c r="GU7" s="321">
        <f>((GS7)/(GT7+0.00001))</f>
        <v>16299999.999999998</v>
      </c>
      <c r="GV7" s="259">
        <f>(GJ7+GM7+GP7+GS7)</f>
        <v>738</v>
      </c>
      <c r="GW7" s="251">
        <f>(GK7+GN7+GQ7+GT7)</f>
        <v>0</v>
      </c>
      <c r="GX7" s="321">
        <f>((GV7)/(GW7+0.00001))</f>
        <v>73800000</v>
      </c>
      <c r="GZ7" s="259">
        <f>('الصفحة 12'!$E$39)</f>
        <v>238</v>
      </c>
      <c r="HA7" s="251">
        <f>('الصفحة 12'!$E$40)</f>
        <v>51</v>
      </c>
      <c r="HB7" s="321">
        <f>((GZ7)/(HA7+0.00001))</f>
        <v>4.6666657516341656</v>
      </c>
      <c r="HC7" s="259">
        <f>('الصفحة 12'!$G$39)</f>
        <v>173</v>
      </c>
      <c r="HD7" s="251">
        <f>('الصفحة 12'!$G$40)</f>
        <v>42</v>
      </c>
      <c r="HE7" s="321">
        <f>((HC7)/(HD7+0.00001))</f>
        <v>4.1190466383222288</v>
      </c>
      <c r="HF7" s="259">
        <f>('الصفحة 12'!$I$39)</f>
        <v>164</v>
      </c>
      <c r="HG7" s="251">
        <f>('الصفحة 12'!$I$40)</f>
        <v>31</v>
      </c>
      <c r="HH7" s="321">
        <f>((HF7)/(HG7+0.00001))</f>
        <v>5.2903208740900407</v>
      </c>
      <c r="HI7" s="259">
        <f>('الصفحة 12'!$K$39)</f>
        <v>163</v>
      </c>
      <c r="HJ7" s="251">
        <f>('الصفحة 12'!$K$40)</f>
        <v>10</v>
      </c>
      <c r="HK7" s="321">
        <f>((HI7)/(HJ7+0.00001))</f>
        <v>16.299983700016302</v>
      </c>
      <c r="HL7" s="259">
        <f>(GZ7+HC7+HF7+HI7)</f>
        <v>738</v>
      </c>
      <c r="HM7" s="251">
        <f>(HA7+HD7+HG7+HJ7)</f>
        <v>134</v>
      </c>
      <c r="HN7" s="321">
        <f>((HL7)/(HM7+0.00001))</f>
        <v>5.5074622755625162</v>
      </c>
      <c r="HQ7" s="216">
        <f>'الصفحة 10'!$N$10</f>
        <v>28</v>
      </c>
      <c r="HR7" s="213">
        <f>'الصفحة 10'!$O$10</f>
        <v>13</v>
      </c>
      <c r="HS7" s="331">
        <f>HQ7-HR7</f>
        <v>15</v>
      </c>
      <c r="HT7" s="216">
        <f>'الصفحة 10'!$N$11</f>
        <v>186</v>
      </c>
      <c r="HU7" s="213">
        <f>'الصفحة 10'!$O$11</f>
        <v>84</v>
      </c>
      <c r="HV7" s="331">
        <f>HT7-HU7</f>
        <v>102</v>
      </c>
      <c r="HW7" s="216">
        <f>'الصفحة 10'!$N$12</f>
        <v>159</v>
      </c>
      <c r="HX7" s="213">
        <f>'الصفحة 10'!$O$12</f>
        <v>92</v>
      </c>
      <c r="HY7" s="331">
        <f>HW7-HX7</f>
        <v>67</v>
      </c>
      <c r="HZ7" s="216">
        <f>'الصفحة 10'!$N$13</f>
        <v>151</v>
      </c>
      <c r="IA7" s="213">
        <f>'الصفحة 10'!$O$13</f>
        <v>79</v>
      </c>
      <c r="IB7" s="331">
        <f>HZ7-IA7</f>
        <v>72</v>
      </c>
      <c r="IC7" s="216">
        <f>'الصفحة 10'!$N$14</f>
        <v>130</v>
      </c>
      <c r="ID7" s="213">
        <f>'الصفحة 10'!$O$14</f>
        <v>67</v>
      </c>
      <c r="IE7" s="331">
        <f>IC7-ID7</f>
        <v>63</v>
      </c>
      <c r="IF7" s="216">
        <f>'الصفحة 10'!$N$15</f>
        <v>60</v>
      </c>
      <c r="IG7" s="213">
        <f>'الصفحة 10'!$O$15</f>
        <v>19</v>
      </c>
      <c r="IH7" s="331">
        <f>IF7-IG7</f>
        <v>41</v>
      </c>
      <c r="II7" s="216">
        <f>'الصفحة 10'!$N$16</f>
        <v>20</v>
      </c>
      <c r="IJ7" s="213">
        <f>'الصفحة 10'!$O$16</f>
        <v>5</v>
      </c>
      <c r="IK7" s="331">
        <f>II7-IJ7</f>
        <v>15</v>
      </c>
      <c r="IL7" s="216">
        <f>'الصفحة 10'!$N$17</f>
        <v>4</v>
      </c>
      <c r="IM7" s="213">
        <f>'الصفحة 10'!$O$17</f>
        <v>0</v>
      </c>
      <c r="IN7" s="331">
        <f>IL7-IM7</f>
        <v>4</v>
      </c>
      <c r="IO7" s="216">
        <f>'الصفحة 10'!$N$18</f>
        <v>0</v>
      </c>
      <c r="IP7" s="213">
        <f>'الصفحة 10'!$O$18</f>
        <v>0</v>
      </c>
      <c r="IQ7" s="331">
        <f>IO7-IP7</f>
        <v>0</v>
      </c>
      <c r="IR7" s="216">
        <f>'الصفحة 10'!$N$19</f>
        <v>0</v>
      </c>
      <c r="IS7" s="213">
        <f>'الصفحة 10'!$O$19</f>
        <v>0</v>
      </c>
      <c r="IT7" s="331">
        <f>IR7-IS7</f>
        <v>0</v>
      </c>
      <c r="IV7" s="21"/>
    </row>
    <row r="8" spans="1:256" s="24" customFormat="1" ht="14.1" customHeight="1" thickBot="1">
      <c r="A8" s="5686"/>
      <c r="AB8" s="106"/>
      <c r="AC8" s="106"/>
      <c r="AF8" s="106"/>
      <c r="AG8" s="106"/>
      <c r="AH8" s="106"/>
      <c r="AI8" s="106"/>
      <c r="AJ8" s="106"/>
      <c r="AK8" s="106"/>
      <c r="AL8" s="106"/>
      <c r="AM8" s="106"/>
      <c r="AN8" s="106"/>
      <c r="AO8" s="106"/>
      <c r="AP8" s="106"/>
      <c r="AQ8" s="106"/>
      <c r="AT8" s="106"/>
      <c r="AU8" s="106"/>
      <c r="AV8" s="106"/>
      <c r="AW8" s="106"/>
      <c r="AX8" s="106"/>
      <c r="AY8" s="106"/>
      <c r="AZ8" s="106"/>
      <c r="BA8" s="106"/>
      <c r="BB8" s="106"/>
      <c r="BC8" s="106"/>
      <c r="BD8" s="106"/>
      <c r="BE8" s="106"/>
      <c r="BF8" s="106"/>
      <c r="BG8" s="106"/>
      <c r="BH8" s="106"/>
      <c r="BK8" s="106"/>
      <c r="BL8" s="106"/>
      <c r="BM8" s="106"/>
      <c r="BN8" s="106"/>
      <c r="BO8" s="106"/>
      <c r="BP8" s="106"/>
      <c r="BQ8" s="106"/>
      <c r="BR8" s="106"/>
      <c r="BS8" s="106"/>
      <c r="DT8" s="106"/>
      <c r="DU8" s="106"/>
      <c r="DV8" s="106"/>
      <c r="DY8" s="106"/>
      <c r="DZ8" s="106"/>
      <c r="EA8" s="106"/>
      <c r="EB8" s="106"/>
      <c r="EC8" s="106"/>
      <c r="ED8" s="106"/>
      <c r="EE8" s="106"/>
      <c r="EF8" s="106"/>
      <c r="EG8" s="106"/>
      <c r="EH8" s="106"/>
      <c r="EI8" s="106"/>
      <c r="EJ8" s="106"/>
      <c r="EK8" s="106"/>
      <c r="EL8" s="106"/>
      <c r="EN8" s="106"/>
      <c r="EO8" s="106"/>
      <c r="EP8" s="106"/>
      <c r="EQ8" s="106"/>
      <c r="ER8" s="106"/>
      <c r="ES8" s="106"/>
      <c r="ET8" s="106"/>
      <c r="EU8" s="106"/>
      <c r="EX8" s="106"/>
      <c r="EY8" s="106"/>
      <c r="EZ8" s="106"/>
      <c r="FA8" s="106"/>
      <c r="FB8" s="106"/>
      <c r="FC8" s="106"/>
      <c r="FD8" s="106"/>
      <c r="FE8" s="106"/>
      <c r="FF8" s="106"/>
      <c r="FG8" s="106"/>
      <c r="FH8" s="106"/>
      <c r="FI8" s="106"/>
      <c r="FL8" s="106"/>
      <c r="FM8" s="106"/>
      <c r="FN8" s="106"/>
      <c r="FO8" s="106"/>
      <c r="FP8" s="106"/>
      <c r="FQ8" s="106"/>
      <c r="GX8" s="106"/>
      <c r="GY8" s="106"/>
      <c r="GZ8" s="106"/>
      <c r="HA8" s="106"/>
      <c r="HB8" s="106"/>
      <c r="HC8" s="106"/>
      <c r="HD8" s="106"/>
      <c r="HE8" s="203"/>
      <c r="HF8" s="106"/>
      <c r="HG8" s="106"/>
      <c r="HJ8" s="106"/>
      <c r="HK8" s="106"/>
      <c r="HL8" s="106"/>
      <c r="HM8" s="106"/>
      <c r="HN8" s="106"/>
      <c r="HO8" s="106"/>
      <c r="HQ8" s="216">
        <f>'الصفحة 10'!$N$27</f>
        <v>0</v>
      </c>
      <c r="HR8" s="213">
        <f>'الصفحة 10'!$O$27</f>
        <v>0</v>
      </c>
      <c r="HS8" s="331">
        <f>HQ8-HR8</f>
        <v>0</v>
      </c>
      <c r="HT8" s="216">
        <f>'الصفحة 10'!$N$28</f>
        <v>4</v>
      </c>
      <c r="HU8" s="213">
        <f>'الصفحة 10'!$O$28</f>
        <v>0</v>
      </c>
      <c r="HV8" s="331">
        <f>HT8-HU8</f>
        <v>4</v>
      </c>
      <c r="HW8" s="216">
        <f>'الصفحة 10'!$N$29</f>
        <v>10</v>
      </c>
      <c r="HX8" s="213">
        <f>'الصفحة 10'!$O$29</f>
        <v>3</v>
      </c>
      <c r="HY8" s="331">
        <f>HW8-HX8</f>
        <v>7</v>
      </c>
      <c r="HZ8" s="216">
        <f>'الصفحة 10'!$N$30</f>
        <v>37</v>
      </c>
      <c r="IA8" s="213">
        <f>'الصفحة 10'!$O$30</f>
        <v>6</v>
      </c>
      <c r="IB8" s="331">
        <f>HZ8-IA8</f>
        <v>31</v>
      </c>
      <c r="IC8" s="216">
        <f>'الصفحة 10'!$N$31</f>
        <v>23</v>
      </c>
      <c r="ID8" s="213">
        <f>'الصفحة 10'!$O$31</f>
        <v>4</v>
      </c>
      <c r="IE8" s="331">
        <f>IC8-ID8</f>
        <v>19</v>
      </c>
      <c r="IF8" s="216">
        <f>'الصفحة 10'!$N$32</f>
        <v>25</v>
      </c>
      <c r="IG8" s="213">
        <f>'الصفحة 10'!$O$32</f>
        <v>6</v>
      </c>
      <c r="IH8" s="331">
        <f>IF8-IG8</f>
        <v>19</v>
      </c>
      <c r="II8" s="216">
        <f>'الصفحة 10'!$N$33</f>
        <v>12</v>
      </c>
      <c r="IJ8" s="213">
        <f>'الصفحة 10'!$O$33</f>
        <v>1</v>
      </c>
      <c r="IK8" s="331">
        <f>II8-IJ8</f>
        <v>11</v>
      </c>
      <c r="IL8" s="216">
        <f>'الصفحة 10'!$N$34</f>
        <v>0</v>
      </c>
      <c r="IM8" s="213">
        <f>'الصفحة 10'!$O$34</f>
        <v>0</v>
      </c>
      <c r="IN8" s="331">
        <f>IL8-IM8</f>
        <v>0</v>
      </c>
      <c r="IO8" s="216">
        <f>'الصفحة 10'!$N$35</f>
        <v>0</v>
      </c>
      <c r="IP8" s="213">
        <f>'الصفحة 10'!$O$35</f>
        <v>0</v>
      </c>
      <c r="IQ8" s="331">
        <f>IO8-IP8</f>
        <v>0</v>
      </c>
      <c r="IR8" s="216">
        <f>'الصفحة 10'!$N$36</f>
        <v>0</v>
      </c>
      <c r="IS8" s="213">
        <f>'الصفحة 10'!$O$36</f>
        <v>0</v>
      </c>
      <c r="IT8" s="331">
        <f>IR8-IS8</f>
        <v>0</v>
      </c>
      <c r="IV8" s="21"/>
    </row>
    <row r="9" spans="1:256" s="24" customFormat="1" ht="6" customHeight="1">
      <c r="A9" s="47"/>
      <c r="B9" s="22"/>
      <c r="C9" s="341"/>
      <c r="D9" s="341"/>
      <c r="E9" s="341"/>
      <c r="F9" s="22"/>
      <c r="G9" s="22"/>
      <c r="H9" s="22"/>
      <c r="I9" s="22"/>
      <c r="J9" s="22"/>
      <c r="K9" s="22"/>
      <c r="L9" s="22"/>
      <c r="M9" s="22"/>
      <c r="N9" s="22"/>
      <c r="O9" s="22"/>
      <c r="P9" s="22"/>
      <c r="Q9" s="22"/>
      <c r="R9" s="22"/>
      <c r="S9" s="22"/>
      <c r="T9" s="22"/>
      <c r="U9" s="22"/>
      <c r="V9" s="22"/>
      <c r="W9" s="22"/>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V9" s="21"/>
    </row>
    <row r="10" spans="1:256" s="24" customFormat="1" ht="15" customHeight="1" thickBot="1">
      <c r="A10" s="5686">
        <v>2</v>
      </c>
      <c r="B10" s="117"/>
      <c r="C10" s="409" t="s">
        <v>498</v>
      </c>
      <c r="D10" s="395"/>
      <c r="E10" s="395"/>
      <c r="F10" s="395"/>
      <c r="G10" s="395"/>
      <c r="H10" s="395"/>
      <c r="I10" s="193"/>
      <c r="J10" s="193"/>
      <c r="K10" s="395"/>
      <c r="L10" s="339"/>
      <c r="M10" s="339"/>
      <c r="N10" s="339"/>
      <c r="O10" s="25"/>
      <c r="P10" s="25"/>
      <c r="Q10" s="25"/>
      <c r="R10" s="25"/>
      <c r="S10" s="25"/>
      <c r="T10" s="25"/>
      <c r="U10" s="25"/>
      <c r="V10" s="25"/>
      <c r="W10" s="25"/>
      <c r="X10" s="25"/>
      <c r="Y10" s="25"/>
      <c r="Z10" s="25"/>
      <c r="AA10" s="339"/>
      <c r="AB10" s="339"/>
      <c r="AC10" s="339"/>
      <c r="AD10" s="25"/>
      <c r="AE10" s="25"/>
      <c r="AF10" s="25"/>
      <c r="AG10" s="25"/>
      <c r="AH10" s="25"/>
      <c r="AI10" s="25"/>
      <c r="AJ10" s="25"/>
      <c r="AK10" s="25"/>
      <c r="AL10" s="25"/>
      <c r="AM10" s="25"/>
      <c r="AN10" s="25"/>
      <c r="AO10" s="25"/>
      <c r="AP10" s="25"/>
      <c r="AQ10" s="25"/>
      <c r="AR10" s="25"/>
      <c r="AS10" s="25"/>
      <c r="AT10" s="25"/>
      <c r="AU10" s="25"/>
      <c r="AV10" s="25"/>
      <c r="AW10" s="25"/>
      <c r="AX10" s="25"/>
      <c r="AY10" s="25"/>
      <c r="AZ10" s="340" t="s">
        <v>497</v>
      </c>
      <c r="BA10" s="339"/>
      <c r="BB10" s="339"/>
      <c r="BC10" s="339"/>
      <c r="BD10" s="339"/>
      <c r="BE10" s="339"/>
      <c r="BF10" s="193"/>
      <c r="BG10" s="193"/>
      <c r="BH10" s="339"/>
      <c r="BI10" s="339"/>
      <c r="BJ10" s="339"/>
      <c r="BK10" s="339"/>
      <c r="BL10" s="339"/>
      <c r="BM10" s="339"/>
      <c r="BN10" s="339"/>
      <c r="BP10" s="340" t="s">
        <v>496</v>
      </c>
      <c r="BQ10" s="339"/>
      <c r="BR10" s="339"/>
      <c r="BS10" s="339"/>
      <c r="BT10" s="339"/>
      <c r="BU10" s="339"/>
      <c r="BV10" s="193"/>
      <c r="BW10" s="193"/>
      <c r="BX10" s="339"/>
      <c r="BY10" s="76"/>
      <c r="BZ10" s="170" t="s">
        <v>495</v>
      </c>
      <c r="CA10" s="339"/>
      <c r="CB10" s="339"/>
      <c r="CC10" s="339"/>
      <c r="CD10" s="339"/>
      <c r="CE10" s="339"/>
      <c r="CF10" s="193"/>
      <c r="CG10" s="193"/>
      <c r="CH10" s="339"/>
      <c r="CI10" s="339"/>
      <c r="CJ10" s="339"/>
      <c r="CK10" s="339"/>
      <c r="CL10" s="25"/>
      <c r="CM10" s="25"/>
      <c r="CN10" s="25"/>
      <c r="CO10" s="25"/>
      <c r="CP10" s="25"/>
      <c r="CQ10" s="25"/>
      <c r="CR10" s="25"/>
      <c r="CS10" s="25"/>
      <c r="CT10" s="25"/>
      <c r="CU10" s="25"/>
      <c r="CV10" s="25"/>
      <c r="CW10" s="25"/>
      <c r="CX10" s="339"/>
      <c r="CY10" s="339"/>
      <c r="CZ10" s="339"/>
      <c r="DA10" s="25"/>
      <c r="DB10" s="25"/>
      <c r="DC10" s="25"/>
      <c r="DD10" s="25"/>
      <c r="DE10" s="25"/>
      <c r="DF10" s="25"/>
      <c r="DG10" s="25"/>
      <c r="DH10" s="25"/>
      <c r="DI10" s="25"/>
      <c r="DJ10" s="25"/>
      <c r="DK10" s="25"/>
      <c r="DL10" s="25"/>
      <c r="DM10" s="25"/>
      <c r="DN10" s="25"/>
      <c r="DO10" s="25"/>
      <c r="DP10" s="25"/>
      <c r="DQ10" s="25"/>
      <c r="DR10" s="25"/>
      <c r="DS10" s="25"/>
      <c r="DT10" s="25"/>
      <c r="DU10" s="25"/>
      <c r="DV10" s="25"/>
      <c r="DW10" s="340" t="s">
        <v>494</v>
      </c>
      <c r="DX10" s="339"/>
      <c r="DY10" s="339"/>
      <c r="DZ10" s="339"/>
      <c r="EA10" s="339"/>
      <c r="EB10" s="339"/>
      <c r="EC10" s="193"/>
      <c r="ED10" s="193"/>
      <c r="EE10" s="339"/>
      <c r="EF10" s="193"/>
      <c r="EG10" s="193"/>
      <c r="EH10" s="339"/>
      <c r="EI10" s="339"/>
      <c r="EJ10" s="339"/>
      <c r="EK10" s="339"/>
      <c r="EL10" s="25"/>
      <c r="EM10" s="340" t="s">
        <v>493</v>
      </c>
      <c r="EN10" s="339"/>
      <c r="EO10" s="339"/>
      <c r="EP10" s="339"/>
      <c r="EQ10" s="339"/>
      <c r="ER10" s="339"/>
      <c r="ES10" s="193"/>
      <c r="ET10" s="193"/>
      <c r="EU10" s="339"/>
      <c r="EV10" s="76"/>
      <c r="EW10" s="407" t="s">
        <v>492</v>
      </c>
      <c r="EX10" s="339"/>
      <c r="EY10" s="339"/>
      <c r="EZ10" s="339"/>
      <c r="FA10" s="339"/>
      <c r="FB10" s="339"/>
      <c r="FC10" s="193"/>
      <c r="FD10" s="193"/>
      <c r="FE10" s="339"/>
      <c r="FF10" s="193"/>
      <c r="FG10" s="193"/>
      <c r="FH10" s="339"/>
      <c r="FI10" s="193"/>
      <c r="FJ10" s="193"/>
      <c r="FK10" s="339"/>
      <c r="FL10" s="25"/>
      <c r="FM10" s="408" t="s">
        <v>491</v>
      </c>
      <c r="FN10" s="339"/>
      <c r="FO10" s="339"/>
      <c r="FP10" s="339"/>
      <c r="FQ10" s="339"/>
      <c r="FR10" s="339"/>
      <c r="FS10" s="193"/>
      <c r="FT10" s="193"/>
      <c r="FU10" s="339"/>
      <c r="FV10" s="193"/>
      <c r="FW10" s="193"/>
      <c r="FX10" s="339"/>
      <c r="FY10" s="193"/>
      <c r="FZ10" s="193"/>
      <c r="GA10" s="339"/>
      <c r="GC10" s="407" t="s">
        <v>490</v>
      </c>
      <c r="GD10" s="339"/>
      <c r="GE10" s="339"/>
      <c r="GF10" s="339"/>
      <c r="GG10" s="339"/>
      <c r="GH10" s="339"/>
      <c r="GI10" s="193"/>
      <c r="GJ10" s="193"/>
      <c r="GK10" s="339"/>
      <c r="GL10" s="193"/>
      <c r="GM10" s="193"/>
      <c r="GN10" s="339"/>
      <c r="GO10" s="193"/>
      <c r="GP10" s="193"/>
      <c r="GQ10" s="339"/>
      <c r="GR10" s="117"/>
      <c r="GS10" s="408" t="s">
        <v>489</v>
      </c>
      <c r="GT10" s="339"/>
      <c r="GU10" s="339"/>
      <c r="GV10" s="339"/>
      <c r="GW10" s="339"/>
      <c r="GX10" s="339"/>
      <c r="GY10" s="193"/>
      <c r="GZ10" s="193"/>
      <c r="HA10" s="339"/>
      <c r="HB10" s="193"/>
      <c r="HC10" s="193"/>
      <c r="HD10" s="339"/>
      <c r="HE10" s="193"/>
      <c r="HF10" s="193"/>
      <c r="HG10" s="339"/>
      <c r="HH10" s="117"/>
      <c r="HI10" s="407" t="s">
        <v>488</v>
      </c>
      <c r="HJ10" s="339"/>
      <c r="HK10" s="339"/>
      <c r="HL10" s="339"/>
      <c r="HM10" s="339"/>
      <c r="HN10" s="339"/>
      <c r="HO10" s="193"/>
      <c r="HP10" s="193"/>
      <c r="HQ10" s="339"/>
      <c r="HR10" s="193"/>
      <c r="HS10" s="193"/>
      <c r="HT10" s="339"/>
      <c r="HU10" s="193"/>
      <c r="HV10" s="193"/>
      <c r="HW10" s="395"/>
      <c r="HX10" s="117"/>
      <c r="HY10" s="406" t="s">
        <v>487</v>
      </c>
      <c r="HZ10" s="395"/>
      <c r="IA10" s="395"/>
      <c r="IB10" s="395"/>
      <c r="IC10" s="395"/>
      <c r="ID10" s="339"/>
      <c r="IE10" s="193"/>
      <c r="IF10" s="193"/>
      <c r="IG10" s="339"/>
      <c r="IH10" s="193"/>
      <c r="II10" s="193"/>
      <c r="IJ10" s="339"/>
      <c r="IK10" s="193"/>
      <c r="IL10" s="193"/>
      <c r="IM10" s="339"/>
      <c r="IV10" s="21"/>
    </row>
    <row r="11" spans="1:256" s="24" customFormat="1" ht="12.75" customHeight="1">
      <c r="A11" s="5686"/>
      <c r="C11" s="5179" t="s">
        <v>486</v>
      </c>
      <c r="D11" s="5180"/>
      <c r="E11" s="5180"/>
      <c r="F11" s="5180"/>
      <c r="G11" s="5180"/>
      <c r="H11" s="5181"/>
      <c r="I11" s="5656" t="s">
        <v>485</v>
      </c>
      <c r="J11" s="5657"/>
      <c r="K11" s="5658"/>
      <c r="L11" s="5665" t="s">
        <v>451</v>
      </c>
      <c r="M11" s="5666"/>
      <c r="N11" s="5667"/>
      <c r="O11" s="5281" t="s">
        <v>450</v>
      </c>
      <c r="P11" s="5282"/>
      <c r="Q11" s="5283"/>
      <c r="R11" s="5281" t="s">
        <v>449</v>
      </c>
      <c r="S11" s="5282"/>
      <c r="T11" s="5283"/>
      <c r="U11" s="5281" t="s">
        <v>448</v>
      </c>
      <c r="V11" s="5282"/>
      <c r="W11" s="5283"/>
      <c r="X11" s="5281" t="s">
        <v>447</v>
      </c>
      <c r="Y11" s="5282"/>
      <c r="Z11" s="5283"/>
      <c r="AA11" s="5290" t="s">
        <v>446</v>
      </c>
      <c r="AB11" s="5291"/>
      <c r="AC11" s="5292"/>
      <c r="AD11" s="5248" t="s">
        <v>445</v>
      </c>
      <c r="AE11" s="5249"/>
      <c r="AF11" s="5250"/>
      <c r="AG11" s="5248" t="s">
        <v>444</v>
      </c>
      <c r="AH11" s="5249"/>
      <c r="AI11" s="5250"/>
      <c r="AJ11" s="5248" t="s">
        <v>443</v>
      </c>
      <c r="AK11" s="5249"/>
      <c r="AL11" s="5250"/>
      <c r="AM11" s="5248" t="s">
        <v>442</v>
      </c>
      <c r="AN11" s="5249"/>
      <c r="AO11" s="5250"/>
      <c r="AP11" s="5299" t="s">
        <v>441</v>
      </c>
      <c r="AQ11" s="5300"/>
      <c r="AR11" s="5301"/>
      <c r="AS11" s="5198" t="s">
        <v>436</v>
      </c>
      <c r="AT11" s="5199"/>
      <c r="AU11" s="5200"/>
      <c r="AV11" s="5324" t="s">
        <v>440</v>
      </c>
      <c r="AW11" s="5325"/>
      <c r="AX11" s="5326"/>
      <c r="AY11" s="25"/>
      <c r="AZ11" s="5179" t="s">
        <v>484</v>
      </c>
      <c r="BA11" s="5180"/>
      <c r="BB11" s="5181"/>
      <c r="BC11" s="5656" t="s">
        <v>483</v>
      </c>
      <c r="BD11" s="5657"/>
      <c r="BE11" s="5658"/>
      <c r="BF11" s="5665" t="s">
        <v>437</v>
      </c>
      <c r="BG11" s="5666"/>
      <c r="BH11" s="5667"/>
      <c r="BI11" s="5198" t="s">
        <v>436</v>
      </c>
      <c r="BJ11" s="5199"/>
      <c r="BK11" s="5200"/>
      <c r="BL11" s="5324" t="s">
        <v>435</v>
      </c>
      <c r="BM11" s="5325"/>
      <c r="BN11" s="5326"/>
      <c r="BP11" s="5324" t="s">
        <v>482</v>
      </c>
      <c r="BQ11" s="5325"/>
      <c r="BR11" s="5326"/>
      <c r="BS11" s="5324" t="s">
        <v>481</v>
      </c>
      <c r="BT11" s="5325"/>
      <c r="BU11" s="5326"/>
      <c r="BV11" s="5665" t="s">
        <v>432</v>
      </c>
      <c r="BW11" s="5666"/>
      <c r="BX11" s="5667"/>
      <c r="BY11" s="76"/>
      <c r="BZ11" s="5494" t="s">
        <v>480</v>
      </c>
      <c r="CA11" s="5495"/>
      <c r="CB11" s="5495"/>
      <c r="CC11" s="5495"/>
      <c r="CD11" s="5495"/>
      <c r="CE11" s="5496"/>
      <c r="CF11" s="5233" t="s">
        <v>478</v>
      </c>
      <c r="CG11" s="5234"/>
      <c r="CH11" s="5235"/>
      <c r="CI11" s="5416" t="s">
        <v>451</v>
      </c>
      <c r="CJ11" s="5417"/>
      <c r="CK11" s="5418"/>
      <c r="CL11" s="5633" t="s">
        <v>450</v>
      </c>
      <c r="CM11" s="5634"/>
      <c r="CN11" s="5635"/>
      <c r="CO11" s="5633" t="s">
        <v>449</v>
      </c>
      <c r="CP11" s="5634"/>
      <c r="CQ11" s="5635"/>
      <c r="CR11" s="5633" t="s">
        <v>448</v>
      </c>
      <c r="CS11" s="5634"/>
      <c r="CT11" s="5635"/>
      <c r="CU11" s="5633" t="s">
        <v>447</v>
      </c>
      <c r="CV11" s="5634"/>
      <c r="CW11" s="5635"/>
      <c r="CX11" s="5224" t="s">
        <v>446</v>
      </c>
      <c r="CY11" s="5225"/>
      <c r="CZ11" s="5226"/>
      <c r="DA11" s="5503" t="s">
        <v>445</v>
      </c>
      <c r="DB11" s="5504"/>
      <c r="DC11" s="5505"/>
      <c r="DD11" s="5503" t="s">
        <v>444</v>
      </c>
      <c r="DE11" s="5504"/>
      <c r="DF11" s="5505"/>
      <c r="DG11" s="5503" t="s">
        <v>443</v>
      </c>
      <c r="DH11" s="5504"/>
      <c r="DI11" s="5505"/>
      <c r="DJ11" s="5503" t="s">
        <v>442</v>
      </c>
      <c r="DK11" s="5504"/>
      <c r="DL11" s="5505"/>
      <c r="DM11" s="5539" t="s">
        <v>441</v>
      </c>
      <c r="DN11" s="5540"/>
      <c r="DO11" s="5541"/>
      <c r="DP11" s="5198" t="s">
        <v>436</v>
      </c>
      <c r="DQ11" s="5199"/>
      <c r="DR11" s="5200"/>
      <c r="DS11" s="5476" t="s">
        <v>440</v>
      </c>
      <c r="DT11" s="5477"/>
      <c r="DU11" s="5478"/>
      <c r="DV11" s="25"/>
      <c r="DW11" s="5494" t="s">
        <v>479</v>
      </c>
      <c r="DX11" s="5495"/>
      <c r="DY11" s="5496"/>
      <c r="DZ11" s="5233" t="s">
        <v>478</v>
      </c>
      <c r="EA11" s="5234"/>
      <c r="EB11" s="5235"/>
      <c r="EC11" s="5416" t="s">
        <v>437</v>
      </c>
      <c r="ED11" s="5417"/>
      <c r="EE11" s="5418"/>
      <c r="EF11" s="5198" t="s">
        <v>436</v>
      </c>
      <c r="EG11" s="5199"/>
      <c r="EH11" s="5200"/>
      <c r="EI11" s="5476" t="s">
        <v>435</v>
      </c>
      <c r="EJ11" s="5477"/>
      <c r="EK11" s="5478"/>
      <c r="EL11" s="25"/>
      <c r="EM11" s="5449" t="s">
        <v>477</v>
      </c>
      <c r="EN11" s="5450"/>
      <c r="EO11" s="5451"/>
      <c r="EP11" s="5476" t="s">
        <v>476</v>
      </c>
      <c r="EQ11" s="5477"/>
      <c r="ER11" s="5478"/>
      <c r="ES11" s="5416" t="s">
        <v>432</v>
      </c>
      <c r="ET11" s="5417"/>
      <c r="EU11" s="5418"/>
      <c r="EV11" s="398"/>
      <c r="EW11" s="5401" t="s">
        <v>475</v>
      </c>
      <c r="EX11" s="5402"/>
      <c r="EY11" s="5403"/>
      <c r="EZ11" s="5401" t="s">
        <v>474</v>
      </c>
      <c r="FA11" s="5402"/>
      <c r="FB11" s="5403"/>
      <c r="FC11" s="5401" t="s">
        <v>473</v>
      </c>
      <c r="FD11" s="5402"/>
      <c r="FE11" s="5403"/>
      <c r="FF11" s="5401" t="s">
        <v>472</v>
      </c>
      <c r="FG11" s="5402"/>
      <c r="FH11" s="5403"/>
      <c r="FI11" s="5401" t="s">
        <v>187</v>
      </c>
      <c r="FJ11" s="5402"/>
      <c r="FK11" s="5403"/>
      <c r="FL11" s="25"/>
      <c r="FM11" s="5401" t="s">
        <v>475</v>
      </c>
      <c r="FN11" s="5402"/>
      <c r="FO11" s="5403"/>
      <c r="FP11" s="5401" t="s">
        <v>474</v>
      </c>
      <c r="FQ11" s="5402"/>
      <c r="FR11" s="5403"/>
      <c r="FS11" s="5401" t="s">
        <v>473</v>
      </c>
      <c r="FT11" s="5402"/>
      <c r="FU11" s="5403"/>
      <c r="FV11" s="5401" t="s">
        <v>472</v>
      </c>
      <c r="FW11" s="5402"/>
      <c r="FX11" s="5403"/>
      <c r="FY11" s="5401" t="s">
        <v>187</v>
      </c>
      <c r="FZ11" s="5402"/>
      <c r="GA11" s="5403"/>
      <c r="GC11" s="5348" t="s">
        <v>475</v>
      </c>
      <c r="GD11" s="5349"/>
      <c r="GE11" s="5350"/>
      <c r="GF11" s="5348" t="s">
        <v>474</v>
      </c>
      <c r="GG11" s="5349"/>
      <c r="GH11" s="5350"/>
      <c r="GI11" s="5348" t="s">
        <v>473</v>
      </c>
      <c r="GJ11" s="5349"/>
      <c r="GK11" s="5350"/>
      <c r="GL11" s="5348" t="s">
        <v>472</v>
      </c>
      <c r="GM11" s="5349"/>
      <c r="GN11" s="5350"/>
      <c r="GO11" s="5348" t="s">
        <v>187</v>
      </c>
      <c r="GP11" s="5349"/>
      <c r="GQ11" s="5350"/>
      <c r="GR11" s="117"/>
      <c r="GS11" s="5348" t="s">
        <v>475</v>
      </c>
      <c r="GT11" s="5349"/>
      <c r="GU11" s="5350"/>
      <c r="GV11" s="5348" t="s">
        <v>474</v>
      </c>
      <c r="GW11" s="5349"/>
      <c r="GX11" s="5350"/>
      <c r="GY11" s="5348" t="s">
        <v>473</v>
      </c>
      <c r="GZ11" s="5349"/>
      <c r="HA11" s="5350"/>
      <c r="HB11" s="5348" t="s">
        <v>472</v>
      </c>
      <c r="HC11" s="5349"/>
      <c r="HD11" s="5350"/>
      <c r="HE11" s="5348" t="s">
        <v>187</v>
      </c>
      <c r="HF11" s="5349"/>
      <c r="HG11" s="5350"/>
      <c r="HH11" s="117"/>
      <c r="HI11" s="5188" t="s">
        <v>475</v>
      </c>
      <c r="HJ11" s="5189"/>
      <c r="HK11" s="5190"/>
      <c r="HL11" s="5188" t="s">
        <v>474</v>
      </c>
      <c r="HM11" s="5189"/>
      <c r="HN11" s="5190"/>
      <c r="HO11" s="5188" t="s">
        <v>473</v>
      </c>
      <c r="HP11" s="5189"/>
      <c r="HQ11" s="5190"/>
      <c r="HR11" s="5188" t="s">
        <v>472</v>
      </c>
      <c r="HS11" s="5189"/>
      <c r="HT11" s="5190"/>
      <c r="HU11" s="5188" t="s">
        <v>187</v>
      </c>
      <c r="HV11" s="5189"/>
      <c r="HW11" s="5190"/>
      <c r="HX11" s="117"/>
      <c r="HY11" s="5188" t="s">
        <v>475</v>
      </c>
      <c r="HZ11" s="5189"/>
      <c r="IA11" s="5190"/>
      <c r="IB11" s="5188" t="s">
        <v>474</v>
      </c>
      <c r="IC11" s="5189"/>
      <c r="ID11" s="5190"/>
      <c r="IE11" s="5188" t="s">
        <v>473</v>
      </c>
      <c r="IF11" s="5189"/>
      <c r="IG11" s="5190"/>
      <c r="IH11" s="5188" t="s">
        <v>472</v>
      </c>
      <c r="II11" s="5189"/>
      <c r="IJ11" s="5190"/>
      <c r="IK11" s="5188" t="s">
        <v>187</v>
      </c>
      <c r="IL11" s="5189"/>
      <c r="IM11" s="5190"/>
      <c r="IV11" s="21"/>
    </row>
    <row r="12" spans="1:256" s="24" customFormat="1" ht="12.75" customHeight="1" thickBot="1">
      <c r="A12" s="5686"/>
      <c r="C12" s="5736"/>
      <c r="D12" s="5737"/>
      <c r="E12" s="5737"/>
      <c r="F12" s="5737"/>
      <c r="G12" s="5737"/>
      <c r="H12" s="5738"/>
      <c r="I12" s="5659"/>
      <c r="J12" s="5660"/>
      <c r="K12" s="5661"/>
      <c r="L12" s="5668"/>
      <c r="M12" s="5669"/>
      <c r="N12" s="5670"/>
      <c r="O12" s="5284"/>
      <c r="P12" s="5285"/>
      <c r="Q12" s="5286"/>
      <c r="R12" s="5284"/>
      <c r="S12" s="5285"/>
      <c r="T12" s="5286"/>
      <c r="U12" s="5284"/>
      <c r="V12" s="5285"/>
      <c r="W12" s="5286"/>
      <c r="X12" s="5284"/>
      <c r="Y12" s="5285"/>
      <c r="Z12" s="5286"/>
      <c r="AA12" s="5293"/>
      <c r="AB12" s="5294"/>
      <c r="AC12" s="5295"/>
      <c r="AD12" s="5251"/>
      <c r="AE12" s="5252"/>
      <c r="AF12" s="5253"/>
      <c r="AG12" s="5251"/>
      <c r="AH12" s="5252"/>
      <c r="AI12" s="5253"/>
      <c r="AJ12" s="5251"/>
      <c r="AK12" s="5252"/>
      <c r="AL12" s="5253"/>
      <c r="AM12" s="5251"/>
      <c r="AN12" s="5252"/>
      <c r="AO12" s="5253"/>
      <c r="AP12" s="5302"/>
      <c r="AQ12" s="5303"/>
      <c r="AR12" s="5304"/>
      <c r="AS12" s="5201"/>
      <c r="AT12" s="5202"/>
      <c r="AU12" s="5203"/>
      <c r="AV12" s="5327"/>
      <c r="AW12" s="5328"/>
      <c r="AX12" s="5329"/>
      <c r="AY12" s="25"/>
      <c r="AZ12" s="5182"/>
      <c r="BA12" s="5183"/>
      <c r="BB12" s="5184"/>
      <c r="BC12" s="5659"/>
      <c r="BD12" s="5660"/>
      <c r="BE12" s="5661"/>
      <c r="BF12" s="5668"/>
      <c r="BG12" s="5669"/>
      <c r="BH12" s="5670"/>
      <c r="BI12" s="5201"/>
      <c r="BJ12" s="5202"/>
      <c r="BK12" s="5203"/>
      <c r="BL12" s="5327"/>
      <c r="BM12" s="5328"/>
      <c r="BN12" s="5329"/>
      <c r="BP12" s="5327"/>
      <c r="BQ12" s="5328"/>
      <c r="BR12" s="5329"/>
      <c r="BS12" s="5327"/>
      <c r="BT12" s="5328"/>
      <c r="BU12" s="5329"/>
      <c r="BV12" s="5668"/>
      <c r="BW12" s="5669"/>
      <c r="BX12" s="5670"/>
      <c r="BY12" s="76"/>
      <c r="BZ12" s="5683"/>
      <c r="CA12" s="5684"/>
      <c r="CB12" s="5684"/>
      <c r="CC12" s="5684"/>
      <c r="CD12" s="5684"/>
      <c r="CE12" s="5685"/>
      <c r="CF12" s="5236"/>
      <c r="CG12" s="5237"/>
      <c r="CH12" s="5238"/>
      <c r="CI12" s="5419"/>
      <c r="CJ12" s="5420"/>
      <c r="CK12" s="5421"/>
      <c r="CL12" s="5636"/>
      <c r="CM12" s="5637"/>
      <c r="CN12" s="5638"/>
      <c r="CO12" s="5636"/>
      <c r="CP12" s="5637"/>
      <c r="CQ12" s="5638"/>
      <c r="CR12" s="5636"/>
      <c r="CS12" s="5637"/>
      <c r="CT12" s="5638"/>
      <c r="CU12" s="5636"/>
      <c r="CV12" s="5637"/>
      <c r="CW12" s="5638"/>
      <c r="CX12" s="5227"/>
      <c r="CY12" s="5228"/>
      <c r="CZ12" s="5229"/>
      <c r="DA12" s="5506"/>
      <c r="DB12" s="5507"/>
      <c r="DC12" s="5508"/>
      <c r="DD12" s="5506"/>
      <c r="DE12" s="5507"/>
      <c r="DF12" s="5508"/>
      <c r="DG12" s="5506"/>
      <c r="DH12" s="5507"/>
      <c r="DI12" s="5508"/>
      <c r="DJ12" s="5506"/>
      <c r="DK12" s="5507"/>
      <c r="DL12" s="5508"/>
      <c r="DM12" s="5542"/>
      <c r="DN12" s="5543"/>
      <c r="DO12" s="5544"/>
      <c r="DP12" s="5201"/>
      <c r="DQ12" s="5202"/>
      <c r="DR12" s="5203"/>
      <c r="DS12" s="5479"/>
      <c r="DT12" s="5480"/>
      <c r="DU12" s="5481"/>
      <c r="DV12" s="25"/>
      <c r="DW12" s="5497"/>
      <c r="DX12" s="5498"/>
      <c r="DY12" s="5499"/>
      <c r="DZ12" s="5236"/>
      <c r="EA12" s="5237"/>
      <c r="EB12" s="5238"/>
      <c r="EC12" s="5419"/>
      <c r="ED12" s="5420"/>
      <c r="EE12" s="5421"/>
      <c r="EF12" s="5201"/>
      <c r="EG12" s="5202"/>
      <c r="EH12" s="5203"/>
      <c r="EI12" s="5479"/>
      <c r="EJ12" s="5480"/>
      <c r="EK12" s="5481"/>
      <c r="EL12" s="25"/>
      <c r="EM12" s="5452"/>
      <c r="EN12" s="5453"/>
      <c r="EO12" s="5454"/>
      <c r="EP12" s="5479"/>
      <c r="EQ12" s="5480"/>
      <c r="ER12" s="5481"/>
      <c r="ES12" s="5419"/>
      <c r="ET12" s="5420"/>
      <c r="EU12" s="5421"/>
      <c r="EV12" s="398"/>
      <c r="EW12" s="5404"/>
      <c r="EX12" s="5405"/>
      <c r="EY12" s="5406"/>
      <c r="EZ12" s="5404"/>
      <c r="FA12" s="5405"/>
      <c r="FB12" s="5406"/>
      <c r="FC12" s="5404"/>
      <c r="FD12" s="5405"/>
      <c r="FE12" s="5406"/>
      <c r="FF12" s="5404"/>
      <c r="FG12" s="5405"/>
      <c r="FH12" s="5406"/>
      <c r="FI12" s="5404"/>
      <c r="FJ12" s="5405"/>
      <c r="FK12" s="5406"/>
      <c r="FL12" s="25"/>
      <c r="FM12" s="5404"/>
      <c r="FN12" s="5405"/>
      <c r="FO12" s="5406"/>
      <c r="FP12" s="5404"/>
      <c r="FQ12" s="5405"/>
      <c r="FR12" s="5406"/>
      <c r="FS12" s="5404"/>
      <c r="FT12" s="5405"/>
      <c r="FU12" s="5406"/>
      <c r="FV12" s="5404"/>
      <c r="FW12" s="5405"/>
      <c r="FX12" s="5406"/>
      <c r="FY12" s="5404"/>
      <c r="FZ12" s="5405"/>
      <c r="GA12" s="5406"/>
      <c r="GC12" s="5351"/>
      <c r="GD12" s="5352"/>
      <c r="GE12" s="5353"/>
      <c r="GF12" s="5351"/>
      <c r="GG12" s="5352"/>
      <c r="GH12" s="5353"/>
      <c r="GI12" s="5351"/>
      <c r="GJ12" s="5352"/>
      <c r="GK12" s="5353"/>
      <c r="GL12" s="5351"/>
      <c r="GM12" s="5352"/>
      <c r="GN12" s="5353"/>
      <c r="GO12" s="5351"/>
      <c r="GP12" s="5352"/>
      <c r="GQ12" s="5353"/>
      <c r="GR12" s="117"/>
      <c r="GS12" s="5351"/>
      <c r="GT12" s="5352"/>
      <c r="GU12" s="5353"/>
      <c r="GV12" s="5351"/>
      <c r="GW12" s="5352"/>
      <c r="GX12" s="5353"/>
      <c r="GY12" s="5351"/>
      <c r="GZ12" s="5352"/>
      <c r="HA12" s="5353"/>
      <c r="HB12" s="5351"/>
      <c r="HC12" s="5352"/>
      <c r="HD12" s="5353"/>
      <c r="HE12" s="5351"/>
      <c r="HF12" s="5352"/>
      <c r="HG12" s="5353"/>
      <c r="HH12" s="117"/>
      <c r="HI12" s="5191"/>
      <c r="HJ12" s="5192"/>
      <c r="HK12" s="5193"/>
      <c r="HL12" s="5191"/>
      <c r="HM12" s="5192"/>
      <c r="HN12" s="5193"/>
      <c r="HO12" s="5191"/>
      <c r="HP12" s="5192"/>
      <c r="HQ12" s="5193"/>
      <c r="HR12" s="5191"/>
      <c r="HS12" s="5192"/>
      <c r="HT12" s="5193"/>
      <c r="HU12" s="5191"/>
      <c r="HV12" s="5192"/>
      <c r="HW12" s="5193"/>
      <c r="HX12" s="117"/>
      <c r="HY12" s="5191"/>
      <c r="HZ12" s="5192"/>
      <c r="IA12" s="5193"/>
      <c r="IB12" s="5191"/>
      <c r="IC12" s="5192"/>
      <c r="ID12" s="5193"/>
      <c r="IE12" s="5191"/>
      <c r="IF12" s="5192"/>
      <c r="IG12" s="5193"/>
      <c r="IH12" s="5191"/>
      <c r="II12" s="5192"/>
      <c r="IJ12" s="5193"/>
      <c r="IK12" s="5191"/>
      <c r="IL12" s="5192"/>
      <c r="IM12" s="5193"/>
      <c r="IV12" s="21"/>
    </row>
    <row r="13" spans="1:256" s="24" customFormat="1" ht="12.75" customHeight="1">
      <c r="A13" s="5686"/>
      <c r="C13" s="5734" t="s">
        <v>20</v>
      </c>
      <c r="D13" s="5735"/>
      <c r="E13" s="5742" t="s">
        <v>356</v>
      </c>
      <c r="F13" s="5742"/>
      <c r="G13" s="5717" t="s">
        <v>355</v>
      </c>
      <c r="H13" s="5718"/>
      <c r="I13" s="5662"/>
      <c r="J13" s="5663"/>
      <c r="K13" s="5664"/>
      <c r="L13" s="5671"/>
      <c r="M13" s="5672"/>
      <c r="N13" s="5673"/>
      <c r="O13" s="5287"/>
      <c r="P13" s="5288"/>
      <c r="Q13" s="5289"/>
      <c r="R13" s="5287"/>
      <c r="S13" s="5288"/>
      <c r="T13" s="5289"/>
      <c r="U13" s="5287"/>
      <c r="V13" s="5288"/>
      <c r="W13" s="5289"/>
      <c r="X13" s="5287"/>
      <c r="Y13" s="5288"/>
      <c r="Z13" s="5289"/>
      <c r="AA13" s="5296"/>
      <c r="AB13" s="5297"/>
      <c r="AC13" s="5298"/>
      <c r="AD13" s="5254"/>
      <c r="AE13" s="5255"/>
      <c r="AF13" s="5256"/>
      <c r="AG13" s="5254"/>
      <c r="AH13" s="5255"/>
      <c r="AI13" s="5256"/>
      <c r="AJ13" s="5254"/>
      <c r="AK13" s="5255"/>
      <c r="AL13" s="5256"/>
      <c r="AM13" s="5254"/>
      <c r="AN13" s="5255"/>
      <c r="AO13" s="5256"/>
      <c r="AP13" s="5305"/>
      <c r="AQ13" s="5306"/>
      <c r="AR13" s="5307"/>
      <c r="AS13" s="5204"/>
      <c r="AT13" s="5205"/>
      <c r="AU13" s="5206"/>
      <c r="AV13" s="5330"/>
      <c r="AW13" s="5331"/>
      <c r="AX13" s="5332"/>
      <c r="AY13" s="25"/>
      <c r="AZ13" s="5185"/>
      <c r="BA13" s="5186"/>
      <c r="BB13" s="5187"/>
      <c r="BC13" s="5662"/>
      <c r="BD13" s="5663"/>
      <c r="BE13" s="5664"/>
      <c r="BF13" s="5671"/>
      <c r="BG13" s="5672"/>
      <c r="BH13" s="5673"/>
      <c r="BI13" s="5204"/>
      <c r="BJ13" s="5205"/>
      <c r="BK13" s="5206"/>
      <c r="BL13" s="5330"/>
      <c r="BM13" s="5331"/>
      <c r="BN13" s="5332"/>
      <c r="BP13" s="5330"/>
      <c r="BQ13" s="5331"/>
      <c r="BR13" s="5332"/>
      <c r="BS13" s="5330"/>
      <c r="BT13" s="5331"/>
      <c r="BU13" s="5332"/>
      <c r="BV13" s="5671"/>
      <c r="BW13" s="5672"/>
      <c r="BX13" s="5673"/>
      <c r="BY13" s="76"/>
      <c r="BZ13" s="5678" t="s">
        <v>20</v>
      </c>
      <c r="CA13" s="5674"/>
      <c r="CB13" s="5645" t="s">
        <v>356</v>
      </c>
      <c r="CC13" s="5674"/>
      <c r="CD13" s="5645" t="s">
        <v>355</v>
      </c>
      <c r="CE13" s="5646"/>
      <c r="CF13" s="5239"/>
      <c r="CG13" s="5240"/>
      <c r="CH13" s="5241"/>
      <c r="CI13" s="5422"/>
      <c r="CJ13" s="5423"/>
      <c r="CK13" s="5424"/>
      <c r="CL13" s="5639"/>
      <c r="CM13" s="5640"/>
      <c r="CN13" s="5641"/>
      <c r="CO13" s="5639"/>
      <c r="CP13" s="5640"/>
      <c r="CQ13" s="5641"/>
      <c r="CR13" s="5639"/>
      <c r="CS13" s="5640"/>
      <c r="CT13" s="5641"/>
      <c r="CU13" s="5639"/>
      <c r="CV13" s="5640"/>
      <c r="CW13" s="5641"/>
      <c r="CX13" s="5230"/>
      <c r="CY13" s="5231"/>
      <c r="CZ13" s="5232"/>
      <c r="DA13" s="5509"/>
      <c r="DB13" s="5510"/>
      <c r="DC13" s="5511"/>
      <c r="DD13" s="5509"/>
      <c r="DE13" s="5510"/>
      <c r="DF13" s="5511"/>
      <c r="DG13" s="5509"/>
      <c r="DH13" s="5510"/>
      <c r="DI13" s="5511"/>
      <c r="DJ13" s="5509"/>
      <c r="DK13" s="5510"/>
      <c r="DL13" s="5511"/>
      <c r="DM13" s="5545"/>
      <c r="DN13" s="5546"/>
      <c r="DO13" s="5547"/>
      <c r="DP13" s="5204"/>
      <c r="DQ13" s="5205"/>
      <c r="DR13" s="5206"/>
      <c r="DS13" s="5482"/>
      <c r="DT13" s="5483"/>
      <c r="DU13" s="5484"/>
      <c r="DV13" s="25"/>
      <c r="DW13" s="5500"/>
      <c r="DX13" s="5501"/>
      <c r="DY13" s="5502"/>
      <c r="DZ13" s="5239"/>
      <c r="EA13" s="5240"/>
      <c r="EB13" s="5241"/>
      <c r="EC13" s="5422"/>
      <c r="ED13" s="5423"/>
      <c r="EE13" s="5424"/>
      <c r="EF13" s="5204"/>
      <c r="EG13" s="5205"/>
      <c r="EH13" s="5206"/>
      <c r="EI13" s="5482"/>
      <c r="EJ13" s="5483"/>
      <c r="EK13" s="5484"/>
      <c r="EL13" s="25"/>
      <c r="EM13" s="5455"/>
      <c r="EN13" s="5456"/>
      <c r="EO13" s="5457"/>
      <c r="EP13" s="5482"/>
      <c r="EQ13" s="5483"/>
      <c r="ER13" s="5484"/>
      <c r="ES13" s="5422"/>
      <c r="ET13" s="5423"/>
      <c r="EU13" s="5424"/>
      <c r="EV13" s="398"/>
      <c r="EW13" s="338"/>
      <c r="EX13" s="337"/>
      <c r="EY13" s="336"/>
      <c r="EZ13" s="338"/>
      <c r="FA13" s="337"/>
      <c r="FB13" s="336"/>
      <c r="FC13" s="338"/>
      <c r="FD13" s="337"/>
      <c r="FE13" s="336"/>
      <c r="FF13" s="338"/>
      <c r="FG13" s="337"/>
      <c r="FH13" s="336"/>
      <c r="FI13" s="338"/>
      <c r="FJ13" s="337"/>
      <c r="FK13" s="336"/>
      <c r="FL13" s="25"/>
      <c r="FM13" s="338"/>
      <c r="FN13" s="337"/>
      <c r="FO13" s="336"/>
      <c r="FP13" s="338"/>
      <c r="FQ13" s="337"/>
      <c r="FR13" s="336"/>
      <c r="FS13" s="338"/>
      <c r="FT13" s="337"/>
      <c r="FU13" s="336"/>
      <c r="FV13" s="338"/>
      <c r="FW13" s="337"/>
      <c r="FX13" s="336"/>
      <c r="FY13" s="338"/>
      <c r="FZ13" s="337"/>
      <c r="GA13" s="336"/>
      <c r="GC13" s="338"/>
      <c r="GD13" s="337"/>
      <c r="GE13" s="336"/>
      <c r="GF13" s="338"/>
      <c r="GG13" s="337"/>
      <c r="GH13" s="336"/>
      <c r="GI13" s="338"/>
      <c r="GJ13" s="337"/>
      <c r="GK13" s="336"/>
      <c r="GL13" s="338"/>
      <c r="GM13" s="337"/>
      <c r="GN13" s="336"/>
      <c r="GO13" s="338"/>
      <c r="GP13" s="337"/>
      <c r="GQ13" s="336"/>
      <c r="GR13" s="117"/>
      <c r="GS13" s="338"/>
      <c r="GT13" s="337"/>
      <c r="GU13" s="336"/>
      <c r="GV13" s="338"/>
      <c r="GW13" s="337"/>
      <c r="GX13" s="336"/>
      <c r="GY13" s="338"/>
      <c r="GZ13" s="337"/>
      <c r="HA13" s="336"/>
      <c r="HB13" s="338"/>
      <c r="HC13" s="337"/>
      <c r="HD13" s="336"/>
      <c r="HE13" s="338"/>
      <c r="HF13" s="337"/>
      <c r="HG13" s="336"/>
      <c r="HH13" s="117"/>
      <c r="HI13" s="338"/>
      <c r="HJ13" s="337"/>
      <c r="HK13" s="336"/>
      <c r="HL13" s="338"/>
      <c r="HM13" s="337"/>
      <c r="HN13" s="336"/>
      <c r="HO13" s="338"/>
      <c r="HP13" s="337"/>
      <c r="HQ13" s="336"/>
      <c r="HR13" s="338"/>
      <c r="HS13" s="337"/>
      <c r="HT13" s="336"/>
      <c r="HU13" s="338"/>
      <c r="HV13" s="337"/>
      <c r="HW13" s="336"/>
      <c r="HX13" s="117"/>
      <c r="HY13" s="338"/>
      <c r="HZ13" s="337"/>
      <c r="IA13" s="336"/>
      <c r="IB13" s="338"/>
      <c r="IC13" s="337"/>
      <c r="ID13" s="336"/>
      <c r="IE13" s="338"/>
      <c r="IF13" s="337"/>
      <c r="IG13" s="336"/>
      <c r="IH13" s="338"/>
      <c r="II13" s="337"/>
      <c r="IJ13" s="336"/>
      <c r="IK13" s="338"/>
      <c r="IL13" s="337"/>
      <c r="IM13" s="336"/>
      <c r="IO13" s="405"/>
      <c r="IP13" s="405"/>
      <c r="IQ13" s="405"/>
      <c r="IR13" s="405"/>
      <c r="IS13" s="405"/>
      <c r="IT13" s="405"/>
      <c r="IV13" s="21"/>
    </row>
    <row r="14" spans="1:256" s="24" customFormat="1" ht="13.5" customHeight="1" thickBot="1">
      <c r="A14" s="5686"/>
      <c r="C14" s="404" t="s">
        <v>411</v>
      </c>
      <c r="D14" s="403" t="s">
        <v>410</v>
      </c>
      <c r="E14" s="402" t="s">
        <v>411</v>
      </c>
      <c r="F14" s="401" t="s">
        <v>410</v>
      </c>
      <c r="G14" s="400" t="s">
        <v>411</v>
      </c>
      <c r="H14" s="399" t="s">
        <v>410</v>
      </c>
      <c r="I14" s="335" t="s">
        <v>20</v>
      </c>
      <c r="J14" s="334" t="s">
        <v>356</v>
      </c>
      <c r="K14" s="333" t="s">
        <v>355</v>
      </c>
      <c r="L14" s="335" t="s">
        <v>20</v>
      </c>
      <c r="M14" s="334" t="s">
        <v>356</v>
      </c>
      <c r="N14" s="333" t="s">
        <v>355</v>
      </c>
      <c r="O14" s="335" t="s">
        <v>20</v>
      </c>
      <c r="P14" s="334" t="s">
        <v>356</v>
      </c>
      <c r="Q14" s="333" t="s">
        <v>355</v>
      </c>
      <c r="R14" s="335" t="s">
        <v>20</v>
      </c>
      <c r="S14" s="334" t="s">
        <v>356</v>
      </c>
      <c r="T14" s="333" t="s">
        <v>355</v>
      </c>
      <c r="U14" s="335" t="s">
        <v>20</v>
      </c>
      <c r="V14" s="334" t="s">
        <v>356</v>
      </c>
      <c r="W14" s="333" t="s">
        <v>355</v>
      </c>
      <c r="X14" s="335" t="s">
        <v>20</v>
      </c>
      <c r="Y14" s="334" t="s">
        <v>356</v>
      </c>
      <c r="Z14" s="333" t="s">
        <v>355</v>
      </c>
      <c r="AA14" s="335" t="s">
        <v>20</v>
      </c>
      <c r="AB14" s="334" t="s">
        <v>356</v>
      </c>
      <c r="AC14" s="333" t="s">
        <v>355</v>
      </c>
      <c r="AD14" s="335" t="s">
        <v>20</v>
      </c>
      <c r="AE14" s="334" t="s">
        <v>356</v>
      </c>
      <c r="AF14" s="333" t="s">
        <v>355</v>
      </c>
      <c r="AG14" s="335" t="s">
        <v>20</v>
      </c>
      <c r="AH14" s="334" t="s">
        <v>356</v>
      </c>
      <c r="AI14" s="333" t="s">
        <v>355</v>
      </c>
      <c r="AJ14" s="335" t="s">
        <v>20</v>
      </c>
      <c r="AK14" s="334" t="s">
        <v>356</v>
      </c>
      <c r="AL14" s="333" t="s">
        <v>355</v>
      </c>
      <c r="AM14" s="335" t="s">
        <v>20</v>
      </c>
      <c r="AN14" s="334" t="s">
        <v>356</v>
      </c>
      <c r="AO14" s="333" t="s">
        <v>355</v>
      </c>
      <c r="AP14" s="335" t="s">
        <v>20</v>
      </c>
      <c r="AQ14" s="334" t="s">
        <v>356</v>
      </c>
      <c r="AR14" s="333" t="s">
        <v>355</v>
      </c>
      <c r="AS14" s="335" t="s">
        <v>20</v>
      </c>
      <c r="AT14" s="334" t="s">
        <v>356</v>
      </c>
      <c r="AU14" s="333" t="s">
        <v>355</v>
      </c>
      <c r="AV14" s="335" t="s">
        <v>20</v>
      </c>
      <c r="AW14" s="334" t="s">
        <v>356</v>
      </c>
      <c r="AX14" s="333" t="s">
        <v>355</v>
      </c>
      <c r="AY14" s="25"/>
      <c r="AZ14" s="335" t="s">
        <v>20</v>
      </c>
      <c r="BA14" s="334" t="s">
        <v>356</v>
      </c>
      <c r="BB14" s="333" t="s">
        <v>355</v>
      </c>
      <c r="BC14" s="335" t="s">
        <v>20</v>
      </c>
      <c r="BD14" s="334" t="s">
        <v>356</v>
      </c>
      <c r="BE14" s="333" t="s">
        <v>355</v>
      </c>
      <c r="BF14" s="335" t="s">
        <v>20</v>
      </c>
      <c r="BG14" s="334" t="s">
        <v>356</v>
      </c>
      <c r="BH14" s="333" t="s">
        <v>355</v>
      </c>
      <c r="BI14" s="335" t="s">
        <v>20</v>
      </c>
      <c r="BJ14" s="334" t="s">
        <v>356</v>
      </c>
      <c r="BK14" s="333" t="s">
        <v>355</v>
      </c>
      <c r="BL14" s="335" t="s">
        <v>20</v>
      </c>
      <c r="BM14" s="334" t="s">
        <v>356</v>
      </c>
      <c r="BN14" s="333" t="s">
        <v>355</v>
      </c>
      <c r="BP14" s="335" t="s">
        <v>20</v>
      </c>
      <c r="BQ14" s="334" t="s">
        <v>356</v>
      </c>
      <c r="BR14" s="333" t="s">
        <v>355</v>
      </c>
      <c r="BS14" s="335" t="s">
        <v>20</v>
      </c>
      <c r="BT14" s="334" t="s">
        <v>356</v>
      </c>
      <c r="BU14" s="333" t="s">
        <v>355</v>
      </c>
      <c r="BV14" s="335" t="s">
        <v>20</v>
      </c>
      <c r="BW14" s="334" t="s">
        <v>356</v>
      </c>
      <c r="BX14" s="333" t="s">
        <v>355</v>
      </c>
      <c r="BY14" s="76"/>
      <c r="BZ14" s="375" t="s">
        <v>411</v>
      </c>
      <c r="CA14" s="376" t="s">
        <v>410</v>
      </c>
      <c r="CB14" s="375" t="s">
        <v>411</v>
      </c>
      <c r="CC14" s="376" t="s">
        <v>410</v>
      </c>
      <c r="CD14" s="375" t="s">
        <v>411</v>
      </c>
      <c r="CE14" s="374" t="s">
        <v>410</v>
      </c>
      <c r="CF14" s="335" t="s">
        <v>20</v>
      </c>
      <c r="CG14" s="334" t="s">
        <v>356</v>
      </c>
      <c r="CH14" s="333" t="s">
        <v>355</v>
      </c>
      <c r="CI14" s="335" t="s">
        <v>20</v>
      </c>
      <c r="CJ14" s="334" t="s">
        <v>356</v>
      </c>
      <c r="CK14" s="333" t="s">
        <v>355</v>
      </c>
      <c r="CL14" s="335" t="s">
        <v>20</v>
      </c>
      <c r="CM14" s="334" t="s">
        <v>356</v>
      </c>
      <c r="CN14" s="333" t="s">
        <v>355</v>
      </c>
      <c r="CO14" s="335" t="s">
        <v>20</v>
      </c>
      <c r="CP14" s="334" t="s">
        <v>356</v>
      </c>
      <c r="CQ14" s="333" t="s">
        <v>355</v>
      </c>
      <c r="CR14" s="335" t="s">
        <v>20</v>
      </c>
      <c r="CS14" s="334" t="s">
        <v>356</v>
      </c>
      <c r="CT14" s="333" t="s">
        <v>355</v>
      </c>
      <c r="CU14" s="335" t="s">
        <v>20</v>
      </c>
      <c r="CV14" s="334" t="s">
        <v>356</v>
      </c>
      <c r="CW14" s="333" t="s">
        <v>355</v>
      </c>
      <c r="CX14" s="335" t="s">
        <v>20</v>
      </c>
      <c r="CY14" s="334" t="s">
        <v>356</v>
      </c>
      <c r="CZ14" s="333" t="s">
        <v>355</v>
      </c>
      <c r="DA14" s="335" t="s">
        <v>20</v>
      </c>
      <c r="DB14" s="334" t="s">
        <v>356</v>
      </c>
      <c r="DC14" s="333" t="s">
        <v>355</v>
      </c>
      <c r="DD14" s="335" t="s">
        <v>20</v>
      </c>
      <c r="DE14" s="334" t="s">
        <v>356</v>
      </c>
      <c r="DF14" s="333" t="s">
        <v>355</v>
      </c>
      <c r="DG14" s="335" t="s">
        <v>20</v>
      </c>
      <c r="DH14" s="334" t="s">
        <v>356</v>
      </c>
      <c r="DI14" s="333" t="s">
        <v>355</v>
      </c>
      <c r="DJ14" s="335" t="s">
        <v>20</v>
      </c>
      <c r="DK14" s="334" t="s">
        <v>356</v>
      </c>
      <c r="DL14" s="333" t="s">
        <v>355</v>
      </c>
      <c r="DM14" s="335" t="s">
        <v>20</v>
      </c>
      <c r="DN14" s="334" t="s">
        <v>356</v>
      </c>
      <c r="DO14" s="333" t="s">
        <v>355</v>
      </c>
      <c r="DP14" s="335" t="s">
        <v>20</v>
      </c>
      <c r="DQ14" s="334" t="s">
        <v>356</v>
      </c>
      <c r="DR14" s="333" t="s">
        <v>355</v>
      </c>
      <c r="DS14" s="335" t="s">
        <v>20</v>
      </c>
      <c r="DT14" s="334" t="s">
        <v>356</v>
      </c>
      <c r="DU14" s="333" t="s">
        <v>355</v>
      </c>
      <c r="DV14" s="25"/>
      <c r="DW14" s="335" t="s">
        <v>20</v>
      </c>
      <c r="DX14" s="334" t="s">
        <v>356</v>
      </c>
      <c r="DY14" s="333" t="s">
        <v>355</v>
      </c>
      <c r="DZ14" s="335" t="s">
        <v>20</v>
      </c>
      <c r="EA14" s="334" t="s">
        <v>356</v>
      </c>
      <c r="EB14" s="333" t="s">
        <v>355</v>
      </c>
      <c r="EC14" s="335" t="s">
        <v>20</v>
      </c>
      <c r="ED14" s="334" t="s">
        <v>356</v>
      </c>
      <c r="EE14" s="333" t="s">
        <v>355</v>
      </c>
      <c r="EF14" s="335" t="s">
        <v>20</v>
      </c>
      <c r="EG14" s="334" t="s">
        <v>356</v>
      </c>
      <c r="EH14" s="333" t="s">
        <v>355</v>
      </c>
      <c r="EI14" s="335" t="s">
        <v>20</v>
      </c>
      <c r="EJ14" s="334" t="s">
        <v>356</v>
      </c>
      <c r="EK14" s="333" t="s">
        <v>355</v>
      </c>
      <c r="EL14" s="25"/>
      <c r="EM14" s="335" t="s">
        <v>20</v>
      </c>
      <c r="EN14" s="334" t="s">
        <v>356</v>
      </c>
      <c r="EO14" s="333" t="s">
        <v>355</v>
      </c>
      <c r="EP14" s="335" t="s">
        <v>20</v>
      </c>
      <c r="EQ14" s="334" t="s">
        <v>356</v>
      </c>
      <c r="ER14" s="333" t="s">
        <v>355</v>
      </c>
      <c r="ES14" s="335" t="s">
        <v>20</v>
      </c>
      <c r="ET14" s="334" t="s">
        <v>356</v>
      </c>
      <c r="EU14" s="333" t="s">
        <v>355</v>
      </c>
      <c r="EV14" s="398"/>
      <c r="EW14" s="335" t="s">
        <v>20</v>
      </c>
      <c r="EX14" s="334" t="s">
        <v>356</v>
      </c>
      <c r="EY14" s="333" t="s">
        <v>355</v>
      </c>
      <c r="EZ14" s="335" t="s">
        <v>20</v>
      </c>
      <c r="FA14" s="334" t="s">
        <v>356</v>
      </c>
      <c r="FB14" s="333" t="s">
        <v>355</v>
      </c>
      <c r="FC14" s="335" t="s">
        <v>20</v>
      </c>
      <c r="FD14" s="334" t="s">
        <v>356</v>
      </c>
      <c r="FE14" s="333" t="s">
        <v>355</v>
      </c>
      <c r="FF14" s="335" t="s">
        <v>20</v>
      </c>
      <c r="FG14" s="334" t="s">
        <v>356</v>
      </c>
      <c r="FH14" s="333" t="s">
        <v>355</v>
      </c>
      <c r="FI14" s="335" t="s">
        <v>20</v>
      </c>
      <c r="FJ14" s="334" t="s">
        <v>356</v>
      </c>
      <c r="FK14" s="333" t="s">
        <v>355</v>
      </c>
      <c r="FL14" s="25"/>
      <c r="FM14" s="335" t="s">
        <v>20</v>
      </c>
      <c r="FN14" s="334" t="s">
        <v>356</v>
      </c>
      <c r="FO14" s="333" t="s">
        <v>355</v>
      </c>
      <c r="FP14" s="335" t="s">
        <v>20</v>
      </c>
      <c r="FQ14" s="334" t="s">
        <v>356</v>
      </c>
      <c r="FR14" s="333" t="s">
        <v>355</v>
      </c>
      <c r="FS14" s="335" t="s">
        <v>20</v>
      </c>
      <c r="FT14" s="334" t="s">
        <v>356</v>
      </c>
      <c r="FU14" s="333" t="s">
        <v>355</v>
      </c>
      <c r="FV14" s="335" t="s">
        <v>20</v>
      </c>
      <c r="FW14" s="334" t="s">
        <v>356</v>
      </c>
      <c r="FX14" s="333" t="s">
        <v>355</v>
      </c>
      <c r="FY14" s="335" t="s">
        <v>20</v>
      </c>
      <c r="FZ14" s="334" t="s">
        <v>356</v>
      </c>
      <c r="GA14" s="333" t="s">
        <v>355</v>
      </c>
      <c r="GC14" s="335" t="s">
        <v>20</v>
      </c>
      <c r="GD14" s="334" t="s">
        <v>356</v>
      </c>
      <c r="GE14" s="333" t="s">
        <v>355</v>
      </c>
      <c r="GF14" s="335" t="s">
        <v>20</v>
      </c>
      <c r="GG14" s="334" t="s">
        <v>356</v>
      </c>
      <c r="GH14" s="333" t="s">
        <v>355</v>
      </c>
      <c r="GI14" s="335" t="s">
        <v>20</v>
      </c>
      <c r="GJ14" s="334" t="s">
        <v>356</v>
      </c>
      <c r="GK14" s="333" t="s">
        <v>355</v>
      </c>
      <c r="GL14" s="335" t="s">
        <v>20</v>
      </c>
      <c r="GM14" s="334" t="s">
        <v>356</v>
      </c>
      <c r="GN14" s="333" t="s">
        <v>355</v>
      </c>
      <c r="GO14" s="335" t="s">
        <v>20</v>
      </c>
      <c r="GP14" s="334" t="s">
        <v>356</v>
      </c>
      <c r="GQ14" s="333" t="s">
        <v>355</v>
      </c>
      <c r="GR14" s="117"/>
      <c r="GS14" s="335" t="s">
        <v>20</v>
      </c>
      <c r="GT14" s="334" t="s">
        <v>356</v>
      </c>
      <c r="GU14" s="333" t="s">
        <v>355</v>
      </c>
      <c r="GV14" s="335" t="s">
        <v>20</v>
      </c>
      <c r="GW14" s="334" t="s">
        <v>356</v>
      </c>
      <c r="GX14" s="333" t="s">
        <v>355</v>
      </c>
      <c r="GY14" s="335" t="s">
        <v>20</v>
      </c>
      <c r="GZ14" s="334" t="s">
        <v>356</v>
      </c>
      <c r="HA14" s="333" t="s">
        <v>355</v>
      </c>
      <c r="HB14" s="335" t="s">
        <v>20</v>
      </c>
      <c r="HC14" s="334" t="s">
        <v>356</v>
      </c>
      <c r="HD14" s="333" t="s">
        <v>355</v>
      </c>
      <c r="HE14" s="335" t="s">
        <v>20</v>
      </c>
      <c r="HF14" s="334" t="s">
        <v>356</v>
      </c>
      <c r="HG14" s="333" t="s">
        <v>355</v>
      </c>
      <c r="HH14" s="117"/>
      <c r="HI14" s="335" t="s">
        <v>20</v>
      </c>
      <c r="HJ14" s="334" t="s">
        <v>356</v>
      </c>
      <c r="HK14" s="333" t="s">
        <v>355</v>
      </c>
      <c r="HL14" s="335" t="s">
        <v>20</v>
      </c>
      <c r="HM14" s="334" t="s">
        <v>356</v>
      </c>
      <c r="HN14" s="333" t="s">
        <v>355</v>
      </c>
      <c r="HO14" s="335" t="s">
        <v>20</v>
      </c>
      <c r="HP14" s="334" t="s">
        <v>356</v>
      </c>
      <c r="HQ14" s="333" t="s">
        <v>355</v>
      </c>
      <c r="HR14" s="335" t="s">
        <v>20</v>
      </c>
      <c r="HS14" s="334" t="s">
        <v>356</v>
      </c>
      <c r="HT14" s="333" t="s">
        <v>355</v>
      </c>
      <c r="HU14" s="335" t="s">
        <v>20</v>
      </c>
      <c r="HV14" s="334" t="s">
        <v>356</v>
      </c>
      <c r="HW14" s="333" t="s">
        <v>355</v>
      </c>
      <c r="HX14" s="117"/>
      <c r="HY14" s="335" t="s">
        <v>20</v>
      </c>
      <c r="HZ14" s="334" t="s">
        <v>356</v>
      </c>
      <c r="IA14" s="333" t="s">
        <v>355</v>
      </c>
      <c r="IB14" s="335" t="s">
        <v>20</v>
      </c>
      <c r="IC14" s="334" t="s">
        <v>356</v>
      </c>
      <c r="ID14" s="333" t="s">
        <v>355</v>
      </c>
      <c r="IE14" s="335" t="s">
        <v>20</v>
      </c>
      <c r="IF14" s="334" t="s">
        <v>356</v>
      </c>
      <c r="IG14" s="333" t="s">
        <v>355</v>
      </c>
      <c r="IH14" s="335" t="s">
        <v>20</v>
      </c>
      <c r="II14" s="334" t="s">
        <v>356</v>
      </c>
      <c r="IJ14" s="333" t="s">
        <v>355</v>
      </c>
      <c r="IK14" s="335" t="s">
        <v>20</v>
      </c>
      <c r="IL14" s="334" t="s">
        <v>356</v>
      </c>
      <c r="IM14" s="333" t="s">
        <v>355</v>
      </c>
      <c r="IV14" s="21"/>
    </row>
    <row r="15" spans="1:256" s="24" customFormat="1" ht="13.5" customHeight="1" thickBot="1">
      <c r="A15" s="5686"/>
      <c r="C15" s="216">
        <f>('الصفحة 10'!$H$20)</f>
        <v>173</v>
      </c>
      <c r="D15" s="360">
        <f>('الصفحة 10'!$H$37)</f>
        <v>26</v>
      </c>
      <c r="E15" s="211">
        <f>('الصفحة 10'!$I$20)</f>
        <v>85</v>
      </c>
      <c r="F15" s="212">
        <f>('الصفحة 10'!$I$37)</f>
        <v>4</v>
      </c>
      <c r="G15" s="364">
        <f>(C15-E15)</f>
        <v>88</v>
      </c>
      <c r="H15" s="331">
        <f>(D15-F15)</f>
        <v>22</v>
      </c>
      <c r="I15" s="216" t="e">
        <f>(#REF!)</f>
        <v>#REF!</v>
      </c>
      <c r="J15" s="213" t="e">
        <f>(#REF!)</f>
        <v>#REF!</v>
      </c>
      <c r="K15" s="331" t="e">
        <f>(I15-J15)</f>
        <v>#REF!</v>
      </c>
      <c r="L15" s="358" t="e">
        <f>((C15-D15)/(I15+0.00001))*100</f>
        <v>#REF!</v>
      </c>
      <c r="M15" s="357" t="e">
        <f>((E15-F15)/(J15+0.00001))*100</f>
        <v>#REF!</v>
      </c>
      <c r="N15" s="356" t="e">
        <f>((G15-H15)/(K15+0.00001))*100</f>
        <v>#REF!</v>
      </c>
      <c r="O15" s="216" t="e">
        <f>((#REF!))</f>
        <v>#REF!</v>
      </c>
      <c r="P15" s="213" t="e">
        <f>((#REF!))</f>
        <v>#REF!</v>
      </c>
      <c r="Q15" s="331" t="e">
        <f>(O15-P15)</f>
        <v>#REF!</v>
      </c>
      <c r="R15" s="216" t="e">
        <f>((#REF!))</f>
        <v>#REF!</v>
      </c>
      <c r="S15" s="213" t="e">
        <f>((#REF!))</f>
        <v>#REF!</v>
      </c>
      <c r="T15" s="331" t="e">
        <f>(R15-S15)</f>
        <v>#REF!</v>
      </c>
      <c r="U15" s="216" t="e">
        <f>((#REF!))</f>
        <v>#REF!</v>
      </c>
      <c r="V15" s="213" t="e">
        <f>((#REF!))</f>
        <v>#REF!</v>
      </c>
      <c r="W15" s="331" t="e">
        <f>(U15-V15)</f>
        <v>#REF!</v>
      </c>
      <c r="X15" s="216" t="e">
        <f>((#REF!))</f>
        <v>#REF!</v>
      </c>
      <c r="Y15" s="213" t="e">
        <f>((#REF!))</f>
        <v>#REF!</v>
      </c>
      <c r="Z15" s="331" t="e">
        <f>(X15-Y15)</f>
        <v>#REF!</v>
      </c>
      <c r="AA15" s="216" t="e">
        <f>O15+R15+U15+X15</f>
        <v>#REF!</v>
      </c>
      <c r="AB15" s="213" t="e">
        <f>P15+S15+V15+Y15</f>
        <v>#REF!</v>
      </c>
      <c r="AC15" s="331" t="e">
        <f>(AA15-AB15)</f>
        <v>#REF!</v>
      </c>
      <c r="AD15" s="216" t="e">
        <f>((#REF!))</f>
        <v>#REF!</v>
      </c>
      <c r="AE15" s="213" t="e">
        <f>((#REF!))</f>
        <v>#REF!</v>
      </c>
      <c r="AF15" s="331" t="e">
        <f>(AD15-AE15)</f>
        <v>#REF!</v>
      </c>
      <c r="AG15" s="216" t="e">
        <f>((#REF!))</f>
        <v>#REF!</v>
      </c>
      <c r="AH15" s="213" t="e">
        <f>((#REF!))</f>
        <v>#REF!</v>
      </c>
      <c r="AI15" s="331" t="e">
        <f>(AG15-AH15)</f>
        <v>#REF!</v>
      </c>
      <c r="AJ15" s="216" t="e">
        <f>((#REF!))</f>
        <v>#REF!</v>
      </c>
      <c r="AK15" s="213" t="e">
        <f>((#REF!))</f>
        <v>#REF!</v>
      </c>
      <c r="AL15" s="331" t="e">
        <f>(AJ15-AK15)</f>
        <v>#REF!</v>
      </c>
      <c r="AM15" s="216" t="e">
        <f>((#REF!))</f>
        <v>#REF!</v>
      </c>
      <c r="AN15" s="213" t="e">
        <f>((#REF!))</f>
        <v>#REF!</v>
      </c>
      <c r="AO15" s="331" t="e">
        <f>(AM15-AN15)</f>
        <v>#REF!</v>
      </c>
      <c r="AP15" s="216" t="e">
        <f>AD15+AG15+AJ15+AM15</f>
        <v>#REF!</v>
      </c>
      <c r="AQ15" s="213" t="e">
        <f>AE15+AH15+AK15+AN15</f>
        <v>#REF!</v>
      </c>
      <c r="AR15" s="331" t="e">
        <f>(AP15-AQ15)</f>
        <v>#REF!</v>
      </c>
      <c r="AS15" s="216" t="e">
        <f>((I15)+(AA15)-(AP15))</f>
        <v>#REF!</v>
      </c>
      <c r="AT15" s="213" t="e">
        <f>((J15)+(AB15)-(AQ15))</f>
        <v>#REF!</v>
      </c>
      <c r="AU15" s="331" t="e">
        <f>(AS15-AT15)</f>
        <v>#REF!</v>
      </c>
      <c r="AV15" s="358" t="e">
        <f>((C15-D15)/(AS15+0.00001))*100</f>
        <v>#REF!</v>
      </c>
      <c r="AW15" s="357" t="e">
        <f>((E15-F15)/(AT15+0.00001))*100</f>
        <v>#REF!</v>
      </c>
      <c r="AX15" s="356" t="e">
        <f>((G15-H15)/(AU15+0.00001))*100</f>
        <v>#REF!</v>
      </c>
      <c r="AY15" s="25"/>
      <c r="AZ15" s="216">
        <f>('الصفحة 10'!$F$37)</f>
        <v>39</v>
      </c>
      <c r="BA15" s="213">
        <f>('الصفحة 10'!$G$37)</f>
        <v>6</v>
      </c>
      <c r="BB15" s="331">
        <f>(AZ15-BA15)</f>
        <v>33</v>
      </c>
      <c r="BC15" s="216" t="e">
        <f>(#REF!)</f>
        <v>#REF!</v>
      </c>
      <c r="BD15" s="213" t="e">
        <f>(#REF!)</f>
        <v>#REF!</v>
      </c>
      <c r="BE15" s="331" t="e">
        <f>(BC15-BD15)</f>
        <v>#REF!</v>
      </c>
      <c r="BF15" s="358" t="e">
        <f>(AZ15/(BC15+0.00001))*100</f>
        <v>#REF!</v>
      </c>
      <c r="BG15" s="357" t="e">
        <f>(BA15/(BD15+0.00001))*100</f>
        <v>#REF!</v>
      </c>
      <c r="BH15" s="356" t="e">
        <f>(BB15/(BE15+0.00001))*100</f>
        <v>#REF!</v>
      </c>
      <c r="BI15" s="216" t="e">
        <f>$AS15</f>
        <v>#REF!</v>
      </c>
      <c r="BJ15" s="213" t="e">
        <f>$AT15</f>
        <v>#REF!</v>
      </c>
      <c r="BK15" s="331" t="e">
        <f>(BI15-BJ15)</f>
        <v>#REF!</v>
      </c>
      <c r="BL15" s="358" t="e">
        <f>(AZ15/(BI15+0.00001))*100</f>
        <v>#REF!</v>
      </c>
      <c r="BM15" s="357" t="e">
        <f>(BA15/(BJ15+0.00001))*100</f>
        <v>#REF!</v>
      </c>
      <c r="BN15" s="356" t="e">
        <f>(BB15/(BK15+0.00001))*100</f>
        <v>#REF!</v>
      </c>
      <c r="BP15" s="358" t="e">
        <f>AV15</f>
        <v>#REF!</v>
      </c>
      <c r="BQ15" s="357" t="e">
        <f>AW15</f>
        <v>#REF!</v>
      </c>
      <c r="BR15" s="356" t="e">
        <f>AX15</f>
        <v>#REF!</v>
      </c>
      <c r="BS15" s="358" t="e">
        <f>BL15</f>
        <v>#REF!</v>
      </c>
      <c r="BT15" s="357" t="e">
        <f>BM15</f>
        <v>#REF!</v>
      </c>
      <c r="BU15" s="356" t="e">
        <f>BN15</f>
        <v>#REF!</v>
      </c>
      <c r="BV15" s="363" t="e">
        <f>((100)-((BP15)+(BS15)+0.00001))</f>
        <v>#REF!</v>
      </c>
      <c r="BW15" s="362" t="e">
        <f>((100)-((BQ15)+(BT15)+0.00001))</f>
        <v>#REF!</v>
      </c>
      <c r="BX15" s="361" t="e">
        <f>((100)-((BR15)+(BU15)+0.00001))</f>
        <v>#REF!</v>
      </c>
      <c r="BY15" s="76"/>
      <c r="BZ15" s="216">
        <f>('الصفحة 10'!$J$20)</f>
        <v>164</v>
      </c>
      <c r="CA15" s="360">
        <f>('الصفحة 10'!$J$37)</f>
        <v>13</v>
      </c>
      <c r="CB15" s="211">
        <f>('الصفحة 10'!$K$20)</f>
        <v>96</v>
      </c>
      <c r="CC15" s="212">
        <f>('الصفحة 10'!$K$37)</f>
        <v>2</v>
      </c>
      <c r="CD15" s="211">
        <f>(BZ15-CB15)</f>
        <v>68</v>
      </c>
      <c r="CE15" s="331">
        <f>(CA15-CC15)</f>
        <v>11</v>
      </c>
      <c r="CF15" s="216" t="e">
        <f>(#REF!)</f>
        <v>#REF!</v>
      </c>
      <c r="CG15" s="213" t="e">
        <f>(#REF!)</f>
        <v>#REF!</v>
      </c>
      <c r="CH15" s="331" t="e">
        <f>(CF15-CG15)</f>
        <v>#REF!</v>
      </c>
      <c r="CI15" s="358" t="e">
        <f>((BZ15-CA15)/(CF15+0.00001))*100</f>
        <v>#REF!</v>
      </c>
      <c r="CJ15" s="357" t="e">
        <f>((CB15-CC15)/(CG15+0.00001))*100</f>
        <v>#REF!</v>
      </c>
      <c r="CK15" s="356" t="e">
        <f>((CD15-CE15)/(CH15+0.00001))*100</f>
        <v>#REF!</v>
      </c>
      <c r="CL15" s="216" t="e">
        <f>((#REF!))</f>
        <v>#REF!</v>
      </c>
      <c r="CM15" s="213" t="e">
        <f>((#REF!))</f>
        <v>#REF!</v>
      </c>
      <c r="CN15" s="331" t="e">
        <f>(CL15-CM15)</f>
        <v>#REF!</v>
      </c>
      <c r="CO15" s="216" t="e">
        <f>((#REF!))</f>
        <v>#REF!</v>
      </c>
      <c r="CP15" s="213" t="e">
        <f>((#REF!))</f>
        <v>#REF!</v>
      </c>
      <c r="CQ15" s="331" t="e">
        <f>(CO15-CP15)</f>
        <v>#REF!</v>
      </c>
      <c r="CR15" s="216" t="e">
        <f>((#REF!))</f>
        <v>#REF!</v>
      </c>
      <c r="CS15" s="213" t="e">
        <f>((#REF!))</f>
        <v>#REF!</v>
      </c>
      <c r="CT15" s="331" t="e">
        <f>(CR15-CS15)</f>
        <v>#REF!</v>
      </c>
      <c r="CU15" s="216" t="e">
        <f>((#REF!))</f>
        <v>#REF!</v>
      </c>
      <c r="CV15" s="213" t="e">
        <f>((#REF!))</f>
        <v>#REF!</v>
      </c>
      <c r="CW15" s="331" t="e">
        <f>(CU15-CV15)</f>
        <v>#REF!</v>
      </c>
      <c r="CX15" s="216" t="e">
        <f>CL15+CO15+CR15+CU15</f>
        <v>#REF!</v>
      </c>
      <c r="CY15" s="213" t="e">
        <f>CM15+CP15+CS15+CV15</f>
        <v>#REF!</v>
      </c>
      <c r="CZ15" s="331" t="e">
        <f>(CX15-CY15)</f>
        <v>#REF!</v>
      </c>
      <c r="DA15" s="216" t="e">
        <f>((#REF!))</f>
        <v>#REF!</v>
      </c>
      <c r="DB15" s="213" t="e">
        <f>((#REF!))</f>
        <v>#REF!</v>
      </c>
      <c r="DC15" s="331" t="e">
        <f>(DA15-DB15)</f>
        <v>#REF!</v>
      </c>
      <c r="DD15" s="216" t="e">
        <f>((#REF!))</f>
        <v>#REF!</v>
      </c>
      <c r="DE15" s="213" t="e">
        <f>((#REF!))</f>
        <v>#REF!</v>
      </c>
      <c r="DF15" s="331" t="e">
        <f>(DD15-DE15)</f>
        <v>#REF!</v>
      </c>
      <c r="DG15" s="216" t="e">
        <f>((#REF!))</f>
        <v>#REF!</v>
      </c>
      <c r="DH15" s="213" t="e">
        <f>((#REF!))</f>
        <v>#REF!</v>
      </c>
      <c r="DI15" s="331" t="e">
        <f>(DG15-DH15)</f>
        <v>#REF!</v>
      </c>
      <c r="DJ15" s="216" t="e">
        <f>((#REF!))</f>
        <v>#REF!</v>
      </c>
      <c r="DK15" s="213" t="e">
        <f>((#REF!))</f>
        <v>#REF!</v>
      </c>
      <c r="DL15" s="331" t="e">
        <f>(DJ15-DK15)</f>
        <v>#REF!</v>
      </c>
      <c r="DM15" s="216" t="e">
        <f>DA15+DD15+DG15+DJ15</f>
        <v>#REF!</v>
      </c>
      <c r="DN15" s="213" t="e">
        <f>DB15+DE15+DH15+DK15</f>
        <v>#REF!</v>
      </c>
      <c r="DO15" s="331" t="e">
        <f>(DM15-DN15)</f>
        <v>#REF!</v>
      </c>
      <c r="DP15" s="216" t="e">
        <f>((CF15)+(CX15)-(DM15))</f>
        <v>#REF!</v>
      </c>
      <c r="DQ15" s="213" t="e">
        <f>((CG15)+(CY15)-(DN15))</f>
        <v>#REF!</v>
      </c>
      <c r="DR15" s="331" t="e">
        <f>(DP15-DQ15)</f>
        <v>#REF!</v>
      </c>
      <c r="DS15" s="358" t="e">
        <f>((BZ15-CA15)/(DP15+0.00001))*100</f>
        <v>#REF!</v>
      </c>
      <c r="DT15" s="357" t="e">
        <f>((CB15-CC15)/(DQ15+0.00001))*100</f>
        <v>#REF!</v>
      </c>
      <c r="DU15" s="356" t="e">
        <f>((CD15-CE15)/(DR15+0.00001))*100</f>
        <v>#REF!</v>
      </c>
      <c r="DV15" s="25"/>
      <c r="DW15" s="216">
        <f>('الصفحة 10'!$H$37)</f>
        <v>26</v>
      </c>
      <c r="DX15" s="213">
        <f>('الصفحة 10'!$I$37)</f>
        <v>4</v>
      </c>
      <c r="DY15" s="331">
        <f>(DW15-DX15)</f>
        <v>22</v>
      </c>
      <c r="DZ15" s="216" t="e">
        <f>(#REF!)</f>
        <v>#REF!</v>
      </c>
      <c r="EA15" s="213" t="e">
        <f>(#REF!)</f>
        <v>#REF!</v>
      </c>
      <c r="EB15" s="331" t="e">
        <f>(DZ15-EA15)</f>
        <v>#REF!</v>
      </c>
      <c r="EC15" s="358" t="e">
        <f>(DW15/(DZ15+0.00001))*100</f>
        <v>#REF!</v>
      </c>
      <c r="ED15" s="357" t="e">
        <f>(DX15/(EA15+0.00001))*100</f>
        <v>#REF!</v>
      </c>
      <c r="EE15" s="356" t="e">
        <f>(DY15/(EB15+0.00001))*100</f>
        <v>#REF!</v>
      </c>
      <c r="EF15" s="216" t="e">
        <f>$DP15</f>
        <v>#REF!</v>
      </c>
      <c r="EG15" s="213" t="e">
        <f>$DQ15</f>
        <v>#REF!</v>
      </c>
      <c r="EH15" s="331" t="e">
        <f>(EF15-EG15)</f>
        <v>#REF!</v>
      </c>
      <c r="EI15" s="358" t="e">
        <f>(DW15/(EF15+0.00001))*100</f>
        <v>#REF!</v>
      </c>
      <c r="EJ15" s="357" t="e">
        <f>(DX15/(EG15+0.00001))*100</f>
        <v>#REF!</v>
      </c>
      <c r="EK15" s="356" t="e">
        <f>(DY15/(EH15+0.00001))*100</f>
        <v>#REF!</v>
      </c>
      <c r="EL15" s="25"/>
      <c r="EM15" s="358" t="e">
        <f>DS15</f>
        <v>#REF!</v>
      </c>
      <c r="EN15" s="357" t="e">
        <f>DT15</f>
        <v>#REF!</v>
      </c>
      <c r="EO15" s="356" t="e">
        <f>DU15</f>
        <v>#REF!</v>
      </c>
      <c r="EP15" s="358" t="e">
        <f>EI15</f>
        <v>#REF!</v>
      </c>
      <c r="EQ15" s="357" t="e">
        <f>EJ15</f>
        <v>#REF!</v>
      </c>
      <c r="ER15" s="356" t="e">
        <f>EK15</f>
        <v>#REF!</v>
      </c>
      <c r="ES15" s="363" t="e">
        <f>((100)-((EM15)+(EP15)+0.00001))</f>
        <v>#REF!</v>
      </c>
      <c r="ET15" s="362" t="e">
        <f>((100)-((EN15)+(EQ15)+0.00001))</f>
        <v>#REF!</v>
      </c>
      <c r="EU15" s="361" t="e">
        <f>((100)-((EO15)+(ER15)+0.00001))</f>
        <v>#REF!</v>
      </c>
      <c r="EV15" s="76"/>
      <c r="EW15" s="216">
        <f>(('الصفحة 13'!$E$41))</f>
        <v>0</v>
      </c>
      <c r="EX15" s="213">
        <f>(('الصفحة 13'!$F$41))</f>
        <v>0</v>
      </c>
      <c r="EY15" s="331">
        <f>(EW15-EX15)</f>
        <v>0</v>
      </c>
      <c r="EZ15" s="216">
        <f>(('الصفحة 13'!$G$41))</f>
        <v>0</v>
      </c>
      <c r="FA15" s="213">
        <f>(('الصفحة 13'!$H$41))</f>
        <v>0</v>
      </c>
      <c r="FB15" s="331">
        <f>(EZ15-FA15)</f>
        <v>0</v>
      </c>
      <c r="FC15" s="216">
        <f>(('الصفحة 13'!$I$41))</f>
        <v>0</v>
      </c>
      <c r="FD15" s="213">
        <f>(('الصفحة 13'!$J$41))</f>
        <v>0</v>
      </c>
      <c r="FE15" s="331">
        <f>(FC15-FD15)</f>
        <v>0</v>
      </c>
      <c r="FF15" s="216">
        <f>(('الصفحة 13'!$K$41))</f>
        <v>0</v>
      </c>
      <c r="FG15" s="213">
        <f>(('الصفحة 13'!$L$41))</f>
        <v>0</v>
      </c>
      <c r="FH15" s="331">
        <f>(FF15-FG15)</f>
        <v>0</v>
      </c>
      <c r="FI15" s="216">
        <f>(EW15+EZ15+FC15+FF15)</f>
        <v>0</v>
      </c>
      <c r="FJ15" s="213">
        <f>(EX15+FA15+FD15+FG15)</f>
        <v>0</v>
      </c>
      <c r="FK15" s="331">
        <f>(FI15-FJ15)</f>
        <v>0</v>
      </c>
      <c r="FL15" s="25"/>
      <c r="FM15" s="358" t="e">
        <f>(EW15/($BS$7+0.00001))*100</f>
        <v>#REF!</v>
      </c>
      <c r="FN15" s="357" t="e">
        <f>(EX15/($BB$7+0.00001))*100</f>
        <v>#REF!</v>
      </c>
      <c r="FO15" s="356" t="e">
        <f>((EY15)/($BC$7+0.00001))*100</f>
        <v>#REF!</v>
      </c>
      <c r="FP15" s="358" t="e">
        <f>(EZ15/($BV$7+0.00001))*100</f>
        <v>#REF!</v>
      </c>
      <c r="FQ15" s="357" t="e">
        <f>(FA15/($BE$7+0.00001))*100</f>
        <v>#REF!</v>
      </c>
      <c r="FR15" s="356" t="e">
        <f>((FB15)/($BF$7+0.00001))*100</f>
        <v>#REF!</v>
      </c>
      <c r="FS15" s="358" t="e">
        <f>(FC15/($BY$7+0.00001))*100</f>
        <v>#REF!</v>
      </c>
      <c r="FT15" s="357" t="e">
        <f>(FD15/($BH$7+0.00001))*100</f>
        <v>#REF!</v>
      </c>
      <c r="FU15" s="356" t="e">
        <f>((FE15)/($BI$7+0.00001))*100</f>
        <v>#REF!</v>
      </c>
      <c r="FV15" s="358" t="e">
        <f>(FF15/($CB$7+0.00001))*100</f>
        <v>#REF!</v>
      </c>
      <c r="FW15" s="357" t="e">
        <f>(FG15/($BK$7+0.00001))*100</f>
        <v>#REF!</v>
      </c>
      <c r="FX15" s="356" t="e">
        <f>((FH15)/($BL$7+0.00001))*100</f>
        <v>#REF!</v>
      </c>
      <c r="FY15" s="358" t="e">
        <f>(FI15/($CE$7+0.00001))*100</f>
        <v>#REF!</v>
      </c>
      <c r="FZ15" s="357" t="e">
        <f>(FJ15/($BN$7+0.00001))*100</f>
        <v>#REF!</v>
      </c>
      <c r="GA15" s="356" t="e">
        <f>((FK15)/($BO$7+0.00001))*100</f>
        <v>#REF!</v>
      </c>
      <c r="GC15" s="216">
        <f>(('الصفحة 13'!$E$33))</f>
        <v>17</v>
      </c>
      <c r="GD15" s="213">
        <f>(('الصفحة 13'!$F$33))</f>
        <v>5</v>
      </c>
      <c r="GE15" s="331">
        <f>(GC15-GD15)</f>
        <v>12</v>
      </c>
      <c r="GF15" s="216">
        <f>(('الصفحة 13'!$G$33))</f>
        <v>11</v>
      </c>
      <c r="GG15" s="213">
        <f>(('الصفحة 13'!$H$33))</f>
        <v>4</v>
      </c>
      <c r="GH15" s="331">
        <f>(GF15-GG15)</f>
        <v>7</v>
      </c>
      <c r="GI15" s="216">
        <f>(('الصفحة 13'!$I$33))</f>
        <v>1</v>
      </c>
      <c r="GJ15" s="213">
        <f>(('الصفحة 13'!$J$33))</f>
        <v>1</v>
      </c>
      <c r="GK15" s="331">
        <f>(GI15-GJ15)</f>
        <v>0</v>
      </c>
      <c r="GL15" s="216">
        <f>(('الصفحة 13'!$K$33))</f>
        <v>4</v>
      </c>
      <c r="GM15" s="213">
        <f>(('الصفحة 13'!$L$33))</f>
        <v>1</v>
      </c>
      <c r="GN15" s="331">
        <f>(GL15-GM15)</f>
        <v>3</v>
      </c>
      <c r="GO15" s="216">
        <f>(GC15+GF15+GI15+GL15)</f>
        <v>33</v>
      </c>
      <c r="GP15" s="213">
        <f>(GD15+GG15+GJ15+GM15)</f>
        <v>11</v>
      </c>
      <c r="GQ15" s="331">
        <f>(GO15-GP15)</f>
        <v>22</v>
      </c>
      <c r="GR15" s="397"/>
      <c r="GS15" s="358" t="e">
        <f>(GC15/($BS$7+0.00001))*100</f>
        <v>#REF!</v>
      </c>
      <c r="GT15" s="357" t="e">
        <f>(GD15/($BB$7+0.00001))*100</f>
        <v>#REF!</v>
      </c>
      <c r="GU15" s="356" t="e">
        <f>((GE15)/($BC$7+0.00001))*100</f>
        <v>#REF!</v>
      </c>
      <c r="GV15" s="358" t="e">
        <f>(GF15/($BV$7+0.00001))*100</f>
        <v>#REF!</v>
      </c>
      <c r="GW15" s="357" t="e">
        <f>(GG15/($BE$7+0.00001))*100</f>
        <v>#REF!</v>
      </c>
      <c r="GX15" s="356" t="e">
        <f>((GH15)/($BF$7+0.00001))*100</f>
        <v>#REF!</v>
      </c>
      <c r="GY15" s="358" t="e">
        <f>(GI15/($BY$7+0.00001))*100</f>
        <v>#REF!</v>
      </c>
      <c r="GZ15" s="357" t="e">
        <f>(GJ15/($BH$7+0.00001))*100</f>
        <v>#REF!</v>
      </c>
      <c r="HA15" s="356" t="e">
        <f>((GK15)/($BI$7+0.00001))*100</f>
        <v>#REF!</v>
      </c>
      <c r="HB15" s="358" t="e">
        <f>(GL15/($CB$7+0.00001))*100</f>
        <v>#REF!</v>
      </c>
      <c r="HC15" s="357" t="e">
        <f>(GM15/($BK$7+0.00001))*100</f>
        <v>#REF!</v>
      </c>
      <c r="HD15" s="356" t="e">
        <f>((GN15)/($BL$7+0.00001))*100</f>
        <v>#REF!</v>
      </c>
      <c r="HE15" s="358" t="e">
        <f>(GO15/($CE$7+0.00001))*100</f>
        <v>#REF!</v>
      </c>
      <c r="HF15" s="357" t="e">
        <f>(GP15/($BN$7+0.00001))*100</f>
        <v>#REF!</v>
      </c>
      <c r="HG15" s="356" t="e">
        <f>((GQ15)/($BO$7+0.00001))*100</f>
        <v>#REF!</v>
      </c>
      <c r="HH15" s="117"/>
      <c r="HI15" s="216">
        <f>(('الصفحة 13'!$E$34))</f>
        <v>0</v>
      </c>
      <c r="HJ15" s="213">
        <f>(('الصفحة 13'!$F$34))</f>
        <v>0</v>
      </c>
      <c r="HK15" s="331">
        <f>(HI15-HJ15)</f>
        <v>0</v>
      </c>
      <c r="HL15" s="216">
        <f>(('الصفحة 13'!$G$34))</f>
        <v>2</v>
      </c>
      <c r="HM15" s="213">
        <f>(('الصفحة 13'!$H$34))</f>
        <v>1</v>
      </c>
      <c r="HN15" s="331">
        <f>(HL15-HM15)</f>
        <v>1</v>
      </c>
      <c r="HO15" s="216">
        <f>(('الصفحة 13'!$I$34))</f>
        <v>1</v>
      </c>
      <c r="HP15" s="213">
        <f>(('الصفحة 13'!$J$34))</f>
        <v>0</v>
      </c>
      <c r="HQ15" s="331">
        <f>(HO15-HP15)</f>
        <v>1</v>
      </c>
      <c r="HR15" s="216">
        <f>(('الصفحة 13'!$K$34))</f>
        <v>20</v>
      </c>
      <c r="HS15" s="213">
        <f>(('الصفحة 13'!$L$34))</f>
        <v>5</v>
      </c>
      <c r="HT15" s="331">
        <f>(HR15-HS15)</f>
        <v>15</v>
      </c>
      <c r="HU15" s="216">
        <f>(HI15+HL15+HO15+HR15)</f>
        <v>23</v>
      </c>
      <c r="HV15" s="213">
        <f>(HJ15+HM15+HP15+HS15)</f>
        <v>6</v>
      </c>
      <c r="HW15" s="331">
        <f>(HU15-HV15)</f>
        <v>17</v>
      </c>
      <c r="HX15" s="397"/>
      <c r="HY15" s="358" t="e">
        <f>(HI15/($BS$7+0.00001))*100</f>
        <v>#REF!</v>
      </c>
      <c r="HZ15" s="357" t="e">
        <f>(HJ15/($BB$7+0.00001))*100</f>
        <v>#REF!</v>
      </c>
      <c r="IA15" s="356" t="e">
        <f>((HK15)/($BC$7+0.00001))*100</f>
        <v>#REF!</v>
      </c>
      <c r="IB15" s="358" t="e">
        <f>(HL15/($BV$7+0.00001))*100</f>
        <v>#REF!</v>
      </c>
      <c r="IC15" s="357" t="e">
        <f>(HM15/($BE$7+0.00001))*100</f>
        <v>#REF!</v>
      </c>
      <c r="ID15" s="356" t="e">
        <f>((HN15)/($BF$7+0.00001))*100</f>
        <v>#REF!</v>
      </c>
      <c r="IE15" s="358" t="e">
        <f>(HO15/($BY$7+0.00001))*100</f>
        <v>#REF!</v>
      </c>
      <c r="IF15" s="357" t="e">
        <f>(HP15/($BH$7+0.00001))*100</f>
        <v>#REF!</v>
      </c>
      <c r="IG15" s="356" t="e">
        <f>((HQ15)/($BI$7+0.00001))*100</f>
        <v>#REF!</v>
      </c>
      <c r="IH15" s="358" t="e">
        <f>(HR15/($CB$7+0.00001))*100</f>
        <v>#REF!</v>
      </c>
      <c r="II15" s="357" t="e">
        <f>(HS15/($BK$7+0.00001))*100</f>
        <v>#REF!</v>
      </c>
      <c r="IJ15" s="356" t="e">
        <f>((HT15)/($BL$7+0.00001))*100</f>
        <v>#REF!</v>
      </c>
      <c r="IK15" s="358" t="e">
        <f>(HU15/($CE$7+0.00001))*100</f>
        <v>#REF!</v>
      </c>
      <c r="IL15" s="357" t="e">
        <f>(HV15/($BN$7+0.00001))*100</f>
        <v>#REF!</v>
      </c>
      <c r="IM15" s="356" t="e">
        <f>((HW15)/($BO$7+0.00001))*100</f>
        <v>#REF!</v>
      </c>
      <c r="IV15" s="21"/>
    </row>
    <row r="16" spans="1:256" s="24" customFormat="1" ht="6" customHeight="1">
      <c r="A16" s="5686"/>
      <c r="B16" s="193"/>
      <c r="C16" s="193"/>
      <c r="D16" s="193"/>
      <c r="E16" s="193"/>
      <c r="F16" s="193"/>
      <c r="G16" s="193"/>
      <c r="H16" s="193"/>
      <c r="I16" s="193"/>
      <c r="J16" s="193"/>
      <c r="K16" s="193"/>
      <c r="L16" s="193"/>
      <c r="M16" s="193"/>
      <c r="N16" s="203"/>
      <c r="O16" s="203"/>
      <c r="P16" s="193"/>
      <c r="Q16" s="193"/>
      <c r="R16" s="193"/>
      <c r="S16" s="193"/>
      <c r="T16" s="193"/>
      <c r="U16" s="193"/>
      <c r="V16" s="193"/>
      <c r="W16" s="193"/>
      <c r="X16" s="193"/>
      <c r="Y16" s="193"/>
      <c r="Z16" s="193"/>
      <c r="AA16" s="193"/>
      <c r="AB16" s="193"/>
      <c r="AC16" s="193"/>
      <c r="AD16" s="203"/>
      <c r="AE16" s="203"/>
      <c r="AF16" s="193"/>
      <c r="AG16" s="193"/>
      <c r="AH16" s="193"/>
      <c r="AI16" s="193"/>
      <c r="AJ16" s="193"/>
      <c r="AK16" s="193"/>
      <c r="AL16" s="193"/>
      <c r="AM16" s="193"/>
      <c r="AN16" s="193"/>
      <c r="AO16" s="193"/>
      <c r="AP16" s="193"/>
      <c r="AQ16" s="193"/>
      <c r="AR16" s="193"/>
      <c r="AS16" s="193"/>
      <c r="BU16" s="203"/>
      <c r="BV16" s="203"/>
      <c r="BW16" s="193"/>
      <c r="BX16" s="193"/>
      <c r="BY16" s="76"/>
      <c r="BZ16" s="193"/>
      <c r="CA16" s="193"/>
      <c r="CB16" s="193"/>
      <c r="CC16" s="193"/>
      <c r="CD16" s="193"/>
      <c r="CE16" s="193"/>
      <c r="CF16" s="193"/>
      <c r="CG16" s="193"/>
      <c r="CH16" s="193"/>
      <c r="CI16" s="193"/>
      <c r="CJ16" s="193"/>
      <c r="HH16" s="117"/>
      <c r="HX16" s="117"/>
      <c r="IV16" s="21"/>
    </row>
    <row r="17" spans="1:256" s="21" customFormat="1" ht="6" customHeight="1">
      <c r="A17" s="342"/>
      <c r="B17" s="341"/>
      <c r="C17" s="341"/>
      <c r="D17" s="341"/>
      <c r="E17" s="22"/>
      <c r="F17" s="22"/>
      <c r="G17" s="22"/>
      <c r="H17" s="22"/>
      <c r="I17" s="22"/>
      <c r="J17" s="22"/>
      <c r="K17" s="22"/>
      <c r="L17" s="22"/>
      <c r="M17" s="22"/>
      <c r="N17" s="22"/>
      <c r="O17" s="22"/>
      <c r="P17" s="22"/>
      <c r="Q17" s="22"/>
      <c r="R17" s="22"/>
      <c r="S17" s="22"/>
      <c r="T17" s="22"/>
      <c r="U17" s="22"/>
    </row>
    <row r="18" spans="1:256" s="21" customFormat="1" ht="15" customHeight="1" thickBot="1">
      <c r="A18" s="5686">
        <v>3</v>
      </c>
      <c r="B18" s="344"/>
      <c r="C18" s="170" t="s">
        <v>471</v>
      </c>
      <c r="D18" s="339"/>
      <c r="E18" s="339"/>
      <c r="F18" s="339"/>
      <c r="G18" s="339"/>
      <c r="H18" s="339"/>
      <c r="I18" s="193"/>
      <c r="J18" s="193"/>
      <c r="K18" s="339"/>
      <c r="L18" s="339"/>
      <c r="M18" s="339"/>
      <c r="N18" s="339"/>
      <c r="O18" s="25"/>
      <c r="P18" s="25"/>
      <c r="Q18" s="25"/>
      <c r="R18" s="25"/>
      <c r="S18" s="25"/>
      <c r="T18" s="25"/>
      <c r="U18" s="25"/>
      <c r="V18" s="25"/>
      <c r="W18" s="25"/>
      <c r="X18" s="25"/>
      <c r="Y18" s="25"/>
      <c r="Z18" s="25"/>
      <c r="AA18" s="339"/>
      <c r="AB18" s="339"/>
      <c r="AC18" s="339"/>
      <c r="AD18" s="25"/>
      <c r="AE18" s="25"/>
      <c r="AF18" s="25"/>
      <c r="AG18" s="25"/>
      <c r="AH18" s="25"/>
      <c r="AI18" s="25"/>
      <c r="AJ18" s="25"/>
      <c r="AK18" s="25"/>
      <c r="AL18" s="25"/>
      <c r="AM18" s="25"/>
      <c r="AN18" s="25"/>
      <c r="AO18" s="25"/>
      <c r="AP18" s="25"/>
      <c r="AQ18" s="25"/>
      <c r="AR18" s="25"/>
      <c r="AS18" s="25"/>
      <c r="AT18" s="25"/>
      <c r="AU18" s="25"/>
      <c r="AV18" s="25"/>
      <c r="AW18" s="25"/>
      <c r="AX18" s="25"/>
      <c r="AY18" s="25"/>
      <c r="AZ18" s="396" t="s">
        <v>470</v>
      </c>
      <c r="BA18" s="395"/>
      <c r="BB18" s="395"/>
      <c r="BC18" s="395"/>
      <c r="BD18" s="395"/>
      <c r="BE18" s="395"/>
      <c r="BF18" s="193"/>
      <c r="BG18" s="193"/>
      <c r="BH18" s="395"/>
      <c r="BI18" s="339"/>
      <c r="BJ18" s="339"/>
      <c r="BK18" s="339"/>
      <c r="BL18" s="339"/>
      <c r="BM18" s="339"/>
      <c r="BN18" s="339"/>
      <c r="BO18" s="24"/>
      <c r="BP18" s="394" t="s">
        <v>469</v>
      </c>
      <c r="BQ18" s="339"/>
      <c r="BR18" s="339"/>
      <c r="BS18" s="339"/>
      <c r="BT18" s="339"/>
      <c r="BU18" s="339"/>
      <c r="BV18" s="193"/>
      <c r="BW18" s="193"/>
      <c r="BX18" s="339"/>
      <c r="BY18" s="76"/>
      <c r="BZ18" s="170" t="s">
        <v>468</v>
      </c>
      <c r="CA18" s="339"/>
      <c r="CB18" s="339"/>
      <c r="CC18" s="339"/>
      <c r="CD18" s="339"/>
      <c r="CE18" s="339"/>
      <c r="CF18" s="193"/>
      <c r="CG18" s="193"/>
      <c r="CH18" s="339"/>
      <c r="CI18" s="339"/>
      <c r="CJ18" s="339"/>
      <c r="CK18" s="339"/>
      <c r="CL18" s="25"/>
      <c r="CM18" s="25"/>
      <c r="CN18" s="25"/>
      <c r="CO18" s="25"/>
      <c r="CP18" s="25"/>
      <c r="CQ18" s="25"/>
      <c r="CR18" s="25"/>
      <c r="CS18" s="25"/>
      <c r="CT18" s="25"/>
      <c r="CU18" s="25"/>
      <c r="CV18" s="25"/>
      <c r="CW18" s="25"/>
      <c r="CX18" s="339"/>
      <c r="CY18" s="339"/>
      <c r="CZ18" s="339"/>
      <c r="DA18" s="25"/>
      <c r="DB18" s="25"/>
      <c r="DC18" s="25"/>
      <c r="DD18" s="25"/>
      <c r="DE18" s="25"/>
      <c r="DF18" s="25"/>
      <c r="DG18" s="25"/>
      <c r="DH18" s="25"/>
      <c r="DI18" s="25"/>
      <c r="DJ18" s="25"/>
      <c r="DK18" s="25"/>
      <c r="DL18" s="25"/>
      <c r="DM18" s="25"/>
      <c r="DN18" s="25"/>
      <c r="DO18" s="25"/>
      <c r="DP18" s="25"/>
      <c r="DQ18" s="25"/>
      <c r="DR18" s="25"/>
      <c r="DS18" s="25"/>
      <c r="DT18" s="25"/>
      <c r="DU18" s="25"/>
      <c r="DV18" s="25"/>
      <c r="DW18" s="170" t="s">
        <v>467</v>
      </c>
      <c r="DX18" s="339"/>
      <c r="DY18" s="339"/>
      <c r="DZ18" s="339"/>
      <c r="EA18" s="339"/>
      <c r="EB18" s="339"/>
      <c r="EC18" s="193"/>
      <c r="ED18" s="193"/>
      <c r="EE18" s="339"/>
      <c r="EF18" s="339"/>
      <c r="EG18" s="339"/>
      <c r="EH18" s="339"/>
      <c r="EI18" s="339"/>
      <c r="EJ18" s="339"/>
      <c r="EK18" s="339"/>
      <c r="EL18" s="24"/>
      <c r="EM18" s="170" t="s">
        <v>466</v>
      </c>
      <c r="EN18" s="339"/>
      <c r="EO18" s="339"/>
      <c r="EP18" s="339"/>
      <c r="EQ18" s="339"/>
      <c r="ER18" s="339"/>
      <c r="ES18" s="193"/>
      <c r="ET18" s="193"/>
      <c r="EU18" s="339"/>
      <c r="EV18" s="76"/>
      <c r="EW18" s="393" t="s">
        <v>465</v>
      </c>
      <c r="EX18" s="392"/>
      <c r="EY18" s="392"/>
      <c r="EZ18" s="392"/>
      <c r="FA18" s="392"/>
      <c r="FB18" s="392"/>
      <c r="FC18" s="391"/>
      <c r="FD18" s="391"/>
      <c r="FE18" s="391"/>
      <c r="FF18" s="393" t="s">
        <v>464</v>
      </c>
      <c r="FG18" s="392"/>
      <c r="FH18" s="392"/>
      <c r="FI18" s="392"/>
      <c r="FJ18" s="392"/>
      <c r="FK18" s="392"/>
      <c r="FL18" s="391"/>
      <c r="FM18" s="391"/>
      <c r="FN18" s="391"/>
      <c r="FO18" s="388"/>
      <c r="FP18" s="340" t="s">
        <v>463</v>
      </c>
      <c r="FQ18" s="389"/>
      <c r="FR18" s="389"/>
      <c r="FS18" s="389"/>
      <c r="FT18" s="389"/>
      <c r="FU18" s="389"/>
      <c r="FV18" s="388"/>
      <c r="FW18" s="388"/>
      <c r="FX18" s="388"/>
      <c r="FY18" s="390" t="s">
        <v>462</v>
      </c>
      <c r="FZ18" s="389"/>
      <c r="GA18" s="389"/>
      <c r="GB18" s="389"/>
      <c r="GC18" s="389"/>
      <c r="GD18" s="389"/>
      <c r="GE18" s="388"/>
      <c r="GF18" s="388"/>
      <c r="GG18" s="388"/>
      <c r="GH18" s="76"/>
      <c r="GI18" s="170" t="s">
        <v>461</v>
      </c>
      <c r="GJ18" s="82"/>
      <c r="GK18" s="82"/>
      <c r="GL18" s="24"/>
      <c r="GM18" s="24"/>
      <c r="GN18" s="24"/>
      <c r="GO18" s="24"/>
      <c r="GP18" s="25"/>
      <c r="GQ18" s="25"/>
      <c r="GR18" s="25"/>
      <c r="GS18" s="25"/>
      <c r="GT18" s="25"/>
      <c r="GU18" s="25"/>
      <c r="GV18" s="185" t="s">
        <v>460</v>
      </c>
      <c r="GW18" s="82"/>
      <c r="GX18" s="82"/>
      <c r="GY18" s="24"/>
      <c r="GZ18" s="24"/>
      <c r="HA18" s="24"/>
      <c r="HB18" s="24"/>
      <c r="HC18" s="25"/>
      <c r="HD18" s="25"/>
      <c r="HE18" s="25"/>
      <c r="HF18" s="25"/>
      <c r="HG18" s="330" t="s">
        <v>459</v>
      </c>
      <c r="HH18" s="82"/>
      <c r="HI18" s="82"/>
      <c r="HJ18" s="24"/>
      <c r="HK18" s="24"/>
      <c r="HL18" s="24"/>
      <c r="HM18" s="24"/>
      <c r="HN18" s="25"/>
      <c r="HO18" s="25"/>
      <c r="HP18" s="24"/>
      <c r="HQ18" s="25"/>
      <c r="HR18" s="25"/>
      <c r="HS18" s="25"/>
      <c r="HT18" s="330" t="s">
        <v>646</v>
      </c>
      <c r="HU18" s="82"/>
      <c r="HV18" s="82"/>
      <c r="HW18" s="24"/>
      <c r="HX18" s="24"/>
      <c r="HY18" s="24"/>
      <c r="HZ18" s="24"/>
      <c r="IA18" s="25"/>
      <c r="IB18" s="25"/>
      <c r="IC18" s="24"/>
      <c r="ID18" s="185" t="s">
        <v>458</v>
      </c>
      <c r="IE18" s="25"/>
      <c r="IF18" s="25"/>
      <c r="IG18" s="25"/>
      <c r="IH18" s="25"/>
      <c r="II18" s="25"/>
      <c r="IJ18" s="25"/>
      <c r="IK18" s="25"/>
      <c r="IL18" s="25"/>
      <c r="IM18" s="117"/>
      <c r="IN18" s="117"/>
      <c r="IO18" s="117"/>
      <c r="IP18" s="117"/>
      <c r="IQ18" s="117"/>
      <c r="IR18" s="117"/>
      <c r="IS18" s="117"/>
      <c r="IT18" s="117"/>
    </row>
    <row r="19" spans="1:256" s="21" customFormat="1" ht="12.75" customHeight="1">
      <c r="A19" s="5686"/>
      <c r="B19" s="344"/>
      <c r="C19" s="5647" t="s">
        <v>457</v>
      </c>
      <c r="D19" s="5648"/>
      <c r="E19" s="5648"/>
      <c r="F19" s="5648"/>
      <c r="G19" s="5648"/>
      <c r="H19" s="5649"/>
      <c r="I19" s="5170" t="s">
        <v>455</v>
      </c>
      <c r="J19" s="5171"/>
      <c r="K19" s="5172"/>
      <c r="L19" s="5207" t="s">
        <v>451</v>
      </c>
      <c r="M19" s="5208"/>
      <c r="N19" s="5209"/>
      <c r="O19" s="5690" t="s">
        <v>450</v>
      </c>
      <c r="P19" s="5691"/>
      <c r="Q19" s="5692"/>
      <c r="R19" s="5690" t="s">
        <v>449</v>
      </c>
      <c r="S19" s="5691"/>
      <c r="T19" s="5692"/>
      <c r="U19" s="5690" t="s">
        <v>448</v>
      </c>
      <c r="V19" s="5691"/>
      <c r="W19" s="5692"/>
      <c r="X19" s="5690" t="s">
        <v>447</v>
      </c>
      <c r="Y19" s="5691"/>
      <c r="Z19" s="5692"/>
      <c r="AA19" s="5720" t="s">
        <v>446</v>
      </c>
      <c r="AB19" s="5721"/>
      <c r="AC19" s="5722"/>
      <c r="AD19" s="5612" t="s">
        <v>445</v>
      </c>
      <c r="AE19" s="5613"/>
      <c r="AF19" s="5614"/>
      <c r="AG19" s="5612" t="s">
        <v>444</v>
      </c>
      <c r="AH19" s="5613"/>
      <c r="AI19" s="5614"/>
      <c r="AJ19" s="5612" t="s">
        <v>443</v>
      </c>
      <c r="AK19" s="5613"/>
      <c r="AL19" s="5614"/>
      <c r="AM19" s="5612" t="s">
        <v>442</v>
      </c>
      <c r="AN19" s="5613"/>
      <c r="AO19" s="5614"/>
      <c r="AP19" s="5621" t="s">
        <v>441</v>
      </c>
      <c r="AQ19" s="5622"/>
      <c r="AR19" s="5623"/>
      <c r="AS19" s="5324" t="s">
        <v>436</v>
      </c>
      <c r="AT19" s="5325"/>
      <c r="AU19" s="5326"/>
      <c r="AV19" s="5198" t="s">
        <v>440</v>
      </c>
      <c r="AW19" s="5199"/>
      <c r="AX19" s="5200"/>
      <c r="AY19" s="25"/>
      <c r="AZ19" s="5647" t="s">
        <v>456</v>
      </c>
      <c r="BA19" s="5648"/>
      <c r="BB19" s="5649"/>
      <c r="BC19" s="5170" t="s">
        <v>455</v>
      </c>
      <c r="BD19" s="5171"/>
      <c r="BE19" s="5172"/>
      <c r="BF19" s="5207" t="s">
        <v>437</v>
      </c>
      <c r="BG19" s="5208"/>
      <c r="BH19" s="5209"/>
      <c r="BI19" s="5198" t="s">
        <v>436</v>
      </c>
      <c r="BJ19" s="5199"/>
      <c r="BK19" s="5200"/>
      <c r="BL19" s="5198" t="s">
        <v>435</v>
      </c>
      <c r="BM19" s="5199"/>
      <c r="BN19" s="5200"/>
      <c r="BO19" s="93"/>
      <c r="BP19" s="5198" t="s">
        <v>454</v>
      </c>
      <c r="BQ19" s="5199"/>
      <c r="BR19" s="5200"/>
      <c r="BS19" s="5198" t="s">
        <v>453</v>
      </c>
      <c r="BT19" s="5199"/>
      <c r="BU19" s="5200"/>
      <c r="BV19" s="5207" t="s">
        <v>432</v>
      </c>
      <c r="BW19" s="5208"/>
      <c r="BX19" s="5209"/>
      <c r="BY19" s="76"/>
      <c r="BZ19" s="5458" t="s">
        <v>452</v>
      </c>
      <c r="CA19" s="5459"/>
      <c r="CB19" s="5459"/>
      <c r="CC19" s="5459"/>
      <c r="CD19" s="5459"/>
      <c r="CE19" s="5460"/>
      <c r="CF19" s="5521" t="s">
        <v>438</v>
      </c>
      <c r="CG19" s="5522"/>
      <c r="CH19" s="5523"/>
      <c r="CI19" s="5425" t="s">
        <v>451</v>
      </c>
      <c r="CJ19" s="5426"/>
      <c r="CK19" s="5427"/>
      <c r="CL19" s="5554" t="s">
        <v>450</v>
      </c>
      <c r="CM19" s="5555"/>
      <c r="CN19" s="5556"/>
      <c r="CO19" s="5554" t="s">
        <v>449</v>
      </c>
      <c r="CP19" s="5555"/>
      <c r="CQ19" s="5556"/>
      <c r="CR19" s="5554" t="s">
        <v>448</v>
      </c>
      <c r="CS19" s="5555"/>
      <c r="CT19" s="5556"/>
      <c r="CU19" s="5554" t="s">
        <v>447</v>
      </c>
      <c r="CV19" s="5555"/>
      <c r="CW19" s="5556"/>
      <c r="CX19" s="5539" t="s">
        <v>446</v>
      </c>
      <c r="CY19" s="5540"/>
      <c r="CZ19" s="5541"/>
      <c r="DA19" s="5512" t="s">
        <v>445</v>
      </c>
      <c r="DB19" s="5513"/>
      <c r="DC19" s="5514"/>
      <c r="DD19" s="5512" t="s">
        <v>444</v>
      </c>
      <c r="DE19" s="5513"/>
      <c r="DF19" s="5514"/>
      <c r="DG19" s="5512" t="s">
        <v>443</v>
      </c>
      <c r="DH19" s="5513"/>
      <c r="DI19" s="5514"/>
      <c r="DJ19" s="5512" t="s">
        <v>442</v>
      </c>
      <c r="DK19" s="5513"/>
      <c r="DL19" s="5514"/>
      <c r="DM19" s="5530" t="s">
        <v>441</v>
      </c>
      <c r="DN19" s="5531"/>
      <c r="DO19" s="5532"/>
      <c r="DP19" s="5324" t="s">
        <v>436</v>
      </c>
      <c r="DQ19" s="5325"/>
      <c r="DR19" s="5326"/>
      <c r="DS19" s="5467" t="s">
        <v>440</v>
      </c>
      <c r="DT19" s="5468"/>
      <c r="DU19" s="5469"/>
      <c r="DV19" s="25"/>
      <c r="DW19" s="5458" t="s">
        <v>439</v>
      </c>
      <c r="DX19" s="5459"/>
      <c r="DY19" s="5460"/>
      <c r="DZ19" s="5521" t="s">
        <v>438</v>
      </c>
      <c r="EA19" s="5522"/>
      <c r="EB19" s="5523"/>
      <c r="EC19" s="5425" t="s">
        <v>437</v>
      </c>
      <c r="ED19" s="5426"/>
      <c r="EE19" s="5427"/>
      <c r="EF19" s="5440" t="s">
        <v>436</v>
      </c>
      <c r="EG19" s="5441"/>
      <c r="EH19" s="5442"/>
      <c r="EI19" s="5467" t="s">
        <v>435</v>
      </c>
      <c r="EJ19" s="5468"/>
      <c r="EK19" s="5469"/>
      <c r="EL19" s="93"/>
      <c r="EM19" s="5467" t="s">
        <v>434</v>
      </c>
      <c r="EN19" s="5468"/>
      <c r="EO19" s="5469"/>
      <c r="EP19" s="5467" t="s">
        <v>433</v>
      </c>
      <c r="EQ19" s="5468"/>
      <c r="ER19" s="5469"/>
      <c r="ES19" s="5425" t="s">
        <v>432</v>
      </c>
      <c r="ET19" s="5426"/>
      <c r="EU19" s="5427"/>
      <c r="EV19" s="76"/>
      <c r="EW19" s="5485" t="s">
        <v>429</v>
      </c>
      <c r="EX19" s="5486"/>
      <c r="EY19" s="5487"/>
      <c r="EZ19" s="5407" t="s">
        <v>431</v>
      </c>
      <c r="FA19" s="5408"/>
      <c r="FB19" s="5409"/>
      <c r="FC19" s="5407" t="s">
        <v>427</v>
      </c>
      <c r="FD19" s="5408"/>
      <c r="FE19" s="5409"/>
      <c r="FF19" s="5458" t="s">
        <v>429</v>
      </c>
      <c r="FG19" s="5459"/>
      <c r="FH19" s="5460"/>
      <c r="FI19" s="5425" t="s">
        <v>139</v>
      </c>
      <c r="FJ19" s="5426"/>
      <c r="FK19" s="5427"/>
      <c r="FL19" s="5425" t="s">
        <v>427</v>
      </c>
      <c r="FM19" s="5426"/>
      <c r="FN19" s="5427"/>
      <c r="FO19" s="24"/>
      <c r="FP19" s="5572" t="s">
        <v>429</v>
      </c>
      <c r="FQ19" s="5573"/>
      <c r="FR19" s="5574"/>
      <c r="FS19" s="5581" t="s">
        <v>430</v>
      </c>
      <c r="FT19" s="5582"/>
      <c r="FU19" s="5583"/>
      <c r="FV19" s="5581" t="s">
        <v>427</v>
      </c>
      <c r="FW19" s="5582"/>
      <c r="FX19" s="5583"/>
      <c r="FY19" s="5603" t="s">
        <v>429</v>
      </c>
      <c r="FZ19" s="5604"/>
      <c r="GA19" s="5605"/>
      <c r="GB19" s="5354" t="s">
        <v>428</v>
      </c>
      <c r="GC19" s="5355"/>
      <c r="GD19" s="5356"/>
      <c r="GE19" s="5354" t="s">
        <v>427</v>
      </c>
      <c r="GF19" s="5355"/>
      <c r="GG19" s="5356"/>
      <c r="GH19" s="76"/>
      <c r="GI19" s="5263" t="s">
        <v>414</v>
      </c>
      <c r="GJ19" s="5264"/>
      <c r="GK19" s="5265"/>
      <c r="GL19" s="5263" t="s">
        <v>426</v>
      </c>
      <c r="GM19" s="5264"/>
      <c r="GN19" s="5265"/>
      <c r="GO19" s="5263" t="s">
        <v>425</v>
      </c>
      <c r="GP19" s="5264"/>
      <c r="GQ19" s="5265"/>
      <c r="GR19" s="5437" t="s">
        <v>424</v>
      </c>
      <c r="GS19" s="5434" t="s">
        <v>423</v>
      </c>
      <c r="GT19" s="5434" t="s">
        <v>422</v>
      </c>
      <c r="GU19" s="25"/>
      <c r="GV19" s="5263" t="s">
        <v>414</v>
      </c>
      <c r="GW19" s="5264"/>
      <c r="GX19" s="5265"/>
      <c r="GY19" s="5263" t="s">
        <v>416</v>
      </c>
      <c r="GZ19" s="5264"/>
      <c r="HA19" s="5265"/>
      <c r="HB19" s="5263" t="s">
        <v>415</v>
      </c>
      <c r="HC19" s="5264"/>
      <c r="HD19" s="5265"/>
      <c r="HE19" s="25"/>
      <c r="HF19" s="25"/>
      <c r="HG19" s="5257" t="s">
        <v>414</v>
      </c>
      <c r="HH19" s="5258"/>
      <c r="HI19" s="5259"/>
      <c r="HJ19" s="5257" t="s">
        <v>421</v>
      </c>
      <c r="HK19" s="5258"/>
      <c r="HL19" s="5259"/>
      <c r="HM19" s="5257" t="s">
        <v>420</v>
      </c>
      <c r="HN19" s="5258"/>
      <c r="HO19" s="5259"/>
      <c r="HP19" s="5437" t="s">
        <v>419</v>
      </c>
      <c r="HQ19" s="5437" t="s">
        <v>418</v>
      </c>
      <c r="HR19" s="5437" t="s">
        <v>417</v>
      </c>
      <c r="HS19" s="25"/>
      <c r="HT19" s="5257" t="s">
        <v>414</v>
      </c>
      <c r="HU19" s="5258"/>
      <c r="HV19" s="5259"/>
      <c r="HW19" s="5257" t="s">
        <v>416</v>
      </c>
      <c r="HX19" s="5258"/>
      <c r="HY19" s="5259"/>
      <c r="HZ19" s="5257" t="s">
        <v>415</v>
      </c>
      <c r="IA19" s="5258"/>
      <c r="IB19" s="5259"/>
      <c r="IC19" s="93"/>
      <c r="ID19" s="5257" t="s">
        <v>414</v>
      </c>
      <c r="IE19" s="5258"/>
      <c r="IF19" s="5259"/>
      <c r="IG19" s="5257" t="s">
        <v>413</v>
      </c>
      <c r="IH19" s="5258"/>
      <c r="II19" s="5259"/>
      <c r="IJ19" s="5257" t="s">
        <v>412</v>
      </c>
      <c r="IK19" s="5258"/>
      <c r="IL19" s="5259"/>
      <c r="IM19" s="117"/>
      <c r="IN19" s="117"/>
      <c r="IO19" s="117"/>
      <c r="IP19" s="117"/>
      <c r="IQ19" s="117"/>
      <c r="IR19" s="117"/>
      <c r="IS19" s="117"/>
      <c r="IT19" s="117"/>
    </row>
    <row r="20" spans="1:256" s="21" customFormat="1" ht="13.5" customHeight="1" thickBot="1">
      <c r="A20" s="5686"/>
      <c r="B20" s="344"/>
      <c r="C20" s="5650"/>
      <c r="D20" s="5651"/>
      <c r="E20" s="5651"/>
      <c r="F20" s="5651"/>
      <c r="G20" s="5651"/>
      <c r="H20" s="5652"/>
      <c r="I20" s="5173"/>
      <c r="J20" s="5174"/>
      <c r="K20" s="5175"/>
      <c r="L20" s="5210"/>
      <c r="M20" s="5211"/>
      <c r="N20" s="5212"/>
      <c r="O20" s="5693"/>
      <c r="P20" s="5694"/>
      <c r="Q20" s="5695"/>
      <c r="R20" s="5693"/>
      <c r="S20" s="5694"/>
      <c r="T20" s="5695"/>
      <c r="U20" s="5693"/>
      <c r="V20" s="5694"/>
      <c r="W20" s="5695"/>
      <c r="X20" s="5693"/>
      <c r="Y20" s="5694"/>
      <c r="Z20" s="5695"/>
      <c r="AA20" s="5723"/>
      <c r="AB20" s="5724"/>
      <c r="AC20" s="5725"/>
      <c r="AD20" s="5615"/>
      <c r="AE20" s="5616"/>
      <c r="AF20" s="5617"/>
      <c r="AG20" s="5615"/>
      <c r="AH20" s="5616"/>
      <c r="AI20" s="5617"/>
      <c r="AJ20" s="5615"/>
      <c r="AK20" s="5616"/>
      <c r="AL20" s="5617"/>
      <c r="AM20" s="5615"/>
      <c r="AN20" s="5616"/>
      <c r="AO20" s="5617"/>
      <c r="AP20" s="5624"/>
      <c r="AQ20" s="5625"/>
      <c r="AR20" s="5626"/>
      <c r="AS20" s="5327"/>
      <c r="AT20" s="5328"/>
      <c r="AU20" s="5329"/>
      <c r="AV20" s="5201"/>
      <c r="AW20" s="5202"/>
      <c r="AX20" s="5203"/>
      <c r="AY20" s="25"/>
      <c r="AZ20" s="5650"/>
      <c r="BA20" s="5651"/>
      <c r="BB20" s="5652"/>
      <c r="BC20" s="5173"/>
      <c r="BD20" s="5174"/>
      <c r="BE20" s="5175"/>
      <c r="BF20" s="5210"/>
      <c r="BG20" s="5211"/>
      <c r="BH20" s="5212"/>
      <c r="BI20" s="5201"/>
      <c r="BJ20" s="5202"/>
      <c r="BK20" s="5203"/>
      <c r="BL20" s="5201"/>
      <c r="BM20" s="5202"/>
      <c r="BN20" s="5203"/>
      <c r="BO20" s="93"/>
      <c r="BP20" s="5201"/>
      <c r="BQ20" s="5202"/>
      <c r="BR20" s="5203"/>
      <c r="BS20" s="5201"/>
      <c r="BT20" s="5202"/>
      <c r="BU20" s="5203"/>
      <c r="BV20" s="5210"/>
      <c r="BW20" s="5211"/>
      <c r="BX20" s="5212"/>
      <c r="BY20" s="76"/>
      <c r="BZ20" s="5679"/>
      <c r="CA20" s="5680"/>
      <c r="CB20" s="5680"/>
      <c r="CC20" s="5680"/>
      <c r="CD20" s="5680"/>
      <c r="CE20" s="5681"/>
      <c r="CF20" s="5524"/>
      <c r="CG20" s="5525"/>
      <c r="CH20" s="5526"/>
      <c r="CI20" s="5428"/>
      <c r="CJ20" s="5429"/>
      <c r="CK20" s="5430"/>
      <c r="CL20" s="5557"/>
      <c r="CM20" s="5558"/>
      <c r="CN20" s="5559"/>
      <c r="CO20" s="5557"/>
      <c r="CP20" s="5558"/>
      <c r="CQ20" s="5559"/>
      <c r="CR20" s="5557"/>
      <c r="CS20" s="5558"/>
      <c r="CT20" s="5559"/>
      <c r="CU20" s="5557"/>
      <c r="CV20" s="5558"/>
      <c r="CW20" s="5559"/>
      <c r="CX20" s="5542"/>
      <c r="CY20" s="5543"/>
      <c r="CZ20" s="5544"/>
      <c r="DA20" s="5515"/>
      <c r="DB20" s="5516"/>
      <c r="DC20" s="5517"/>
      <c r="DD20" s="5515"/>
      <c r="DE20" s="5516"/>
      <c r="DF20" s="5517"/>
      <c r="DG20" s="5515"/>
      <c r="DH20" s="5516"/>
      <c r="DI20" s="5517"/>
      <c r="DJ20" s="5515"/>
      <c r="DK20" s="5516"/>
      <c r="DL20" s="5517"/>
      <c r="DM20" s="5533"/>
      <c r="DN20" s="5534"/>
      <c r="DO20" s="5535"/>
      <c r="DP20" s="5327"/>
      <c r="DQ20" s="5328"/>
      <c r="DR20" s="5329"/>
      <c r="DS20" s="5470"/>
      <c r="DT20" s="5471"/>
      <c r="DU20" s="5472"/>
      <c r="DV20" s="25"/>
      <c r="DW20" s="5461"/>
      <c r="DX20" s="5462"/>
      <c r="DY20" s="5463"/>
      <c r="DZ20" s="5524"/>
      <c r="EA20" s="5525"/>
      <c r="EB20" s="5526"/>
      <c r="EC20" s="5428"/>
      <c r="ED20" s="5429"/>
      <c r="EE20" s="5430"/>
      <c r="EF20" s="5443"/>
      <c r="EG20" s="5444"/>
      <c r="EH20" s="5445"/>
      <c r="EI20" s="5470"/>
      <c r="EJ20" s="5471"/>
      <c r="EK20" s="5472"/>
      <c r="EL20" s="93"/>
      <c r="EM20" s="5470"/>
      <c r="EN20" s="5471"/>
      <c r="EO20" s="5472"/>
      <c r="EP20" s="5470"/>
      <c r="EQ20" s="5471"/>
      <c r="ER20" s="5472"/>
      <c r="ES20" s="5428"/>
      <c r="ET20" s="5429"/>
      <c r="EU20" s="5430"/>
      <c r="EV20" s="76"/>
      <c r="EW20" s="5488"/>
      <c r="EX20" s="5489"/>
      <c r="EY20" s="5490"/>
      <c r="EZ20" s="5410"/>
      <c r="FA20" s="5411"/>
      <c r="FB20" s="5412"/>
      <c r="FC20" s="5410"/>
      <c r="FD20" s="5411"/>
      <c r="FE20" s="5412"/>
      <c r="FF20" s="5461"/>
      <c r="FG20" s="5462"/>
      <c r="FH20" s="5463"/>
      <c r="FI20" s="5428"/>
      <c r="FJ20" s="5429"/>
      <c r="FK20" s="5430"/>
      <c r="FL20" s="5428"/>
      <c r="FM20" s="5429"/>
      <c r="FN20" s="5430"/>
      <c r="FO20" s="24"/>
      <c r="FP20" s="5575"/>
      <c r="FQ20" s="5576"/>
      <c r="FR20" s="5577"/>
      <c r="FS20" s="5584"/>
      <c r="FT20" s="5585"/>
      <c r="FU20" s="5586"/>
      <c r="FV20" s="5584"/>
      <c r="FW20" s="5585"/>
      <c r="FX20" s="5586"/>
      <c r="FY20" s="5606"/>
      <c r="FZ20" s="5607"/>
      <c r="GA20" s="5608"/>
      <c r="GB20" s="5357"/>
      <c r="GC20" s="5358"/>
      <c r="GD20" s="5359"/>
      <c r="GE20" s="5357"/>
      <c r="GF20" s="5358"/>
      <c r="GG20" s="5359"/>
      <c r="GH20" s="76"/>
      <c r="GI20" s="5266"/>
      <c r="GJ20" s="5267"/>
      <c r="GK20" s="5268"/>
      <c r="GL20" s="5266"/>
      <c r="GM20" s="5267"/>
      <c r="GN20" s="5268"/>
      <c r="GO20" s="5266"/>
      <c r="GP20" s="5267"/>
      <c r="GQ20" s="5268"/>
      <c r="GR20" s="5438"/>
      <c r="GS20" s="5435"/>
      <c r="GT20" s="5435"/>
      <c r="GU20" s="25"/>
      <c r="GV20" s="5266"/>
      <c r="GW20" s="5267"/>
      <c r="GX20" s="5268"/>
      <c r="GY20" s="5266"/>
      <c r="GZ20" s="5267"/>
      <c r="HA20" s="5268"/>
      <c r="HB20" s="5266"/>
      <c r="HC20" s="5267"/>
      <c r="HD20" s="5268"/>
      <c r="HE20" s="25"/>
      <c r="HF20" s="25"/>
      <c r="HG20" s="5260"/>
      <c r="HH20" s="5261"/>
      <c r="HI20" s="5262"/>
      <c r="HJ20" s="5260"/>
      <c r="HK20" s="5261"/>
      <c r="HL20" s="5262"/>
      <c r="HM20" s="5260"/>
      <c r="HN20" s="5261"/>
      <c r="HO20" s="5262"/>
      <c r="HP20" s="5438"/>
      <c r="HQ20" s="5438"/>
      <c r="HR20" s="5438"/>
      <c r="HS20" s="24"/>
      <c r="HT20" s="5260"/>
      <c r="HU20" s="5261"/>
      <c r="HV20" s="5262"/>
      <c r="HW20" s="5260"/>
      <c r="HX20" s="5261"/>
      <c r="HY20" s="5262"/>
      <c r="HZ20" s="5260"/>
      <c r="IA20" s="5261"/>
      <c r="IB20" s="5262"/>
      <c r="IC20" s="93"/>
      <c r="ID20" s="5260"/>
      <c r="IE20" s="5261"/>
      <c r="IF20" s="5262"/>
      <c r="IG20" s="5260"/>
      <c r="IH20" s="5261"/>
      <c r="II20" s="5262"/>
      <c r="IJ20" s="5260"/>
      <c r="IK20" s="5261"/>
      <c r="IL20" s="5262"/>
      <c r="IM20" s="117"/>
      <c r="IN20" s="117"/>
      <c r="IO20" s="117"/>
      <c r="IP20" s="117"/>
      <c r="IQ20" s="117"/>
      <c r="IR20" s="117"/>
      <c r="IS20" s="117"/>
      <c r="IT20" s="117"/>
    </row>
    <row r="21" spans="1:256" s="21" customFormat="1" ht="12.75" customHeight="1">
      <c r="A21" s="5686"/>
      <c r="B21" s="344"/>
      <c r="C21" s="5733" t="s">
        <v>20</v>
      </c>
      <c r="D21" s="5716"/>
      <c r="E21" s="5715" t="s">
        <v>356</v>
      </c>
      <c r="F21" s="5716"/>
      <c r="G21" s="5715" t="s">
        <v>355</v>
      </c>
      <c r="H21" s="5719"/>
      <c r="I21" s="5177"/>
      <c r="J21" s="5177"/>
      <c r="K21" s="5178"/>
      <c r="L21" s="5213"/>
      <c r="M21" s="5214"/>
      <c r="N21" s="5215"/>
      <c r="O21" s="5696"/>
      <c r="P21" s="5697"/>
      <c r="Q21" s="5698"/>
      <c r="R21" s="5696"/>
      <c r="S21" s="5697"/>
      <c r="T21" s="5698"/>
      <c r="U21" s="5696"/>
      <c r="V21" s="5697"/>
      <c r="W21" s="5698"/>
      <c r="X21" s="5696"/>
      <c r="Y21" s="5697"/>
      <c r="Z21" s="5698"/>
      <c r="AA21" s="5726"/>
      <c r="AB21" s="5727"/>
      <c r="AC21" s="5728"/>
      <c r="AD21" s="5618"/>
      <c r="AE21" s="5619"/>
      <c r="AF21" s="5620"/>
      <c r="AG21" s="5618"/>
      <c r="AH21" s="5619"/>
      <c r="AI21" s="5620"/>
      <c r="AJ21" s="5618"/>
      <c r="AK21" s="5619"/>
      <c r="AL21" s="5620"/>
      <c r="AM21" s="5618"/>
      <c r="AN21" s="5619"/>
      <c r="AO21" s="5620"/>
      <c r="AP21" s="5627"/>
      <c r="AQ21" s="5628"/>
      <c r="AR21" s="5629"/>
      <c r="AS21" s="5330"/>
      <c r="AT21" s="5331"/>
      <c r="AU21" s="5332"/>
      <c r="AV21" s="5204"/>
      <c r="AW21" s="5205"/>
      <c r="AX21" s="5206"/>
      <c r="AY21" s="25"/>
      <c r="AZ21" s="5653"/>
      <c r="BA21" s="5654"/>
      <c r="BB21" s="5655"/>
      <c r="BC21" s="5176"/>
      <c r="BD21" s="5177"/>
      <c r="BE21" s="5178"/>
      <c r="BF21" s="5213"/>
      <c r="BG21" s="5214"/>
      <c r="BH21" s="5215"/>
      <c r="BI21" s="5204"/>
      <c r="BJ21" s="5205"/>
      <c r="BK21" s="5206"/>
      <c r="BL21" s="5204"/>
      <c r="BM21" s="5205"/>
      <c r="BN21" s="5206"/>
      <c r="BO21" s="93"/>
      <c r="BP21" s="5204"/>
      <c r="BQ21" s="5205"/>
      <c r="BR21" s="5206"/>
      <c r="BS21" s="5204"/>
      <c r="BT21" s="5205"/>
      <c r="BU21" s="5206"/>
      <c r="BV21" s="5213"/>
      <c r="BW21" s="5214"/>
      <c r="BX21" s="5215"/>
      <c r="BY21" s="76"/>
      <c r="BZ21" s="5675" t="s">
        <v>20</v>
      </c>
      <c r="CA21" s="5676"/>
      <c r="CB21" s="5677" t="s">
        <v>356</v>
      </c>
      <c r="CC21" s="5676"/>
      <c r="CD21" s="5677" t="s">
        <v>355</v>
      </c>
      <c r="CE21" s="5682"/>
      <c r="CF21" s="5527"/>
      <c r="CG21" s="5528"/>
      <c r="CH21" s="5529"/>
      <c r="CI21" s="5630"/>
      <c r="CJ21" s="5631"/>
      <c r="CK21" s="5632"/>
      <c r="CL21" s="5560"/>
      <c r="CM21" s="5561"/>
      <c r="CN21" s="5562"/>
      <c r="CO21" s="5560"/>
      <c r="CP21" s="5561"/>
      <c r="CQ21" s="5562"/>
      <c r="CR21" s="5560"/>
      <c r="CS21" s="5561"/>
      <c r="CT21" s="5562"/>
      <c r="CU21" s="5560"/>
      <c r="CV21" s="5561"/>
      <c r="CW21" s="5562"/>
      <c r="CX21" s="5642"/>
      <c r="CY21" s="5643"/>
      <c r="CZ21" s="5644"/>
      <c r="DA21" s="5518"/>
      <c r="DB21" s="5519"/>
      <c r="DC21" s="5520"/>
      <c r="DD21" s="5518"/>
      <c r="DE21" s="5519"/>
      <c r="DF21" s="5520"/>
      <c r="DG21" s="5518"/>
      <c r="DH21" s="5519"/>
      <c r="DI21" s="5520"/>
      <c r="DJ21" s="5518"/>
      <c r="DK21" s="5519"/>
      <c r="DL21" s="5520"/>
      <c r="DM21" s="5536"/>
      <c r="DN21" s="5537"/>
      <c r="DO21" s="5538"/>
      <c r="DP21" s="5330"/>
      <c r="DQ21" s="5331"/>
      <c r="DR21" s="5332"/>
      <c r="DS21" s="5473"/>
      <c r="DT21" s="5474"/>
      <c r="DU21" s="5475"/>
      <c r="DV21" s="25"/>
      <c r="DW21" s="5464"/>
      <c r="DX21" s="5465"/>
      <c r="DY21" s="5466"/>
      <c r="DZ21" s="5527"/>
      <c r="EA21" s="5528"/>
      <c r="EB21" s="5529"/>
      <c r="EC21" s="5630"/>
      <c r="ED21" s="5631"/>
      <c r="EE21" s="5632"/>
      <c r="EF21" s="5446"/>
      <c r="EG21" s="5447"/>
      <c r="EH21" s="5448"/>
      <c r="EI21" s="5473"/>
      <c r="EJ21" s="5474"/>
      <c r="EK21" s="5475"/>
      <c r="EL21" s="93"/>
      <c r="EM21" s="5473"/>
      <c r="EN21" s="5474"/>
      <c r="EO21" s="5475"/>
      <c r="EP21" s="5473"/>
      <c r="EQ21" s="5474"/>
      <c r="ER21" s="5475"/>
      <c r="ES21" s="5630"/>
      <c r="ET21" s="5631"/>
      <c r="EU21" s="5632"/>
      <c r="EV21" s="76"/>
      <c r="EW21" s="5491"/>
      <c r="EX21" s="5492"/>
      <c r="EY21" s="5493"/>
      <c r="EZ21" s="5413"/>
      <c r="FA21" s="5414"/>
      <c r="FB21" s="5415"/>
      <c r="FC21" s="5413"/>
      <c r="FD21" s="5414"/>
      <c r="FE21" s="5415"/>
      <c r="FF21" s="5464"/>
      <c r="FG21" s="5465"/>
      <c r="FH21" s="5466"/>
      <c r="FI21" s="5431"/>
      <c r="FJ21" s="5432"/>
      <c r="FK21" s="5433"/>
      <c r="FL21" s="5431"/>
      <c r="FM21" s="5432"/>
      <c r="FN21" s="5433"/>
      <c r="FO21" s="24"/>
      <c r="FP21" s="5578"/>
      <c r="FQ21" s="5579"/>
      <c r="FR21" s="5580"/>
      <c r="FS21" s="5587"/>
      <c r="FT21" s="5588"/>
      <c r="FU21" s="5589"/>
      <c r="FV21" s="5587"/>
      <c r="FW21" s="5588"/>
      <c r="FX21" s="5589"/>
      <c r="FY21" s="5609"/>
      <c r="FZ21" s="5610"/>
      <c r="GA21" s="5611"/>
      <c r="GB21" s="5360"/>
      <c r="GC21" s="5361"/>
      <c r="GD21" s="5362"/>
      <c r="GE21" s="5360"/>
      <c r="GF21" s="5361"/>
      <c r="GG21" s="5362"/>
      <c r="GH21" s="76"/>
      <c r="GI21" s="387"/>
      <c r="GJ21" s="386"/>
      <c r="GK21" s="385"/>
      <c r="GL21" s="387"/>
      <c r="GM21" s="386"/>
      <c r="GN21" s="385"/>
      <c r="GO21" s="387"/>
      <c r="GP21" s="386"/>
      <c r="GQ21" s="385"/>
      <c r="GR21" s="5438"/>
      <c r="GS21" s="5435"/>
      <c r="GT21" s="5435"/>
      <c r="GU21" s="25"/>
      <c r="GV21" s="5590"/>
      <c r="GW21" s="5591"/>
      <c r="GX21" s="5592"/>
      <c r="GY21" s="5590"/>
      <c r="GZ21" s="5591"/>
      <c r="HA21" s="5592"/>
      <c r="HB21" s="5590"/>
      <c r="HC21" s="5591"/>
      <c r="HD21" s="5592"/>
      <c r="HE21" s="25"/>
      <c r="HF21" s="25"/>
      <c r="HG21" s="387"/>
      <c r="HH21" s="386"/>
      <c r="HI21" s="385"/>
      <c r="HJ21" s="387"/>
      <c r="HK21" s="386"/>
      <c r="HL21" s="385"/>
      <c r="HM21" s="387"/>
      <c r="HN21" s="386"/>
      <c r="HO21" s="385"/>
      <c r="HP21" s="5438"/>
      <c r="HQ21" s="5438"/>
      <c r="HR21" s="5438"/>
      <c r="HS21" s="25"/>
      <c r="HT21" s="387"/>
      <c r="HU21" s="386"/>
      <c r="HV21" s="385"/>
      <c r="HW21" s="387"/>
      <c r="HX21" s="386"/>
      <c r="HY21" s="385"/>
      <c r="HZ21" s="387"/>
      <c r="IA21" s="386"/>
      <c r="IB21" s="385"/>
      <c r="IC21" s="93"/>
      <c r="ID21" s="384"/>
      <c r="IE21" s="383"/>
      <c r="IF21" s="382"/>
      <c r="IG21" s="384"/>
      <c r="IH21" s="383"/>
      <c r="II21" s="382"/>
      <c r="IJ21" s="384"/>
      <c r="IK21" s="383"/>
      <c r="IL21" s="382"/>
      <c r="IM21" s="117"/>
      <c r="IN21" s="27"/>
      <c r="IO21" s="27"/>
      <c r="IP21" s="27"/>
      <c r="IQ21" s="27"/>
      <c r="IR21" s="27"/>
      <c r="IS21" s="27"/>
      <c r="IT21" s="27"/>
    </row>
    <row r="22" spans="1:256" s="21" customFormat="1" ht="13.5" customHeight="1" thickBot="1">
      <c r="A22" s="5686"/>
      <c r="B22" s="344"/>
      <c r="C22" s="381" t="s">
        <v>411</v>
      </c>
      <c r="D22" s="380" t="s">
        <v>410</v>
      </c>
      <c r="E22" s="379" t="s">
        <v>411</v>
      </c>
      <c r="F22" s="380" t="s">
        <v>410</v>
      </c>
      <c r="G22" s="379" t="s">
        <v>411</v>
      </c>
      <c r="H22" s="378" t="s">
        <v>410</v>
      </c>
      <c r="I22" s="377" t="s">
        <v>20</v>
      </c>
      <c r="J22" s="334" t="s">
        <v>356</v>
      </c>
      <c r="K22" s="333" t="s">
        <v>355</v>
      </c>
      <c r="L22" s="335" t="s">
        <v>20</v>
      </c>
      <c r="M22" s="334" t="s">
        <v>356</v>
      </c>
      <c r="N22" s="333" t="s">
        <v>355</v>
      </c>
      <c r="O22" s="335" t="s">
        <v>20</v>
      </c>
      <c r="P22" s="334" t="s">
        <v>356</v>
      </c>
      <c r="Q22" s="333" t="s">
        <v>355</v>
      </c>
      <c r="R22" s="335" t="s">
        <v>20</v>
      </c>
      <c r="S22" s="334" t="s">
        <v>356</v>
      </c>
      <c r="T22" s="333" t="s">
        <v>355</v>
      </c>
      <c r="U22" s="335" t="s">
        <v>20</v>
      </c>
      <c r="V22" s="334" t="s">
        <v>356</v>
      </c>
      <c r="W22" s="333" t="s">
        <v>355</v>
      </c>
      <c r="X22" s="335" t="s">
        <v>20</v>
      </c>
      <c r="Y22" s="334" t="s">
        <v>356</v>
      </c>
      <c r="Z22" s="333" t="s">
        <v>355</v>
      </c>
      <c r="AA22" s="335" t="s">
        <v>20</v>
      </c>
      <c r="AB22" s="334" t="s">
        <v>356</v>
      </c>
      <c r="AC22" s="333" t="s">
        <v>355</v>
      </c>
      <c r="AD22" s="335" t="s">
        <v>20</v>
      </c>
      <c r="AE22" s="334" t="s">
        <v>356</v>
      </c>
      <c r="AF22" s="333" t="s">
        <v>355</v>
      </c>
      <c r="AG22" s="335" t="s">
        <v>20</v>
      </c>
      <c r="AH22" s="334" t="s">
        <v>356</v>
      </c>
      <c r="AI22" s="333" t="s">
        <v>355</v>
      </c>
      <c r="AJ22" s="335" t="s">
        <v>20</v>
      </c>
      <c r="AK22" s="334" t="s">
        <v>356</v>
      </c>
      <c r="AL22" s="333" t="s">
        <v>355</v>
      </c>
      <c r="AM22" s="335" t="s">
        <v>20</v>
      </c>
      <c r="AN22" s="334" t="s">
        <v>356</v>
      </c>
      <c r="AO22" s="333" t="s">
        <v>355</v>
      </c>
      <c r="AP22" s="335" t="s">
        <v>20</v>
      </c>
      <c r="AQ22" s="334" t="s">
        <v>356</v>
      </c>
      <c r="AR22" s="333" t="s">
        <v>355</v>
      </c>
      <c r="AS22" s="335" t="s">
        <v>20</v>
      </c>
      <c r="AT22" s="334" t="s">
        <v>356</v>
      </c>
      <c r="AU22" s="333" t="s">
        <v>355</v>
      </c>
      <c r="AV22" s="335" t="s">
        <v>20</v>
      </c>
      <c r="AW22" s="334" t="s">
        <v>356</v>
      </c>
      <c r="AX22" s="333" t="s">
        <v>355</v>
      </c>
      <c r="AY22" s="25"/>
      <c r="AZ22" s="335" t="s">
        <v>20</v>
      </c>
      <c r="BA22" s="334" t="s">
        <v>356</v>
      </c>
      <c r="BB22" s="333" t="s">
        <v>355</v>
      </c>
      <c r="BC22" s="335" t="s">
        <v>20</v>
      </c>
      <c r="BD22" s="334" t="s">
        <v>356</v>
      </c>
      <c r="BE22" s="333" t="s">
        <v>355</v>
      </c>
      <c r="BF22" s="335" t="s">
        <v>20</v>
      </c>
      <c r="BG22" s="334" t="s">
        <v>356</v>
      </c>
      <c r="BH22" s="333" t="s">
        <v>355</v>
      </c>
      <c r="BI22" s="335" t="s">
        <v>20</v>
      </c>
      <c r="BJ22" s="334" t="s">
        <v>356</v>
      </c>
      <c r="BK22" s="333" t="s">
        <v>355</v>
      </c>
      <c r="BL22" s="335" t="s">
        <v>20</v>
      </c>
      <c r="BM22" s="334" t="s">
        <v>356</v>
      </c>
      <c r="BN22" s="333" t="s">
        <v>355</v>
      </c>
      <c r="BO22" s="93"/>
      <c r="BP22" s="335" t="s">
        <v>20</v>
      </c>
      <c r="BQ22" s="334" t="s">
        <v>356</v>
      </c>
      <c r="BR22" s="333" t="s">
        <v>355</v>
      </c>
      <c r="BS22" s="335" t="s">
        <v>20</v>
      </c>
      <c r="BT22" s="334" t="s">
        <v>356</v>
      </c>
      <c r="BU22" s="333" t="s">
        <v>355</v>
      </c>
      <c r="BV22" s="335" t="s">
        <v>20</v>
      </c>
      <c r="BW22" s="334" t="s">
        <v>356</v>
      </c>
      <c r="BX22" s="333" t="s">
        <v>355</v>
      </c>
      <c r="BY22" s="76"/>
      <c r="BZ22" s="375" t="s">
        <v>641</v>
      </c>
      <c r="CA22" s="376"/>
      <c r="CB22" s="375" t="s">
        <v>641</v>
      </c>
      <c r="CC22" s="376"/>
      <c r="CD22" s="375" t="s">
        <v>641</v>
      </c>
      <c r="CE22" s="374"/>
      <c r="CF22" s="335" t="s">
        <v>20</v>
      </c>
      <c r="CG22" s="334" t="s">
        <v>356</v>
      </c>
      <c r="CH22" s="333" t="s">
        <v>355</v>
      </c>
      <c r="CI22" s="335" t="s">
        <v>20</v>
      </c>
      <c r="CJ22" s="334" t="s">
        <v>356</v>
      </c>
      <c r="CK22" s="333" t="s">
        <v>355</v>
      </c>
      <c r="CL22" s="335" t="s">
        <v>20</v>
      </c>
      <c r="CM22" s="334" t="s">
        <v>356</v>
      </c>
      <c r="CN22" s="333" t="s">
        <v>355</v>
      </c>
      <c r="CO22" s="335" t="s">
        <v>20</v>
      </c>
      <c r="CP22" s="334" t="s">
        <v>356</v>
      </c>
      <c r="CQ22" s="333" t="s">
        <v>355</v>
      </c>
      <c r="CR22" s="335" t="s">
        <v>20</v>
      </c>
      <c r="CS22" s="334" t="s">
        <v>356</v>
      </c>
      <c r="CT22" s="333" t="s">
        <v>355</v>
      </c>
      <c r="CU22" s="335" t="s">
        <v>20</v>
      </c>
      <c r="CV22" s="334" t="s">
        <v>356</v>
      </c>
      <c r="CW22" s="333" t="s">
        <v>355</v>
      </c>
      <c r="CX22" s="335" t="s">
        <v>20</v>
      </c>
      <c r="CY22" s="334" t="s">
        <v>356</v>
      </c>
      <c r="CZ22" s="333" t="s">
        <v>355</v>
      </c>
      <c r="DA22" s="335" t="s">
        <v>20</v>
      </c>
      <c r="DB22" s="334" t="s">
        <v>356</v>
      </c>
      <c r="DC22" s="333" t="s">
        <v>355</v>
      </c>
      <c r="DD22" s="335" t="s">
        <v>20</v>
      </c>
      <c r="DE22" s="334" t="s">
        <v>356</v>
      </c>
      <c r="DF22" s="333" t="s">
        <v>355</v>
      </c>
      <c r="DG22" s="335" t="s">
        <v>20</v>
      </c>
      <c r="DH22" s="334" t="s">
        <v>356</v>
      </c>
      <c r="DI22" s="333" t="s">
        <v>355</v>
      </c>
      <c r="DJ22" s="335" t="s">
        <v>20</v>
      </c>
      <c r="DK22" s="334" t="s">
        <v>356</v>
      </c>
      <c r="DL22" s="333" t="s">
        <v>355</v>
      </c>
      <c r="DM22" s="335" t="s">
        <v>20</v>
      </c>
      <c r="DN22" s="334" t="s">
        <v>356</v>
      </c>
      <c r="DO22" s="333" t="s">
        <v>355</v>
      </c>
      <c r="DP22" s="335" t="s">
        <v>20</v>
      </c>
      <c r="DQ22" s="334" t="s">
        <v>356</v>
      </c>
      <c r="DR22" s="333" t="s">
        <v>355</v>
      </c>
      <c r="DS22" s="335" t="s">
        <v>20</v>
      </c>
      <c r="DT22" s="334" t="s">
        <v>356</v>
      </c>
      <c r="DU22" s="333" t="s">
        <v>355</v>
      </c>
      <c r="DV22" s="25"/>
      <c r="DW22" s="335" t="s">
        <v>20</v>
      </c>
      <c r="DX22" s="334" t="s">
        <v>356</v>
      </c>
      <c r="DY22" s="333" t="s">
        <v>355</v>
      </c>
      <c r="DZ22" s="335" t="s">
        <v>20</v>
      </c>
      <c r="EA22" s="334" t="s">
        <v>356</v>
      </c>
      <c r="EB22" s="333" t="s">
        <v>355</v>
      </c>
      <c r="EC22" s="335" t="s">
        <v>20</v>
      </c>
      <c r="ED22" s="334" t="s">
        <v>356</v>
      </c>
      <c r="EE22" s="333" t="s">
        <v>355</v>
      </c>
      <c r="EF22" s="335" t="s">
        <v>20</v>
      </c>
      <c r="EG22" s="334" t="s">
        <v>356</v>
      </c>
      <c r="EH22" s="333" t="s">
        <v>355</v>
      </c>
      <c r="EI22" s="335" t="s">
        <v>20</v>
      </c>
      <c r="EJ22" s="334" t="s">
        <v>356</v>
      </c>
      <c r="EK22" s="333" t="s">
        <v>355</v>
      </c>
      <c r="EL22" s="93"/>
      <c r="EM22" s="335" t="s">
        <v>20</v>
      </c>
      <c r="EN22" s="334" t="s">
        <v>356</v>
      </c>
      <c r="EO22" s="333" t="s">
        <v>355</v>
      </c>
      <c r="EP22" s="335" t="s">
        <v>20</v>
      </c>
      <c r="EQ22" s="334" t="s">
        <v>356</v>
      </c>
      <c r="ER22" s="333" t="s">
        <v>355</v>
      </c>
      <c r="ES22" s="335" t="s">
        <v>20</v>
      </c>
      <c r="ET22" s="334" t="s">
        <v>356</v>
      </c>
      <c r="EU22" s="333" t="s">
        <v>355</v>
      </c>
      <c r="EV22" s="76"/>
      <c r="EW22" s="373" t="s">
        <v>20</v>
      </c>
      <c r="EX22" s="372" t="s">
        <v>356</v>
      </c>
      <c r="EY22" s="371" t="s">
        <v>355</v>
      </c>
      <c r="EZ22" s="373" t="s">
        <v>20</v>
      </c>
      <c r="FA22" s="372" t="s">
        <v>356</v>
      </c>
      <c r="FB22" s="371" t="s">
        <v>355</v>
      </c>
      <c r="FC22" s="373" t="s">
        <v>20</v>
      </c>
      <c r="FD22" s="372" t="s">
        <v>356</v>
      </c>
      <c r="FE22" s="371" t="s">
        <v>355</v>
      </c>
      <c r="FF22" s="373" t="s">
        <v>20</v>
      </c>
      <c r="FG22" s="372" t="s">
        <v>356</v>
      </c>
      <c r="FH22" s="371" t="s">
        <v>355</v>
      </c>
      <c r="FI22" s="373" t="s">
        <v>20</v>
      </c>
      <c r="FJ22" s="372" t="s">
        <v>356</v>
      </c>
      <c r="FK22" s="371" t="s">
        <v>355</v>
      </c>
      <c r="FL22" s="373" t="s">
        <v>20</v>
      </c>
      <c r="FM22" s="372" t="s">
        <v>356</v>
      </c>
      <c r="FN22" s="371" t="s">
        <v>355</v>
      </c>
      <c r="FO22" s="24"/>
      <c r="FP22" s="335" t="s">
        <v>20</v>
      </c>
      <c r="FQ22" s="334" t="s">
        <v>356</v>
      </c>
      <c r="FR22" s="333" t="s">
        <v>355</v>
      </c>
      <c r="FS22" s="335" t="s">
        <v>20</v>
      </c>
      <c r="FT22" s="334" t="s">
        <v>356</v>
      </c>
      <c r="FU22" s="333" t="s">
        <v>355</v>
      </c>
      <c r="FV22" s="335" t="s">
        <v>20</v>
      </c>
      <c r="FW22" s="334" t="s">
        <v>356</v>
      </c>
      <c r="FX22" s="333" t="s">
        <v>355</v>
      </c>
      <c r="FY22" s="335" t="s">
        <v>20</v>
      </c>
      <c r="FZ22" s="334" t="s">
        <v>356</v>
      </c>
      <c r="GA22" s="333" t="s">
        <v>355</v>
      </c>
      <c r="GB22" s="335" t="s">
        <v>20</v>
      </c>
      <c r="GC22" s="334" t="s">
        <v>356</v>
      </c>
      <c r="GD22" s="333" t="s">
        <v>355</v>
      </c>
      <c r="GE22" s="335" t="s">
        <v>20</v>
      </c>
      <c r="GF22" s="334" t="s">
        <v>356</v>
      </c>
      <c r="GG22" s="333" t="s">
        <v>355</v>
      </c>
      <c r="GH22" s="76"/>
      <c r="GI22" s="370" t="s">
        <v>20</v>
      </c>
      <c r="GJ22" s="369" t="s">
        <v>409</v>
      </c>
      <c r="GK22" s="368" t="s">
        <v>355</v>
      </c>
      <c r="GL22" s="370" t="s">
        <v>20</v>
      </c>
      <c r="GM22" s="369" t="s">
        <v>409</v>
      </c>
      <c r="GN22" s="368" t="s">
        <v>355</v>
      </c>
      <c r="GO22" s="370" t="s">
        <v>20</v>
      </c>
      <c r="GP22" s="369" t="s">
        <v>409</v>
      </c>
      <c r="GQ22" s="368" t="s">
        <v>355</v>
      </c>
      <c r="GR22" s="5439"/>
      <c r="GS22" s="5436"/>
      <c r="GT22" s="5436"/>
      <c r="GU22" s="25"/>
      <c r="GV22" s="370" t="s">
        <v>20</v>
      </c>
      <c r="GW22" s="369" t="s">
        <v>409</v>
      </c>
      <c r="GX22" s="368" t="s">
        <v>355</v>
      </c>
      <c r="GY22" s="370" t="s">
        <v>20</v>
      </c>
      <c r="GZ22" s="369" t="s">
        <v>409</v>
      </c>
      <c r="HA22" s="368" t="s">
        <v>355</v>
      </c>
      <c r="HB22" s="370" t="s">
        <v>20</v>
      </c>
      <c r="HC22" s="369" t="s">
        <v>409</v>
      </c>
      <c r="HD22" s="368" t="s">
        <v>355</v>
      </c>
      <c r="HE22" s="25"/>
      <c r="HF22" s="25"/>
      <c r="HG22" s="370" t="s">
        <v>20</v>
      </c>
      <c r="HH22" s="369" t="s">
        <v>409</v>
      </c>
      <c r="HI22" s="368" t="s">
        <v>355</v>
      </c>
      <c r="HJ22" s="370" t="s">
        <v>20</v>
      </c>
      <c r="HK22" s="369" t="s">
        <v>409</v>
      </c>
      <c r="HL22" s="368" t="s">
        <v>355</v>
      </c>
      <c r="HM22" s="370" t="s">
        <v>20</v>
      </c>
      <c r="HN22" s="369" t="s">
        <v>409</v>
      </c>
      <c r="HO22" s="368" t="s">
        <v>355</v>
      </c>
      <c r="HP22" s="5439"/>
      <c r="HQ22" s="5439"/>
      <c r="HR22" s="5439"/>
      <c r="HS22" s="25"/>
      <c r="HT22" s="370" t="s">
        <v>20</v>
      </c>
      <c r="HU22" s="369" t="s">
        <v>409</v>
      </c>
      <c r="HV22" s="368" t="s">
        <v>355</v>
      </c>
      <c r="HW22" s="370" t="s">
        <v>20</v>
      </c>
      <c r="HX22" s="369" t="s">
        <v>409</v>
      </c>
      <c r="HY22" s="368" t="s">
        <v>355</v>
      </c>
      <c r="HZ22" s="370" t="s">
        <v>20</v>
      </c>
      <c r="IA22" s="369" t="s">
        <v>409</v>
      </c>
      <c r="IB22" s="368" t="s">
        <v>355</v>
      </c>
      <c r="IC22" s="93"/>
      <c r="ID22" s="367" t="s">
        <v>20</v>
      </c>
      <c r="IE22" s="366" t="s">
        <v>409</v>
      </c>
      <c r="IF22" s="365" t="s">
        <v>355</v>
      </c>
      <c r="IG22" s="367" t="s">
        <v>20</v>
      </c>
      <c r="IH22" s="366" t="s">
        <v>409</v>
      </c>
      <c r="II22" s="365" t="s">
        <v>355</v>
      </c>
      <c r="IJ22" s="367" t="s">
        <v>20</v>
      </c>
      <c r="IK22" s="366" t="s">
        <v>409</v>
      </c>
      <c r="IL22" s="365" t="s">
        <v>355</v>
      </c>
      <c r="IM22" s="117"/>
      <c r="IN22" s="117"/>
      <c r="IO22" s="117"/>
      <c r="IP22" s="117"/>
      <c r="IQ22" s="117"/>
      <c r="IR22" s="117"/>
      <c r="IS22" s="117"/>
      <c r="IT22" s="117"/>
    </row>
    <row r="23" spans="1:256" s="21" customFormat="1" ht="13.5" customHeight="1" thickBot="1">
      <c r="A23" s="5686"/>
      <c r="B23" s="344"/>
      <c r="C23" s="216">
        <f>('الصفحة 10'!$L$20)</f>
        <v>163</v>
      </c>
      <c r="D23" s="212">
        <f>('الصفحة 10'!$L$37)</f>
        <v>33</v>
      </c>
      <c r="E23" s="211">
        <f>('الصفحة 10'!$M$20)</f>
        <v>75</v>
      </c>
      <c r="F23" s="212">
        <f>('الصفحة 10'!$M$37)</f>
        <v>8</v>
      </c>
      <c r="G23" s="211">
        <f>(C23-E23)</f>
        <v>88</v>
      </c>
      <c r="H23" s="331">
        <f>(D23-F23)</f>
        <v>25</v>
      </c>
      <c r="I23" s="364" t="e">
        <f>(#REF!)</f>
        <v>#REF!</v>
      </c>
      <c r="J23" s="213" t="e">
        <f>(#REF!)</f>
        <v>#REF!</v>
      </c>
      <c r="K23" s="331" t="e">
        <f>(I23-J23)</f>
        <v>#REF!</v>
      </c>
      <c r="L23" s="358" t="e">
        <f>((C23-D23)/(I23+0.00001))*100</f>
        <v>#REF!</v>
      </c>
      <c r="M23" s="357" t="e">
        <f>((E23-F23)/(J23+0.00001))*100</f>
        <v>#REF!</v>
      </c>
      <c r="N23" s="356" t="e">
        <f>((G23-H23)/(K23+0.00001))*100</f>
        <v>#REF!</v>
      </c>
      <c r="O23" s="216" t="e">
        <f>((#REF!))</f>
        <v>#REF!</v>
      </c>
      <c r="P23" s="213" t="e">
        <f>((#REF!))</f>
        <v>#REF!</v>
      </c>
      <c r="Q23" s="331" t="e">
        <f>(O23-P23)</f>
        <v>#REF!</v>
      </c>
      <c r="R23" s="216" t="e">
        <f>((#REF!))</f>
        <v>#REF!</v>
      </c>
      <c r="S23" s="213" t="e">
        <f>((#REF!))</f>
        <v>#REF!</v>
      </c>
      <c r="T23" s="331" t="e">
        <f>(R23-S23)</f>
        <v>#REF!</v>
      </c>
      <c r="U23" s="216" t="e">
        <f>((#REF!))</f>
        <v>#REF!</v>
      </c>
      <c r="V23" s="213" t="e">
        <f>((#REF!))</f>
        <v>#REF!</v>
      </c>
      <c r="W23" s="331" t="e">
        <f>(U23-V23)</f>
        <v>#REF!</v>
      </c>
      <c r="X23" s="216" t="e">
        <f>((#REF!))</f>
        <v>#REF!</v>
      </c>
      <c r="Y23" s="213" t="e">
        <f>((#REF!))</f>
        <v>#REF!</v>
      </c>
      <c r="Z23" s="331" t="e">
        <f>(X23-Y23)</f>
        <v>#REF!</v>
      </c>
      <c r="AA23" s="216" t="e">
        <f>O23+R23+U23+X23</f>
        <v>#REF!</v>
      </c>
      <c r="AB23" s="213" t="e">
        <f>P23+S23+V23+Y23</f>
        <v>#REF!</v>
      </c>
      <c r="AC23" s="331" t="e">
        <f>(AA23-AB23)</f>
        <v>#REF!</v>
      </c>
      <c r="AD23" s="216" t="e">
        <f>((#REF!))</f>
        <v>#REF!</v>
      </c>
      <c r="AE23" s="213" t="e">
        <f>((#REF!))</f>
        <v>#REF!</v>
      </c>
      <c r="AF23" s="331" t="e">
        <f>(AD23-AE23)</f>
        <v>#REF!</v>
      </c>
      <c r="AG23" s="216" t="e">
        <f>((#REF!))</f>
        <v>#REF!</v>
      </c>
      <c r="AH23" s="213" t="e">
        <f>((#REF!))</f>
        <v>#REF!</v>
      </c>
      <c r="AI23" s="331" t="e">
        <f>(AG23-AH23)</f>
        <v>#REF!</v>
      </c>
      <c r="AJ23" s="216" t="e">
        <f>((#REF!))</f>
        <v>#REF!</v>
      </c>
      <c r="AK23" s="213" t="e">
        <f>((#REF!))</f>
        <v>#REF!</v>
      </c>
      <c r="AL23" s="331" t="e">
        <f>(AJ23-AK23)</f>
        <v>#REF!</v>
      </c>
      <c r="AM23" s="216" t="e">
        <f>(#REF!)</f>
        <v>#REF!</v>
      </c>
      <c r="AN23" s="213" t="e">
        <f>((#REF!))</f>
        <v>#REF!</v>
      </c>
      <c r="AO23" s="331" t="e">
        <f>(AM23-AN23)</f>
        <v>#REF!</v>
      </c>
      <c r="AP23" s="216" t="e">
        <f>AD23+AG23+AJ23+AM23</f>
        <v>#REF!</v>
      </c>
      <c r="AQ23" s="213" t="e">
        <f>AE23+AH23+AK23+AN23</f>
        <v>#REF!</v>
      </c>
      <c r="AR23" s="331" t="e">
        <f>(AP23-AQ23)</f>
        <v>#REF!</v>
      </c>
      <c r="AS23" s="216" t="e">
        <f>((I23)+(AA23)-(AP23))</f>
        <v>#REF!</v>
      </c>
      <c r="AT23" s="213" t="e">
        <f>((J23)+(AB23)-(AQ23))</f>
        <v>#REF!</v>
      </c>
      <c r="AU23" s="331" t="e">
        <f>(AS23-AT23)</f>
        <v>#REF!</v>
      </c>
      <c r="AV23" s="358" t="e">
        <f>((C23-D23)/(AS23+0.00001))*100</f>
        <v>#REF!</v>
      </c>
      <c r="AW23" s="213" t="e">
        <f>((E23-F23)/(AT23+0.00001))*100</f>
        <v>#REF!</v>
      </c>
      <c r="AX23" s="356" t="e">
        <f>((G23-H23)/(AU23+0.00001))*100</f>
        <v>#REF!</v>
      </c>
      <c r="AY23" s="25"/>
      <c r="AZ23" s="216">
        <f>('الصفحة 10'!$J$37)</f>
        <v>13</v>
      </c>
      <c r="BA23" s="213">
        <f>('الصفحة 10'!$K$37)</f>
        <v>2</v>
      </c>
      <c r="BB23" s="331">
        <f>(AZ23-BA23)</f>
        <v>11</v>
      </c>
      <c r="BC23" s="216" t="e">
        <f>(#REF!)</f>
        <v>#REF!</v>
      </c>
      <c r="BD23" s="213" t="e">
        <f>(#REF!)</f>
        <v>#REF!</v>
      </c>
      <c r="BE23" s="331" t="e">
        <f>(BC23-BD23)</f>
        <v>#REF!</v>
      </c>
      <c r="BF23" s="358" t="e">
        <f>(AZ23/(BC23+0.00001))*100</f>
        <v>#REF!</v>
      </c>
      <c r="BG23" s="357" t="e">
        <f>(BA23/(BD23+0.00001))*100</f>
        <v>#REF!</v>
      </c>
      <c r="BH23" s="356" t="e">
        <f>(BB23/(BE23+0.00001))*100</f>
        <v>#REF!</v>
      </c>
      <c r="BI23" s="216" t="e">
        <f>$AS23</f>
        <v>#REF!</v>
      </c>
      <c r="BJ23" s="213" t="e">
        <f>$AT23</f>
        <v>#REF!</v>
      </c>
      <c r="BK23" s="331" t="e">
        <f>(BI23-BJ23)</f>
        <v>#REF!</v>
      </c>
      <c r="BL23" s="358" t="e">
        <f>(AZ23/(BI23+0.00001))*100</f>
        <v>#REF!</v>
      </c>
      <c r="BM23" s="357" t="e">
        <f>(BA23/(BJ23+0.00001))*100</f>
        <v>#REF!</v>
      </c>
      <c r="BN23" s="356" t="e">
        <f>(BB23/(BK23+0.00001))*100</f>
        <v>#REF!</v>
      </c>
      <c r="BO23" s="24"/>
      <c r="BP23" s="358" t="e">
        <f>AV23</f>
        <v>#REF!</v>
      </c>
      <c r="BQ23" s="357" t="e">
        <f>AW23</f>
        <v>#REF!</v>
      </c>
      <c r="BR23" s="356" t="e">
        <f>AX23</f>
        <v>#REF!</v>
      </c>
      <c r="BS23" s="358" t="e">
        <f>BL23</f>
        <v>#REF!</v>
      </c>
      <c r="BT23" s="357" t="e">
        <f>BM23</f>
        <v>#REF!</v>
      </c>
      <c r="BU23" s="356" t="e">
        <f>BN23</f>
        <v>#REF!</v>
      </c>
      <c r="BV23" s="363" t="e">
        <f>((100)-((BP23)+(BS23)+0.00001))</f>
        <v>#REF!</v>
      </c>
      <c r="BW23" s="362" t="e">
        <f>((100)-((BQ23)+(BT23)+0.00001))</f>
        <v>#REF!</v>
      </c>
      <c r="BX23" s="361" t="e">
        <f>((100)-((BR23)+(BU23)+0.00001))</f>
        <v>#REF!</v>
      </c>
      <c r="BY23" s="76"/>
      <c r="BZ23" s="216">
        <f>'الصفحة 13'!$I$23</f>
        <v>106</v>
      </c>
      <c r="CA23" s="618"/>
      <c r="CB23" s="211">
        <f>'الصفحة 13'!$J$23</f>
        <v>65</v>
      </c>
      <c r="CC23" s="619"/>
      <c r="CD23" s="211">
        <f>(BZ23-CB23)</f>
        <v>41</v>
      </c>
      <c r="CE23" s="620"/>
      <c r="CF23" s="216" t="e">
        <f>(#REF!)</f>
        <v>#REF!</v>
      </c>
      <c r="CG23" s="213" t="e">
        <f>(#REF!)</f>
        <v>#REF!</v>
      </c>
      <c r="CH23" s="331" t="e">
        <f>(CF23-CG23)</f>
        <v>#REF!</v>
      </c>
      <c r="CI23" s="358" t="e">
        <f>((BZ23-CA23)/(CF23+0.00001))*100</f>
        <v>#REF!</v>
      </c>
      <c r="CJ23" s="357" t="e">
        <f>((CB23-CC23)/(CG23+0.00001))*100</f>
        <v>#REF!</v>
      </c>
      <c r="CK23" s="356" t="e">
        <f>((CD23-CE23)/(CH23+0.00001))*100</f>
        <v>#REF!</v>
      </c>
      <c r="CL23" s="216">
        <f>((0))</f>
        <v>0</v>
      </c>
      <c r="CM23" s="213">
        <f>((0))</f>
        <v>0</v>
      </c>
      <c r="CN23" s="331">
        <f>(CL23-CM23)</f>
        <v>0</v>
      </c>
      <c r="CO23" s="216">
        <f>((0))</f>
        <v>0</v>
      </c>
      <c r="CP23" s="213">
        <f>((0))</f>
        <v>0</v>
      </c>
      <c r="CQ23" s="331">
        <f>(CO23-CP23)</f>
        <v>0</v>
      </c>
      <c r="CR23" s="216" t="e">
        <f>((#REF!))</f>
        <v>#REF!</v>
      </c>
      <c r="CS23" s="213" t="e">
        <f>((#REF!))</f>
        <v>#REF!</v>
      </c>
      <c r="CT23" s="331" t="e">
        <f>(CR23-CS23)</f>
        <v>#REF!</v>
      </c>
      <c r="CU23" s="216" t="e">
        <f>((#REF!))</f>
        <v>#REF!</v>
      </c>
      <c r="CV23" s="213" t="e">
        <f>((#REF!))</f>
        <v>#REF!</v>
      </c>
      <c r="CW23" s="331" t="e">
        <f>(CU23-CV23)</f>
        <v>#REF!</v>
      </c>
      <c r="CX23" s="216" t="e">
        <f>CL23+CO23+CR23+CU23</f>
        <v>#REF!</v>
      </c>
      <c r="CY23" s="213" t="e">
        <f>CM23+CP23+CS23+CV23</f>
        <v>#REF!</v>
      </c>
      <c r="CZ23" s="331" t="e">
        <f>(CX23-CY23)</f>
        <v>#REF!</v>
      </c>
      <c r="DA23" s="216">
        <f>((0))</f>
        <v>0</v>
      </c>
      <c r="DB23" s="213">
        <f>((0))</f>
        <v>0</v>
      </c>
      <c r="DC23" s="331">
        <f>(DA23-DB23)</f>
        <v>0</v>
      </c>
      <c r="DD23" s="216">
        <f>((0))</f>
        <v>0</v>
      </c>
      <c r="DE23" s="213">
        <f>((0))</f>
        <v>0</v>
      </c>
      <c r="DF23" s="331">
        <f>(DD23-DE23)</f>
        <v>0</v>
      </c>
      <c r="DG23" s="216" t="e">
        <f>((#REF!))</f>
        <v>#REF!</v>
      </c>
      <c r="DH23" s="213" t="e">
        <f>((#REF!))</f>
        <v>#REF!</v>
      </c>
      <c r="DI23" s="331" t="e">
        <f>(DG23-DH23)</f>
        <v>#REF!</v>
      </c>
      <c r="DJ23" s="216" t="e">
        <f>((#REF!))</f>
        <v>#REF!</v>
      </c>
      <c r="DK23" s="213" t="e">
        <f>((#REF!))</f>
        <v>#REF!</v>
      </c>
      <c r="DL23" s="331" t="e">
        <f>(DJ23-DK23)</f>
        <v>#REF!</v>
      </c>
      <c r="DM23" s="216" t="e">
        <f>DA23+DD23+DG23+DJ23</f>
        <v>#REF!</v>
      </c>
      <c r="DN23" s="213" t="e">
        <f>DB23+DE23+DH23+DK23</f>
        <v>#REF!</v>
      </c>
      <c r="DO23" s="331" t="e">
        <f>(DM23-DN23)</f>
        <v>#REF!</v>
      </c>
      <c r="DP23" s="216" t="e">
        <f>((CF23)+(CX23)-(DM23))</f>
        <v>#REF!</v>
      </c>
      <c r="DQ23" s="213" t="e">
        <f>((CG23)+(CY23)-(DN23))</f>
        <v>#REF!</v>
      </c>
      <c r="DR23" s="331" t="e">
        <f>(DP23-DQ23)</f>
        <v>#REF!</v>
      </c>
      <c r="DS23" s="358" t="e">
        <f>((BZ23-CA23)/(DP23+0.00001))*100</f>
        <v>#REF!</v>
      </c>
      <c r="DT23" s="357" t="e">
        <f>((CB23-CC23)/(DQ23+0.00001))*100</f>
        <v>#REF!</v>
      </c>
      <c r="DU23" s="356" t="e">
        <f>((CD23-CE23)/(DR23+0.00001))*100</f>
        <v>#REF!</v>
      </c>
      <c r="DV23" s="25"/>
      <c r="DW23" s="216">
        <f>('الصفحة 10'!$L$37)</f>
        <v>33</v>
      </c>
      <c r="DX23" s="213">
        <f>('الصفحة 10'!$M$37)</f>
        <v>8</v>
      </c>
      <c r="DY23" s="331">
        <f>(DW23-DX23)</f>
        <v>25</v>
      </c>
      <c r="DZ23" s="216" t="e">
        <f>(#REF!)</f>
        <v>#REF!</v>
      </c>
      <c r="EA23" s="213" t="e">
        <f>(#REF!)</f>
        <v>#REF!</v>
      </c>
      <c r="EB23" s="331" t="e">
        <f>(DZ23-EA23)</f>
        <v>#REF!</v>
      </c>
      <c r="EC23" s="358" t="e">
        <f>(DW23/(DZ23+0.00001))*100</f>
        <v>#REF!</v>
      </c>
      <c r="ED23" s="357" t="e">
        <f>(DX23/(EA23+0.00001))*100</f>
        <v>#REF!</v>
      </c>
      <c r="EE23" s="356" t="e">
        <f>(DY23/(EB23+0.00001))*100</f>
        <v>#REF!</v>
      </c>
      <c r="EF23" s="216" t="e">
        <f>$DP23</f>
        <v>#REF!</v>
      </c>
      <c r="EG23" s="213" t="e">
        <f>$DQ23</f>
        <v>#REF!</v>
      </c>
      <c r="EH23" s="331" t="e">
        <f>(EF23-EG23)</f>
        <v>#REF!</v>
      </c>
      <c r="EI23" s="358" t="e">
        <f>(DW23/(EF23+0.00001))*100</f>
        <v>#REF!</v>
      </c>
      <c r="EJ23" s="357" t="e">
        <f>(DX23/(EG23+0.00001))*100</f>
        <v>#REF!</v>
      </c>
      <c r="EK23" s="356" t="e">
        <f>(DY23/(EH23+0.00001))*100</f>
        <v>#REF!</v>
      </c>
      <c r="EL23" s="24"/>
      <c r="EM23" s="358" t="e">
        <f>DS23</f>
        <v>#REF!</v>
      </c>
      <c r="EN23" s="357" t="e">
        <f>DT23</f>
        <v>#REF!</v>
      </c>
      <c r="EO23" s="356" t="e">
        <f>DU23</f>
        <v>#REF!</v>
      </c>
      <c r="EP23" s="358" t="e">
        <f>EI23</f>
        <v>#REF!</v>
      </c>
      <c r="EQ23" s="357" t="e">
        <f>EJ23</f>
        <v>#REF!</v>
      </c>
      <c r="ER23" s="356" t="e">
        <f>EK23</f>
        <v>#REF!</v>
      </c>
      <c r="ES23" s="358" t="e">
        <f>((100)-((EM23)+(EP23)+0.00001))</f>
        <v>#REF!</v>
      </c>
      <c r="ET23" s="358" t="e">
        <f>((100)-((EN23)+(EQ23)+0.00001))</f>
        <v>#REF!</v>
      </c>
      <c r="EU23" s="359" t="e">
        <f>((100)-((EO23)+(ER23)+0.00001))</f>
        <v>#REF!</v>
      </c>
      <c r="EV23" s="76"/>
      <c r="EW23" s="216" t="e">
        <f>#REF!</f>
        <v>#REF!</v>
      </c>
      <c r="EX23" s="213" t="e">
        <f>#REF!</f>
        <v>#REF!</v>
      </c>
      <c r="EY23" s="331" t="e">
        <f>(EW23-EX23)</f>
        <v>#REF!</v>
      </c>
      <c r="EZ23" s="216">
        <f>'الصفحة 13'!$M$13</f>
        <v>96</v>
      </c>
      <c r="FA23" s="213">
        <f>'الصفحة 13'!$N$13</f>
        <v>60</v>
      </c>
      <c r="FB23" s="331">
        <f>(EZ23-FA23)</f>
        <v>36</v>
      </c>
      <c r="FC23" s="358" t="e">
        <f>((EZ23)/(EW23+0.00001))*100</f>
        <v>#REF!</v>
      </c>
      <c r="FD23" s="357" t="e">
        <f>((FA23)/(EX23+0.00001))*100</f>
        <v>#REF!</v>
      </c>
      <c r="FE23" s="356" t="e">
        <f>((FB23)/(EY23+0.00001))*100</f>
        <v>#REF!</v>
      </c>
      <c r="FF23" s="216" t="e">
        <f>#REF!</f>
        <v>#REF!</v>
      </c>
      <c r="FG23" s="213" t="e">
        <f>#REF!</f>
        <v>#REF!</v>
      </c>
      <c r="FH23" s="331" t="e">
        <f>(FF23-FG23)</f>
        <v>#REF!</v>
      </c>
      <c r="FI23" s="216">
        <f>'الصفحة 13'!$I$23</f>
        <v>106</v>
      </c>
      <c r="FJ23" s="213">
        <f>'الصفحة 13'!$J$23</f>
        <v>65</v>
      </c>
      <c r="FK23" s="331">
        <f>(FI23-FJ23)</f>
        <v>41</v>
      </c>
      <c r="FL23" s="358" t="e">
        <f>((FI23)/(FF23+0.00001))*100</f>
        <v>#REF!</v>
      </c>
      <c r="FM23" s="357" t="e">
        <f>((FJ23)/(FG23+0.00001))*100</f>
        <v>#REF!</v>
      </c>
      <c r="FN23" s="356" t="e">
        <f>((FK23)/(FH23+0.00001))*100</f>
        <v>#REF!</v>
      </c>
      <c r="FO23" s="24"/>
      <c r="FP23" s="216" t="e">
        <f>#REF!</f>
        <v>#REF!</v>
      </c>
      <c r="FQ23" s="213" t="e">
        <f>#REF!</f>
        <v>#REF!</v>
      </c>
      <c r="FR23" s="331" t="e">
        <f>(FP23-FQ23)</f>
        <v>#REF!</v>
      </c>
      <c r="FS23" s="216">
        <f>'الصفحة 13'!$K$23</f>
        <v>0</v>
      </c>
      <c r="FT23" s="213">
        <f>'الصفحة 13'!$L$23</f>
        <v>0</v>
      </c>
      <c r="FU23" s="331">
        <f>(FS23-FT23)</f>
        <v>0</v>
      </c>
      <c r="FV23" s="358" t="e">
        <f>((FS23)/(FP23+0.00001))*100</f>
        <v>#REF!</v>
      </c>
      <c r="FW23" s="357" t="e">
        <f>((FT23)/(FQ23+0.00001))*100</f>
        <v>#REF!</v>
      </c>
      <c r="FX23" s="356" t="e">
        <f>((FU23)/(FR23+0.00001))*100</f>
        <v>#REF!</v>
      </c>
      <c r="FY23" s="216" t="e">
        <f>#REF!</f>
        <v>#REF!</v>
      </c>
      <c r="FZ23" s="213" t="e">
        <f>#REF!</f>
        <v>#REF!</v>
      </c>
      <c r="GA23" s="331" t="e">
        <f>(FY23-FZ23)</f>
        <v>#REF!</v>
      </c>
      <c r="GB23" s="216">
        <f>'الصفحة 13'!$M$23</f>
        <v>0</v>
      </c>
      <c r="GC23" s="213">
        <f>'الصفحة 13'!N23</f>
        <v>0</v>
      </c>
      <c r="GD23" s="331">
        <f>(GB23-GC23)</f>
        <v>0</v>
      </c>
      <c r="GE23" s="358" t="e">
        <f>((GB23)/(FY23+0.00001))*100</f>
        <v>#REF!</v>
      </c>
      <c r="GF23" s="357" t="e">
        <f>((GC23)/(FZ23+0.00001))*100</f>
        <v>#REF!</v>
      </c>
      <c r="GG23" s="356" t="e">
        <f>((GD23)/(GA23+0.00001))*100</f>
        <v>#REF!</v>
      </c>
      <c r="GH23" s="76"/>
      <c r="GI23" s="353">
        <f>'الصفحة 10'!$N$20</f>
        <v>738</v>
      </c>
      <c r="GJ23" s="352">
        <f>'الصفحة 10'!$O$20</f>
        <v>359</v>
      </c>
      <c r="GK23" s="351">
        <f>(GI23-GJ23)</f>
        <v>379</v>
      </c>
      <c r="GL23" s="350">
        <f>'الصفحة 10'!$N$46</f>
        <v>0</v>
      </c>
      <c r="GM23" s="349">
        <f>'الصفحة 10'!$O$46</f>
        <v>0</v>
      </c>
      <c r="GN23" s="348">
        <f>(GL23-GM23)</f>
        <v>0</v>
      </c>
      <c r="GO23" s="347">
        <f>((GL23)/(GI23+0.00001))*100</f>
        <v>0</v>
      </c>
      <c r="GP23" s="346">
        <f>((GM23)/(GJ23+0.00001))*100</f>
        <v>0</v>
      </c>
      <c r="GQ23" s="345">
        <f>((GN23)/(GK23+0.00001))*100</f>
        <v>0</v>
      </c>
      <c r="GR23" s="355">
        <f>+GL23</f>
        <v>0</v>
      </c>
      <c r="GS23" s="355" t="e">
        <f>#REF!+'الصفحة 1'!#REF!</f>
        <v>#REF!</v>
      </c>
      <c r="GT23" s="354" t="e">
        <f>((GR23)/(GS23+0.00001))*100</f>
        <v>#REF!</v>
      </c>
      <c r="GU23" s="25"/>
      <c r="GV23" s="353">
        <f>'الصفحة 10'!$N$20</f>
        <v>738</v>
      </c>
      <c r="GW23" s="352">
        <f>'الصفحة 10'!$O$20</f>
        <v>359</v>
      </c>
      <c r="GX23" s="351">
        <f>(GV23-GW23)</f>
        <v>379</v>
      </c>
      <c r="GY23" s="350">
        <f>'الصفحة 10'!$N$50</f>
        <v>0</v>
      </c>
      <c r="GZ23" s="349">
        <f>'الصفحة 10'!$O$50</f>
        <v>0</v>
      </c>
      <c r="HA23" s="348">
        <f>(GY23-GZ23)</f>
        <v>0</v>
      </c>
      <c r="HB23" s="347">
        <f>((GY23)/(GV23+0.00001))*100</f>
        <v>0</v>
      </c>
      <c r="HC23" s="346">
        <f>((GZ23)/(GW23+0.00001))*100</f>
        <v>0</v>
      </c>
      <c r="HD23" s="345">
        <f>((HA23)/(GX23+0.00001))*100</f>
        <v>0</v>
      </c>
      <c r="HE23" s="25"/>
      <c r="HF23" s="25"/>
      <c r="HG23" s="353">
        <f>'الصفحة 10'!$N$20</f>
        <v>738</v>
      </c>
      <c r="HH23" s="352">
        <f>'الصفحة 10'!$O$20</f>
        <v>359</v>
      </c>
      <c r="HI23" s="351">
        <f>(HG23-HH23)</f>
        <v>379</v>
      </c>
      <c r="HJ23" s="350">
        <f>'الصفحة 10'!$N$45</f>
        <v>0</v>
      </c>
      <c r="HK23" s="349">
        <f>'الصفحة 10'!$O$45</f>
        <v>0</v>
      </c>
      <c r="HL23" s="348">
        <f>(HJ23-HK23)</f>
        <v>0</v>
      </c>
      <c r="HM23" s="347">
        <f>((HJ23)/(HG23+0.00001))*100</f>
        <v>0</v>
      </c>
      <c r="HN23" s="346">
        <f>((HK23)/(HH23+0.00001))*100</f>
        <v>0</v>
      </c>
      <c r="HO23" s="345">
        <f>((HL23)/(HI23+0.00001))*100</f>
        <v>0</v>
      </c>
      <c r="HP23" s="355">
        <f>+HJ23</f>
        <v>0</v>
      </c>
      <c r="HQ23" s="355" t="e">
        <f>((#REF!))</f>
        <v>#REF!</v>
      </c>
      <c r="HR23" s="354" t="e">
        <f>((HP23)/(HQ23+0.00001))*100</f>
        <v>#REF!</v>
      </c>
      <c r="HS23" s="25"/>
      <c r="HT23" s="353">
        <f>'الصفحة 10'!$N$20</f>
        <v>738</v>
      </c>
      <c r="HU23" s="352">
        <f>'الصفحة 10'!$O$20</f>
        <v>359</v>
      </c>
      <c r="HV23" s="351">
        <f>(HT23-HU23)</f>
        <v>379</v>
      </c>
      <c r="HW23" s="350">
        <f>'الصفحة 10'!$N$49</f>
        <v>0</v>
      </c>
      <c r="HX23" s="349">
        <f>'الصفحة 10'!$O$49</f>
        <v>0</v>
      </c>
      <c r="HY23" s="348">
        <f>(HW23-HX23)</f>
        <v>0</v>
      </c>
      <c r="HZ23" s="347">
        <f>((HW23)/(HT23+0.00001))*100</f>
        <v>0</v>
      </c>
      <c r="IA23" s="346">
        <f>((HX23)/(HU23+0.00001))*100</f>
        <v>0</v>
      </c>
      <c r="IB23" s="345">
        <f>((HY23)/(HV23+0.00001))*100</f>
        <v>0</v>
      </c>
      <c r="IC23" s="24"/>
      <c r="ID23" s="353">
        <f>'الصفحة 10'!$N$20</f>
        <v>738</v>
      </c>
      <c r="IE23" s="352">
        <f>'الصفحة 10'!$O$20</f>
        <v>359</v>
      </c>
      <c r="IF23" s="351">
        <f>(ID23-IE23)</f>
        <v>379</v>
      </c>
      <c r="IG23" s="350">
        <f>'الصفحة 1'!$F$83</f>
        <v>0</v>
      </c>
      <c r="IH23" s="349">
        <f>'الصفحة 1'!$F$85</f>
        <v>0</v>
      </c>
      <c r="II23" s="348">
        <f>(IG23-IH23)</f>
        <v>0</v>
      </c>
      <c r="IJ23" s="347">
        <f>((IG23)/(ID23+0.00001))*100</f>
        <v>0</v>
      </c>
      <c r="IK23" s="346">
        <f>((IH23)/(IE23+0.00001))*100</f>
        <v>0</v>
      </c>
      <c r="IL23" s="345">
        <f>((II23)/(IF23+0.00001))*100</f>
        <v>0</v>
      </c>
      <c r="IM23" s="117"/>
      <c r="IN23" s="117"/>
      <c r="IO23" s="117"/>
      <c r="IP23" s="117"/>
      <c r="IQ23" s="117"/>
      <c r="IR23" s="117"/>
      <c r="IS23" s="117"/>
      <c r="IT23" s="117"/>
    </row>
    <row r="24" spans="1:256" s="117" customFormat="1" ht="6" customHeight="1">
      <c r="A24" s="5686"/>
      <c r="B24" s="344"/>
      <c r="C24" s="344"/>
      <c r="D24" s="344"/>
      <c r="E24" s="343"/>
      <c r="F24" s="343"/>
      <c r="G24" s="343"/>
      <c r="H24" s="343"/>
      <c r="I24" s="343"/>
      <c r="J24" s="343"/>
      <c r="K24" s="343"/>
      <c r="L24" s="343"/>
      <c r="M24" s="343"/>
      <c r="N24" s="343"/>
      <c r="O24" s="343"/>
      <c r="P24" s="343"/>
      <c r="Q24" s="343"/>
      <c r="R24" s="343"/>
      <c r="S24" s="343"/>
      <c r="T24" s="343"/>
      <c r="U24" s="343"/>
      <c r="BY24" s="76"/>
      <c r="IV24" s="21"/>
    </row>
    <row r="25" spans="1:256" s="21" customFormat="1" ht="6" customHeight="1">
      <c r="A25" s="342"/>
      <c r="B25" s="341"/>
      <c r="C25" s="341"/>
      <c r="D25" s="341"/>
      <c r="E25" s="22"/>
      <c r="F25" s="22"/>
      <c r="G25" s="22"/>
      <c r="H25" s="22"/>
      <c r="I25" s="22"/>
      <c r="J25" s="22"/>
      <c r="K25" s="22"/>
      <c r="L25" s="22"/>
      <c r="M25" s="22"/>
      <c r="N25" s="22"/>
      <c r="O25" s="22"/>
      <c r="P25" s="22"/>
      <c r="Q25" s="22"/>
      <c r="R25" s="22"/>
      <c r="S25" s="22"/>
      <c r="T25" s="22"/>
      <c r="U25" s="22"/>
    </row>
    <row r="26" spans="1:256" s="25" customFormat="1" ht="16.5" customHeight="1" thickBot="1">
      <c r="A26" s="5686">
        <v>4</v>
      </c>
      <c r="C26" s="330" t="s">
        <v>408</v>
      </c>
      <c r="D26" s="24"/>
      <c r="E26" s="24"/>
      <c r="F26" s="24"/>
      <c r="G26" s="24"/>
      <c r="H26" s="24"/>
      <c r="I26" s="24"/>
      <c r="J26" s="24"/>
      <c r="K26" s="24"/>
      <c r="L26" s="170"/>
      <c r="M26" s="24"/>
      <c r="N26" s="24"/>
      <c r="O26" s="24"/>
      <c r="P26" s="24"/>
      <c r="Q26" s="24"/>
      <c r="R26" s="24"/>
      <c r="S26" s="24"/>
      <c r="T26" s="24"/>
      <c r="U26" s="330" t="s">
        <v>408</v>
      </c>
      <c r="V26" s="24"/>
      <c r="W26" s="24"/>
      <c r="X26" s="24"/>
      <c r="Y26" s="24"/>
      <c r="Z26" s="24"/>
      <c r="AA26" s="24"/>
      <c r="AB26" s="24"/>
      <c r="AC26" s="24"/>
      <c r="AD26" s="24"/>
      <c r="AE26" s="24"/>
      <c r="AF26" s="24"/>
      <c r="AH26" s="170" t="s">
        <v>407</v>
      </c>
      <c r="AI26" s="24"/>
      <c r="AJ26" s="24"/>
      <c r="AK26" s="24"/>
      <c r="AL26" s="24"/>
      <c r="AM26" s="24"/>
      <c r="AN26" s="24"/>
      <c r="AO26" s="24"/>
      <c r="AP26" s="24"/>
      <c r="AQ26" s="170"/>
      <c r="AR26" s="24"/>
      <c r="AS26" s="24"/>
      <c r="AT26" s="24"/>
      <c r="AU26" s="24"/>
      <c r="AV26" s="24"/>
      <c r="AW26" s="24"/>
      <c r="AX26" s="24"/>
      <c r="AY26" s="24"/>
      <c r="AZ26" s="170"/>
      <c r="BA26" s="24"/>
      <c r="BB26" s="24"/>
      <c r="BC26" s="24"/>
      <c r="BD26" s="24"/>
      <c r="BE26" s="24"/>
      <c r="BF26" s="24"/>
      <c r="BG26" s="24"/>
      <c r="BH26" s="24"/>
      <c r="BI26" s="24"/>
      <c r="BJ26" s="24"/>
      <c r="BK26" s="24"/>
      <c r="BM26" s="330" t="s">
        <v>406</v>
      </c>
      <c r="BN26" s="24"/>
      <c r="BO26" s="24"/>
      <c r="BP26" s="24"/>
      <c r="BQ26" s="24"/>
      <c r="BR26" s="24"/>
      <c r="BS26" s="24"/>
      <c r="BT26" s="24"/>
      <c r="BU26" s="24"/>
      <c r="BV26" s="170"/>
      <c r="BW26" s="24"/>
      <c r="BX26" s="24"/>
      <c r="BY26" s="24"/>
      <c r="BZ26" s="24"/>
      <c r="CA26" s="24"/>
      <c r="CB26" s="24"/>
      <c r="CC26" s="24"/>
      <c r="CD26" s="24"/>
      <c r="CE26" s="170"/>
      <c r="CF26" s="24"/>
      <c r="CG26" s="24"/>
      <c r="CH26" s="24"/>
      <c r="CI26" s="24"/>
      <c r="CJ26" s="24"/>
      <c r="CK26" s="24"/>
      <c r="CL26" s="24"/>
      <c r="CM26" s="24"/>
      <c r="CN26" s="24"/>
      <c r="CO26" s="24"/>
      <c r="CP26" s="24"/>
      <c r="CR26" s="170" t="s">
        <v>405</v>
      </c>
      <c r="CS26" s="24"/>
      <c r="CT26" s="24"/>
      <c r="CU26" s="24"/>
      <c r="CV26" s="24"/>
      <c r="CW26" s="24"/>
      <c r="CX26" s="24"/>
      <c r="CY26" s="24"/>
      <c r="CZ26" s="24"/>
      <c r="DA26" s="170"/>
      <c r="DB26" s="24"/>
      <c r="DC26" s="24"/>
      <c r="DD26" s="24"/>
      <c r="DE26" s="24"/>
      <c r="DF26" s="24"/>
      <c r="DG26" s="24"/>
      <c r="DH26" s="24"/>
      <c r="DI26" s="24"/>
      <c r="DJ26" s="170"/>
      <c r="DK26" s="24"/>
      <c r="DL26" s="24"/>
      <c r="DM26" s="24"/>
      <c r="DN26" s="24"/>
      <c r="DO26" s="24"/>
      <c r="DP26" s="24"/>
      <c r="DQ26" s="24"/>
      <c r="DR26" s="24"/>
      <c r="DS26" s="24"/>
      <c r="DT26" s="24"/>
      <c r="DU26" s="24"/>
      <c r="DV26" s="27"/>
      <c r="DX26" s="340" t="s">
        <v>404</v>
      </c>
      <c r="DY26" s="339"/>
      <c r="DZ26" s="339"/>
      <c r="EA26" s="339"/>
      <c r="EB26" s="339"/>
      <c r="EC26" s="339"/>
      <c r="ED26" s="193"/>
      <c r="EE26" s="193"/>
      <c r="EF26" s="339"/>
      <c r="EG26" s="339"/>
      <c r="EH26" s="339"/>
      <c r="EI26" s="339"/>
      <c r="EJ26" s="170"/>
      <c r="EK26" s="339"/>
      <c r="EL26" s="339"/>
      <c r="EM26" s="170"/>
      <c r="EN26" s="339"/>
      <c r="EO26" s="339"/>
      <c r="EP26" s="340"/>
      <c r="EQ26" s="339"/>
      <c r="ER26" s="84"/>
      <c r="ES26" s="24"/>
      <c r="ET26" s="24"/>
      <c r="EU26" s="24"/>
      <c r="EV26" s="170"/>
      <c r="EW26" s="24"/>
      <c r="EX26" s="24"/>
      <c r="EY26" s="24"/>
      <c r="EZ26" s="24"/>
      <c r="FA26" s="24"/>
      <c r="FC26" s="340" t="s">
        <v>403</v>
      </c>
      <c r="FD26" s="339"/>
      <c r="FE26" s="339"/>
      <c r="FF26" s="339"/>
      <c r="FG26" s="339"/>
      <c r="FH26" s="339"/>
      <c r="FI26" s="193"/>
      <c r="FJ26" s="193"/>
      <c r="FK26" s="339"/>
      <c r="FL26" s="339"/>
      <c r="FM26" s="339"/>
      <c r="FN26" s="339"/>
      <c r="FO26" s="170"/>
      <c r="FP26" s="339"/>
      <c r="FQ26" s="339"/>
      <c r="FR26" s="170"/>
      <c r="FS26" s="339"/>
      <c r="FT26" s="339"/>
      <c r="FU26" s="340"/>
      <c r="FV26" s="339"/>
      <c r="FW26" s="84"/>
      <c r="FX26" s="24"/>
      <c r="FY26" s="24"/>
      <c r="FZ26" s="24"/>
      <c r="GA26" s="170"/>
      <c r="GB26" s="24"/>
      <c r="GC26" s="24"/>
      <c r="GD26" s="24"/>
      <c r="GE26" s="24"/>
      <c r="GF26" s="24"/>
      <c r="GH26" s="340" t="s">
        <v>402</v>
      </c>
      <c r="GI26" s="339"/>
      <c r="GJ26" s="339"/>
      <c r="GK26" s="339"/>
      <c r="GL26" s="339"/>
      <c r="GM26" s="339"/>
      <c r="GN26" s="193"/>
      <c r="GO26" s="193"/>
      <c r="GP26" s="339"/>
      <c r="GQ26" s="339"/>
      <c r="GR26" s="339"/>
      <c r="GS26" s="339"/>
      <c r="GT26" s="170"/>
      <c r="GU26" s="339"/>
      <c r="GV26" s="339"/>
      <c r="GW26" s="170"/>
      <c r="GX26" s="339"/>
      <c r="GY26" s="339"/>
      <c r="GZ26" s="340"/>
      <c r="HA26" s="339"/>
      <c r="HB26" s="84"/>
      <c r="HC26" s="24"/>
      <c r="HD26" s="24"/>
      <c r="HE26" s="24"/>
      <c r="HF26" s="170"/>
      <c r="HG26" s="24"/>
      <c r="HH26" s="24"/>
      <c r="HI26" s="24"/>
      <c r="HJ26" s="24"/>
      <c r="HK26" s="24"/>
      <c r="HM26" s="340" t="s">
        <v>401</v>
      </c>
      <c r="HN26" s="339"/>
      <c r="HO26" s="339"/>
      <c r="HP26" s="339"/>
      <c r="HQ26" s="339"/>
      <c r="HR26" s="339"/>
      <c r="HS26" s="193"/>
      <c r="HT26" s="193"/>
      <c r="HU26" s="339"/>
      <c r="HV26" s="339"/>
      <c r="HW26" s="339"/>
      <c r="HX26" s="339"/>
      <c r="HY26" s="170"/>
      <c r="HZ26" s="339"/>
      <c r="IA26" s="339"/>
      <c r="IB26" s="170"/>
      <c r="IC26" s="339"/>
      <c r="ID26" s="339"/>
      <c r="IE26" s="340"/>
      <c r="IF26" s="339"/>
      <c r="IG26" s="84"/>
      <c r="IH26" s="24"/>
      <c r="II26" s="24"/>
      <c r="IJ26" s="24"/>
      <c r="IK26" s="170"/>
      <c r="IL26" s="24"/>
      <c r="IM26" s="24"/>
      <c r="IN26" s="24"/>
      <c r="IO26" s="24"/>
      <c r="IP26" s="24"/>
      <c r="IV26" s="41"/>
    </row>
    <row r="27" spans="1:256" s="25" customFormat="1" ht="12.75" customHeight="1">
      <c r="A27" s="5686"/>
      <c r="C27" s="5242" t="s">
        <v>365</v>
      </c>
      <c r="D27" s="5243"/>
      <c r="E27" s="5243"/>
      <c r="F27" s="5243"/>
      <c r="G27" s="5243"/>
      <c r="H27" s="5244"/>
      <c r="I27" s="5242" t="s">
        <v>364</v>
      </c>
      <c r="J27" s="5243"/>
      <c r="K27" s="5243"/>
      <c r="L27" s="5243"/>
      <c r="M27" s="5243"/>
      <c r="N27" s="5244"/>
      <c r="O27" s="5242" t="s">
        <v>363</v>
      </c>
      <c r="P27" s="5243"/>
      <c r="Q27" s="5243"/>
      <c r="R27" s="5243"/>
      <c r="S27" s="5243"/>
      <c r="T27" s="5244"/>
      <c r="U27" s="5242" t="s">
        <v>362</v>
      </c>
      <c r="V27" s="5243"/>
      <c r="W27" s="5243"/>
      <c r="X27" s="5243"/>
      <c r="Y27" s="5243"/>
      <c r="Z27" s="5244"/>
      <c r="AA27" s="5242" t="s">
        <v>361</v>
      </c>
      <c r="AB27" s="5243"/>
      <c r="AC27" s="5243"/>
      <c r="AD27" s="5243"/>
      <c r="AE27" s="5243"/>
      <c r="AF27" s="5244"/>
      <c r="AH27" s="5242" t="s">
        <v>365</v>
      </c>
      <c r="AI27" s="5243"/>
      <c r="AJ27" s="5243"/>
      <c r="AK27" s="5243"/>
      <c r="AL27" s="5243"/>
      <c r="AM27" s="5244"/>
      <c r="AN27" s="5242" t="s">
        <v>364</v>
      </c>
      <c r="AO27" s="5243"/>
      <c r="AP27" s="5243"/>
      <c r="AQ27" s="5243"/>
      <c r="AR27" s="5243"/>
      <c r="AS27" s="5244"/>
      <c r="AT27" s="5242" t="s">
        <v>363</v>
      </c>
      <c r="AU27" s="5243"/>
      <c r="AV27" s="5243"/>
      <c r="AW27" s="5243"/>
      <c r="AX27" s="5243"/>
      <c r="AY27" s="5244"/>
      <c r="AZ27" s="5242" t="s">
        <v>362</v>
      </c>
      <c r="BA27" s="5243"/>
      <c r="BB27" s="5243"/>
      <c r="BC27" s="5243"/>
      <c r="BD27" s="5243"/>
      <c r="BE27" s="5244"/>
      <c r="BF27" s="5242" t="s">
        <v>361</v>
      </c>
      <c r="BG27" s="5243"/>
      <c r="BH27" s="5243"/>
      <c r="BI27" s="5243"/>
      <c r="BJ27" s="5243"/>
      <c r="BK27" s="5244"/>
      <c r="BM27" s="5242" t="s">
        <v>365</v>
      </c>
      <c r="BN27" s="5243"/>
      <c r="BO27" s="5243"/>
      <c r="BP27" s="5243"/>
      <c r="BQ27" s="5243"/>
      <c r="BR27" s="5244"/>
      <c r="BS27" s="5242" t="s">
        <v>364</v>
      </c>
      <c r="BT27" s="5243"/>
      <c r="BU27" s="5243"/>
      <c r="BV27" s="5243"/>
      <c r="BW27" s="5243"/>
      <c r="BX27" s="5244"/>
      <c r="BY27" s="5242" t="s">
        <v>363</v>
      </c>
      <c r="BZ27" s="5243"/>
      <c r="CA27" s="5243"/>
      <c r="CB27" s="5243"/>
      <c r="CC27" s="5243"/>
      <c r="CD27" s="5244"/>
      <c r="CE27" s="5242" t="s">
        <v>362</v>
      </c>
      <c r="CF27" s="5243"/>
      <c r="CG27" s="5243"/>
      <c r="CH27" s="5243"/>
      <c r="CI27" s="5243"/>
      <c r="CJ27" s="5244"/>
      <c r="CK27" s="5242" t="s">
        <v>361</v>
      </c>
      <c r="CL27" s="5243"/>
      <c r="CM27" s="5243"/>
      <c r="CN27" s="5243"/>
      <c r="CO27" s="5243"/>
      <c r="CP27" s="5244"/>
      <c r="CR27" s="5242" t="s">
        <v>365</v>
      </c>
      <c r="CS27" s="5243"/>
      <c r="CT27" s="5243"/>
      <c r="CU27" s="5243"/>
      <c r="CV27" s="5243"/>
      <c r="CW27" s="5244"/>
      <c r="CX27" s="5242" t="s">
        <v>364</v>
      </c>
      <c r="CY27" s="5243"/>
      <c r="CZ27" s="5243"/>
      <c r="DA27" s="5243"/>
      <c r="DB27" s="5243"/>
      <c r="DC27" s="5244"/>
      <c r="DD27" s="5242" t="s">
        <v>363</v>
      </c>
      <c r="DE27" s="5243"/>
      <c r="DF27" s="5243"/>
      <c r="DG27" s="5243"/>
      <c r="DH27" s="5243"/>
      <c r="DI27" s="5244"/>
      <c r="DJ27" s="5242" t="s">
        <v>362</v>
      </c>
      <c r="DK27" s="5243"/>
      <c r="DL27" s="5243"/>
      <c r="DM27" s="5243"/>
      <c r="DN27" s="5243"/>
      <c r="DO27" s="5244"/>
      <c r="DP27" s="5242" t="s">
        <v>361</v>
      </c>
      <c r="DQ27" s="5243"/>
      <c r="DR27" s="5243"/>
      <c r="DS27" s="5243"/>
      <c r="DT27" s="5243"/>
      <c r="DU27" s="5244"/>
      <c r="DV27" s="27"/>
      <c r="DX27" s="5218" t="s">
        <v>400</v>
      </c>
      <c r="DY27" s="5219"/>
      <c r="DZ27" s="5220"/>
      <c r="EA27" s="5218" t="s">
        <v>399</v>
      </c>
      <c r="EB27" s="5219"/>
      <c r="EC27" s="5220"/>
      <c r="ED27" s="5218" t="s">
        <v>398</v>
      </c>
      <c r="EE27" s="5219"/>
      <c r="EF27" s="5220"/>
      <c r="EG27" s="5218" t="s">
        <v>397</v>
      </c>
      <c r="EH27" s="5219"/>
      <c r="EI27" s="5220"/>
      <c r="EJ27" s="5218" t="s">
        <v>396</v>
      </c>
      <c r="EK27" s="5219"/>
      <c r="EL27" s="5220"/>
      <c r="EM27" s="5218" t="s">
        <v>395</v>
      </c>
      <c r="EN27" s="5219"/>
      <c r="EO27" s="5220"/>
      <c r="EP27" s="5218" t="s">
        <v>394</v>
      </c>
      <c r="EQ27" s="5219"/>
      <c r="ER27" s="5220"/>
      <c r="ES27" s="5218" t="s">
        <v>393</v>
      </c>
      <c r="ET27" s="5219"/>
      <c r="EU27" s="5220"/>
      <c r="EV27" s="5218" t="s">
        <v>392</v>
      </c>
      <c r="EW27" s="5219"/>
      <c r="EX27" s="5220"/>
      <c r="EY27" s="5218" t="s">
        <v>391</v>
      </c>
      <c r="EZ27" s="5219"/>
      <c r="FA27" s="5220"/>
      <c r="FC27" s="5218" t="s">
        <v>400</v>
      </c>
      <c r="FD27" s="5219"/>
      <c r="FE27" s="5220"/>
      <c r="FF27" s="5218" t="s">
        <v>399</v>
      </c>
      <c r="FG27" s="5219"/>
      <c r="FH27" s="5220"/>
      <c r="FI27" s="5218" t="s">
        <v>398</v>
      </c>
      <c r="FJ27" s="5219"/>
      <c r="FK27" s="5220"/>
      <c r="FL27" s="5218" t="s">
        <v>397</v>
      </c>
      <c r="FM27" s="5219"/>
      <c r="FN27" s="5220"/>
      <c r="FO27" s="5218" t="s">
        <v>396</v>
      </c>
      <c r="FP27" s="5219"/>
      <c r="FQ27" s="5220"/>
      <c r="FR27" s="5218" t="s">
        <v>395</v>
      </c>
      <c r="FS27" s="5219"/>
      <c r="FT27" s="5220"/>
      <c r="FU27" s="5218" t="s">
        <v>394</v>
      </c>
      <c r="FV27" s="5219"/>
      <c r="FW27" s="5220"/>
      <c r="FX27" s="5218" t="s">
        <v>393</v>
      </c>
      <c r="FY27" s="5219"/>
      <c r="FZ27" s="5220"/>
      <c r="GA27" s="5218" t="s">
        <v>392</v>
      </c>
      <c r="GB27" s="5219"/>
      <c r="GC27" s="5220"/>
      <c r="GD27" s="5218" t="s">
        <v>391</v>
      </c>
      <c r="GE27" s="5219"/>
      <c r="GF27" s="5220"/>
      <c r="GH27" s="5218" t="s">
        <v>400</v>
      </c>
      <c r="GI27" s="5219"/>
      <c r="GJ27" s="5220"/>
      <c r="GK27" s="5218" t="s">
        <v>399</v>
      </c>
      <c r="GL27" s="5219"/>
      <c r="GM27" s="5220"/>
      <c r="GN27" s="5218" t="s">
        <v>398</v>
      </c>
      <c r="GO27" s="5219"/>
      <c r="GP27" s="5220"/>
      <c r="GQ27" s="5218" t="s">
        <v>397</v>
      </c>
      <c r="GR27" s="5219"/>
      <c r="GS27" s="5220"/>
      <c r="GT27" s="5218" t="s">
        <v>396</v>
      </c>
      <c r="GU27" s="5219"/>
      <c r="GV27" s="5220"/>
      <c r="GW27" s="5218" t="s">
        <v>395</v>
      </c>
      <c r="GX27" s="5219"/>
      <c r="GY27" s="5220"/>
      <c r="GZ27" s="5218" t="s">
        <v>394</v>
      </c>
      <c r="HA27" s="5219"/>
      <c r="HB27" s="5220"/>
      <c r="HC27" s="5218" t="s">
        <v>393</v>
      </c>
      <c r="HD27" s="5219"/>
      <c r="HE27" s="5220"/>
      <c r="HF27" s="5218" t="s">
        <v>392</v>
      </c>
      <c r="HG27" s="5219"/>
      <c r="HH27" s="5220"/>
      <c r="HI27" s="5218" t="s">
        <v>391</v>
      </c>
      <c r="HJ27" s="5219"/>
      <c r="HK27" s="5220"/>
      <c r="HM27" s="5218" t="s">
        <v>400</v>
      </c>
      <c r="HN27" s="5219"/>
      <c r="HO27" s="5220"/>
      <c r="HP27" s="5218" t="s">
        <v>399</v>
      </c>
      <c r="HQ27" s="5219"/>
      <c r="HR27" s="5220"/>
      <c r="HS27" s="5218" t="s">
        <v>398</v>
      </c>
      <c r="HT27" s="5219"/>
      <c r="HU27" s="5220"/>
      <c r="HV27" s="5218" t="s">
        <v>397</v>
      </c>
      <c r="HW27" s="5219"/>
      <c r="HX27" s="5220"/>
      <c r="HY27" s="5218" t="s">
        <v>396</v>
      </c>
      <c r="HZ27" s="5219"/>
      <c r="IA27" s="5220"/>
      <c r="IB27" s="5218" t="s">
        <v>395</v>
      </c>
      <c r="IC27" s="5219"/>
      <c r="ID27" s="5220"/>
      <c r="IE27" s="5218" t="s">
        <v>394</v>
      </c>
      <c r="IF27" s="5219"/>
      <c r="IG27" s="5220"/>
      <c r="IH27" s="5218" t="s">
        <v>393</v>
      </c>
      <c r="II27" s="5219"/>
      <c r="IJ27" s="5220"/>
      <c r="IK27" s="5218" t="s">
        <v>392</v>
      </c>
      <c r="IL27" s="5219"/>
      <c r="IM27" s="5220"/>
      <c r="IN27" s="5218" t="s">
        <v>391</v>
      </c>
      <c r="IO27" s="5219"/>
      <c r="IP27" s="5220"/>
      <c r="IV27" s="41"/>
    </row>
    <row r="28" spans="1:256" s="25" customFormat="1" ht="12.75" customHeight="1">
      <c r="A28" s="5686"/>
      <c r="C28" s="5245"/>
      <c r="D28" s="5246"/>
      <c r="E28" s="5246"/>
      <c r="F28" s="5246"/>
      <c r="G28" s="5246"/>
      <c r="H28" s="5247"/>
      <c r="I28" s="5245"/>
      <c r="J28" s="5246"/>
      <c r="K28" s="5246"/>
      <c r="L28" s="5246"/>
      <c r="M28" s="5246"/>
      <c r="N28" s="5247"/>
      <c r="O28" s="5245"/>
      <c r="P28" s="5246"/>
      <c r="Q28" s="5246"/>
      <c r="R28" s="5246"/>
      <c r="S28" s="5246"/>
      <c r="T28" s="5247"/>
      <c r="U28" s="5245"/>
      <c r="V28" s="5246"/>
      <c r="W28" s="5246"/>
      <c r="X28" s="5246"/>
      <c r="Y28" s="5246"/>
      <c r="Z28" s="5247"/>
      <c r="AA28" s="5245"/>
      <c r="AB28" s="5246"/>
      <c r="AC28" s="5246"/>
      <c r="AD28" s="5246"/>
      <c r="AE28" s="5246"/>
      <c r="AF28" s="5247"/>
      <c r="AH28" s="5245"/>
      <c r="AI28" s="5246"/>
      <c r="AJ28" s="5246"/>
      <c r="AK28" s="5246"/>
      <c r="AL28" s="5246"/>
      <c r="AM28" s="5247"/>
      <c r="AN28" s="5245"/>
      <c r="AO28" s="5246"/>
      <c r="AP28" s="5246"/>
      <c r="AQ28" s="5246"/>
      <c r="AR28" s="5246"/>
      <c r="AS28" s="5247"/>
      <c r="AT28" s="5245"/>
      <c r="AU28" s="5246"/>
      <c r="AV28" s="5246"/>
      <c r="AW28" s="5246"/>
      <c r="AX28" s="5246"/>
      <c r="AY28" s="5247"/>
      <c r="AZ28" s="5245"/>
      <c r="BA28" s="5246"/>
      <c r="BB28" s="5246"/>
      <c r="BC28" s="5246"/>
      <c r="BD28" s="5246"/>
      <c r="BE28" s="5247"/>
      <c r="BF28" s="5245"/>
      <c r="BG28" s="5246"/>
      <c r="BH28" s="5246"/>
      <c r="BI28" s="5246"/>
      <c r="BJ28" s="5246"/>
      <c r="BK28" s="5247"/>
      <c r="BM28" s="5245"/>
      <c r="BN28" s="5246"/>
      <c r="BO28" s="5246"/>
      <c r="BP28" s="5246"/>
      <c r="BQ28" s="5246"/>
      <c r="BR28" s="5247"/>
      <c r="BS28" s="5245"/>
      <c r="BT28" s="5246"/>
      <c r="BU28" s="5246"/>
      <c r="BV28" s="5246"/>
      <c r="BW28" s="5246"/>
      <c r="BX28" s="5247"/>
      <c r="BY28" s="5245"/>
      <c r="BZ28" s="5246"/>
      <c r="CA28" s="5246"/>
      <c r="CB28" s="5246"/>
      <c r="CC28" s="5246"/>
      <c r="CD28" s="5247"/>
      <c r="CE28" s="5245"/>
      <c r="CF28" s="5246"/>
      <c r="CG28" s="5246"/>
      <c r="CH28" s="5246"/>
      <c r="CI28" s="5246"/>
      <c r="CJ28" s="5247"/>
      <c r="CK28" s="5245"/>
      <c r="CL28" s="5246"/>
      <c r="CM28" s="5246"/>
      <c r="CN28" s="5246"/>
      <c r="CO28" s="5246"/>
      <c r="CP28" s="5247"/>
      <c r="CR28" s="5245"/>
      <c r="CS28" s="5246"/>
      <c r="CT28" s="5246"/>
      <c r="CU28" s="5246"/>
      <c r="CV28" s="5246"/>
      <c r="CW28" s="5247"/>
      <c r="CX28" s="5245"/>
      <c r="CY28" s="5246"/>
      <c r="CZ28" s="5246"/>
      <c r="DA28" s="5246"/>
      <c r="DB28" s="5246"/>
      <c r="DC28" s="5247"/>
      <c r="DD28" s="5245"/>
      <c r="DE28" s="5246"/>
      <c r="DF28" s="5246"/>
      <c r="DG28" s="5246"/>
      <c r="DH28" s="5246"/>
      <c r="DI28" s="5247"/>
      <c r="DJ28" s="5245"/>
      <c r="DK28" s="5246"/>
      <c r="DL28" s="5246"/>
      <c r="DM28" s="5246"/>
      <c r="DN28" s="5246"/>
      <c r="DO28" s="5247"/>
      <c r="DP28" s="5245"/>
      <c r="DQ28" s="5246"/>
      <c r="DR28" s="5246"/>
      <c r="DS28" s="5246"/>
      <c r="DT28" s="5246"/>
      <c r="DU28" s="5247"/>
      <c r="DV28" s="27"/>
      <c r="DX28" s="5221"/>
      <c r="DY28" s="5222"/>
      <c r="DZ28" s="5223"/>
      <c r="EA28" s="5221"/>
      <c r="EB28" s="5222"/>
      <c r="EC28" s="5223"/>
      <c r="ED28" s="5221"/>
      <c r="EE28" s="5222"/>
      <c r="EF28" s="5223"/>
      <c r="EG28" s="5221"/>
      <c r="EH28" s="5222"/>
      <c r="EI28" s="5223"/>
      <c r="EJ28" s="5221"/>
      <c r="EK28" s="5222"/>
      <c r="EL28" s="5223"/>
      <c r="EM28" s="5221"/>
      <c r="EN28" s="5222"/>
      <c r="EO28" s="5223"/>
      <c r="EP28" s="5221"/>
      <c r="EQ28" s="5222"/>
      <c r="ER28" s="5223"/>
      <c r="ES28" s="5221"/>
      <c r="ET28" s="5222"/>
      <c r="EU28" s="5223"/>
      <c r="EV28" s="5221"/>
      <c r="EW28" s="5222"/>
      <c r="EX28" s="5223"/>
      <c r="EY28" s="5221"/>
      <c r="EZ28" s="5222"/>
      <c r="FA28" s="5223"/>
      <c r="FC28" s="5221"/>
      <c r="FD28" s="5222"/>
      <c r="FE28" s="5223"/>
      <c r="FF28" s="5221"/>
      <c r="FG28" s="5222"/>
      <c r="FH28" s="5223"/>
      <c r="FI28" s="5221"/>
      <c r="FJ28" s="5222"/>
      <c r="FK28" s="5223"/>
      <c r="FL28" s="5221"/>
      <c r="FM28" s="5222"/>
      <c r="FN28" s="5223"/>
      <c r="FO28" s="5221"/>
      <c r="FP28" s="5222"/>
      <c r="FQ28" s="5223"/>
      <c r="FR28" s="5221"/>
      <c r="FS28" s="5222"/>
      <c r="FT28" s="5223"/>
      <c r="FU28" s="5221"/>
      <c r="FV28" s="5222"/>
      <c r="FW28" s="5223"/>
      <c r="FX28" s="5221"/>
      <c r="FY28" s="5222"/>
      <c r="FZ28" s="5223"/>
      <c r="GA28" s="5221"/>
      <c r="GB28" s="5222"/>
      <c r="GC28" s="5223"/>
      <c r="GD28" s="5221"/>
      <c r="GE28" s="5222"/>
      <c r="GF28" s="5223"/>
      <c r="GH28" s="5221"/>
      <c r="GI28" s="5222"/>
      <c r="GJ28" s="5223"/>
      <c r="GK28" s="5221"/>
      <c r="GL28" s="5222"/>
      <c r="GM28" s="5223"/>
      <c r="GN28" s="5221"/>
      <c r="GO28" s="5222"/>
      <c r="GP28" s="5223"/>
      <c r="GQ28" s="5221"/>
      <c r="GR28" s="5222"/>
      <c r="GS28" s="5223"/>
      <c r="GT28" s="5221"/>
      <c r="GU28" s="5222"/>
      <c r="GV28" s="5223"/>
      <c r="GW28" s="5221"/>
      <c r="GX28" s="5222"/>
      <c r="GY28" s="5223"/>
      <c r="GZ28" s="5221"/>
      <c r="HA28" s="5222"/>
      <c r="HB28" s="5223"/>
      <c r="HC28" s="5221"/>
      <c r="HD28" s="5222"/>
      <c r="HE28" s="5223"/>
      <c r="HF28" s="5221"/>
      <c r="HG28" s="5222"/>
      <c r="HH28" s="5223"/>
      <c r="HI28" s="5221"/>
      <c r="HJ28" s="5222"/>
      <c r="HK28" s="5223"/>
      <c r="HM28" s="5221"/>
      <c r="HN28" s="5222"/>
      <c r="HO28" s="5223"/>
      <c r="HP28" s="5221"/>
      <c r="HQ28" s="5222"/>
      <c r="HR28" s="5223"/>
      <c r="HS28" s="5221"/>
      <c r="HT28" s="5222"/>
      <c r="HU28" s="5223"/>
      <c r="HV28" s="5221"/>
      <c r="HW28" s="5222"/>
      <c r="HX28" s="5223"/>
      <c r="HY28" s="5221"/>
      <c r="HZ28" s="5222"/>
      <c r="IA28" s="5223"/>
      <c r="IB28" s="5221"/>
      <c r="IC28" s="5222"/>
      <c r="ID28" s="5223"/>
      <c r="IE28" s="5221"/>
      <c r="IF28" s="5222"/>
      <c r="IG28" s="5223"/>
      <c r="IH28" s="5221"/>
      <c r="II28" s="5222"/>
      <c r="IJ28" s="5223"/>
      <c r="IK28" s="5221"/>
      <c r="IL28" s="5222"/>
      <c r="IM28" s="5223"/>
      <c r="IN28" s="5221"/>
      <c r="IO28" s="5222"/>
      <c r="IP28" s="5223"/>
      <c r="IV28" s="41"/>
    </row>
    <row r="29" spans="1:256" s="25" customFormat="1" ht="12.75" customHeight="1">
      <c r="A29" s="5686"/>
      <c r="C29" s="5161" t="s">
        <v>383</v>
      </c>
      <c r="D29" s="5162"/>
      <c r="E29" s="5163"/>
      <c r="F29" s="5161" t="s">
        <v>382</v>
      </c>
      <c r="G29" s="5162"/>
      <c r="H29" s="5163"/>
      <c r="I29" s="5161" t="s">
        <v>383</v>
      </c>
      <c r="J29" s="5162"/>
      <c r="K29" s="5163"/>
      <c r="L29" s="5161" t="s">
        <v>382</v>
      </c>
      <c r="M29" s="5162"/>
      <c r="N29" s="5163"/>
      <c r="O29" s="5161" t="s">
        <v>383</v>
      </c>
      <c r="P29" s="5162"/>
      <c r="Q29" s="5163"/>
      <c r="R29" s="5161" t="s">
        <v>382</v>
      </c>
      <c r="S29" s="5162"/>
      <c r="T29" s="5163"/>
      <c r="U29" s="5161" t="s">
        <v>383</v>
      </c>
      <c r="V29" s="5162"/>
      <c r="W29" s="5163"/>
      <c r="X29" s="5161" t="s">
        <v>382</v>
      </c>
      <c r="Y29" s="5162"/>
      <c r="Z29" s="5163"/>
      <c r="AA29" s="5161" t="s">
        <v>383</v>
      </c>
      <c r="AB29" s="5162"/>
      <c r="AC29" s="5163"/>
      <c r="AD29" s="5161" t="s">
        <v>382</v>
      </c>
      <c r="AE29" s="5162"/>
      <c r="AF29" s="5163"/>
      <c r="AH29" s="5161" t="s">
        <v>383</v>
      </c>
      <c r="AI29" s="5162"/>
      <c r="AJ29" s="5163"/>
      <c r="AK29" s="5161" t="s">
        <v>382</v>
      </c>
      <c r="AL29" s="5162"/>
      <c r="AM29" s="5163"/>
      <c r="AN29" s="5161" t="s">
        <v>383</v>
      </c>
      <c r="AO29" s="5162"/>
      <c r="AP29" s="5163"/>
      <c r="AQ29" s="5161" t="s">
        <v>382</v>
      </c>
      <c r="AR29" s="5162"/>
      <c r="AS29" s="5163"/>
      <c r="AT29" s="5161" t="s">
        <v>383</v>
      </c>
      <c r="AU29" s="5162"/>
      <c r="AV29" s="5163"/>
      <c r="AW29" s="5161" t="s">
        <v>382</v>
      </c>
      <c r="AX29" s="5162"/>
      <c r="AY29" s="5163"/>
      <c r="AZ29" s="5161" t="s">
        <v>383</v>
      </c>
      <c r="BA29" s="5162"/>
      <c r="BB29" s="5163"/>
      <c r="BC29" s="5161" t="s">
        <v>382</v>
      </c>
      <c r="BD29" s="5162"/>
      <c r="BE29" s="5163"/>
      <c r="BF29" s="5161" t="s">
        <v>383</v>
      </c>
      <c r="BG29" s="5162"/>
      <c r="BH29" s="5163"/>
      <c r="BI29" s="5161" t="s">
        <v>382</v>
      </c>
      <c r="BJ29" s="5162"/>
      <c r="BK29" s="5163"/>
      <c r="BM29" s="5161" t="s">
        <v>383</v>
      </c>
      <c r="BN29" s="5162"/>
      <c r="BO29" s="5163"/>
      <c r="BP29" s="5161" t="s">
        <v>382</v>
      </c>
      <c r="BQ29" s="5162"/>
      <c r="BR29" s="5163"/>
      <c r="BS29" s="5161" t="s">
        <v>383</v>
      </c>
      <c r="BT29" s="5162"/>
      <c r="BU29" s="5163"/>
      <c r="BV29" s="5161" t="s">
        <v>382</v>
      </c>
      <c r="BW29" s="5162"/>
      <c r="BX29" s="5163"/>
      <c r="BY29" s="5161" t="s">
        <v>383</v>
      </c>
      <c r="BZ29" s="5162"/>
      <c r="CA29" s="5163"/>
      <c r="CB29" s="5161" t="s">
        <v>382</v>
      </c>
      <c r="CC29" s="5162"/>
      <c r="CD29" s="5163"/>
      <c r="CE29" s="5161" t="s">
        <v>383</v>
      </c>
      <c r="CF29" s="5162"/>
      <c r="CG29" s="5163"/>
      <c r="CH29" s="5161" t="s">
        <v>382</v>
      </c>
      <c r="CI29" s="5162"/>
      <c r="CJ29" s="5163"/>
      <c r="CK29" s="5161" t="s">
        <v>383</v>
      </c>
      <c r="CL29" s="5162"/>
      <c r="CM29" s="5163"/>
      <c r="CN29" s="5161" t="s">
        <v>382</v>
      </c>
      <c r="CO29" s="5162"/>
      <c r="CP29" s="5163"/>
      <c r="CR29" s="5161" t="s">
        <v>383</v>
      </c>
      <c r="CS29" s="5162"/>
      <c r="CT29" s="5163"/>
      <c r="CU29" s="5161" t="s">
        <v>382</v>
      </c>
      <c r="CV29" s="5162"/>
      <c r="CW29" s="5163"/>
      <c r="CX29" s="5161" t="s">
        <v>383</v>
      </c>
      <c r="CY29" s="5162"/>
      <c r="CZ29" s="5163"/>
      <c r="DA29" s="5161" t="s">
        <v>382</v>
      </c>
      <c r="DB29" s="5162"/>
      <c r="DC29" s="5163"/>
      <c r="DD29" s="5161" t="s">
        <v>383</v>
      </c>
      <c r="DE29" s="5162"/>
      <c r="DF29" s="5163"/>
      <c r="DG29" s="5161" t="s">
        <v>382</v>
      </c>
      <c r="DH29" s="5162"/>
      <c r="DI29" s="5163"/>
      <c r="DJ29" s="5161" t="s">
        <v>383</v>
      </c>
      <c r="DK29" s="5162"/>
      <c r="DL29" s="5163"/>
      <c r="DM29" s="5161" t="s">
        <v>382</v>
      </c>
      <c r="DN29" s="5162"/>
      <c r="DO29" s="5163"/>
      <c r="DP29" s="5161" t="s">
        <v>383</v>
      </c>
      <c r="DQ29" s="5162"/>
      <c r="DR29" s="5163"/>
      <c r="DS29" s="5161" t="s">
        <v>382</v>
      </c>
      <c r="DT29" s="5162"/>
      <c r="DU29" s="5163"/>
      <c r="DV29" s="27"/>
      <c r="DX29" s="338"/>
      <c r="DY29" s="337"/>
      <c r="DZ29" s="336"/>
      <c r="EA29" s="338"/>
      <c r="EB29" s="337"/>
      <c r="EC29" s="336"/>
      <c r="ED29" s="338"/>
      <c r="EE29" s="337"/>
      <c r="EF29" s="336"/>
      <c r="EG29" s="338"/>
      <c r="EH29" s="337"/>
      <c r="EI29" s="336"/>
      <c r="EJ29" s="338"/>
      <c r="EK29" s="337"/>
      <c r="EL29" s="336"/>
      <c r="EM29" s="338"/>
      <c r="EN29" s="337"/>
      <c r="EO29" s="336"/>
      <c r="EP29" s="338"/>
      <c r="EQ29" s="337"/>
      <c r="ER29" s="336"/>
      <c r="ES29" s="338"/>
      <c r="ET29" s="337"/>
      <c r="EU29" s="336"/>
      <c r="EV29" s="338"/>
      <c r="EW29" s="337"/>
      <c r="EX29" s="336"/>
      <c r="EY29" s="338"/>
      <c r="EZ29" s="337"/>
      <c r="FA29" s="336"/>
      <c r="FC29" s="338"/>
      <c r="FD29" s="337"/>
      <c r="FE29" s="336"/>
      <c r="FF29" s="338"/>
      <c r="FG29" s="337"/>
      <c r="FH29" s="336"/>
      <c r="FI29" s="338"/>
      <c r="FJ29" s="337"/>
      <c r="FK29" s="336"/>
      <c r="FL29" s="338"/>
      <c r="FM29" s="337"/>
      <c r="FN29" s="336"/>
      <c r="FO29" s="338"/>
      <c r="FP29" s="337"/>
      <c r="FQ29" s="336"/>
      <c r="FR29" s="338"/>
      <c r="FS29" s="337"/>
      <c r="FT29" s="336"/>
      <c r="FU29" s="338"/>
      <c r="FV29" s="337"/>
      <c r="FW29" s="336"/>
      <c r="FX29" s="338"/>
      <c r="FY29" s="337"/>
      <c r="FZ29" s="336"/>
      <c r="GA29" s="338"/>
      <c r="GB29" s="337"/>
      <c r="GC29" s="336"/>
      <c r="GD29" s="338"/>
      <c r="GE29" s="337"/>
      <c r="GF29" s="336"/>
      <c r="GH29" s="338"/>
      <c r="GI29" s="337"/>
      <c r="GJ29" s="336"/>
      <c r="GK29" s="338"/>
      <c r="GL29" s="337"/>
      <c r="GM29" s="336"/>
      <c r="GN29" s="338"/>
      <c r="GO29" s="337"/>
      <c r="GP29" s="336"/>
      <c r="GQ29" s="338"/>
      <c r="GR29" s="337"/>
      <c r="GS29" s="336"/>
      <c r="GT29" s="338"/>
      <c r="GU29" s="337"/>
      <c r="GV29" s="336"/>
      <c r="GW29" s="338"/>
      <c r="GX29" s="337"/>
      <c r="GY29" s="336"/>
      <c r="GZ29" s="338"/>
      <c r="HA29" s="337"/>
      <c r="HB29" s="336"/>
      <c r="HC29" s="338"/>
      <c r="HD29" s="337"/>
      <c r="HE29" s="336"/>
      <c r="HF29" s="338"/>
      <c r="HG29" s="337"/>
      <c r="HH29" s="336"/>
      <c r="HI29" s="338"/>
      <c r="HJ29" s="337"/>
      <c r="HK29" s="336"/>
      <c r="HM29" s="338"/>
      <c r="HN29" s="337"/>
      <c r="HO29" s="336"/>
      <c r="HP29" s="338"/>
      <c r="HQ29" s="337"/>
      <c r="HR29" s="336"/>
      <c r="HS29" s="338"/>
      <c r="HT29" s="337"/>
      <c r="HU29" s="336"/>
      <c r="HV29" s="338"/>
      <c r="HW29" s="337"/>
      <c r="HX29" s="336"/>
      <c r="HY29" s="338"/>
      <c r="HZ29" s="337"/>
      <c r="IA29" s="336"/>
      <c r="IB29" s="338"/>
      <c r="IC29" s="337"/>
      <c r="ID29" s="336"/>
      <c r="IE29" s="338"/>
      <c r="IF29" s="337"/>
      <c r="IG29" s="336"/>
      <c r="IH29" s="338"/>
      <c r="II29" s="337"/>
      <c r="IJ29" s="336"/>
      <c r="IK29" s="338"/>
      <c r="IL29" s="337"/>
      <c r="IM29" s="336"/>
      <c r="IN29" s="338"/>
      <c r="IO29" s="337"/>
      <c r="IP29" s="336"/>
      <c r="IQ29" s="27"/>
      <c r="IR29" s="27"/>
      <c r="IS29" s="27"/>
      <c r="IT29" s="27"/>
      <c r="IV29" s="41"/>
    </row>
    <row r="30" spans="1:256" s="25" customFormat="1" ht="12.75" customHeight="1" thickBot="1">
      <c r="A30" s="5686"/>
      <c r="C30" s="325" t="s">
        <v>20</v>
      </c>
      <c r="D30" s="324" t="s">
        <v>356</v>
      </c>
      <c r="E30" s="323" t="s">
        <v>355</v>
      </c>
      <c r="F30" s="325" t="s">
        <v>20</v>
      </c>
      <c r="G30" s="324" t="s">
        <v>356</v>
      </c>
      <c r="H30" s="323" t="s">
        <v>355</v>
      </c>
      <c r="I30" s="325" t="s">
        <v>20</v>
      </c>
      <c r="J30" s="324" t="s">
        <v>356</v>
      </c>
      <c r="K30" s="323" t="s">
        <v>355</v>
      </c>
      <c r="L30" s="325" t="s">
        <v>20</v>
      </c>
      <c r="M30" s="324" t="s">
        <v>356</v>
      </c>
      <c r="N30" s="323" t="s">
        <v>355</v>
      </c>
      <c r="O30" s="325" t="s">
        <v>20</v>
      </c>
      <c r="P30" s="324" t="s">
        <v>356</v>
      </c>
      <c r="Q30" s="323" t="s">
        <v>355</v>
      </c>
      <c r="R30" s="325" t="s">
        <v>20</v>
      </c>
      <c r="S30" s="324" t="s">
        <v>356</v>
      </c>
      <c r="T30" s="323" t="s">
        <v>355</v>
      </c>
      <c r="U30" s="325" t="s">
        <v>20</v>
      </c>
      <c r="V30" s="324" t="s">
        <v>356</v>
      </c>
      <c r="W30" s="323" t="s">
        <v>355</v>
      </c>
      <c r="X30" s="325" t="s">
        <v>20</v>
      </c>
      <c r="Y30" s="324" t="s">
        <v>356</v>
      </c>
      <c r="Z30" s="323" t="s">
        <v>355</v>
      </c>
      <c r="AA30" s="325" t="s">
        <v>20</v>
      </c>
      <c r="AB30" s="324" t="s">
        <v>356</v>
      </c>
      <c r="AC30" s="323" t="s">
        <v>355</v>
      </c>
      <c r="AD30" s="325" t="s">
        <v>20</v>
      </c>
      <c r="AE30" s="324" t="s">
        <v>356</v>
      </c>
      <c r="AF30" s="323" t="s">
        <v>355</v>
      </c>
      <c r="AH30" s="325" t="s">
        <v>20</v>
      </c>
      <c r="AI30" s="324" t="s">
        <v>356</v>
      </c>
      <c r="AJ30" s="323" t="s">
        <v>355</v>
      </c>
      <c r="AK30" s="325" t="s">
        <v>20</v>
      </c>
      <c r="AL30" s="324" t="s">
        <v>356</v>
      </c>
      <c r="AM30" s="323" t="s">
        <v>355</v>
      </c>
      <c r="AN30" s="325" t="s">
        <v>20</v>
      </c>
      <c r="AO30" s="324" t="s">
        <v>356</v>
      </c>
      <c r="AP30" s="323" t="s">
        <v>355</v>
      </c>
      <c r="AQ30" s="325" t="s">
        <v>20</v>
      </c>
      <c r="AR30" s="324" t="s">
        <v>356</v>
      </c>
      <c r="AS30" s="323" t="s">
        <v>355</v>
      </c>
      <c r="AT30" s="325" t="s">
        <v>20</v>
      </c>
      <c r="AU30" s="324" t="s">
        <v>356</v>
      </c>
      <c r="AV30" s="323" t="s">
        <v>355</v>
      </c>
      <c r="AW30" s="325" t="s">
        <v>20</v>
      </c>
      <c r="AX30" s="324" t="s">
        <v>356</v>
      </c>
      <c r="AY30" s="323" t="s">
        <v>355</v>
      </c>
      <c r="AZ30" s="325" t="s">
        <v>20</v>
      </c>
      <c r="BA30" s="324" t="s">
        <v>356</v>
      </c>
      <c r="BB30" s="323" t="s">
        <v>355</v>
      </c>
      <c r="BC30" s="325" t="s">
        <v>20</v>
      </c>
      <c r="BD30" s="324" t="s">
        <v>356</v>
      </c>
      <c r="BE30" s="323" t="s">
        <v>355</v>
      </c>
      <c r="BF30" s="325" t="s">
        <v>20</v>
      </c>
      <c r="BG30" s="324" t="s">
        <v>356</v>
      </c>
      <c r="BH30" s="323" t="s">
        <v>355</v>
      </c>
      <c r="BI30" s="325" t="s">
        <v>20</v>
      </c>
      <c r="BJ30" s="324" t="s">
        <v>356</v>
      </c>
      <c r="BK30" s="323" t="s">
        <v>355</v>
      </c>
      <c r="BM30" s="325" t="s">
        <v>20</v>
      </c>
      <c r="BN30" s="324" t="s">
        <v>356</v>
      </c>
      <c r="BO30" s="323" t="s">
        <v>355</v>
      </c>
      <c r="BP30" s="325" t="s">
        <v>20</v>
      </c>
      <c r="BQ30" s="324" t="s">
        <v>356</v>
      </c>
      <c r="BR30" s="323" t="s">
        <v>355</v>
      </c>
      <c r="BS30" s="325" t="s">
        <v>20</v>
      </c>
      <c r="BT30" s="324" t="s">
        <v>356</v>
      </c>
      <c r="BU30" s="323" t="s">
        <v>355</v>
      </c>
      <c r="BV30" s="325" t="s">
        <v>20</v>
      </c>
      <c r="BW30" s="324" t="s">
        <v>356</v>
      </c>
      <c r="BX30" s="323" t="s">
        <v>355</v>
      </c>
      <c r="BY30" s="325" t="s">
        <v>20</v>
      </c>
      <c r="BZ30" s="324" t="s">
        <v>356</v>
      </c>
      <c r="CA30" s="323" t="s">
        <v>355</v>
      </c>
      <c r="CB30" s="325" t="s">
        <v>20</v>
      </c>
      <c r="CC30" s="324" t="s">
        <v>356</v>
      </c>
      <c r="CD30" s="323" t="s">
        <v>355</v>
      </c>
      <c r="CE30" s="325" t="s">
        <v>20</v>
      </c>
      <c r="CF30" s="324" t="s">
        <v>356</v>
      </c>
      <c r="CG30" s="323" t="s">
        <v>355</v>
      </c>
      <c r="CH30" s="325" t="s">
        <v>20</v>
      </c>
      <c r="CI30" s="324" t="s">
        <v>356</v>
      </c>
      <c r="CJ30" s="323" t="s">
        <v>355</v>
      </c>
      <c r="CK30" s="325" t="s">
        <v>20</v>
      </c>
      <c r="CL30" s="324" t="s">
        <v>356</v>
      </c>
      <c r="CM30" s="323" t="s">
        <v>355</v>
      </c>
      <c r="CN30" s="325" t="s">
        <v>20</v>
      </c>
      <c r="CO30" s="324" t="s">
        <v>356</v>
      </c>
      <c r="CP30" s="323" t="s">
        <v>355</v>
      </c>
      <c r="CR30" s="325" t="s">
        <v>20</v>
      </c>
      <c r="CS30" s="324" t="s">
        <v>356</v>
      </c>
      <c r="CT30" s="323" t="s">
        <v>355</v>
      </c>
      <c r="CU30" s="325" t="s">
        <v>20</v>
      </c>
      <c r="CV30" s="324" t="s">
        <v>356</v>
      </c>
      <c r="CW30" s="323" t="s">
        <v>355</v>
      </c>
      <c r="CX30" s="325" t="s">
        <v>20</v>
      </c>
      <c r="CY30" s="324" t="s">
        <v>356</v>
      </c>
      <c r="CZ30" s="323" t="s">
        <v>355</v>
      </c>
      <c r="DA30" s="325" t="s">
        <v>20</v>
      </c>
      <c r="DB30" s="324" t="s">
        <v>356</v>
      </c>
      <c r="DC30" s="323" t="s">
        <v>355</v>
      </c>
      <c r="DD30" s="325" t="s">
        <v>20</v>
      </c>
      <c r="DE30" s="324" t="s">
        <v>356</v>
      </c>
      <c r="DF30" s="323" t="s">
        <v>355</v>
      </c>
      <c r="DG30" s="325" t="s">
        <v>20</v>
      </c>
      <c r="DH30" s="324" t="s">
        <v>356</v>
      </c>
      <c r="DI30" s="323" t="s">
        <v>355</v>
      </c>
      <c r="DJ30" s="325" t="s">
        <v>20</v>
      </c>
      <c r="DK30" s="324" t="s">
        <v>356</v>
      </c>
      <c r="DL30" s="323" t="s">
        <v>355</v>
      </c>
      <c r="DM30" s="325" t="s">
        <v>20</v>
      </c>
      <c r="DN30" s="324" t="s">
        <v>356</v>
      </c>
      <c r="DO30" s="323" t="s">
        <v>355</v>
      </c>
      <c r="DP30" s="325" t="s">
        <v>20</v>
      </c>
      <c r="DQ30" s="324" t="s">
        <v>356</v>
      </c>
      <c r="DR30" s="323" t="s">
        <v>355</v>
      </c>
      <c r="DS30" s="325" t="s">
        <v>20</v>
      </c>
      <c r="DT30" s="324" t="s">
        <v>356</v>
      </c>
      <c r="DU30" s="323" t="s">
        <v>355</v>
      </c>
      <c r="DV30" s="27"/>
      <c r="DX30" s="335" t="s">
        <v>20</v>
      </c>
      <c r="DY30" s="334" t="s">
        <v>356</v>
      </c>
      <c r="DZ30" s="333" t="s">
        <v>355</v>
      </c>
      <c r="EA30" s="335" t="s">
        <v>20</v>
      </c>
      <c r="EB30" s="334" t="s">
        <v>356</v>
      </c>
      <c r="EC30" s="333" t="s">
        <v>355</v>
      </c>
      <c r="ED30" s="335" t="s">
        <v>20</v>
      </c>
      <c r="EE30" s="334" t="s">
        <v>356</v>
      </c>
      <c r="EF30" s="333" t="s">
        <v>355</v>
      </c>
      <c r="EG30" s="335" t="s">
        <v>20</v>
      </c>
      <c r="EH30" s="334" t="s">
        <v>356</v>
      </c>
      <c r="EI30" s="333" t="s">
        <v>355</v>
      </c>
      <c r="EJ30" s="335" t="s">
        <v>20</v>
      </c>
      <c r="EK30" s="334" t="s">
        <v>356</v>
      </c>
      <c r="EL30" s="333" t="s">
        <v>355</v>
      </c>
      <c r="EM30" s="335" t="s">
        <v>20</v>
      </c>
      <c r="EN30" s="334" t="s">
        <v>356</v>
      </c>
      <c r="EO30" s="333" t="s">
        <v>355</v>
      </c>
      <c r="EP30" s="335" t="s">
        <v>20</v>
      </c>
      <c r="EQ30" s="334" t="s">
        <v>356</v>
      </c>
      <c r="ER30" s="333" t="s">
        <v>355</v>
      </c>
      <c r="ES30" s="335" t="s">
        <v>20</v>
      </c>
      <c r="ET30" s="334" t="s">
        <v>356</v>
      </c>
      <c r="EU30" s="333" t="s">
        <v>355</v>
      </c>
      <c r="EV30" s="335" t="s">
        <v>20</v>
      </c>
      <c r="EW30" s="334" t="s">
        <v>356</v>
      </c>
      <c r="EX30" s="333" t="s">
        <v>355</v>
      </c>
      <c r="EY30" s="335" t="s">
        <v>20</v>
      </c>
      <c r="EZ30" s="334" t="s">
        <v>356</v>
      </c>
      <c r="FA30" s="333" t="s">
        <v>355</v>
      </c>
      <c r="FC30" s="335" t="s">
        <v>20</v>
      </c>
      <c r="FD30" s="334" t="s">
        <v>356</v>
      </c>
      <c r="FE30" s="333" t="s">
        <v>355</v>
      </c>
      <c r="FF30" s="335" t="s">
        <v>20</v>
      </c>
      <c r="FG30" s="334" t="s">
        <v>356</v>
      </c>
      <c r="FH30" s="333" t="s">
        <v>355</v>
      </c>
      <c r="FI30" s="335" t="s">
        <v>20</v>
      </c>
      <c r="FJ30" s="334" t="s">
        <v>356</v>
      </c>
      <c r="FK30" s="333" t="s">
        <v>355</v>
      </c>
      <c r="FL30" s="335" t="s">
        <v>20</v>
      </c>
      <c r="FM30" s="334" t="s">
        <v>356</v>
      </c>
      <c r="FN30" s="333" t="s">
        <v>355</v>
      </c>
      <c r="FO30" s="335" t="s">
        <v>20</v>
      </c>
      <c r="FP30" s="334" t="s">
        <v>356</v>
      </c>
      <c r="FQ30" s="333" t="s">
        <v>355</v>
      </c>
      <c r="FR30" s="335" t="s">
        <v>20</v>
      </c>
      <c r="FS30" s="334" t="s">
        <v>356</v>
      </c>
      <c r="FT30" s="333" t="s">
        <v>355</v>
      </c>
      <c r="FU30" s="335" t="s">
        <v>20</v>
      </c>
      <c r="FV30" s="334" t="s">
        <v>356</v>
      </c>
      <c r="FW30" s="333" t="s">
        <v>355</v>
      </c>
      <c r="FX30" s="335" t="s">
        <v>20</v>
      </c>
      <c r="FY30" s="334" t="s">
        <v>356</v>
      </c>
      <c r="FZ30" s="333" t="s">
        <v>355</v>
      </c>
      <c r="GA30" s="335" t="s">
        <v>20</v>
      </c>
      <c r="GB30" s="334" t="s">
        <v>356</v>
      </c>
      <c r="GC30" s="333" t="s">
        <v>355</v>
      </c>
      <c r="GD30" s="335" t="s">
        <v>20</v>
      </c>
      <c r="GE30" s="334" t="s">
        <v>356</v>
      </c>
      <c r="GF30" s="333" t="s">
        <v>355</v>
      </c>
      <c r="GH30" s="335" t="s">
        <v>20</v>
      </c>
      <c r="GI30" s="334" t="s">
        <v>356</v>
      </c>
      <c r="GJ30" s="333" t="s">
        <v>355</v>
      </c>
      <c r="GK30" s="335" t="s">
        <v>20</v>
      </c>
      <c r="GL30" s="334" t="s">
        <v>356</v>
      </c>
      <c r="GM30" s="333" t="s">
        <v>355</v>
      </c>
      <c r="GN30" s="335" t="s">
        <v>20</v>
      </c>
      <c r="GO30" s="334" t="s">
        <v>356</v>
      </c>
      <c r="GP30" s="333" t="s">
        <v>355</v>
      </c>
      <c r="GQ30" s="335" t="s">
        <v>20</v>
      </c>
      <c r="GR30" s="334" t="s">
        <v>356</v>
      </c>
      <c r="GS30" s="333" t="s">
        <v>355</v>
      </c>
      <c r="GT30" s="335" t="s">
        <v>20</v>
      </c>
      <c r="GU30" s="334" t="s">
        <v>356</v>
      </c>
      <c r="GV30" s="333" t="s">
        <v>355</v>
      </c>
      <c r="GW30" s="335" t="s">
        <v>20</v>
      </c>
      <c r="GX30" s="334" t="s">
        <v>356</v>
      </c>
      <c r="GY30" s="333" t="s">
        <v>355</v>
      </c>
      <c r="GZ30" s="335" t="s">
        <v>20</v>
      </c>
      <c r="HA30" s="334" t="s">
        <v>356</v>
      </c>
      <c r="HB30" s="333" t="s">
        <v>355</v>
      </c>
      <c r="HC30" s="335" t="s">
        <v>20</v>
      </c>
      <c r="HD30" s="334" t="s">
        <v>356</v>
      </c>
      <c r="HE30" s="333" t="s">
        <v>355</v>
      </c>
      <c r="HF30" s="335" t="s">
        <v>20</v>
      </c>
      <c r="HG30" s="334" t="s">
        <v>356</v>
      </c>
      <c r="HH30" s="333" t="s">
        <v>355</v>
      </c>
      <c r="HI30" s="335" t="s">
        <v>20</v>
      </c>
      <c r="HJ30" s="334" t="s">
        <v>356</v>
      </c>
      <c r="HK30" s="333" t="s">
        <v>355</v>
      </c>
      <c r="HM30" s="335" t="s">
        <v>20</v>
      </c>
      <c r="HN30" s="334" t="s">
        <v>356</v>
      </c>
      <c r="HO30" s="333" t="s">
        <v>355</v>
      </c>
      <c r="HP30" s="335" t="s">
        <v>20</v>
      </c>
      <c r="HQ30" s="334" t="s">
        <v>356</v>
      </c>
      <c r="HR30" s="333" t="s">
        <v>355</v>
      </c>
      <c r="HS30" s="335" t="s">
        <v>20</v>
      </c>
      <c r="HT30" s="334" t="s">
        <v>356</v>
      </c>
      <c r="HU30" s="333" t="s">
        <v>355</v>
      </c>
      <c r="HV30" s="335" t="s">
        <v>20</v>
      </c>
      <c r="HW30" s="334" t="s">
        <v>356</v>
      </c>
      <c r="HX30" s="333" t="s">
        <v>355</v>
      </c>
      <c r="HY30" s="335" t="s">
        <v>20</v>
      </c>
      <c r="HZ30" s="334" t="s">
        <v>356</v>
      </c>
      <c r="IA30" s="333" t="s">
        <v>355</v>
      </c>
      <c r="IB30" s="335" t="s">
        <v>20</v>
      </c>
      <c r="IC30" s="334" t="s">
        <v>356</v>
      </c>
      <c r="ID30" s="333" t="s">
        <v>355</v>
      </c>
      <c r="IE30" s="335" t="s">
        <v>20</v>
      </c>
      <c r="IF30" s="334" t="s">
        <v>356</v>
      </c>
      <c r="IG30" s="333" t="s">
        <v>355</v>
      </c>
      <c r="IH30" s="335" t="s">
        <v>20</v>
      </c>
      <c r="II30" s="334" t="s">
        <v>356</v>
      </c>
      <c r="IJ30" s="333" t="s">
        <v>355</v>
      </c>
      <c r="IK30" s="335" t="s">
        <v>20</v>
      </c>
      <c r="IL30" s="334" t="s">
        <v>356</v>
      </c>
      <c r="IM30" s="333" t="s">
        <v>355</v>
      </c>
      <c r="IN30" s="335" t="s">
        <v>20</v>
      </c>
      <c r="IO30" s="334" t="s">
        <v>356</v>
      </c>
      <c r="IP30" s="333" t="s">
        <v>355</v>
      </c>
      <c r="IV30" s="41"/>
    </row>
    <row r="31" spans="1:256" s="25" customFormat="1" ht="13.5" customHeight="1" thickBot="1">
      <c r="A31" s="5686"/>
      <c r="C31" s="259" t="e">
        <f>I31+O31+U31+AA31</f>
        <v>#REF!</v>
      </c>
      <c r="D31" s="251" t="e">
        <f>J31+P31+V31+AB31</f>
        <v>#REF!</v>
      </c>
      <c r="E31" s="254" t="e">
        <f>(C31-D31)</f>
        <v>#REF!</v>
      </c>
      <c r="F31" s="322" t="e">
        <f>((C31)/($AY$7+0.00001))*100</f>
        <v>#REF!</v>
      </c>
      <c r="G31" s="257" t="e">
        <f>((D31)/($AX$7+0.00001))*100</f>
        <v>#REF!</v>
      </c>
      <c r="H31" s="321" t="e">
        <f>((E31)/($AI$7+0.00001))*100</f>
        <v>#REF!</v>
      </c>
      <c r="I31" s="259" t="e">
        <f>('الصفحة 12'!#REF!)</f>
        <v>#REF!</v>
      </c>
      <c r="J31" s="251" t="e">
        <f>('الصفحة 12'!#REF!)</f>
        <v>#REF!</v>
      </c>
      <c r="K31" s="254" t="e">
        <f>(I31-J31)</f>
        <v>#REF!</v>
      </c>
      <c r="L31" s="322" t="e">
        <f>((I31)/($AM$7+0.00001))*100</f>
        <v>#REF!</v>
      </c>
      <c r="M31" s="257" t="e">
        <f>((J31)/($AL$7+0.00001))*100</f>
        <v>#REF!</v>
      </c>
      <c r="N31" s="321" t="e">
        <f>((K31)/($W$7+0.00001))*100</f>
        <v>#REF!</v>
      </c>
      <c r="O31" s="259" t="e">
        <f>('الصفحة 12'!#REF!)</f>
        <v>#REF!</v>
      </c>
      <c r="P31" s="251" t="e">
        <f>('الصفحة 12'!#REF!)</f>
        <v>#REF!</v>
      </c>
      <c r="Q31" s="254" t="e">
        <f>(O31-P31)</f>
        <v>#REF!</v>
      </c>
      <c r="R31" s="322" t="e">
        <f>((O31)/($AP$7+0.00001))*100</f>
        <v>#REF!</v>
      </c>
      <c r="S31" s="257" t="e">
        <f>((P31)/($AO$7+0.00001))*100</f>
        <v>#REF!</v>
      </c>
      <c r="T31" s="321" t="e">
        <f>((Q31)/($Z$7+0.00001))*100</f>
        <v>#REF!</v>
      </c>
      <c r="U31" s="259" t="e">
        <f>('الصفحة 12'!#REF!)</f>
        <v>#REF!</v>
      </c>
      <c r="V31" s="251" t="e">
        <f>('الصفحة 12'!#REF!)</f>
        <v>#REF!</v>
      </c>
      <c r="W31" s="254" t="e">
        <f>(U31-V31)</f>
        <v>#REF!</v>
      </c>
      <c r="X31" s="322" t="e">
        <f>((U31)/($AS$7+0.00001))*100</f>
        <v>#REF!</v>
      </c>
      <c r="Y31" s="257" t="e">
        <f>((V31)/($AR$7+0.00001))*100</f>
        <v>#REF!</v>
      </c>
      <c r="Z31" s="321" t="e">
        <f>((W31)/($AC$7+0.00001))*100</f>
        <v>#REF!</v>
      </c>
      <c r="AA31" s="259" t="e">
        <f>('الصفحة 12'!#REF!)</f>
        <v>#REF!</v>
      </c>
      <c r="AB31" s="251" t="e">
        <f>('الصفحة 12'!#REF!)</f>
        <v>#REF!</v>
      </c>
      <c r="AC31" s="254" t="e">
        <f>(AA31-AB31)</f>
        <v>#REF!</v>
      </c>
      <c r="AD31" s="322" t="e">
        <f>((AA31)/($AV$7+0.00001))*100</f>
        <v>#REF!</v>
      </c>
      <c r="AE31" s="257" t="e">
        <f>((AB31)/($AU$7+0.00001))*100</f>
        <v>#REF!</v>
      </c>
      <c r="AF31" s="321" t="e">
        <f>((AC31)/($AF$7+0.00001))*100</f>
        <v>#REF!</v>
      </c>
      <c r="AH31" s="259" t="e">
        <f>AN31+AT31+AZ31+BF31</f>
        <v>#REF!</v>
      </c>
      <c r="AI31" s="251" t="e">
        <f>AO31+AU31+BA31+BG31</f>
        <v>#REF!</v>
      </c>
      <c r="AJ31" s="254" t="e">
        <f>(AH31-AI31)</f>
        <v>#REF!</v>
      </c>
      <c r="AK31" s="322" t="e">
        <f>((AH31)/($AY$7+0.00001))*100</f>
        <v>#REF!</v>
      </c>
      <c r="AL31" s="257" t="e">
        <f>((AI31)/($AX$7+0.00001))*100</f>
        <v>#REF!</v>
      </c>
      <c r="AM31" s="321" t="e">
        <f>((AJ31)/($AI$7+0.00001))*100</f>
        <v>#REF!</v>
      </c>
      <c r="AN31" s="259" t="e">
        <f>('الصفحة 12'!#REF!)</f>
        <v>#REF!</v>
      </c>
      <c r="AO31" s="251" t="e">
        <f>('الصفحة 12'!#REF!)</f>
        <v>#REF!</v>
      </c>
      <c r="AP31" s="254" t="e">
        <f>(AN31-AO31)</f>
        <v>#REF!</v>
      </c>
      <c r="AQ31" s="322" t="e">
        <f>((AN31)/($AM$7+0.00001))*100</f>
        <v>#REF!</v>
      </c>
      <c r="AR31" s="257" t="e">
        <f>((AO31)/($AL$7+0.00001))*100</f>
        <v>#REF!</v>
      </c>
      <c r="AS31" s="321" t="e">
        <f>((AP31)/($W$7+0.00001))*100</f>
        <v>#REF!</v>
      </c>
      <c r="AT31" s="259" t="e">
        <f>('الصفحة 12'!#REF!)</f>
        <v>#REF!</v>
      </c>
      <c r="AU31" s="251" t="e">
        <f>('الصفحة 12'!#REF!)</f>
        <v>#REF!</v>
      </c>
      <c r="AV31" s="254" t="e">
        <f>(AT31-AU31)</f>
        <v>#REF!</v>
      </c>
      <c r="AW31" s="322" t="e">
        <f>((AT31)/($AS$7+0.00001))*100</f>
        <v>#REF!</v>
      </c>
      <c r="AX31" s="257" t="e">
        <f>((AU31)/($AR$7+0.00001))*100</f>
        <v>#REF!</v>
      </c>
      <c r="AY31" s="321" t="e">
        <f>((AV31)/($AC$7+0.00001))*100</f>
        <v>#REF!</v>
      </c>
      <c r="AZ31" s="259" t="e">
        <f>('الصفحة 12'!#REF!)</f>
        <v>#REF!</v>
      </c>
      <c r="BA31" s="251" t="e">
        <f>('الصفحة 12'!#REF!)</f>
        <v>#REF!</v>
      </c>
      <c r="BB31" s="254" t="e">
        <f>(AZ31-BA31)</f>
        <v>#REF!</v>
      </c>
      <c r="BC31" s="322" t="e">
        <f>((AZ31)/($AS$7+0.00001))*100</f>
        <v>#REF!</v>
      </c>
      <c r="BD31" s="257" t="e">
        <f>((BA31)/($AR$7+0.00001))*100</f>
        <v>#REF!</v>
      </c>
      <c r="BE31" s="321" t="e">
        <f>((BB31)/($BI$7+0.00001))*100</f>
        <v>#REF!</v>
      </c>
      <c r="BF31" s="259" t="e">
        <f>('الصفحة 12'!#REF!)</f>
        <v>#REF!</v>
      </c>
      <c r="BG31" s="251" t="e">
        <f>('الصفحة 12'!#REF!)</f>
        <v>#REF!</v>
      </c>
      <c r="BH31" s="254" t="e">
        <f>(BF31-BG31)</f>
        <v>#REF!</v>
      </c>
      <c r="BI31" s="322" t="e">
        <f>((BF31)/($AV$7+0.00001))*100</f>
        <v>#REF!</v>
      </c>
      <c r="BJ31" s="257" t="e">
        <f>((BG31)/($AU$7+0.00001))*100</f>
        <v>#REF!</v>
      </c>
      <c r="BK31" s="321" t="e">
        <f>((BH31)/($AF$7+0.00001))*100</f>
        <v>#REF!</v>
      </c>
      <c r="BM31" s="259" t="e">
        <f>BS31+BY31+CE31+CK31</f>
        <v>#REF!</v>
      </c>
      <c r="BN31" s="251" t="e">
        <f>BT31+BZ31+CF31+CL31</f>
        <v>#REF!</v>
      </c>
      <c r="BO31" s="254" t="e">
        <f>(BM31-BN31)</f>
        <v>#REF!</v>
      </c>
      <c r="BP31" s="322" t="e">
        <f>((BM31)/($AY$7+0.00001))*100</f>
        <v>#REF!</v>
      </c>
      <c r="BQ31" s="257" t="e">
        <f>((BN31)/($AX$7+0.00001))*100</f>
        <v>#REF!</v>
      </c>
      <c r="BR31" s="321" t="e">
        <f>((BO31)/($AI$7+0.00001))*100</f>
        <v>#REF!</v>
      </c>
      <c r="BS31" s="259" t="e">
        <f>('الصفحة 12'!#REF!)</f>
        <v>#REF!</v>
      </c>
      <c r="BT31" s="251" t="e">
        <f>('الصفحة 12'!#REF!)</f>
        <v>#REF!</v>
      </c>
      <c r="BU31" s="254" t="e">
        <f>(BS31-BT31)</f>
        <v>#REF!</v>
      </c>
      <c r="BV31" s="322" t="e">
        <f>((BS31)/($AM$7+0.00001))*100</f>
        <v>#REF!</v>
      </c>
      <c r="BW31" s="257" t="e">
        <f>((BT31)/($AL$7+0.00001))*100</f>
        <v>#REF!</v>
      </c>
      <c r="BX31" s="321" t="e">
        <f>((BU31)/($W$7+0.00001))*100</f>
        <v>#REF!</v>
      </c>
      <c r="BY31" s="259" t="e">
        <f>('الصفحة 12'!#REF!)</f>
        <v>#REF!</v>
      </c>
      <c r="BZ31" s="251" t="e">
        <f>('الصفحة 12'!#REF!)</f>
        <v>#REF!</v>
      </c>
      <c r="CA31" s="254" t="e">
        <f>(BY31-BZ31)</f>
        <v>#REF!</v>
      </c>
      <c r="CB31" s="322" t="e">
        <f>((BY31)/($AP$7+0.00001))*100</f>
        <v>#REF!</v>
      </c>
      <c r="CC31" s="257" t="e">
        <f>((BZ31)/($AO$7+0.00001))*100</f>
        <v>#REF!</v>
      </c>
      <c r="CD31" s="321" t="e">
        <f>((CA31)/($Z$7+0.00001))*100</f>
        <v>#REF!</v>
      </c>
      <c r="CE31" s="259" t="e">
        <f>('الصفحة 12'!#REF!)</f>
        <v>#REF!</v>
      </c>
      <c r="CF31" s="251" t="e">
        <f>('الصفحة 12'!#REF!)</f>
        <v>#REF!</v>
      </c>
      <c r="CG31" s="254" t="e">
        <f>(CE31-CF31)</f>
        <v>#REF!</v>
      </c>
      <c r="CH31" s="322" t="e">
        <f>((CE31)/($AS$7+0.00001))*100</f>
        <v>#REF!</v>
      </c>
      <c r="CI31" s="257" t="e">
        <f>((CF31)/($AR$7+0.00001))*100</f>
        <v>#REF!</v>
      </c>
      <c r="CJ31" s="321" t="e">
        <f>((CG31)/($AC$7+0.00001))*100</f>
        <v>#REF!</v>
      </c>
      <c r="CK31" s="259" t="e">
        <f>('الصفحة 12'!#REF!)</f>
        <v>#REF!</v>
      </c>
      <c r="CL31" s="251" t="e">
        <f>('الصفحة 12'!#REF!)</f>
        <v>#REF!</v>
      </c>
      <c r="CM31" s="254" t="e">
        <f>(CK31-CL31)</f>
        <v>#REF!</v>
      </c>
      <c r="CN31" s="322" t="e">
        <f>((CK31)/($AV$7+0.00001))*100</f>
        <v>#REF!</v>
      </c>
      <c r="CO31" s="257" t="e">
        <f>((CL31)/($AU$7+0.00001))*100</f>
        <v>#REF!</v>
      </c>
      <c r="CP31" s="321" t="e">
        <f>((CM31)/($AF$7+0.00001))*100</f>
        <v>#REF!</v>
      </c>
      <c r="CR31" s="259" t="e">
        <f>CX31+DD31+DJ31+DP31</f>
        <v>#REF!</v>
      </c>
      <c r="CS31" s="251" t="e">
        <f>CY31+DE31+DK31+DQ31</f>
        <v>#REF!</v>
      </c>
      <c r="CT31" s="254" t="e">
        <f>(CR31-CS31)</f>
        <v>#REF!</v>
      </c>
      <c r="CU31" s="322" t="e">
        <f>((CR31)/($AY$7+0.00001))*100</f>
        <v>#REF!</v>
      </c>
      <c r="CV31" s="257" t="e">
        <f>((CS31)/($AX$7+0.00001))*100</f>
        <v>#REF!</v>
      </c>
      <c r="CW31" s="321" t="e">
        <f>((CT31)/($AI$7+0.00001))*100</f>
        <v>#REF!</v>
      </c>
      <c r="CX31" s="259" t="e">
        <f>('الصفحة 12'!#REF!)</f>
        <v>#REF!</v>
      </c>
      <c r="CY31" s="251" t="e">
        <f>('الصفحة 12'!#REF!)</f>
        <v>#REF!</v>
      </c>
      <c r="CZ31" s="254" t="e">
        <f>(CX31-CY31)</f>
        <v>#REF!</v>
      </c>
      <c r="DA31" s="322" t="e">
        <f>((CX31)/($AM$7+0.00001))*100</f>
        <v>#REF!</v>
      </c>
      <c r="DB31" s="257" t="e">
        <f>((CY31)/($AL$7+0.00001))*100</f>
        <v>#REF!</v>
      </c>
      <c r="DC31" s="321" t="e">
        <f>((CZ31)/($W$7+0.00001))*100</f>
        <v>#REF!</v>
      </c>
      <c r="DD31" s="259" t="e">
        <f>('الصفحة 12'!#REF!)</f>
        <v>#REF!</v>
      </c>
      <c r="DE31" s="251" t="e">
        <f>('الصفحة 12'!#REF!)</f>
        <v>#REF!</v>
      </c>
      <c r="DF31" s="254" t="e">
        <f>(DD31-DE31)</f>
        <v>#REF!</v>
      </c>
      <c r="DG31" s="322" t="e">
        <f>((DD31)/($AP$7+0.00001))*100</f>
        <v>#REF!</v>
      </c>
      <c r="DH31" s="257" t="e">
        <f>((DE31)/($AO$7+0.00001))*100</f>
        <v>#REF!</v>
      </c>
      <c r="DI31" s="321" t="e">
        <f>((DF31)/($Z$7+0.00001))*100</f>
        <v>#REF!</v>
      </c>
      <c r="DJ31" s="259" t="e">
        <f>('الصفحة 12'!#REF!)</f>
        <v>#REF!</v>
      </c>
      <c r="DK31" s="251" t="e">
        <f>('الصفحة 12'!#REF!)</f>
        <v>#REF!</v>
      </c>
      <c r="DL31" s="254" t="e">
        <f>(DJ31-DK31)</f>
        <v>#REF!</v>
      </c>
      <c r="DM31" s="322" t="e">
        <f>((DJ31)/($AS$7+0.00001))*100</f>
        <v>#REF!</v>
      </c>
      <c r="DN31" s="257" t="e">
        <f>((DK31)/($AR$7+0.00001))*100</f>
        <v>#REF!</v>
      </c>
      <c r="DO31" s="321" t="e">
        <f>((DL31)/($AC$7+0.00001))*100</f>
        <v>#REF!</v>
      </c>
      <c r="DP31" s="259" t="e">
        <f>('الصفحة 12'!#REF!)</f>
        <v>#REF!</v>
      </c>
      <c r="DQ31" s="251" t="e">
        <f>('الصفحة 12'!#REF!)</f>
        <v>#REF!</v>
      </c>
      <c r="DR31" s="254" t="e">
        <f>(DP31-DQ31)</f>
        <v>#REF!</v>
      </c>
      <c r="DS31" s="322" t="e">
        <f>((DP31)/($AV$7+0.00001))*100</f>
        <v>#REF!</v>
      </c>
      <c r="DT31" s="257" t="e">
        <f>((DQ31)/($AU$7+0.00001))*100</f>
        <v>#REF!</v>
      </c>
      <c r="DU31" s="321" t="e">
        <f>((DR31)/($AF$7+0.00001))*100</f>
        <v>#REF!</v>
      </c>
      <c r="DV31" s="27"/>
      <c r="DX31" s="216">
        <f>'الصفحة 10'!$F$10</f>
        <v>28</v>
      </c>
      <c r="DY31" s="213">
        <f>'الصفحة 10'!$G$10</f>
        <v>13</v>
      </c>
      <c r="DZ31" s="331">
        <f>DX31-DY31</f>
        <v>15</v>
      </c>
      <c r="EA31" s="216">
        <f>'الصفحة 10'!$F$11</f>
        <v>152</v>
      </c>
      <c r="EB31" s="213">
        <f>'الصفحة 10'!$G$11</f>
        <v>73</v>
      </c>
      <c r="EC31" s="331">
        <f>EA31-EB31</f>
        <v>79</v>
      </c>
      <c r="ED31" s="216">
        <f>'الصفحة 10'!$F$12</f>
        <v>27</v>
      </c>
      <c r="EE31" s="213">
        <f>'الصفحة 10'!$G$12</f>
        <v>11</v>
      </c>
      <c r="EF31" s="331">
        <f>ED31-EE31</f>
        <v>16</v>
      </c>
      <c r="EG31" s="216">
        <f>'الصفحة 10'!$F$13</f>
        <v>15</v>
      </c>
      <c r="EH31" s="213">
        <f>'الصفحة 10'!$G$13</f>
        <v>5</v>
      </c>
      <c r="EI31" s="331">
        <f>EG31-EH31</f>
        <v>10</v>
      </c>
      <c r="EJ31" s="216">
        <f>'الصفحة 10'!$F$14</f>
        <v>10</v>
      </c>
      <c r="EK31" s="213">
        <f>'الصفحة 10'!$G$14</f>
        <v>1</v>
      </c>
      <c r="EL31" s="331">
        <f>EJ31-EK31</f>
        <v>9</v>
      </c>
      <c r="EM31" s="216">
        <f>'الصفحة 10'!$F$15</f>
        <v>5</v>
      </c>
      <c r="EN31" s="213">
        <f>'الصفحة 10'!$G$15</f>
        <v>0</v>
      </c>
      <c r="EO31" s="331">
        <f>EM31-EN31</f>
        <v>5</v>
      </c>
      <c r="EP31" s="216">
        <f>'الصفحة 10'!$F$16</f>
        <v>1</v>
      </c>
      <c r="EQ31" s="213">
        <f>'الصفحة 10'!$G$16</f>
        <v>0</v>
      </c>
      <c r="ER31" s="331">
        <f>EP31-EQ31</f>
        <v>1</v>
      </c>
      <c r="ES31" s="216">
        <f>'الصفحة 10'!$F$17</f>
        <v>0</v>
      </c>
      <c r="ET31" s="213">
        <f>'الصفحة 10'!$G$17</f>
        <v>0</v>
      </c>
      <c r="EU31" s="331">
        <f>ES31-ET31</f>
        <v>0</v>
      </c>
      <c r="EV31" s="216">
        <f>'الصفحة 10'!$F$18</f>
        <v>0</v>
      </c>
      <c r="EW31" s="213">
        <f>'الصفحة 10'!$G$18</f>
        <v>0</v>
      </c>
      <c r="EX31" s="331">
        <f>EV31-EW31</f>
        <v>0</v>
      </c>
      <c r="EY31" s="216">
        <f>'الصفحة 10'!$F$19</f>
        <v>0</v>
      </c>
      <c r="EZ31" s="213">
        <f>'الصفحة 10'!$G$19</f>
        <v>0</v>
      </c>
      <c r="FA31" s="331">
        <f>EY31-EZ31</f>
        <v>0</v>
      </c>
      <c r="FC31" s="216">
        <f>'الصفحة 10'!$H$10</f>
        <v>0</v>
      </c>
      <c r="FD31" s="213">
        <f>'الصفحة 10'!$I$10</f>
        <v>0</v>
      </c>
      <c r="FE31" s="331">
        <f>FC31-FD31</f>
        <v>0</v>
      </c>
      <c r="FF31" s="216">
        <f>'الصفحة 10'!$H$11</f>
        <v>34</v>
      </c>
      <c r="FG31" s="213">
        <f>'الصفحة 10'!$I$11</f>
        <v>11</v>
      </c>
      <c r="FH31" s="331">
        <f>FF31-FG31</f>
        <v>23</v>
      </c>
      <c r="FI31" s="216">
        <f>'الصفحة 10'!$H$12</f>
        <v>106</v>
      </c>
      <c r="FJ31" s="213">
        <f>'الصفحة 10'!$I$12</f>
        <v>64</v>
      </c>
      <c r="FK31" s="331">
        <f>FI31-FJ31</f>
        <v>42</v>
      </c>
      <c r="FL31" s="216">
        <f>'الصفحة 10'!$H$13</f>
        <v>18</v>
      </c>
      <c r="FM31" s="213">
        <f>'الصفحة 10'!$I$13</f>
        <v>7</v>
      </c>
      <c r="FN31" s="331">
        <f>FL31-FM31</f>
        <v>11</v>
      </c>
      <c r="FO31" s="216">
        <f>'الصفحة 10'!$H$14</f>
        <v>6</v>
      </c>
      <c r="FP31" s="213">
        <f>'الصفحة 10'!$I$14</f>
        <v>1</v>
      </c>
      <c r="FQ31" s="331">
        <f>FO31-FP31</f>
        <v>5</v>
      </c>
      <c r="FR31" s="216">
        <f>'الصفحة 10'!$H$15</f>
        <v>7</v>
      </c>
      <c r="FS31" s="213">
        <f>'الصفحة 10'!$I$15</f>
        <v>2</v>
      </c>
      <c r="FT31" s="331">
        <f>FR31-FS31</f>
        <v>5</v>
      </c>
      <c r="FU31" s="216">
        <f>'الصفحة 10'!$H$16</f>
        <v>2</v>
      </c>
      <c r="FV31" s="213">
        <f>'الصفحة 10'!$I$16</f>
        <v>0</v>
      </c>
      <c r="FW31" s="331">
        <f>FU31-FV31</f>
        <v>2</v>
      </c>
      <c r="FX31" s="216">
        <f>'الصفحة 10'!$H$17</f>
        <v>0</v>
      </c>
      <c r="FY31" s="213">
        <f>'الصفحة 10'!$I$17</f>
        <v>0</v>
      </c>
      <c r="FZ31" s="331">
        <f>FX31-FY31</f>
        <v>0</v>
      </c>
      <c r="GA31" s="216">
        <f>'الصفحة 10'!$H$18</f>
        <v>0</v>
      </c>
      <c r="GB31" s="213">
        <f>'الصفحة 10'!$I$18</f>
        <v>0</v>
      </c>
      <c r="GC31" s="331">
        <f>GA31-GB31</f>
        <v>0</v>
      </c>
      <c r="GD31" s="216">
        <f>'الصفحة 10'!$H$19</f>
        <v>0</v>
      </c>
      <c r="GE31" s="213">
        <f>'الصفحة 10'!$I$19</f>
        <v>0</v>
      </c>
      <c r="GF31" s="331">
        <f>GD31-GE31</f>
        <v>0</v>
      </c>
      <c r="GH31" s="216">
        <f>'الصفحة 10'!$J$10</f>
        <v>0</v>
      </c>
      <c r="GI31" s="213">
        <f>'الصفحة 10'!$K$10</f>
        <v>0</v>
      </c>
      <c r="GJ31" s="331">
        <f>GH31-GI31</f>
        <v>0</v>
      </c>
      <c r="GK31" s="216">
        <f>'الصفحة 10'!$J$11</f>
        <v>0</v>
      </c>
      <c r="GL31" s="213">
        <f>'الصفحة 10'!$K$11</f>
        <v>0</v>
      </c>
      <c r="GM31" s="331">
        <f>GK31-GL31</f>
        <v>0</v>
      </c>
      <c r="GN31" s="216">
        <f>'الصفحة 10'!$J$12</f>
        <v>26</v>
      </c>
      <c r="GO31" s="213">
        <f>'الصفحة 10'!$K$12</f>
        <v>17</v>
      </c>
      <c r="GP31" s="331">
        <f>GN31-GO31</f>
        <v>9</v>
      </c>
      <c r="GQ31" s="216">
        <f>'الصفحة 10'!$J$13</f>
        <v>98</v>
      </c>
      <c r="GR31" s="213">
        <f>'الصفحة 10'!$K$13</f>
        <v>61</v>
      </c>
      <c r="GS31" s="331">
        <f>GQ31-GR31</f>
        <v>37</v>
      </c>
      <c r="GT31" s="216">
        <f>'الصفحة 10'!$J$14</f>
        <v>22</v>
      </c>
      <c r="GU31" s="213">
        <f>'الصفحة 10'!$K$14</f>
        <v>10</v>
      </c>
      <c r="GV31" s="331">
        <f>GT31-GU31</f>
        <v>12</v>
      </c>
      <c r="GW31" s="216">
        <f>'الصفحة 10'!$J$15</f>
        <v>15</v>
      </c>
      <c r="GX31" s="213">
        <f>'الصفحة 10'!$K$15</f>
        <v>7</v>
      </c>
      <c r="GY31" s="331">
        <f>GW31-GX31</f>
        <v>8</v>
      </c>
      <c r="GZ31" s="216">
        <f>'الصفحة 10'!$J$16</f>
        <v>2</v>
      </c>
      <c r="HA31" s="213">
        <f>'الصفحة 10'!$K$16</f>
        <v>1</v>
      </c>
      <c r="HB31" s="331">
        <f>GZ31-HA31</f>
        <v>1</v>
      </c>
      <c r="HC31" s="216">
        <f>'الصفحة 10'!$J$17</f>
        <v>1</v>
      </c>
      <c r="HD31" s="213">
        <f>'الصفحة 10'!$K$17</f>
        <v>0</v>
      </c>
      <c r="HE31" s="331">
        <f>HC31-HD31</f>
        <v>1</v>
      </c>
      <c r="HF31" s="216">
        <f>'الصفحة 10'!$J$18</f>
        <v>0</v>
      </c>
      <c r="HG31" s="213">
        <f>'الصفحة 10'!$K$18</f>
        <v>0</v>
      </c>
      <c r="HH31" s="331">
        <f>HF31-HG31</f>
        <v>0</v>
      </c>
      <c r="HI31" s="216">
        <f>'الصفحة 10'!$J$19</f>
        <v>0</v>
      </c>
      <c r="HJ31" s="213">
        <f>'الصفحة 10'!$K$19</f>
        <v>0</v>
      </c>
      <c r="HK31" s="331">
        <f>HI31-HJ31</f>
        <v>0</v>
      </c>
      <c r="HM31" s="216">
        <f>'الصفحة 10'!$L$10</f>
        <v>0</v>
      </c>
      <c r="HN31" s="213">
        <f>'الصفحة 10'!$M$10</f>
        <v>0</v>
      </c>
      <c r="HO31" s="331">
        <f>HM31-HN31</f>
        <v>0</v>
      </c>
      <c r="HP31" s="216">
        <f>'الصفحة 10'!$L$11</f>
        <v>0</v>
      </c>
      <c r="HQ31" s="213">
        <f>'الصفحة 10'!$M$11</f>
        <v>0</v>
      </c>
      <c r="HR31" s="331">
        <f>HP31-HQ31</f>
        <v>0</v>
      </c>
      <c r="HS31" s="216">
        <f>'الصفحة 10'!$L$12</f>
        <v>0</v>
      </c>
      <c r="HT31" s="213">
        <f>'الصفحة 10'!$M$12</f>
        <v>0</v>
      </c>
      <c r="HU31" s="331">
        <f>HS31-HT31</f>
        <v>0</v>
      </c>
      <c r="HV31" s="216">
        <f>'الصفحة 10'!$L$13</f>
        <v>20</v>
      </c>
      <c r="HW31" s="213">
        <f>'الصفحة 10'!$M$13</f>
        <v>6</v>
      </c>
      <c r="HX31" s="331">
        <f>HV31-HW31</f>
        <v>14</v>
      </c>
      <c r="HY31" s="216">
        <f>'الصفحة 10'!$L$14</f>
        <v>92</v>
      </c>
      <c r="HZ31" s="213">
        <f>'الصفحة 10'!$M$14</f>
        <v>55</v>
      </c>
      <c r="IA31" s="331">
        <f>HY31-HZ31</f>
        <v>37</v>
      </c>
      <c r="IB31" s="216">
        <f>'الصفحة 10'!$L$15</f>
        <v>33</v>
      </c>
      <c r="IC31" s="213">
        <f>'الصفحة 10'!$M$15</f>
        <v>10</v>
      </c>
      <c r="ID31" s="331">
        <f>IB31-IC31</f>
        <v>23</v>
      </c>
      <c r="IE31" s="216">
        <f>'الصفحة 10'!$L$16</f>
        <v>15</v>
      </c>
      <c r="IF31" s="213">
        <f>'الصفحة 10'!$M$16</f>
        <v>4</v>
      </c>
      <c r="IG31" s="331">
        <f>IE31-IF31</f>
        <v>11</v>
      </c>
      <c r="IH31" s="216">
        <f>'الصفحة 10'!$L$17</f>
        <v>3</v>
      </c>
      <c r="II31" s="213">
        <f>'الصفحة 10'!$M$17</f>
        <v>0</v>
      </c>
      <c r="IJ31" s="331">
        <f>IH31-II31</f>
        <v>3</v>
      </c>
      <c r="IK31" s="216">
        <f>'الصفحة 10'!$L$18</f>
        <v>0</v>
      </c>
      <c r="IL31" s="213">
        <f>'الصفحة 10'!$M$18</f>
        <v>0</v>
      </c>
      <c r="IM31" s="331">
        <f>IK31-IL31</f>
        <v>0</v>
      </c>
      <c r="IN31" s="216">
        <f>'الصفحة 10'!$L$19</f>
        <v>0</v>
      </c>
      <c r="IO31" s="213">
        <f>'الصفحة 10'!$M$19</f>
        <v>0</v>
      </c>
      <c r="IP31" s="331">
        <f>IN31-IO31</f>
        <v>0</v>
      </c>
      <c r="IV31" s="41"/>
    </row>
    <row r="32" spans="1:256" s="25" customFormat="1" ht="12.75" customHeight="1" thickBot="1">
      <c r="A32" s="5686"/>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DX32" s="216">
        <f>'الصفحة 10'!$F$32</f>
        <v>4</v>
      </c>
      <c r="DY32" s="213">
        <f>'الصفحة 10'!$G$32</f>
        <v>0</v>
      </c>
      <c r="DZ32" s="331">
        <f>DX32-DY32</f>
        <v>4</v>
      </c>
      <c r="EA32" s="216">
        <f>'الصفحة 10'!$F$28</f>
        <v>4</v>
      </c>
      <c r="EB32" s="213">
        <f>'الصفحة 10'!$G$28</f>
        <v>0</v>
      </c>
      <c r="EC32" s="331">
        <f>EA32-EB32</f>
        <v>4</v>
      </c>
      <c r="ED32" s="216">
        <f>'الصفحة 10'!$F$29</f>
        <v>10</v>
      </c>
      <c r="EE32" s="213">
        <f>'الصفحة 10'!$G$29</f>
        <v>3</v>
      </c>
      <c r="EF32" s="331">
        <f>ED32-EE32</f>
        <v>7</v>
      </c>
      <c r="EG32" s="216">
        <f>'الصفحة 10'!$F$30</f>
        <v>11</v>
      </c>
      <c r="EH32" s="213">
        <f>'الصفحة 10'!$G$30</f>
        <v>2</v>
      </c>
      <c r="EI32" s="331">
        <f>EG32-EH32</f>
        <v>9</v>
      </c>
      <c r="EJ32" s="216">
        <f>'الصفحة 10'!$F$31</f>
        <v>9</v>
      </c>
      <c r="EK32" s="213">
        <f>'الصفحة 10'!$G$31</f>
        <v>1</v>
      </c>
      <c r="EL32" s="331">
        <f>EJ32-EK32</f>
        <v>8</v>
      </c>
      <c r="EM32" s="216">
        <f>'الصفحة 10'!$F$32</f>
        <v>4</v>
      </c>
      <c r="EN32" s="213">
        <f>'الصفحة 10'!$G$32</f>
        <v>0</v>
      </c>
      <c r="EO32" s="331">
        <f>EM32-EN32</f>
        <v>4</v>
      </c>
      <c r="EP32" s="216">
        <f>'الصفحة 10'!$F$33</f>
        <v>1</v>
      </c>
      <c r="EQ32" s="213">
        <f>'الصفحة 10'!$G$33</f>
        <v>0</v>
      </c>
      <c r="ER32" s="331">
        <f>EP32-EQ32</f>
        <v>1</v>
      </c>
      <c r="ES32" s="216">
        <f>'الصفحة 10'!$F$34</f>
        <v>0</v>
      </c>
      <c r="ET32" s="213">
        <f>'الصفحة 10'!$G$34</f>
        <v>0</v>
      </c>
      <c r="EU32" s="331">
        <f>ES32-ET32</f>
        <v>0</v>
      </c>
      <c r="EV32" s="216">
        <f>'الصفحة 10'!$F$35</f>
        <v>0</v>
      </c>
      <c r="EW32" s="213">
        <f>'الصفحة 10'!$G$35</f>
        <v>0</v>
      </c>
      <c r="EX32" s="331">
        <f>EV32-EW32</f>
        <v>0</v>
      </c>
      <c r="EY32" s="216">
        <f>'الصفحة 10'!$F$36</f>
        <v>0</v>
      </c>
      <c r="EZ32" s="213">
        <f>'الصفحة 10'!$G$36</f>
        <v>0</v>
      </c>
      <c r="FA32" s="331">
        <f>EY32-EZ32</f>
        <v>0</v>
      </c>
      <c r="FB32" s="332"/>
      <c r="FC32" s="216">
        <f>'الصفحة 10'!$H$32</f>
        <v>0</v>
      </c>
      <c r="FD32" s="213">
        <f>'الصفحة 10'!$I$32</f>
        <v>0</v>
      </c>
      <c r="FE32" s="331">
        <f>FC32-FD32</f>
        <v>0</v>
      </c>
      <c r="FF32" s="216">
        <f>'الصفحة 10'!$H$28</f>
        <v>0</v>
      </c>
      <c r="FG32" s="213">
        <f>'الصفحة 10'!$I$28</f>
        <v>0</v>
      </c>
      <c r="FH32" s="331">
        <f>FF32-FG32</f>
        <v>0</v>
      </c>
      <c r="FI32" s="216">
        <f>'الصفحة 10'!$H$29</f>
        <v>0</v>
      </c>
      <c r="FJ32" s="213">
        <f>'الصفحة 10'!$I$29</f>
        <v>0</v>
      </c>
      <c r="FK32" s="331">
        <f>FI32-FJ32</f>
        <v>0</v>
      </c>
      <c r="FL32" s="216">
        <f>'الصفحة 10'!$H$30</f>
        <v>26</v>
      </c>
      <c r="FM32" s="213">
        <f>'الصفحة 10'!$I$30</f>
        <v>4</v>
      </c>
      <c r="FN32" s="331">
        <f>FL32-FM32</f>
        <v>22</v>
      </c>
      <c r="FO32" s="216">
        <f>'الصفحة 10'!$H$31</f>
        <v>0</v>
      </c>
      <c r="FP32" s="213">
        <f>'الصفحة 10'!$I$31</f>
        <v>0</v>
      </c>
      <c r="FQ32" s="331">
        <f>FO32-FP32</f>
        <v>0</v>
      </c>
      <c r="FR32" s="216">
        <f>'الصفحة 10'!$H$32</f>
        <v>0</v>
      </c>
      <c r="FS32" s="213">
        <f>'الصفحة 10'!$I$32</f>
        <v>0</v>
      </c>
      <c r="FT32" s="331">
        <f>FR32-FS32</f>
        <v>0</v>
      </c>
      <c r="FU32" s="216">
        <f>'الصفحة 10'!$H$33</f>
        <v>0</v>
      </c>
      <c r="FV32" s="213">
        <f>'الصفحة 10'!$I$33</f>
        <v>0</v>
      </c>
      <c r="FW32" s="331">
        <f>FU32-FV32</f>
        <v>0</v>
      </c>
      <c r="FX32" s="216">
        <f>'الصفحة 10'!$H$34</f>
        <v>0</v>
      </c>
      <c r="FY32" s="213">
        <f>'الصفحة 10'!$I$34</f>
        <v>0</v>
      </c>
      <c r="FZ32" s="331">
        <f>FX32-FY32</f>
        <v>0</v>
      </c>
      <c r="GA32" s="216">
        <f>'الصفحة 10'!$H$35</f>
        <v>0</v>
      </c>
      <c r="GB32" s="213">
        <f>'الصفحة 10'!$I$35</f>
        <v>0</v>
      </c>
      <c r="GC32" s="331">
        <f>GA32-GB32</f>
        <v>0</v>
      </c>
      <c r="GD32" s="216">
        <f>'الصفحة 10'!$H$36</f>
        <v>0</v>
      </c>
      <c r="GE32" s="213">
        <f>'الصفحة 10'!$I$36</f>
        <v>0</v>
      </c>
      <c r="GF32" s="331">
        <f>GD32-GE32</f>
        <v>0</v>
      </c>
      <c r="GG32" s="332"/>
      <c r="GH32" s="216">
        <f>'الصفحة 10'!$J$32</f>
        <v>0</v>
      </c>
      <c r="GI32" s="213">
        <f>'الصفحة 10'!$K$32</f>
        <v>0</v>
      </c>
      <c r="GJ32" s="331">
        <f>GH32-GI32</f>
        <v>0</v>
      </c>
      <c r="GK32" s="216">
        <f>'الصفحة 10'!$J$28</f>
        <v>0</v>
      </c>
      <c r="GL32" s="213">
        <f>'الصفحة 10'!$K$28</f>
        <v>0</v>
      </c>
      <c r="GM32" s="331">
        <f>GK32-GL32</f>
        <v>0</v>
      </c>
      <c r="GN32" s="216">
        <f>'الصفحة 10'!$J$29</f>
        <v>0</v>
      </c>
      <c r="GO32" s="213">
        <f>'الصفحة 10'!$K$29</f>
        <v>0</v>
      </c>
      <c r="GP32" s="331">
        <f>GN32-GO32</f>
        <v>0</v>
      </c>
      <c r="GQ32" s="216">
        <f>'الصفحة 10'!$J$30</f>
        <v>0</v>
      </c>
      <c r="GR32" s="213">
        <f>'الصفحة 10'!$K$30</f>
        <v>0</v>
      </c>
      <c r="GS32" s="331">
        <f>GQ32-GR32</f>
        <v>0</v>
      </c>
      <c r="GT32" s="216">
        <f>'الصفحة 10'!$J$31</f>
        <v>13</v>
      </c>
      <c r="GU32" s="213">
        <f>'الصفحة 10'!$K$31</f>
        <v>2</v>
      </c>
      <c r="GV32" s="331">
        <f>GT32-GU32</f>
        <v>11</v>
      </c>
      <c r="GW32" s="216">
        <f>'الصفحة 10'!$J$32</f>
        <v>0</v>
      </c>
      <c r="GX32" s="213">
        <f>'الصفحة 10'!$K$32</f>
        <v>0</v>
      </c>
      <c r="GY32" s="331">
        <f>GW32-GX32</f>
        <v>0</v>
      </c>
      <c r="GZ32" s="216">
        <f>'الصفحة 10'!$J$33</f>
        <v>0</v>
      </c>
      <c r="HA32" s="213">
        <f>'الصفحة 10'!$K$33</f>
        <v>0</v>
      </c>
      <c r="HB32" s="331">
        <f>GZ32-HA32</f>
        <v>0</v>
      </c>
      <c r="HC32" s="216">
        <f>'الصفحة 10'!$J$34</f>
        <v>0</v>
      </c>
      <c r="HD32" s="213">
        <f>'الصفحة 10'!$K$34</f>
        <v>0</v>
      </c>
      <c r="HE32" s="331">
        <f>HC32-HD32</f>
        <v>0</v>
      </c>
      <c r="HF32" s="216">
        <f>'الصفحة 10'!$J$35</f>
        <v>0</v>
      </c>
      <c r="HG32" s="213">
        <f>'الصفحة 10'!$K$35</f>
        <v>0</v>
      </c>
      <c r="HH32" s="331">
        <f>HF32-HG32</f>
        <v>0</v>
      </c>
      <c r="HI32" s="216">
        <f>'الصفحة 10'!$J$36</f>
        <v>0</v>
      </c>
      <c r="HJ32" s="213">
        <f>'الصفحة 10'!$K$36</f>
        <v>0</v>
      </c>
      <c r="HK32" s="331">
        <f>HI32-HJ32</f>
        <v>0</v>
      </c>
      <c r="HL32" s="332"/>
      <c r="HM32" s="216">
        <f>'الصفحة 10'!$L$32</f>
        <v>21</v>
      </c>
      <c r="HN32" s="213">
        <f>'الصفحة 10'!$M$32</f>
        <v>6</v>
      </c>
      <c r="HO32" s="331">
        <f>HM32-HN32</f>
        <v>15</v>
      </c>
      <c r="HP32" s="216">
        <f>'الصفحة 10'!$L$28</f>
        <v>0</v>
      </c>
      <c r="HQ32" s="213">
        <f>'الصفحة 10'!$M$28</f>
        <v>0</v>
      </c>
      <c r="HR32" s="331">
        <f>HP32-HQ32</f>
        <v>0</v>
      </c>
      <c r="HS32" s="216">
        <f>'الصفحة 10'!$L$29</f>
        <v>0</v>
      </c>
      <c r="HT32" s="213">
        <f>'الصفحة 10'!$M$29</f>
        <v>0</v>
      </c>
      <c r="HU32" s="331">
        <f>HS32-HT32</f>
        <v>0</v>
      </c>
      <c r="HV32" s="216">
        <f>'الصفحة 10'!$L$30</f>
        <v>0</v>
      </c>
      <c r="HW32" s="213">
        <f>'الصفحة 10'!$M$30</f>
        <v>0</v>
      </c>
      <c r="HX32" s="331">
        <f>HV32-HW32</f>
        <v>0</v>
      </c>
      <c r="HY32" s="216">
        <f>'الصفحة 10'!$L$31</f>
        <v>1</v>
      </c>
      <c r="HZ32" s="213">
        <f>'الصفحة 10'!$M$31</f>
        <v>1</v>
      </c>
      <c r="IA32" s="331">
        <f>HY32-HZ32</f>
        <v>0</v>
      </c>
      <c r="IB32" s="216">
        <f>'الصفحة 10'!$L$32</f>
        <v>21</v>
      </c>
      <c r="IC32" s="213">
        <f>'الصفحة 10'!$M$32</f>
        <v>6</v>
      </c>
      <c r="ID32" s="331">
        <f>IB32-IC32</f>
        <v>15</v>
      </c>
      <c r="IE32" s="216">
        <f>'الصفحة 10'!$L$33</f>
        <v>11</v>
      </c>
      <c r="IF32" s="213">
        <f>'الصفحة 10'!$M$33</f>
        <v>1</v>
      </c>
      <c r="IG32" s="331">
        <f>IE32-IF32</f>
        <v>10</v>
      </c>
      <c r="IH32" s="216">
        <f>'الصفحة 10'!$L$34</f>
        <v>0</v>
      </c>
      <c r="II32" s="213">
        <f>'الصفحة 10'!$M$34</f>
        <v>0</v>
      </c>
      <c r="IJ32" s="331">
        <f>IH32-II32</f>
        <v>0</v>
      </c>
      <c r="IK32" s="216">
        <f>'الصفحة 10'!$L$35</f>
        <v>0</v>
      </c>
      <c r="IL32" s="213">
        <f>'الصفحة 10'!$M$35</f>
        <v>0</v>
      </c>
      <c r="IM32" s="331">
        <f>IK32-IL32</f>
        <v>0</v>
      </c>
      <c r="IN32" s="216">
        <f>'الصفحة 10'!$L$36</f>
        <v>0</v>
      </c>
      <c r="IO32" s="213">
        <f>'الصفحة 10'!$M$36</f>
        <v>0</v>
      </c>
      <c r="IP32" s="331">
        <f>IN32-IO32</f>
        <v>0</v>
      </c>
      <c r="IV32" s="41"/>
    </row>
    <row r="33" spans="1:256" s="25" customFormat="1" ht="6" customHeight="1">
      <c r="A33" s="248"/>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V33" s="41"/>
    </row>
    <row r="34" spans="1:256" s="25" customFormat="1" ht="16.5" customHeight="1" thickBot="1">
      <c r="A34" s="5686">
        <v>5</v>
      </c>
      <c r="C34" s="330" t="s">
        <v>390</v>
      </c>
      <c r="D34" s="24"/>
      <c r="E34" s="24"/>
      <c r="F34" s="24"/>
      <c r="G34" s="24"/>
      <c r="H34" s="24"/>
      <c r="I34" s="24"/>
      <c r="J34" s="24"/>
      <c r="K34" s="24"/>
      <c r="L34" s="170"/>
      <c r="M34" s="24"/>
      <c r="N34" s="24"/>
      <c r="O34" s="24"/>
      <c r="P34" s="24"/>
      <c r="Q34" s="24"/>
      <c r="R34" s="24"/>
      <c r="S34" s="24"/>
      <c r="T34" s="24"/>
      <c r="U34" s="330" t="s">
        <v>390</v>
      </c>
      <c r="V34" s="24"/>
      <c r="W34" s="24"/>
      <c r="X34" s="24"/>
      <c r="Y34" s="24"/>
      <c r="Z34" s="24"/>
      <c r="AA34" s="24"/>
      <c r="AB34" s="24"/>
      <c r="AC34" s="24"/>
      <c r="AD34" s="24"/>
      <c r="AE34" s="24"/>
      <c r="AF34" s="24"/>
      <c r="AH34" s="170" t="s">
        <v>389</v>
      </c>
      <c r="AI34" s="24"/>
      <c r="AJ34" s="24"/>
      <c r="AK34" s="24"/>
      <c r="AL34" s="24"/>
      <c r="AM34" s="24"/>
      <c r="AN34" s="24"/>
      <c r="AO34" s="24"/>
      <c r="AP34" s="24"/>
      <c r="AQ34" s="170"/>
      <c r="AR34" s="24"/>
      <c r="AS34" s="24"/>
      <c r="AT34" s="24"/>
      <c r="AU34" s="24"/>
      <c r="AV34" s="24"/>
      <c r="AW34" s="24"/>
      <c r="AX34" s="24"/>
      <c r="AY34" s="24"/>
      <c r="AZ34" s="170"/>
      <c r="BA34" s="24"/>
      <c r="BB34" s="24"/>
      <c r="BC34" s="24"/>
      <c r="BD34" s="24"/>
      <c r="BE34" s="24"/>
      <c r="BF34" s="24"/>
      <c r="BG34" s="24"/>
      <c r="BH34" s="24"/>
      <c r="BI34" s="24"/>
      <c r="BJ34" s="24"/>
      <c r="BK34" s="24"/>
      <c r="BM34" s="330" t="s">
        <v>388</v>
      </c>
      <c r="BN34" s="24"/>
      <c r="BO34" s="24"/>
      <c r="BP34" s="24"/>
      <c r="BQ34" s="24"/>
      <c r="BR34" s="24"/>
      <c r="BS34" s="24"/>
      <c r="BT34" s="24"/>
      <c r="BU34" s="24"/>
      <c r="BV34" s="170"/>
      <c r="BW34" s="24"/>
      <c r="BX34" s="24"/>
      <c r="BY34" s="24"/>
      <c r="BZ34" s="24"/>
      <c r="CA34" s="24"/>
      <c r="CB34" s="24"/>
      <c r="CC34" s="24"/>
      <c r="CD34" s="24"/>
      <c r="CE34" s="170"/>
      <c r="CF34" s="24"/>
      <c r="CG34" s="24"/>
      <c r="CH34" s="24"/>
      <c r="CI34" s="24"/>
      <c r="CJ34" s="24"/>
      <c r="CK34" s="24"/>
      <c r="CL34" s="24"/>
      <c r="CM34" s="24"/>
      <c r="CN34" s="24"/>
      <c r="CO34" s="24"/>
      <c r="CP34" s="24"/>
      <c r="CR34" s="170" t="s">
        <v>387</v>
      </c>
      <c r="CS34" s="24"/>
      <c r="CT34" s="24"/>
      <c r="CU34" s="24"/>
      <c r="CV34" s="24"/>
      <c r="CW34" s="24"/>
      <c r="CX34" s="24"/>
      <c r="CY34" s="24"/>
      <c r="CZ34" s="24"/>
      <c r="DA34" s="170"/>
      <c r="DB34" s="24"/>
      <c r="DC34" s="24"/>
      <c r="DD34" s="24"/>
      <c r="DE34" s="24"/>
      <c r="DF34" s="24"/>
      <c r="DG34" s="24"/>
      <c r="DH34" s="24"/>
      <c r="DI34" s="24"/>
      <c r="DJ34" s="170"/>
      <c r="DK34" s="24"/>
      <c r="DL34" s="24"/>
      <c r="DM34" s="24"/>
      <c r="DN34" s="24"/>
      <c r="DO34" s="24"/>
      <c r="DP34" s="24"/>
      <c r="DQ34" s="24"/>
      <c r="DR34" s="24"/>
      <c r="DS34" s="24"/>
      <c r="DT34" s="24"/>
      <c r="DU34" s="24"/>
      <c r="DW34" s="170" t="s">
        <v>386</v>
      </c>
      <c r="DX34" s="24"/>
      <c r="DY34" s="24"/>
      <c r="DZ34" s="24"/>
      <c r="EA34" s="24"/>
      <c r="EB34" s="24"/>
      <c r="EC34" s="24"/>
      <c r="ED34" s="24"/>
      <c r="EE34" s="24"/>
      <c r="EF34" s="170"/>
      <c r="EG34" s="24"/>
      <c r="EH34" s="24"/>
      <c r="EI34" s="24"/>
      <c r="EJ34" s="24"/>
      <c r="EK34" s="24"/>
      <c r="EL34" s="24"/>
      <c r="EM34" s="24"/>
      <c r="EN34" s="24"/>
      <c r="EO34" s="170"/>
      <c r="EP34" s="24"/>
      <c r="EQ34" s="24"/>
      <c r="ER34" s="24"/>
      <c r="ES34" s="24"/>
      <c r="ET34" s="24"/>
      <c r="EU34" s="24"/>
      <c r="EV34" s="24"/>
      <c r="EW34" s="24"/>
      <c r="EX34" s="24"/>
      <c r="EY34" s="24"/>
      <c r="EZ34" s="24"/>
      <c r="FA34" s="27"/>
      <c r="FD34" s="307" t="s">
        <v>384</v>
      </c>
      <c r="IV34" s="41"/>
    </row>
    <row r="35" spans="1:256" s="25" customFormat="1" ht="12.75" customHeight="1">
      <c r="A35" s="5686"/>
      <c r="C35" s="5548" t="s">
        <v>365</v>
      </c>
      <c r="D35" s="5549"/>
      <c r="E35" s="5549"/>
      <c r="F35" s="5549"/>
      <c r="G35" s="5549"/>
      <c r="H35" s="5550"/>
      <c r="I35" s="5548" t="s">
        <v>364</v>
      </c>
      <c r="J35" s="5549"/>
      <c r="K35" s="5549"/>
      <c r="L35" s="5549"/>
      <c r="M35" s="5549"/>
      <c r="N35" s="5550"/>
      <c r="O35" s="5548" t="s">
        <v>363</v>
      </c>
      <c r="P35" s="5549"/>
      <c r="Q35" s="5549"/>
      <c r="R35" s="5549"/>
      <c r="S35" s="5549"/>
      <c r="T35" s="5550"/>
      <c r="U35" s="5548" t="s">
        <v>362</v>
      </c>
      <c r="V35" s="5549"/>
      <c r="W35" s="5549"/>
      <c r="X35" s="5549"/>
      <c r="Y35" s="5549"/>
      <c r="Z35" s="5550"/>
      <c r="AA35" s="5548" t="s">
        <v>361</v>
      </c>
      <c r="AB35" s="5549"/>
      <c r="AC35" s="5549"/>
      <c r="AD35" s="5549"/>
      <c r="AE35" s="5549"/>
      <c r="AF35" s="5550"/>
      <c r="AH35" s="5548" t="s">
        <v>365</v>
      </c>
      <c r="AI35" s="5549"/>
      <c r="AJ35" s="5549"/>
      <c r="AK35" s="5549"/>
      <c r="AL35" s="5549"/>
      <c r="AM35" s="5550"/>
      <c r="AN35" s="5548" t="s">
        <v>364</v>
      </c>
      <c r="AO35" s="5549"/>
      <c r="AP35" s="5549"/>
      <c r="AQ35" s="5549"/>
      <c r="AR35" s="5549"/>
      <c r="AS35" s="5550"/>
      <c r="AT35" s="5548" t="s">
        <v>363</v>
      </c>
      <c r="AU35" s="5549"/>
      <c r="AV35" s="5549"/>
      <c r="AW35" s="5549"/>
      <c r="AX35" s="5549"/>
      <c r="AY35" s="5550"/>
      <c r="AZ35" s="5548" t="s">
        <v>362</v>
      </c>
      <c r="BA35" s="5549"/>
      <c r="BB35" s="5549"/>
      <c r="BC35" s="5549"/>
      <c r="BD35" s="5549"/>
      <c r="BE35" s="5550"/>
      <c r="BF35" s="5548" t="s">
        <v>361</v>
      </c>
      <c r="BG35" s="5549"/>
      <c r="BH35" s="5549"/>
      <c r="BI35" s="5549"/>
      <c r="BJ35" s="5549"/>
      <c r="BK35" s="5550"/>
      <c r="BM35" s="5548" t="s">
        <v>365</v>
      </c>
      <c r="BN35" s="5549"/>
      <c r="BO35" s="5549"/>
      <c r="BP35" s="5549"/>
      <c r="BQ35" s="5549"/>
      <c r="BR35" s="5550"/>
      <c r="BS35" s="5548" t="s">
        <v>364</v>
      </c>
      <c r="BT35" s="5549"/>
      <c r="BU35" s="5549"/>
      <c r="BV35" s="5549"/>
      <c r="BW35" s="5549"/>
      <c r="BX35" s="5550"/>
      <c r="BY35" s="5548" t="s">
        <v>363</v>
      </c>
      <c r="BZ35" s="5549"/>
      <c r="CA35" s="5549"/>
      <c r="CB35" s="5549"/>
      <c r="CC35" s="5549"/>
      <c r="CD35" s="5550"/>
      <c r="CE35" s="5548" t="s">
        <v>362</v>
      </c>
      <c r="CF35" s="5549"/>
      <c r="CG35" s="5549"/>
      <c r="CH35" s="5549"/>
      <c r="CI35" s="5549"/>
      <c r="CJ35" s="5550"/>
      <c r="CK35" s="5548" t="s">
        <v>361</v>
      </c>
      <c r="CL35" s="5549"/>
      <c r="CM35" s="5549"/>
      <c r="CN35" s="5549"/>
      <c r="CO35" s="5549"/>
      <c r="CP35" s="5550"/>
      <c r="CR35" s="5548" t="s">
        <v>365</v>
      </c>
      <c r="CS35" s="5549"/>
      <c r="CT35" s="5549"/>
      <c r="CU35" s="5549"/>
      <c r="CV35" s="5549"/>
      <c r="CW35" s="5550"/>
      <c r="CX35" s="5548" t="s">
        <v>364</v>
      </c>
      <c r="CY35" s="5549"/>
      <c r="CZ35" s="5549"/>
      <c r="DA35" s="5549"/>
      <c r="DB35" s="5549"/>
      <c r="DC35" s="5550"/>
      <c r="DD35" s="5548" t="s">
        <v>363</v>
      </c>
      <c r="DE35" s="5549"/>
      <c r="DF35" s="5549"/>
      <c r="DG35" s="5549"/>
      <c r="DH35" s="5549"/>
      <c r="DI35" s="5550"/>
      <c r="DJ35" s="5548" t="s">
        <v>362</v>
      </c>
      <c r="DK35" s="5549"/>
      <c r="DL35" s="5549"/>
      <c r="DM35" s="5549"/>
      <c r="DN35" s="5549"/>
      <c r="DO35" s="5550"/>
      <c r="DP35" s="5548" t="s">
        <v>361</v>
      </c>
      <c r="DQ35" s="5549"/>
      <c r="DR35" s="5549"/>
      <c r="DS35" s="5549"/>
      <c r="DT35" s="5549"/>
      <c r="DU35" s="5550"/>
      <c r="DW35" s="5548" t="s">
        <v>365</v>
      </c>
      <c r="DX35" s="5549"/>
      <c r="DY35" s="5549"/>
      <c r="DZ35" s="5549"/>
      <c r="EA35" s="5549"/>
      <c r="EB35" s="5550"/>
      <c r="EC35" s="5548" t="s">
        <v>364</v>
      </c>
      <c r="ED35" s="5549"/>
      <c r="EE35" s="5549"/>
      <c r="EF35" s="5549"/>
      <c r="EG35" s="5549"/>
      <c r="EH35" s="5550"/>
      <c r="EI35" s="5548" t="s">
        <v>363</v>
      </c>
      <c r="EJ35" s="5549"/>
      <c r="EK35" s="5549"/>
      <c r="EL35" s="5549"/>
      <c r="EM35" s="5549"/>
      <c r="EN35" s="5550"/>
      <c r="EO35" s="5548" t="s">
        <v>362</v>
      </c>
      <c r="EP35" s="5549"/>
      <c r="EQ35" s="5549"/>
      <c r="ER35" s="5549"/>
      <c r="ES35" s="5549"/>
      <c r="ET35" s="5550"/>
      <c r="EU35" s="5548" t="s">
        <v>361</v>
      </c>
      <c r="EV35" s="5549"/>
      <c r="EW35" s="5549"/>
      <c r="EX35" s="5549"/>
      <c r="EY35" s="5549"/>
      <c r="EZ35" s="5550"/>
      <c r="FA35" s="27"/>
      <c r="FD35" s="5755" t="s">
        <v>384</v>
      </c>
      <c r="FE35" s="5756"/>
      <c r="FF35" s="5757"/>
      <c r="FO35" s="24"/>
      <c r="IV35" s="41"/>
    </row>
    <row r="36" spans="1:256" s="25" customFormat="1" ht="12.75" customHeight="1">
      <c r="A36" s="5686"/>
      <c r="C36" s="5551"/>
      <c r="D36" s="5552"/>
      <c r="E36" s="5552"/>
      <c r="F36" s="5552"/>
      <c r="G36" s="5552"/>
      <c r="H36" s="5553"/>
      <c r="I36" s="5551"/>
      <c r="J36" s="5552"/>
      <c r="K36" s="5552"/>
      <c r="L36" s="5552"/>
      <c r="M36" s="5552"/>
      <c r="N36" s="5553"/>
      <c r="O36" s="5551"/>
      <c r="P36" s="5552"/>
      <c r="Q36" s="5552"/>
      <c r="R36" s="5552"/>
      <c r="S36" s="5552"/>
      <c r="T36" s="5553"/>
      <c r="U36" s="5551"/>
      <c r="V36" s="5552"/>
      <c r="W36" s="5552"/>
      <c r="X36" s="5552"/>
      <c r="Y36" s="5552"/>
      <c r="Z36" s="5553"/>
      <c r="AA36" s="5551"/>
      <c r="AB36" s="5552"/>
      <c r="AC36" s="5552"/>
      <c r="AD36" s="5552"/>
      <c r="AE36" s="5552"/>
      <c r="AF36" s="5553"/>
      <c r="AH36" s="5551"/>
      <c r="AI36" s="5552"/>
      <c r="AJ36" s="5552"/>
      <c r="AK36" s="5552"/>
      <c r="AL36" s="5552"/>
      <c r="AM36" s="5553"/>
      <c r="AN36" s="5551"/>
      <c r="AO36" s="5552"/>
      <c r="AP36" s="5552"/>
      <c r="AQ36" s="5552"/>
      <c r="AR36" s="5552"/>
      <c r="AS36" s="5553"/>
      <c r="AT36" s="5551"/>
      <c r="AU36" s="5552"/>
      <c r="AV36" s="5552"/>
      <c r="AW36" s="5552"/>
      <c r="AX36" s="5552"/>
      <c r="AY36" s="5553"/>
      <c r="AZ36" s="5551"/>
      <c r="BA36" s="5552"/>
      <c r="BB36" s="5552"/>
      <c r="BC36" s="5552"/>
      <c r="BD36" s="5552"/>
      <c r="BE36" s="5553"/>
      <c r="BF36" s="5551"/>
      <c r="BG36" s="5552"/>
      <c r="BH36" s="5552"/>
      <c r="BI36" s="5552"/>
      <c r="BJ36" s="5552"/>
      <c r="BK36" s="5553"/>
      <c r="BM36" s="5551"/>
      <c r="BN36" s="5552"/>
      <c r="BO36" s="5552"/>
      <c r="BP36" s="5552"/>
      <c r="BQ36" s="5552"/>
      <c r="BR36" s="5553"/>
      <c r="BS36" s="5551"/>
      <c r="BT36" s="5552"/>
      <c r="BU36" s="5552"/>
      <c r="BV36" s="5552"/>
      <c r="BW36" s="5552"/>
      <c r="BX36" s="5553"/>
      <c r="BY36" s="5551"/>
      <c r="BZ36" s="5552"/>
      <c r="CA36" s="5552"/>
      <c r="CB36" s="5552"/>
      <c r="CC36" s="5552"/>
      <c r="CD36" s="5553"/>
      <c r="CE36" s="5551"/>
      <c r="CF36" s="5552"/>
      <c r="CG36" s="5552"/>
      <c r="CH36" s="5552"/>
      <c r="CI36" s="5552"/>
      <c r="CJ36" s="5553"/>
      <c r="CK36" s="5551"/>
      <c r="CL36" s="5552"/>
      <c r="CM36" s="5552"/>
      <c r="CN36" s="5552"/>
      <c r="CO36" s="5552"/>
      <c r="CP36" s="5553"/>
      <c r="CR36" s="5551"/>
      <c r="CS36" s="5552"/>
      <c r="CT36" s="5552"/>
      <c r="CU36" s="5552"/>
      <c r="CV36" s="5552"/>
      <c r="CW36" s="5553"/>
      <c r="CX36" s="5551"/>
      <c r="CY36" s="5552"/>
      <c r="CZ36" s="5552"/>
      <c r="DA36" s="5552"/>
      <c r="DB36" s="5552"/>
      <c r="DC36" s="5553"/>
      <c r="DD36" s="5551"/>
      <c r="DE36" s="5552"/>
      <c r="DF36" s="5552"/>
      <c r="DG36" s="5552"/>
      <c r="DH36" s="5552"/>
      <c r="DI36" s="5553"/>
      <c r="DJ36" s="5551"/>
      <c r="DK36" s="5552"/>
      <c r="DL36" s="5552"/>
      <c r="DM36" s="5552"/>
      <c r="DN36" s="5552"/>
      <c r="DO36" s="5553"/>
      <c r="DP36" s="5551"/>
      <c r="DQ36" s="5552"/>
      <c r="DR36" s="5552"/>
      <c r="DS36" s="5552"/>
      <c r="DT36" s="5552"/>
      <c r="DU36" s="5553"/>
      <c r="DW36" s="5551"/>
      <c r="DX36" s="5552"/>
      <c r="DY36" s="5552"/>
      <c r="DZ36" s="5552"/>
      <c r="EA36" s="5552"/>
      <c r="EB36" s="5553"/>
      <c r="EC36" s="5551"/>
      <c r="ED36" s="5552"/>
      <c r="EE36" s="5552"/>
      <c r="EF36" s="5552"/>
      <c r="EG36" s="5552"/>
      <c r="EH36" s="5553"/>
      <c r="EI36" s="5551"/>
      <c r="EJ36" s="5552"/>
      <c r="EK36" s="5552"/>
      <c r="EL36" s="5552"/>
      <c r="EM36" s="5552"/>
      <c r="EN36" s="5553"/>
      <c r="EO36" s="5551"/>
      <c r="EP36" s="5552"/>
      <c r="EQ36" s="5552"/>
      <c r="ER36" s="5552"/>
      <c r="ES36" s="5552"/>
      <c r="ET36" s="5553"/>
      <c r="EU36" s="5551"/>
      <c r="EV36" s="5552"/>
      <c r="EW36" s="5552"/>
      <c r="EX36" s="5552"/>
      <c r="EY36" s="5552"/>
      <c r="EZ36" s="5553"/>
      <c r="FA36" s="27"/>
      <c r="FD36" s="5599" t="s">
        <v>385</v>
      </c>
      <c r="FE36" s="5769" t="s">
        <v>130</v>
      </c>
      <c r="FF36" s="5770" t="s">
        <v>384</v>
      </c>
      <c r="FO36" s="24"/>
      <c r="IV36" s="41"/>
    </row>
    <row r="37" spans="1:256" s="25" customFormat="1" ht="12.75" customHeight="1">
      <c r="A37" s="5686"/>
      <c r="C37" s="5161" t="s">
        <v>383</v>
      </c>
      <c r="D37" s="5162"/>
      <c r="E37" s="5163"/>
      <c r="F37" s="5161" t="s">
        <v>382</v>
      </c>
      <c r="G37" s="5162"/>
      <c r="H37" s="5163"/>
      <c r="I37" s="5161" t="s">
        <v>383</v>
      </c>
      <c r="J37" s="5162"/>
      <c r="K37" s="5163"/>
      <c r="L37" s="5161" t="s">
        <v>382</v>
      </c>
      <c r="M37" s="5162"/>
      <c r="N37" s="5163"/>
      <c r="O37" s="5161" t="s">
        <v>383</v>
      </c>
      <c r="P37" s="5162"/>
      <c r="Q37" s="5163"/>
      <c r="R37" s="5161" t="s">
        <v>382</v>
      </c>
      <c r="S37" s="5162"/>
      <c r="T37" s="5163"/>
      <c r="U37" s="5161" t="s">
        <v>383</v>
      </c>
      <c r="V37" s="5162"/>
      <c r="W37" s="5163"/>
      <c r="X37" s="5161" t="s">
        <v>382</v>
      </c>
      <c r="Y37" s="5162"/>
      <c r="Z37" s="5163"/>
      <c r="AA37" s="5161" t="s">
        <v>383</v>
      </c>
      <c r="AB37" s="5162"/>
      <c r="AC37" s="5163"/>
      <c r="AD37" s="5161" t="s">
        <v>382</v>
      </c>
      <c r="AE37" s="5162"/>
      <c r="AF37" s="5163"/>
      <c r="AH37" s="5161" t="s">
        <v>383</v>
      </c>
      <c r="AI37" s="5162"/>
      <c r="AJ37" s="5163"/>
      <c r="AK37" s="5161" t="s">
        <v>382</v>
      </c>
      <c r="AL37" s="5162"/>
      <c r="AM37" s="5163"/>
      <c r="AN37" s="5161" t="s">
        <v>383</v>
      </c>
      <c r="AO37" s="5162"/>
      <c r="AP37" s="5163"/>
      <c r="AQ37" s="5161" t="s">
        <v>382</v>
      </c>
      <c r="AR37" s="5162"/>
      <c r="AS37" s="5163"/>
      <c r="AT37" s="5161" t="s">
        <v>383</v>
      </c>
      <c r="AU37" s="5162"/>
      <c r="AV37" s="5163"/>
      <c r="AW37" s="5161" t="s">
        <v>382</v>
      </c>
      <c r="AX37" s="5162"/>
      <c r="AY37" s="5163"/>
      <c r="AZ37" s="5161" t="s">
        <v>383</v>
      </c>
      <c r="BA37" s="5162"/>
      <c r="BB37" s="5163"/>
      <c r="BC37" s="5161" t="s">
        <v>382</v>
      </c>
      <c r="BD37" s="5162"/>
      <c r="BE37" s="5163"/>
      <c r="BF37" s="5161" t="s">
        <v>383</v>
      </c>
      <c r="BG37" s="5162"/>
      <c r="BH37" s="5163"/>
      <c r="BI37" s="5161" t="s">
        <v>382</v>
      </c>
      <c r="BJ37" s="5162"/>
      <c r="BK37" s="5163"/>
      <c r="BM37" s="5161" t="s">
        <v>383</v>
      </c>
      <c r="BN37" s="5162"/>
      <c r="BO37" s="5163"/>
      <c r="BP37" s="5161" t="s">
        <v>382</v>
      </c>
      <c r="BQ37" s="5162"/>
      <c r="BR37" s="5163"/>
      <c r="BS37" s="5161" t="s">
        <v>383</v>
      </c>
      <c r="BT37" s="5162"/>
      <c r="BU37" s="5163"/>
      <c r="BV37" s="5161" t="s">
        <v>382</v>
      </c>
      <c r="BW37" s="5162"/>
      <c r="BX37" s="5163"/>
      <c r="BY37" s="5161" t="s">
        <v>383</v>
      </c>
      <c r="BZ37" s="5162"/>
      <c r="CA37" s="5163"/>
      <c r="CB37" s="5161" t="s">
        <v>382</v>
      </c>
      <c r="CC37" s="5162"/>
      <c r="CD37" s="5163"/>
      <c r="CE37" s="5161" t="s">
        <v>383</v>
      </c>
      <c r="CF37" s="5162"/>
      <c r="CG37" s="5163"/>
      <c r="CH37" s="5161" t="s">
        <v>382</v>
      </c>
      <c r="CI37" s="5162"/>
      <c r="CJ37" s="5163"/>
      <c r="CK37" s="5161" t="s">
        <v>383</v>
      </c>
      <c r="CL37" s="5162"/>
      <c r="CM37" s="5163"/>
      <c r="CN37" s="5161" t="s">
        <v>382</v>
      </c>
      <c r="CO37" s="5162"/>
      <c r="CP37" s="5163"/>
      <c r="CR37" s="5161" t="s">
        <v>383</v>
      </c>
      <c r="CS37" s="5162"/>
      <c r="CT37" s="5163"/>
      <c r="CU37" s="5161" t="s">
        <v>382</v>
      </c>
      <c r="CV37" s="5162"/>
      <c r="CW37" s="5163"/>
      <c r="CX37" s="5161" t="s">
        <v>383</v>
      </c>
      <c r="CY37" s="5162"/>
      <c r="CZ37" s="5163"/>
      <c r="DA37" s="5161" t="s">
        <v>382</v>
      </c>
      <c r="DB37" s="5162"/>
      <c r="DC37" s="5163"/>
      <c r="DD37" s="5161" t="s">
        <v>383</v>
      </c>
      <c r="DE37" s="5162"/>
      <c r="DF37" s="5163"/>
      <c r="DG37" s="5161" t="s">
        <v>382</v>
      </c>
      <c r="DH37" s="5162"/>
      <c r="DI37" s="5163"/>
      <c r="DJ37" s="5161" t="s">
        <v>383</v>
      </c>
      <c r="DK37" s="5162"/>
      <c r="DL37" s="5163"/>
      <c r="DM37" s="5161" t="s">
        <v>382</v>
      </c>
      <c r="DN37" s="5162"/>
      <c r="DO37" s="5163"/>
      <c r="DP37" s="5161" t="s">
        <v>383</v>
      </c>
      <c r="DQ37" s="5162"/>
      <c r="DR37" s="5163"/>
      <c r="DS37" s="5161" t="s">
        <v>382</v>
      </c>
      <c r="DT37" s="5162"/>
      <c r="DU37" s="5163"/>
      <c r="DW37" s="5161" t="s">
        <v>383</v>
      </c>
      <c r="DX37" s="5162"/>
      <c r="DY37" s="5163"/>
      <c r="DZ37" s="5161" t="s">
        <v>382</v>
      </c>
      <c r="EA37" s="5162"/>
      <c r="EB37" s="5163"/>
      <c r="EC37" s="5161" t="s">
        <v>383</v>
      </c>
      <c r="ED37" s="5162"/>
      <c r="EE37" s="5163"/>
      <c r="EF37" s="5161" t="s">
        <v>382</v>
      </c>
      <c r="EG37" s="5162"/>
      <c r="EH37" s="5163"/>
      <c r="EI37" s="5161" t="s">
        <v>383</v>
      </c>
      <c r="EJ37" s="5162"/>
      <c r="EK37" s="5163"/>
      <c r="EL37" s="5161" t="s">
        <v>382</v>
      </c>
      <c r="EM37" s="5162"/>
      <c r="EN37" s="5163"/>
      <c r="EO37" s="5161" t="s">
        <v>383</v>
      </c>
      <c r="EP37" s="5162"/>
      <c r="EQ37" s="5163"/>
      <c r="ER37" s="5161" t="s">
        <v>382</v>
      </c>
      <c r="ES37" s="5162"/>
      <c r="ET37" s="5163"/>
      <c r="EU37" s="5161" t="s">
        <v>383</v>
      </c>
      <c r="EV37" s="5162"/>
      <c r="EW37" s="5163"/>
      <c r="EX37" s="5161" t="s">
        <v>382</v>
      </c>
      <c r="EY37" s="5162"/>
      <c r="EZ37" s="5163"/>
      <c r="FA37" s="27"/>
      <c r="FB37" s="24"/>
      <c r="FC37" s="24"/>
      <c r="FD37" s="5391"/>
      <c r="FE37" s="5388"/>
      <c r="FF37" s="5385"/>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c r="HL37" s="27"/>
      <c r="HM37" s="27"/>
      <c r="HN37" s="27"/>
      <c r="HO37" s="27"/>
      <c r="HP37" s="27"/>
      <c r="HQ37" s="27"/>
      <c r="HR37" s="27"/>
      <c r="HS37" s="27"/>
      <c r="HT37" s="27"/>
      <c r="HU37" s="27"/>
      <c r="HV37" s="27"/>
      <c r="HW37" s="27"/>
      <c r="HX37" s="27"/>
      <c r="HY37" s="27"/>
      <c r="HZ37" s="27"/>
      <c r="IA37" s="27"/>
      <c r="IB37" s="27"/>
      <c r="IC37" s="27"/>
      <c r="ID37" s="27"/>
      <c r="IE37" s="27"/>
      <c r="IF37" s="27"/>
      <c r="IG37" s="27"/>
      <c r="IH37" s="27"/>
      <c r="II37" s="27"/>
      <c r="IJ37" s="27"/>
      <c r="IK37" s="27"/>
      <c r="IL37" s="27"/>
      <c r="IM37" s="27"/>
      <c r="IN37" s="27"/>
      <c r="IO37" s="27"/>
      <c r="IP37" s="27"/>
      <c r="IQ37" s="27"/>
      <c r="IR37" s="27"/>
      <c r="IS37" s="27"/>
      <c r="IT37" s="27"/>
      <c r="IV37" s="41"/>
    </row>
    <row r="38" spans="1:256" s="25" customFormat="1" ht="22.5" customHeight="1">
      <c r="A38" s="5686"/>
      <c r="C38" s="325" t="s">
        <v>20</v>
      </c>
      <c r="D38" s="324" t="s">
        <v>356</v>
      </c>
      <c r="E38" s="323" t="s">
        <v>355</v>
      </c>
      <c r="F38" s="325" t="s">
        <v>20</v>
      </c>
      <c r="G38" s="324" t="s">
        <v>356</v>
      </c>
      <c r="H38" s="323" t="s">
        <v>355</v>
      </c>
      <c r="I38" s="325" t="s">
        <v>20</v>
      </c>
      <c r="J38" s="324" t="s">
        <v>356</v>
      </c>
      <c r="K38" s="323" t="s">
        <v>355</v>
      </c>
      <c r="L38" s="325" t="s">
        <v>20</v>
      </c>
      <c r="M38" s="324" t="s">
        <v>356</v>
      </c>
      <c r="N38" s="323" t="s">
        <v>355</v>
      </c>
      <c r="O38" s="325" t="s">
        <v>20</v>
      </c>
      <c r="P38" s="324" t="s">
        <v>356</v>
      </c>
      <c r="Q38" s="323" t="s">
        <v>355</v>
      </c>
      <c r="R38" s="325" t="s">
        <v>20</v>
      </c>
      <c r="S38" s="324" t="s">
        <v>356</v>
      </c>
      <c r="T38" s="323" t="s">
        <v>355</v>
      </c>
      <c r="U38" s="325" t="s">
        <v>20</v>
      </c>
      <c r="V38" s="324" t="s">
        <v>356</v>
      </c>
      <c r="W38" s="323" t="s">
        <v>355</v>
      </c>
      <c r="X38" s="325" t="s">
        <v>20</v>
      </c>
      <c r="Y38" s="324" t="s">
        <v>356</v>
      </c>
      <c r="Z38" s="323" t="s">
        <v>355</v>
      </c>
      <c r="AA38" s="325" t="s">
        <v>20</v>
      </c>
      <c r="AB38" s="324" t="s">
        <v>356</v>
      </c>
      <c r="AC38" s="323" t="s">
        <v>355</v>
      </c>
      <c r="AD38" s="325" t="s">
        <v>20</v>
      </c>
      <c r="AE38" s="324" t="s">
        <v>356</v>
      </c>
      <c r="AF38" s="323" t="s">
        <v>355</v>
      </c>
      <c r="AH38" s="325" t="s">
        <v>20</v>
      </c>
      <c r="AI38" s="324" t="s">
        <v>356</v>
      </c>
      <c r="AJ38" s="323" t="s">
        <v>355</v>
      </c>
      <c r="AK38" s="325" t="s">
        <v>20</v>
      </c>
      <c r="AL38" s="324" t="s">
        <v>356</v>
      </c>
      <c r="AM38" s="323" t="s">
        <v>355</v>
      </c>
      <c r="AN38" s="325" t="s">
        <v>20</v>
      </c>
      <c r="AO38" s="324" t="s">
        <v>356</v>
      </c>
      <c r="AP38" s="323" t="s">
        <v>355</v>
      </c>
      <c r="AQ38" s="325" t="s">
        <v>20</v>
      </c>
      <c r="AR38" s="324" t="s">
        <v>356</v>
      </c>
      <c r="AS38" s="323" t="s">
        <v>355</v>
      </c>
      <c r="AT38" s="325" t="s">
        <v>20</v>
      </c>
      <c r="AU38" s="324" t="s">
        <v>356</v>
      </c>
      <c r="AV38" s="323" t="s">
        <v>355</v>
      </c>
      <c r="AW38" s="325" t="s">
        <v>20</v>
      </c>
      <c r="AX38" s="324" t="s">
        <v>356</v>
      </c>
      <c r="AY38" s="323" t="s">
        <v>355</v>
      </c>
      <c r="AZ38" s="325" t="s">
        <v>20</v>
      </c>
      <c r="BA38" s="324" t="s">
        <v>356</v>
      </c>
      <c r="BB38" s="323" t="s">
        <v>355</v>
      </c>
      <c r="BC38" s="325" t="s">
        <v>20</v>
      </c>
      <c r="BD38" s="324" t="s">
        <v>356</v>
      </c>
      <c r="BE38" s="323" t="s">
        <v>355</v>
      </c>
      <c r="BF38" s="325" t="s">
        <v>20</v>
      </c>
      <c r="BG38" s="324" t="s">
        <v>356</v>
      </c>
      <c r="BH38" s="323" t="s">
        <v>355</v>
      </c>
      <c r="BI38" s="325" t="s">
        <v>20</v>
      </c>
      <c r="BJ38" s="324" t="s">
        <v>356</v>
      </c>
      <c r="BK38" s="323" t="s">
        <v>355</v>
      </c>
      <c r="BM38" s="325" t="s">
        <v>20</v>
      </c>
      <c r="BN38" s="324" t="s">
        <v>356</v>
      </c>
      <c r="BO38" s="323" t="s">
        <v>355</v>
      </c>
      <c r="BP38" s="325" t="s">
        <v>20</v>
      </c>
      <c r="BQ38" s="324" t="s">
        <v>356</v>
      </c>
      <c r="BR38" s="323" t="s">
        <v>355</v>
      </c>
      <c r="BS38" s="325" t="s">
        <v>20</v>
      </c>
      <c r="BT38" s="324" t="s">
        <v>356</v>
      </c>
      <c r="BU38" s="323" t="s">
        <v>355</v>
      </c>
      <c r="BV38" s="325" t="s">
        <v>20</v>
      </c>
      <c r="BW38" s="324" t="s">
        <v>356</v>
      </c>
      <c r="BX38" s="323" t="s">
        <v>355</v>
      </c>
      <c r="BY38" s="325" t="s">
        <v>20</v>
      </c>
      <c r="BZ38" s="324" t="s">
        <v>356</v>
      </c>
      <c r="CA38" s="323" t="s">
        <v>355</v>
      </c>
      <c r="CB38" s="325" t="s">
        <v>20</v>
      </c>
      <c r="CC38" s="324" t="s">
        <v>356</v>
      </c>
      <c r="CD38" s="323" t="s">
        <v>355</v>
      </c>
      <c r="CE38" s="325" t="s">
        <v>20</v>
      </c>
      <c r="CF38" s="324" t="s">
        <v>356</v>
      </c>
      <c r="CG38" s="323" t="s">
        <v>355</v>
      </c>
      <c r="CH38" s="325" t="s">
        <v>20</v>
      </c>
      <c r="CI38" s="324" t="s">
        <v>356</v>
      </c>
      <c r="CJ38" s="323" t="s">
        <v>355</v>
      </c>
      <c r="CK38" s="325" t="s">
        <v>20</v>
      </c>
      <c r="CL38" s="324" t="s">
        <v>356</v>
      </c>
      <c r="CM38" s="323" t="s">
        <v>355</v>
      </c>
      <c r="CN38" s="325" t="s">
        <v>20</v>
      </c>
      <c r="CO38" s="324" t="s">
        <v>356</v>
      </c>
      <c r="CP38" s="323" t="s">
        <v>355</v>
      </c>
      <c r="CR38" s="325" t="s">
        <v>20</v>
      </c>
      <c r="CS38" s="324" t="s">
        <v>356</v>
      </c>
      <c r="CT38" s="323" t="s">
        <v>355</v>
      </c>
      <c r="CU38" s="325" t="s">
        <v>20</v>
      </c>
      <c r="CV38" s="324" t="s">
        <v>356</v>
      </c>
      <c r="CW38" s="323" t="s">
        <v>355</v>
      </c>
      <c r="CX38" s="325" t="s">
        <v>20</v>
      </c>
      <c r="CY38" s="324" t="s">
        <v>356</v>
      </c>
      <c r="CZ38" s="323" t="s">
        <v>355</v>
      </c>
      <c r="DA38" s="325" t="s">
        <v>20</v>
      </c>
      <c r="DB38" s="324" t="s">
        <v>356</v>
      </c>
      <c r="DC38" s="323" t="s">
        <v>355</v>
      </c>
      <c r="DD38" s="325" t="s">
        <v>20</v>
      </c>
      <c r="DE38" s="324" t="s">
        <v>356</v>
      </c>
      <c r="DF38" s="323" t="s">
        <v>355</v>
      </c>
      <c r="DG38" s="325" t="s">
        <v>20</v>
      </c>
      <c r="DH38" s="324" t="s">
        <v>356</v>
      </c>
      <c r="DI38" s="323" t="s">
        <v>355</v>
      </c>
      <c r="DJ38" s="325" t="s">
        <v>20</v>
      </c>
      <c r="DK38" s="324" t="s">
        <v>356</v>
      </c>
      <c r="DL38" s="323" t="s">
        <v>355</v>
      </c>
      <c r="DM38" s="325" t="s">
        <v>20</v>
      </c>
      <c r="DN38" s="324" t="s">
        <v>356</v>
      </c>
      <c r="DO38" s="323" t="s">
        <v>355</v>
      </c>
      <c r="DP38" s="325" t="s">
        <v>20</v>
      </c>
      <c r="DQ38" s="324" t="s">
        <v>356</v>
      </c>
      <c r="DR38" s="323" t="s">
        <v>355</v>
      </c>
      <c r="DS38" s="325" t="s">
        <v>20</v>
      </c>
      <c r="DT38" s="324" t="s">
        <v>356</v>
      </c>
      <c r="DU38" s="323" t="s">
        <v>355</v>
      </c>
      <c r="DW38" s="325" t="s">
        <v>20</v>
      </c>
      <c r="DX38" s="324" t="s">
        <v>356</v>
      </c>
      <c r="DY38" s="323" t="s">
        <v>355</v>
      </c>
      <c r="DZ38" s="325" t="s">
        <v>20</v>
      </c>
      <c r="EA38" s="324" t="s">
        <v>356</v>
      </c>
      <c r="EB38" s="323" t="s">
        <v>355</v>
      </c>
      <c r="EC38" s="325" t="s">
        <v>20</v>
      </c>
      <c r="ED38" s="324" t="s">
        <v>356</v>
      </c>
      <c r="EE38" s="323" t="s">
        <v>355</v>
      </c>
      <c r="EF38" s="325" t="s">
        <v>20</v>
      </c>
      <c r="EG38" s="324" t="s">
        <v>356</v>
      </c>
      <c r="EH38" s="323" t="s">
        <v>355</v>
      </c>
      <c r="EI38" s="325" t="s">
        <v>20</v>
      </c>
      <c r="EJ38" s="324" t="s">
        <v>356</v>
      </c>
      <c r="EK38" s="323" t="s">
        <v>355</v>
      </c>
      <c r="EL38" s="325" t="s">
        <v>20</v>
      </c>
      <c r="EM38" s="324" t="s">
        <v>356</v>
      </c>
      <c r="EN38" s="323" t="s">
        <v>355</v>
      </c>
      <c r="EO38" s="325" t="s">
        <v>20</v>
      </c>
      <c r="EP38" s="324" t="s">
        <v>356</v>
      </c>
      <c r="EQ38" s="323" t="s">
        <v>355</v>
      </c>
      <c r="ER38" s="325" t="s">
        <v>20</v>
      </c>
      <c r="ES38" s="324" t="s">
        <v>356</v>
      </c>
      <c r="ET38" s="323" t="s">
        <v>355</v>
      </c>
      <c r="EU38" s="325" t="s">
        <v>20</v>
      </c>
      <c r="EV38" s="324" t="s">
        <v>356</v>
      </c>
      <c r="EW38" s="323" t="s">
        <v>355</v>
      </c>
      <c r="EX38" s="325" t="s">
        <v>20</v>
      </c>
      <c r="EY38" s="324" t="s">
        <v>356</v>
      </c>
      <c r="EZ38" s="323" t="s">
        <v>355</v>
      </c>
      <c r="FA38" s="27"/>
      <c r="FD38" s="5392"/>
      <c r="FE38" s="5389"/>
      <c r="FF38" s="5385"/>
      <c r="FO38" s="24"/>
      <c r="IV38" s="41"/>
    </row>
    <row r="39" spans="1:256" s="25" customFormat="1" ht="13.5" customHeight="1" thickBot="1">
      <c r="A39" s="5686"/>
      <c r="C39" s="259" t="e">
        <f>I39+O39+U39+AA39</f>
        <v>#REF!</v>
      </c>
      <c r="D39" s="251" t="e">
        <f>J39+P39+V39+AB39</f>
        <v>#REF!</v>
      </c>
      <c r="E39" s="254" t="e">
        <f>(C39-D39)</f>
        <v>#REF!</v>
      </c>
      <c r="F39" s="322" t="e">
        <f>((C39)/($AY$7+0.00001))*100</f>
        <v>#REF!</v>
      </c>
      <c r="G39" s="257" t="e">
        <f>((D39)/($AX$7+0.00001))*100</f>
        <v>#REF!</v>
      </c>
      <c r="H39" s="321" t="e">
        <f>((E39)/($AI$7+0.00001))*100</f>
        <v>#REF!</v>
      </c>
      <c r="I39" s="259">
        <f>('الصفحة 12'!$F$55)</f>
        <v>0</v>
      </c>
      <c r="J39" s="251">
        <f>('الصفحة 12'!$G$55)</f>
        <v>0</v>
      </c>
      <c r="K39" s="254">
        <f>(I39-J39)</f>
        <v>0</v>
      </c>
      <c r="L39" s="322">
        <f>((I39)/($AM$7+0.00001))*100</f>
        <v>0</v>
      </c>
      <c r="M39" s="257">
        <f>((J39)/($AL$7+0.00001))*100</f>
        <v>0</v>
      </c>
      <c r="N39" s="321">
        <f>((K39)/($W$7+0.00001))*100</f>
        <v>0</v>
      </c>
      <c r="O39" s="259">
        <f>('الصفحة 12'!$I$55)</f>
        <v>0</v>
      </c>
      <c r="P39" s="251" t="e">
        <f>('الصفحة 12'!#REF!)</f>
        <v>#REF!</v>
      </c>
      <c r="Q39" s="254" t="e">
        <f>(O39-P39)</f>
        <v>#REF!</v>
      </c>
      <c r="R39" s="322">
        <f>((O39)/($AP$7+0.00001))*100</f>
        <v>0</v>
      </c>
      <c r="S39" s="257" t="e">
        <f>((P39)/($AO$7+0.00001))*100</f>
        <v>#REF!</v>
      </c>
      <c r="T39" s="321" t="e">
        <f>((Q39)/($Z$7+0.00001))*100</f>
        <v>#REF!</v>
      </c>
      <c r="U39" s="259" t="e">
        <f>('الصفحة 12'!#REF!)</f>
        <v>#REF!</v>
      </c>
      <c r="V39" s="251" t="e">
        <f>('الصفحة 12'!#REF!)</f>
        <v>#REF!</v>
      </c>
      <c r="W39" s="254" t="e">
        <f>(U39-V39)</f>
        <v>#REF!</v>
      </c>
      <c r="X39" s="322" t="e">
        <f>((U39)/($AS$7+0.00001))*100</f>
        <v>#REF!</v>
      </c>
      <c r="Y39" s="257" t="e">
        <f>((V39)/($AR$7+0.00001))*100</f>
        <v>#REF!</v>
      </c>
      <c r="Z39" s="321" t="e">
        <f>((W39)/($AC$7+0.00001))*100</f>
        <v>#REF!</v>
      </c>
      <c r="AA39" s="259">
        <f>('الصفحة 12'!$J$55)</f>
        <v>0</v>
      </c>
      <c r="AB39" s="251">
        <f>('الصفحة 12'!$K$55)</f>
        <v>0</v>
      </c>
      <c r="AC39" s="254">
        <f>(AA39-AB39)</f>
        <v>0</v>
      </c>
      <c r="AD39" s="322">
        <f>((AA39)/($AV$7+0.00001))*100</f>
        <v>0</v>
      </c>
      <c r="AE39" s="257">
        <f>((AB39)/($AU$7+0.00001))*100</f>
        <v>0</v>
      </c>
      <c r="AF39" s="321">
        <f>((AC39)/($AF$7+0.00001))*100</f>
        <v>0</v>
      </c>
      <c r="AH39" s="259" t="e">
        <f>AN39+AT39+AZ39+BF39</f>
        <v>#REF!</v>
      </c>
      <c r="AI39" s="251" t="e">
        <f>AO39+AU39+BA39+BG39</f>
        <v>#REF!</v>
      </c>
      <c r="AJ39" s="254" t="e">
        <f>(AH39-AI39)</f>
        <v>#REF!</v>
      </c>
      <c r="AK39" s="322" t="e">
        <f>((AH39)/($AY$7+0.00001))*100</f>
        <v>#REF!</v>
      </c>
      <c r="AL39" s="257" t="e">
        <f>((AI39)/($AX$7+0.00001))*100</f>
        <v>#REF!</v>
      </c>
      <c r="AM39" s="321" t="e">
        <f>((AJ39)/($BO$7+0.00001))*100</f>
        <v>#REF!</v>
      </c>
      <c r="AN39" s="259">
        <f>('الصفحة 12'!$F$48)</f>
        <v>0</v>
      </c>
      <c r="AO39" s="251">
        <f>('الصفحة 12'!$G$48)</f>
        <v>0</v>
      </c>
      <c r="AP39" s="254">
        <f>(AN39-AO39)</f>
        <v>0</v>
      </c>
      <c r="AQ39" s="322">
        <f>((AN39)/($AM$7+0.00001))*100</f>
        <v>0</v>
      </c>
      <c r="AR39" s="257">
        <f>((AO39)/($AL$7+0.00001))*100</f>
        <v>0</v>
      </c>
      <c r="AS39" s="321">
        <f>((AP39)/($W$7+0.00001))*100</f>
        <v>0</v>
      </c>
      <c r="AT39" s="259">
        <f>('الصفحة 12'!$I$48)</f>
        <v>0</v>
      </c>
      <c r="AU39" s="251" t="e">
        <f>('الصفحة 12'!#REF!)</f>
        <v>#REF!</v>
      </c>
      <c r="AV39" s="254" t="e">
        <f>(AT39-AU39)</f>
        <v>#REF!</v>
      </c>
      <c r="AW39" s="322">
        <f>((AT39)/($AP$7+0.00001))*100</f>
        <v>0</v>
      </c>
      <c r="AX39" s="257" t="e">
        <f>((AU39)/($AO$7+0.00001))*100</f>
        <v>#REF!</v>
      </c>
      <c r="AY39" s="321" t="e">
        <f>((AV39)/($Z$7+0.00001))*100</f>
        <v>#REF!</v>
      </c>
      <c r="AZ39" s="259" t="e">
        <f>('الصفحة 12'!#REF!)</f>
        <v>#REF!</v>
      </c>
      <c r="BA39" s="251" t="e">
        <f>('الصفحة 12'!#REF!)</f>
        <v>#REF!</v>
      </c>
      <c r="BB39" s="254" t="e">
        <f>(AZ39-BA39)</f>
        <v>#REF!</v>
      </c>
      <c r="BC39" s="322" t="e">
        <f>((AZ39)/($AS$7+0.00001))*100</f>
        <v>#REF!</v>
      </c>
      <c r="BD39" s="257" t="e">
        <f>((BA39)/($AR$7+0.00001))*100</f>
        <v>#REF!</v>
      </c>
      <c r="BE39" s="321" t="e">
        <f>((BB39)/($AC$7+0.00001))*100</f>
        <v>#REF!</v>
      </c>
      <c r="BF39" s="259">
        <f>('الصفحة 12'!$J$48)</f>
        <v>0</v>
      </c>
      <c r="BG39" s="251">
        <f>('الصفحة 12'!$K$48)</f>
        <v>0</v>
      </c>
      <c r="BH39" s="254">
        <f>(BF39-BG39)</f>
        <v>0</v>
      </c>
      <c r="BI39" s="322">
        <f>((BF39)/($AV$7+0.00001))*100</f>
        <v>0</v>
      </c>
      <c r="BJ39" s="257">
        <f>((BG39)/($AU$7+0.00001))*100</f>
        <v>0</v>
      </c>
      <c r="BK39" s="321">
        <f>((BH39)/($AF$7+0.00001))*100</f>
        <v>0</v>
      </c>
      <c r="BM39" s="259" t="e">
        <f>BS39+BY39+CE39+CK39</f>
        <v>#VALUE!</v>
      </c>
      <c r="BN39" s="251" t="e">
        <f>BT39+BZ39+CF39+CL39</f>
        <v>#VALUE!</v>
      </c>
      <c r="BO39" s="254" t="e">
        <f>(BM39-BN39)</f>
        <v>#VALUE!</v>
      </c>
      <c r="BP39" s="322" t="e">
        <f>((BM39)/($AY$7+0.00001))*100</f>
        <v>#VALUE!</v>
      </c>
      <c r="BQ39" s="257" t="e">
        <f>((BN39)/($AX$7+0.00001))*100</f>
        <v>#VALUE!</v>
      </c>
      <c r="BR39" s="321" t="e">
        <f>((BO39)/($BO$7+0.00001))*100</f>
        <v>#VALUE!</v>
      </c>
      <c r="BS39" s="259" t="str">
        <f>('الصفحة 12'!$F$49)</f>
        <v/>
      </c>
      <c r="BT39" s="251" t="str">
        <f>('الصفحة 12'!$G$49)</f>
        <v/>
      </c>
      <c r="BU39" s="254" t="e">
        <f>(BS39-BT39)</f>
        <v>#VALUE!</v>
      </c>
      <c r="BV39" s="322" t="e">
        <f>((BS39)/($AM$7+0.00001))*100</f>
        <v>#VALUE!</v>
      </c>
      <c r="BW39" s="257" t="e">
        <f>((BT39)/($AL$7+0.00001))*100</f>
        <v>#VALUE!</v>
      </c>
      <c r="BX39" s="321" t="e">
        <f>((BU39)/($W$7+0.00001))*100</f>
        <v>#VALUE!</v>
      </c>
      <c r="BY39" s="259" t="str">
        <f>('الصفحة 12'!$I$49)</f>
        <v/>
      </c>
      <c r="BZ39" s="251" t="e">
        <f>('الصفحة 12'!#REF!)</f>
        <v>#REF!</v>
      </c>
      <c r="CA39" s="254" t="e">
        <f>(BY39-BZ39)</f>
        <v>#VALUE!</v>
      </c>
      <c r="CB39" s="322" t="e">
        <f>((BY39)/($AP$7+0.00001))*100</f>
        <v>#VALUE!</v>
      </c>
      <c r="CC39" s="257" t="e">
        <f>((BZ39)/($AO$7+0.00001))*100</f>
        <v>#REF!</v>
      </c>
      <c r="CD39" s="321" t="e">
        <f>((CA39)/($Z$7+0.00001))*100</f>
        <v>#VALUE!</v>
      </c>
      <c r="CE39" s="259" t="e">
        <f>('الصفحة 12'!#REF!)</f>
        <v>#REF!</v>
      </c>
      <c r="CF39" s="251" t="e">
        <f>('الصفحة 12'!#REF!)</f>
        <v>#REF!</v>
      </c>
      <c r="CG39" s="254" t="e">
        <f>(CE39-CF39)</f>
        <v>#REF!</v>
      </c>
      <c r="CH39" s="322" t="e">
        <f>((CE39)/($AS$7+0.00001))*100</f>
        <v>#REF!</v>
      </c>
      <c r="CI39" s="257" t="e">
        <f>((CF39)/($AR$7+0.00001))*100</f>
        <v>#REF!</v>
      </c>
      <c r="CJ39" s="321" t="e">
        <f>((CG39)/($AC$7+0.00001))*100</f>
        <v>#REF!</v>
      </c>
      <c r="CK39" s="259" t="str">
        <f>('الصفحة 12'!$J$49)</f>
        <v/>
      </c>
      <c r="CL39" s="251" t="str">
        <f>('الصفحة 12'!$K$49)</f>
        <v/>
      </c>
      <c r="CM39" s="254" t="e">
        <f>(CK39-CL39)</f>
        <v>#VALUE!</v>
      </c>
      <c r="CN39" s="322" t="e">
        <f>((CK39)/($AV$7+0.00001))*100</f>
        <v>#VALUE!</v>
      </c>
      <c r="CO39" s="257" t="e">
        <f>((CL39)/($AU$7+0.00001))*100</f>
        <v>#VALUE!</v>
      </c>
      <c r="CP39" s="321" t="e">
        <f>((CM39)/($AF$7+0.00001))*100</f>
        <v>#VALUE!</v>
      </c>
      <c r="CR39" s="259" t="e">
        <f>CX39+DD39+DJ39+DP39</f>
        <v>#REF!</v>
      </c>
      <c r="CS39" s="251" t="e">
        <f>CY39+DE39+DK39+DQ39</f>
        <v>#REF!</v>
      </c>
      <c r="CT39" s="254" t="e">
        <f>(CR39-CS39)</f>
        <v>#REF!</v>
      </c>
      <c r="CU39" s="322" t="e">
        <f>((CR39)/($AY$7+0.00001))*100</f>
        <v>#REF!</v>
      </c>
      <c r="CV39" s="257" t="e">
        <f>((CS39)/($AX$7+0.00001))*100</f>
        <v>#REF!</v>
      </c>
      <c r="CW39" s="321" t="e">
        <f>((CT39)/($BO$7+0.00001))*100</f>
        <v>#REF!</v>
      </c>
      <c r="CX39" s="259">
        <f>('الصفحة 12'!$F$50)</f>
        <v>0</v>
      </c>
      <c r="CY39" s="251">
        <f>('الصفحة 12'!$G$50)</f>
        <v>0</v>
      </c>
      <c r="CZ39" s="254">
        <f>(CX39-CY39)</f>
        <v>0</v>
      </c>
      <c r="DA39" s="322">
        <f>((CX39)/($AM$7+0.00001))*100</f>
        <v>0</v>
      </c>
      <c r="DB39" s="257">
        <f>((CY39)/($AL$7+0.00001))*100</f>
        <v>0</v>
      </c>
      <c r="DC39" s="321">
        <f>((CZ39)/($W$7+0.00001))*100</f>
        <v>0</v>
      </c>
      <c r="DD39" s="259">
        <f>('الصفحة 12'!$I$50)</f>
        <v>0</v>
      </c>
      <c r="DE39" s="251" t="e">
        <f>('الصفحة 12'!#REF!)</f>
        <v>#REF!</v>
      </c>
      <c r="DF39" s="254" t="e">
        <f>(DD39-DE39)</f>
        <v>#REF!</v>
      </c>
      <c r="DG39" s="322">
        <f>((DD39)/($AP$7+0.00001))*100</f>
        <v>0</v>
      </c>
      <c r="DH39" s="257" t="e">
        <f>((DE39)/($AO$7+0.00001))*100</f>
        <v>#REF!</v>
      </c>
      <c r="DI39" s="321" t="e">
        <f>((DF39)/($Z$7+0.00001))*100</f>
        <v>#REF!</v>
      </c>
      <c r="DJ39" s="259" t="e">
        <f>('الصفحة 12'!#REF!)</f>
        <v>#REF!</v>
      </c>
      <c r="DK39" s="251" t="e">
        <f>('الصفحة 12'!#REF!)</f>
        <v>#REF!</v>
      </c>
      <c r="DL39" s="254" t="e">
        <f>(DJ39-DK39)</f>
        <v>#REF!</v>
      </c>
      <c r="DM39" s="322" t="e">
        <f>((DJ39)/($AS$7+0.00001))*100</f>
        <v>#REF!</v>
      </c>
      <c r="DN39" s="257" t="e">
        <f>((DK39)/($AR$7+0.00001))*100</f>
        <v>#REF!</v>
      </c>
      <c r="DO39" s="321" t="e">
        <f>((DL39)/($AC$7+0.00001))*100</f>
        <v>#REF!</v>
      </c>
      <c r="DP39" s="259">
        <f>('الصفحة 12'!$J$50)</f>
        <v>0</v>
      </c>
      <c r="DQ39" s="251">
        <f>('الصفحة 12'!$K$50)</f>
        <v>0</v>
      </c>
      <c r="DR39" s="254">
        <f>(DP39-DQ39)</f>
        <v>0</v>
      </c>
      <c r="DS39" s="322">
        <f>((DP39)/($AV$7+0.00001))*100</f>
        <v>0</v>
      </c>
      <c r="DT39" s="257">
        <f>((DQ39)/($AU$7+0.00001))*100</f>
        <v>0</v>
      </c>
      <c r="DU39" s="321">
        <f>((DR39)/($AF$7+0.00001))*100</f>
        <v>0</v>
      </c>
      <c r="DW39" s="259" t="e">
        <f>EC39+EI39+EO39+EU39</f>
        <v>#REF!</v>
      </c>
      <c r="DX39" s="251" t="e">
        <f>ED39+EJ39+EP39+EV39</f>
        <v>#REF!</v>
      </c>
      <c r="DY39" s="254" t="e">
        <f>(DW39-DX39)</f>
        <v>#REF!</v>
      </c>
      <c r="DZ39" s="322" t="e">
        <f>((DW39)/($AY$7+0.00001))*100</f>
        <v>#REF!</v>
      </c>
      <c r="EA39" s="257" t="e">
        <f>((DX39)/($AX$7+0.00001))*100</f>
        <v>#REF!</v>
      </c>
      <c r="EB39" s="321" t="e">
        <f>((DY39)/($AI$7+0.00001))*100</f>
        <v>#REF!</v>
      </c>
      <c r="EC39" s="259">
        <f>('الصفحة 12'!$F$54)</f>
        <v>0</v>
      </c>
      <c r="ED39" s="251">
        <f>('الصفحة 12'!$G$54)</f>
        <v>0</v>
      </c>
      <c r="EE39" s="254">
        <f>(EC39-ED39)</f>
        <v>0</v>
      </c>
      <c r="EF39" s="322">
        <f>((EC39)/($AM$7+0.00001))*100</f>
        <v>0</v>
      </c>
      <c r="EG39" s="257">
        <f>((ED39)/($AL$7+0.00001))*100</f>
        <v>0</v>
      </c>
      <c r="EH39" s="321">
        <f>((EE39)/($W$7+0.00001))*100</f>
        <v>0</v>
      </c>
      <c r="EI39" s="259">
        <f>('الصفحة 12'!$I$54)</f>
        <v>0</v>
      </c>
      <c r="EJ39" s="251" t="e">
        <f>('الصفحة 12'!#REF!)</f>
        <v>#REF!</v>
      </c>
      <c r="EK39" s="254" t="e">
        <f>(EI39-EJ39)</f>
        <v>#REF!</v>
      </c>
      <c r="EL39" s="322">
        <f>((EI39)/($AP$7+0.00001))*100</f>
        <v>0</v>
      </c>
      <c r="EM39" s="257" t="e">
        <f>((EJ39)/($AO$7+0.00001))*100</f>
        <v>#REF!</v>
      </c>
      <c r="EN39" s="321" t="e">
        <f>((EK39)/($Z$7+0.00001))*100</f>
        <v>#REF!</v>
      </c>
      <c r="EO39" s="259" t="e">
        <f>('الصفحة 12'!#REF!)</f>
        <v>#REF!</v>
      </c>
      <c r="EP39" s="251" t="e">
        <f>('الصفحة 12'!#REF!)</f>
        <v>#REF!</v>
      </c>
      <c r="EQ39" s="254" t="e">
        <f>(EO39-EP39)</f>
        <v>#REF!</v>
      </c>
      <c r="ER39" s="322" t="e">
        <f>((EO39)/($AS$7+0.00001))*100</f>
        <v>#REF!</v>
      </c>
      <c r="ES39" s="257" t="e">
        <f>((EP39)/($AR$7+0.00001))*100</f>
        <v>#REF!</v>
      </c>
      <c r="ET39" s="321" t="e">
        <f>((EQ39)/($AC$7+0.00001))*100</f>
        <v>#REF!</v>
      </c>
      <c r="EU39" s="259">
        <f>('الصفحة 12'!$J$54)</f>
        <v>0</v>
      </c>
      <c r="EV39" s="251">
        <f>('الصفحة 12'!$K$54)</f>
        <v>0</v>
      </c>
      <c r="EW39" s="254">
        <f>(EU39-EV39)</f>
        <v>0</v>
      </c>
      <c r="EX39" s="322">
        <f>((EU39)/($AV$7+0.00001))*100</f>
        <v>0</v>
      </c>
      <c r="EY39" s="257">
        <f>((EV39)/($AU$7+0.00001))*100</f>
        <v>0</v>
      </c>
      <c r="EZ39" s="321">
        <f>((EW39)/($AF$7+0.00001))*100</f>
        <v>0</v>
      </c>
      <c r="FA39" s="27"/>
      <c r="FD39" s="329">
        <f>$AY$7</f>
        <v>738</v>
      </c>
      <c r="FE39" s="328">
        <f>$DP$63</f>
        <v>34</v>
      </c>
      <c r="FF39" s="621">
        <f>(FD39)/(FE39+0.0001)</f>
        <v>21.705818512298492</v>
      </c>
      <c r="FO39" s="24"/>
      <c r="IV39" s="41"/>
    </row>
    <row r="40" spans="1:256" s="25" customFormat="1" ht="6" customHeight="1">
      <c r="A40" s="5686"/>
      <c r="FA40" s="27"/>
      <c r="IG40" s="106"/>
      <c r="IH40" s="24"/>
      <c r="II40" s="24"/>
      <c r="IJ40" s="24"/>
      <c r="IK40" s="24"/>
      <c r="IL40" s="24"/>
      <c r="IM40" s="24"/>
      <c r="IN40" s="24"/>
      <c r="IO40" s="24"/>
      <c r="IP40" s="24"/>
      <c r="IQ40" s="24"/>
      <c r="IR40" s="24"/>
      <c r="IS40" s="24"/>
      <c r="IT40" s="24"/>
      <c r="IV40" s="41"/>
    </row>
    <row r="41" spans="1:256" s="25" customFormat="1" ht="6" customHeight="1">
      <c r="A41" s="248"/>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V41" s="41"/>
    </row>
    <row r="42" spans="1:256" s="25" customFormat="1" ht="16.5" customHeight="1" thickBot="1">
      <c r="A42" s="5686">
        <v>6</v>
      </c>
      <c r="C42" s="170" t="s">
        <v>381</v>
      </c>
      <c r="D42" s="24"/>
      <c r="E42" s="24"/>
      <c r="F42" s="24"/>
      <c r="G42" s="24"/>
      <c r="H42" s="24"/>
      <c r="I42" s="24"/>
      <c r="J42" s="24"/>
      <c r="K42" s="24"/>
      <c r="L42" s="170"/>
      <c r="M42" s="24"/>
      <c r="N42" s="24"/>
      <c r="O42" s="24"/>
      <c r="P42" s="24"/>
      <c r="Q42" s="24"/>
      <c r="R42" s="24"/>
      <c r="S42" s="24"/>
      <c r="T42" s="24"/>
      <c r="U42" s="170"/>
      <c r="V42" s="24"/>
      <c r="W42" s="24"/>
      <c r="X42" s="24"/>
      <c r="Y42" s="24"/>
      <c r="Z42" s="24"/>
      <c r="AA42" s="24"/>
      <c r="AB42" s="24"/>
      <c r="AC42" s="24"/>
      <c r="AD42" s="24"/>
      <c r="AE42" s="24"/>
      <c r="AF42" s="24"/>
      <c r="AH42" s="170" t="s">
        <v>380</v>
      </c>
      <c r="AI42" s="24"/>
      <c r="AJ42" s="24"/>
      <c r="AK42" s="24"/>
      <c r="AL42" s="24"/>
      <c r="AM42" s="24"/>
      <c r="AN42" s="24"/>
      <c r="AO42" s="24"/>
      <c r="AP42" s="24"/>
      <c r="AQ42" s="170"/>
      <c r="AR42" s="24"/>
      <c r="AS42" s="24"/>
      <c r="AT42" s="24"/>
      <c r="AU42" s="24"/>
      <c r="AV42" s="24"/>
      <c r="AW42" s="24"/>
      <c r="AX42" s="24"/>
      <c r="AY42" s="24"/>
      <c r="AZ42" s="170"/>
      <c r="BA42" s="24"/>
      <c r="BB42" s="24"/>
      <c r="BC42" s="24"/>
      <c r="BD42" s="24"/>
      <c r="BE42" s="24"/>
      <c r="BF42" s="24"/>
      <c r="BG42" s="24"/>
      <c r="BH42" s="24"/>
      <c r="BI42" s="24"/>
      <c r="BJ42" s="24"/>
      <c r="BK42" s="24"/>
      <c r="BM42" s="170" t="s">
        <v>379</v>
      </c>
      <c r="BN42" s="24"/>
      <c r="BO42" s="24"/>
      <c r="BP42" s="24"/>
      <c r="BQ42" s="24"/>
      <c r="BR42" s="24"/>
      <c r="BS42" s="24"/>
      <c r="BT42" s="24"/>
      <c r="BU42" s="24"/>
      <c r="BV42" s="170"/>
      <c r="BW42" s="24"/>
      <c r="BX42" s="24"/>
      <c r="BY42" s="24"/>
      <c r="BZ42" s="24"/>
      <c r="CA42" s="24"/>
      <c r="CB42" s="24"/>
      <c r="CC42" s="24"/>
      <c r="CD42" s="24"/>
      <c r="CE42" s="170"/>
      <c r="CF42" s="24"/>
      <c r="CG42" s="24"/>
      <c r="CH42" s="24"/>
      <c r="CI42" s="24"/>
      <c r="CJ42" s="24"/>
      <c r="CK42" s="24"/>
      <c r="CL42" s="24"/>
      <c r="CM42" s="24"/>
      <c r="CN42" s="24"/>
      <c r="CO42" s="24"/>
      <c r="CP42" s="24"/>
      <c r="CR42" s="170" t="s">
        <v>378</v>
      </c>
      <c r="CS42" s="24"/>
      <c r="CT42" s="24"/>
      <c r="CU42" s="24"/>
      <c r="CV42" s="24"/>
      <c r="CW42" s="24"/>
      <c r="CX42" s="24"/>
      <c r="CY42" s="24"/>
      <c r="CZ42" s="24"/>
      <c r="DA42" s="170"/>
      <c r="DB42" s="24"/>
      <c r="DC42" s="24"/>
      <c r="DD42" s="24"/>
      <c r="DE42" s="24"/>
      <c r="DF42" s="24"/>
      <c r="DG42" s="24"/>
      <c r="DH42" s="24"/>
      <c r="DI42" s="24"/>
      <c r="DJ42" s="170"/>
      <c r="DK42" s="24"/>
      <c r="DL42" s="24"/>
      <c r="DM42" s="24"/>
      <c r="DN42" s="24"/>
      <c r="DO42" s="24"/>
      <c r="DP42" s="24"/>
      <c r="DQ42" s="24"/>
      <c r="DR42" s="24"/>
      <c r="DS42" s="24"/>
      <c r="DT42" s="24"/>
      <c r="DU42" s="24"/>
      <c r="DW42" s="170" t="s">
        <v>377</v>
      </c>
      <c r="DX42" s="24"/>
      <c r="DY42" s="24"/>
      <c r="DZ42" s="24"/>
      <c r="EA42" s="24"/>
      <c r="EB42" s="24"/>
      <c r="EC42" s="24"/>
      <c r="ED42" s="24"/>
      <c r="EE42" s="24"/>
      <c r="EF42" s="170"/>
      <c r="EG42" s="24"/>
      <c r="EH42" s="24"/>
      <c r="EI42" s="24"/>
      <c r="EJ42" s="24"/>
      <c r="EK42" s="24"/>
      <c r="EL42" s="24"/>
      <c r="EM42" s="24"/>
      <c r="EN42" s="24"/>
      <c r="EO42" s="170"/>
      <c r="EP42" s="24"/>
      <c r="EQ42" s="24"/>
      <c r="ER42" s="24"/>
      <c r="ES42" s="24"/>
      <c r="ET42" s="24"/>
      <c r="EU42" s="24"/>
      <c r="EV42" s="24"/>
      <c r="EW42" s="24"/>
      <c r="EX42" s="24"/>
      <c r="EY42" s="24"/>
      <c r="EZ42" s="24"/>
      <c r="FB42" s="170" t="s">
        <v>376</v>
      </c>
      <c r="FC42" s="24"/>
      <c r="FD42" s="24"/>
      <c r="FE42" s="24"/>
      <c r="FF42" s="24"/>
      <c r="FG42" s="24"/>
      <c r="FH42" s="24"/>
      <c r="FI42" s="24"/>
      <c r="FJ42" s="24"/>
      <c r="FK42" s="170"/>
      <c r="FL42" s="24"/>
      <c r="FM42" s="24"/>
      <c r="FN42" s="24"/>
      <c r="FO42" s="24"/>
      <c r="FP42" s="24"/>
      <c r="FQ42" s="24"/>
      <c r="FR42" s="24"/>
      <c r="FS42" s="24"/>
      <c r="FT42" s="170"/>
      <c r="FU42" s="24"/>
      <c r="FV42" s="24"/>
      <c r="FW42" s="24"/>
      <c r="FX42" s="24"/>
      <c r="FY42" s="24"/>
      <c r="FZ42" s="24"/>
      <c r="GA42" s="24"/>
      <c r="GB42" s="24"/>
      <c r="GC42" s="24"/>
      <c r="GD42" s="24"/>
      <c r="GE42" s="24"/>
      <c r="GG42" s="170" t="s">
        <v>375</v>
      </c>
      <c r="GH42" s="24"/>
      <c r="GI42" s="24"/>
      <c r="GJ42" s="24"/>
      <c r="GK42" s="24"/>
      <c r="GL42" s="24"/>
      <c r="GM42" s="24"/>
      <c r="GN42" s="24"/>
      <c r="GO42" s="24"/>
      <c r="GP42" s="170"/>
      <c r="GQ42" s="24"/>
      <c r="GR42" s="24"/>
      <c r="GS42" s="24"/>
      <c r="GT42" s="24"/>
      <c r="GU42" s="24"/>
      <c r="GV42" s="24"/>
      <c r="GW42" s="24"/>
      <c r="GX42" s="24"/>
      <c r="GY42" s="170"/>
      <c r="GZ42" s="24"/>
      <c r="HA42" s="24"/>
      <c r="HB42" s="24"/>
      <c r="HC42" s="24"/>
      <c r="HD42" s="24"/>
      <c r="HE42" s="24"/>
      <c r="HF42" s="24"/>
      <c r="HG42" s="24"/>
      <c r="HH42" s="24"/>
      <c r="HI42" s="24"/>
      <c r="HJ42" s="24"/>
      <c r="HL42" s="170" t="s">
        <v>374</v>
      </c>
      <c r="HM42" s="24"/>
      <c r="HN42" s="24"/>
      <c r="HO42" s="24"/>
      <c r="HP42" s="24"/>
      <c r="HQ42" s="24"/>
      <c r="HR42" s="24"/>
      <c r="HS42" s="24"/>
      <c r="HT42" s="24"/>
      <c r="HU42" s="170"/>
      <c r="HV42" s="24"/>
      <c r="HW42" s="24"/>
      <c r="HX42" s="24"/>
      <c r="HY42" s="24"/>
      <c r="HZ42" s="24"/>
      <c r="IA42" s="24"/>
      <c r="IB42" s="24"/>
      <c r="IC42" s="24"/>
      <c r="ID42" s="170"/>
      <c r="IE42" s="24"/>
      <c r="IF42" s="24"/>
      <c r="IG42" s="24"/>
      <c r="IH42" s="24"/>
      <c r="II42" s="24"/>
      <c r="IJ42" s="24"/>
      <c r="IK42" s="24"/>
      <c r="IL42" s="24"/>
      <c r="IM42" s="24"/>
      <c r="IN42" s="24"/>
      <c r="IO42" s="24"/>
      <c r="IV42" s="41"/>
    </row>
    <row r="43" spans="1:256" s="25" customFormat="1" ht="12.75" customHeight="1">
      <c r="A43" s="5686"/>
      <c r="C43" s="5155" t="s">
        <v>365</v>
      </c>
      <c r="D43" s="5156"/>
      <c r="E43" s="5156"/>
      <c r="F43" s="5156"/>
      <c r="G43" s="5156"/>
      <c r="H43" s="5157"/>
      <c r="I43" s="5155" t="s">
        <v>364</v>
      </c>
      <c r="J43" s="5156"/>
      <c r="K43" s="5156"/>
      <c r="L43" s="5156"/>
      <c r="M43" s="5156"/>
      <c r="N43" s="5157"/>
      <c r="O43" s="5155" t="s">
        <v>363</v>
      </c>
      <c r="P43" s="5156"/>
      <c r="Q43" s="5156"/>
      <c r="R43" s="5156"/>
      <c r="S43" s="5156"/>
      <c r="T43" s="5157"/>
      <c r="U43" s="5155" t="s">
        <v>362</v>
      </c>
      <c r="V43" s="5156"/>
      <c r="W43" s="5156"/>
      <c r="X43" s="5156"/>
      <c r="Y43" s="5156"/>
      <c r="Z43" s="5157"/>
      <c r="AA43" s="5155" t="s">
        <v>361</v>
      </c>
      <c r="AB43" s="5156"/>
      <c r="AC43" s="5156"/>
      <c r="AD43" s="5156"/>
      <c r="AE43" s="5156"/>
      <c r="AF43" s="5157"/>
      <c r="AH43" s="5155" t="s">
        <v>365</v>
      </c>
      <c r="AI43" s="5156"/>
      <c r="AJ43" s="5156"/>
      <c r="AK43" s="5156"/>
      <c r="AL43" s="5156"/>
      <c r="AM43" s="5157"/>
      <c r="AN43" s="5155" t="s">
        <v>364</v>
      </c>
      <c r="AO43" s="5156"/>
      <c r="AP43" s="5156"/>
      <c r="AQ43" s="5156"/>
      <c r="AR43" s="5156"/>
      <c r="AS43" s="5157"/>
      <c r="AT43" s="5155" t="s">
        <v>363</v>
      </c>
      <c r="AU43" s="5156"/>
      <c r="AV43" s="5156"/>
      <c r="AW43" s="5156"/>
      <c r="AX43" s="5156"/>
      <c r="AY43" s="5157"/>
      <c r="AZ43" s="5155" t="s">
        <v>362</v>
      </c>
      <c r="BA43" s="5156"/>
      <c r="BB43" s="5156"/>
      <c r="BC43" s="5156"/>
      <c r="BD43" s="5156"/>
      <c r="BE43" s="5157"/>
      <c r="BF43" s="5155" t="s">
        <v>361</v>
      </c>
      <c r="BG43" s="5156"/>
      <c r="BH43" s="5156"/>
      <c r="BI43" s="5156"/>
      <c r="BJ43" s="5156"/>
      <c r="BK43" s="5157"/>
      <c r="BM43" s="5155" t="s">
        <v>365</v>
      </c>
      <c r="BN43" s="5156"/>
      <c r="BO43" s="5156"/>
      <c r="BP43" s="5156"/>
      <c r="BQ43" s="5156"/>
      <c r="BR43" s="5157"/>
      <c r="BS43" s="5155" t="s">
        <v>364</v>
      </c>
      <c r="BT43" s="5156"/>
      <c r="BU43" s="5156"/>
      <c r="BV43" s="5156"/>
      <c r="BW43" s="5156"/>
      <c r="BX43" s="5157"/>
      <c r="BY43" s="5155" t="s">
        <v>363</v>
      </c>
      <c r="BZ43" s="5156"/>
      <c r="CA43" s="5156"/>
      <c r="CB43" s="5156"/>
      <c r="CC43" s="5156"/>
      <c r="CD43" s="5157"/>
      <c r="CE43" s="5155" t="s">
        <v>362</v>
      </c>
      <c r="CF43" s="5156"/>
      <c r="CG43" s="5156"/>
      <c r="CH43" s="5156"/>
      <c r="CI43" s="5156"/>
      <c r="CJ43" s="5157"/>
      <c r="CK43" s="5155" t="s">
        <v>361</v>
      </c>
      <c r="CL43" s="5156"/>
      <c r="CM43" s="5156"/>
      <c r="CN43" s="5156"/>
      <c r="CO43" s="5156"/>
      <c r="CP43" s="5157"/>
      <c r="CR43" s="5155" t="s">
        <v>365</v>
      </c>
      <c r="CS43" s="5156"/>
      <c r="CT43" s="5156"/>
      <c r="CU43" s="5156"/>
      <c r="CV43" s="5156"/>
      <c r="CW43" s="5157"/>
      <c r="CX43" s="5155" t="s">
        <v>364</v>
      </c>
      <c r="CY43" s="5156"/>
      <c r="CZ43" s="5156"/>
      <c r="DA43" s="5156"/>
      <c r="DB43" s="5156"/>
      <c r="DC43" s="5157"/>
      <c r="DD43" s="5155" t="s">
        <v>363</v>
      </c>
      <c r="DE43" s="5156"/>
      <c r="DF43" s="5156"/>
      <c r="DG43" s="5156"/>
      <c r="DH43" s="5156"/>
      <c r="DI43" s="5157"/>
      <c r="DJ43" s="5155" t="s">
        <v>362</v>
      </c>
      <c r="DK43" s="5156"/>
      <c r="DL43" s="5156"/>
      <c r="DM43" s="5156"/>
      <c r="DN43" s="5156"/>
      <c r="DO43" s="5157"/>
      <c r="DP43" s="5155" t="s">
        <v>361</v>
      </c>
      <c r="DQ43" s="5156"/>
      <c r="DR43" s="5156"/>
      <c r="DS43" s="5156"/>
      <c r="DT43" s="5156"/>
      <c r="DU43" s="5157"/>
      <c r="DW43" s="5155" t="s">
        <v>365</v>
      </c>
      <c r="DX43" s="5156"/>
      <c r="DY43" s="5156"/>
      <c r="DZ43" s="5156"/>
      <c r="EA43" s="5156"/>
      <c r="EB43" s="5157"/>
      <c r="EC43" s="5155" t="s">
        <v>364</v>
      </c>
      <c r="ED43" s="5156"/>
      <c r="EE43" s="5156"/>
      <c r="EF43" s="5156"/>
      <c r="EG43" s="5156"/>
      <c r="EH43" s="5157"/>
      <c r="EI43" s="5155" t="s">
        <v>363</v>
      </c>
      <c r="EJ43" s="5156"/>
      <c r="EK43" s="5156"/>
      <c r="EL43" s="5156"/>
      <c r="EM43" s="5156"/>
      <c r="EN43" s="5157"/>
      <c r="EO43" s="5155" t="s">
        <v>362</v>
      </c>
      <c r="EP43" s="5156"/>
      <c r="EQ43" s="5156"/>
      <c r="ER43" s="5156"/>
      <c r="ES43" s="5156"/>
      <c r="ET43" s="5157"/>
      <c r="EU43" s="5155" t="s">
        <v>361</v>
      </c>
      <c r="EV43" s="5156"/>
      <c r="EW43" s="5156"/>
      <c r="EX43" s="5156"/>
      <c r="EY43" s="5156"/>
      <c r="EZ43" s="5157"/>
      <c r="FB43" s="5155" t="s">
        <v>365</v>
      </c>
      <c r="FC43" s="5156"/>
      <c r="FD43" s="5156"/>
      <c r="FE43" s="5156"/>
      <c r="FF43" s="5156"/>
      <c r="FG43" s="5157"/>
      <c r="FH43" s="5155" t="s">
        <v>364</v>
      </c>
      <c r="FI43" s="5156"/>
      <c r="FJ43" s="5156"/>
      <c r="FK43" s="5156"/>
      <c r="FL43" s="5156"/>
      <c r="FM43" s="5157"/>
      <c r="FN43" s="5155" t="s">
        <v>363</v>
      </c>
      <c r="FO43" s="5156"/>
      <c r="FP43" s="5156"/>
      <c r="FQ43" s="5156"/>
      <c r="FR43" s="5156"/>
      <c r="FS43" s="5157"/>
      <c r="FT43" s="5155" t="s">
        <v>362</v>
      </c>
      <c r="FU43" s="5156"/>
      <c r="FV43" s="5156"/>
      <c r="FW43" s="5156"/>
      <c r="FX43" s="5156"/>
      <c r="FY43" s="5157"/>
      <c r="FZ43" s="5155" t="s">
        <v>361</v>
      </c>
      <c r="GA43" s="5156"/>
      <c r="GB43" s="5156"/>
      <c r="GC43" s="5156"/>
      <c r="GD43" s="5156"/>
      <c r="GE43" s="5157"/>
      <c r="GG43" s="5155" t="s">
        <v>365</v>
      </c>
      <c r="GH43" s="5156"/>
      <c r="GI43" s="5156"/>
      <c r="GJ43" s="5156"/>
      <c r="GK43" s="5156"/>
      <c r="GL43" s="5157"/>
      <c r="GM43" s="5155" t="s">
        <v>364</v>
      </c>
      <c r="GN43" s="5156"/>
      <c r="GO43" s="5156"/>
      <c r="GP43" s="5156"/>
      <c r="GQ43" s="5156"/>
      <c r="GR43" s="5157"/>
      <c r="GS43" s="5155" t="s">
        <v>363</v>
      </c>
      <c r="GT43" s="5156"/>
      <c r="GU43" s="5156"/>
      <c r="GV43" s="5156"/>
      <c r="GW43" s="5156"/>
      <c r="GX43" s="5157"/>
      <c r="GY43" s="5155" t="s">
        <v>362</v>
      </c>
      <c r="GZ43" s="5156"/>
      <c r="HA43" s="5156"/>
      <c r="HB43" s="5156"/>
      <c r="HC43" s="5156"/>
      <c r="HD43" s="5157"/>
      <c r="HE43" s="5155" t="s">
        <v>361</v>
      </c>
      <c r="HF43" s="5156"/>
      <c r="HG43" s="5156"/>
      <c r="HH43" s="5156"/>
      <c r="HI43" s="5156"/>
      <c r="HJ43" s="5157"/>
      <c r="HL43" s="5155" t="s">
        <v>365</v>
      </c>
      <c r="HM43" s="5156"/>
      <c r="HN43" s="5156"/>
      <c r="HO43" s="5156"/>
      <c r="HP43" s="5156"/>
      <c r="HQ43" s="5157"/>
      <c r="HR43" s="5155" t="s">
        <v>364</v>
      </c>
      <c r="HS43" s="5156"/>
      <c r="HT43" s="5156"/>
      <c r="HU43" s="5156"/>
      <c r="HV43" s="5156"/>
      <c r="HW43" s="5157"/>
      <c r="HX43" s="5155" t="s">
        <v>363</v>
      </c>
      <c r="HY43" s="5156"/>
      <c r="HZ43" s="5156"/>
      <c r="IA43" s="5156"/>
      <c r="IB43" s="5156"/>
      <c r="IC43" s="5157"/>
      <c r="ID43" s="5155" t="s">
        <v>362</v>
      </c>
      <c r="IE43" s="5156"/>
      <c r="IF43" s="5156"/>
      <c r="IG43" s="5156"/>
      <c r="IH43" s="5156"/>
      <c r="II43" s="5157"/>
      <c r="IJ43" s="5155" t="s">
        <v>361</v>
      </c>
      <c r="IK43" s="5156"/>
      <c r="IL43" s="5156"/>
      <c r="IM43" s="5156"/>
      <c r="IN43" s="5156"/>
      <c r="IO43" s="5157"/>
      <c r="IV43" s="41"/>
    </row>
    <row r="44" spans="1:256" s="25" customFormat="1" ht="12.75" customHeight="1">
      <c r="A44" s="5686"/>
      <c r="C44" s="5158"/>
      <c r="D44" s="5159"/>
      <c r="E44" s="5159"/>
      <c r="F44" s="5159"/>
      <c r="G44" s="5159"/>
      <c r="H44" s="5160"/>
      <c r="I44" s="5158"/>
      <c r="J44" s="5159"/>
      <c r="K44" s="5159"/>
      <c r="L44" s="5159"/>
      <c r="M44" s="5159"/>
      <c r="N44" s="5160"/>
      <c r="O44" s="5158"/>
      <c r="P44" s="5159"/>
      <c r="Q44" s="5159"/>
      <c r="R44" s="5159"/>
      <c r="S44" s="5159"/>
      <c r="T44" s="5160"/>
      <c r="U44" s="5158"/>
      <c r="V44" s="5159"/>
      <c r="W44" s="5159"/>
      <c r="X44" s="5159"/>
      <c r="Y44" s="5159"/>
      <c r="Z44" s="5160"/>
      <c r="AA44" s="5158"/>
      <c r="AB44" s="5159"/>
      <c r="AC44" s="5159"/>
      <c r="AD44" s="5159"/>
      <c r="AE44" s="5159"/>
      <c r="AF44" s="5160"/>
      <c r="AH44" s="5158"/>
      <c r="AI44" s="5159"/>
      <c r="AJ44" s="5159"/>
      <c r="AK44" s="5159"/>
      <c r="AL44" s="5159"/>
      <c r="AM44" s="5160"/>
      <c r="AN44" s="5158"/>
      <c r="AO44" s="5159"/>
      <c r="AP44" s="5159"/>
      <c r="AQ44" s="5159"/>
      <c r="AR44" s="5159"/>
      <c r="AS44" s="5160"/>
      <c r="AT44" s="5158"/>
      <c r="AU44" s="5159"/>
      <c r="AV44" s="5159"/>
      <c r="AW44" s="5159"/>
      <c r="AX44" s="5159"/>
      <c r="AY44" s="5160"/>
      <c r="AZ44" s="5158"/>
      <c r="BA44" s="5159"/>
      <c r="BB44" s="5159"/>
      <c r="BC44" s="5159"/>
      <c r="BD44" s="5159"/>
      <c r="BE44" s="5160"/>
      <c r="BF44" s="5158"/>
      <c r="BG44" s="5159"/>
      <c r="BH44" s="5159"/>
      <c r="BI44" s="5159"/>
      <c r="BJ44" s="5159"/>
      <c r="BK44" s="5160"/>
      <c r="BM44" s="5158"/>
      <c r="BN44" s="5159"/>
      <c r="BO44" s="5159"/>
      <c r="BP44" s="5159"/>
      <c r="BQ44" s="5159"/>
      <c r="BR44" s="5160"/>
      <c r="BS44" s="5158"/>
      <c r="BT44" s="5159"/>
      <c r="BU44" s="5159"/>
      <c r="BV44" s="5159"/>
      <c r="BW44" s="5159"/>
      <c r="BX44" s="5160"/>
      <c r="BY44" s="5158"/>
      <c r="BZ44" s="5159"/>
      <c r="CA44" s="5159"/>
      <c r="CB44" s="5159"/>
      <c r="CC44" s="5159"/>
      <c r="CD44" s="5160"/>
      <c r="CE44" s="5158"/>
      <c r="CF44" s="5159"/>
      <c r="CG44" s="5159"/>
      <c r="CH44" s="5159"/>
      <c r="CI44" s="5159"/>
      <c r="CJ44" s="5160"/>
      <c r="CK44" s="5158"/>
      <c r="CL44" s="5159"/>
      <c r="CM44" s="5159"/>
      <c r="CN44" s="5159"/>
      <c r="CO44" s="5159"/>
      <c r="CP44" s="5160"/>
      <c r="CR44" s="5158"/>
      <c r="CS44" s="5159"/>
      <c r="CT44" s="5159"/>
      <c r="CU44" s="5159"/>
      <c r="CV44" s="5159"/>
      <c r="CW44" s="5160"/>
      <c r="CX44" s="5158"/>
      <c r="CY44" s="5159"/>
      <c r="CZ44" s="5159"/>
      <c r="DA44" s="5159"/>
      <c r="DB44" s="5159"/>
      <c r="DC44" s="5160"/>
      <c r="DD44" s="5158"/>
      <c r="DE44" s="5159"/>
      <c r="DF44" s="5159"/>
      <c r="DG44" s="5159"/>
      <c r="DH44" s="5159"/>
      <c r="DI44" s="5160"/>
      <c r="DJ44" s="5158"/>
      <c r="DK44" s="5159"/>
      <c r="DL44" s="5159"/>
      <c r="DM44" s="5159"/>
      <c r="DN44" s="5159"/>
      <c r="DO44" s="5160"/>
      <c r="DP44" s="5158"/>
      <c r="DQ44" s="5159"/>
      <c r="DR44" s="5159"/>
      <c r="DS44" s="5159"/>
      <c r="DT44" s="5159"/>
      <c r="DU44" s="5160"/>
      <c r="DW44" s="5158"/>
      <c r="DX44" s="5159"/>
      <c r="DY44" s="5159"/>
      <c r="DZ44" s="5159"/>
      <c r="EA44" s="5159"/>
      <c r="EB44" s="5160"/>
      <c r="EC44" s="5158"/>
      <c r="ED44" s="5159"/>
      <c r="EE44" s="5159"/>
      <c r="EF44" s="5159"/>
      <c r="EG44" s="5159"/>
      <c r="EH44" s="5160"/>
      <c r="EI44" s="5158"/>
      <c r="EJ44" s="5159"/>
      <c r="EK44" s="5159"/>
      <c r="EL44" s="5159"/>
      <c r="EM44" s="5159"/>
      <c r="EN44" s="5160"/>
      <c r="EO44" s="5158"/>
      <c r="EP44" s="5159"/>
      <c r="EQ44" s="5159"/>
      <c r="ER44" s="5159"/>
      <c r="ES44" s="5159"/>
      <c r="ET44" s="5160"/>
      <c r="EU44" s="5158"/>
      <c r="EV44" s="5159"/>
      <c r="EW44" s="5159"/>
      <c r="EX44" s="5159"/>
      <c r="EY44" s="5159"/>
      <c r="EZ44" s="5160"/>
      <c r="FB44" s="5158"/>
      <c r="FC44" s="5159"/>
      <c r="FD44" s="5159"/>
      <c r="FE44" s="5159"/>
      <c r="FF44" s="5159"/>
      <c r="FG44" s="5160"/>
      <c r="FH44" s="5158"/>
      <c r="FI44" s="5159"/>
      <c r="FJ44" s="5159"/>
      <c r="FK44" s="5159"/>
      <c r="FL44" s="5159"/>
      <c r="FM44" s="5160"/>
      <c r="FN44" s="5158"/>
      <c r="FO44" s="5159"/>
      <c r="FP44" s="5159"/>
      <c r="FQ44" s="5159"/>
      <c r="FR44" s="5159"/>
      <c r="FS44" s="5160"/>
      <c r="FT44" s="5158"/>
      <c r="FU44" s="5159"/>
      <c r="FV44" s="5159"/>
      <c r="FW44" s="5159"/>
      <c r="FX44" s="5159"/>
      <c r="FY44" s="5160"/>
      <c r="FZ44" s="5158"/>
      <c r="GA44" s="5159"/>
      <c r="GB44" s="5159"/>
      <c r="GC44" s="5159"/>
      <c r="GD44" s="5159"/>
      <c r="GE44" s="5160"/>
      <c r="GG44" s="5158"/>
      <c r="GH44" s="5159"/>
      <c r="GI44" s="5159"/>
      <c r="GJ44" s="5159"/>
      <c r="GK44" s="5159"/>
      <c r="GL44" s="5160"/>
      <c r="GM44" s="5158"/>
      <c r="GN44" s="5159"/>
      <c r="GO44" s="5159"/>
      <c r="GP44" s="5159"/>
      <c r="GQ44" s="5159"/>
      <c r="GR44" s="5160"/>
      <c r="GS44" s="5158"/>
      <c r="GT44" s="5159"/>
      <c r="GU44" s="5159"/>
      <c r="GV44" s="5159"/>
      <c r="GW44" s="5159"/>
      <c r="GX44" s="5160"/>
      <c r="GY44" s="5158"/>
      <c r="GZ44" s="5159"/>
      <c r="HA44" s="5159"/>
      <c r="HB44" s="5159"/>
      <c r="HC44" s="5159"/>
      <c r="HD44" s="5160"/>
      <c r="HE44" s="5158"/>
      <c r="HF44" s="5159"/>
      <c r="HG44" s="5159"/>
      <c r="HH44" s="5159"/>
      <c r="HI44" s="5159"/>
      <c r="HJ44" s="5160"/>
      <c r="HL44" s="5158"/>
      <c r="HM44" s="5159"/>
      <c r="HN44" s="5159"/>
      <c r="HO44" s="5159"/>
      <c r="HP44" s="5159"/>
      <c r="HQ44" s="5160"/>
      <c r="HR44" s="5158"/>
      <c r="HS44" s="5159"/>
      <c r="HT44" s="5159"/>
      <c r="HU44" s="5159"/>
      <c r="HV44" s="5159"/>
      <c r="HW44" s="5160"/>
      <c r="HX44" s="5158"/>
      <c r="HY44" s="5159"/>
      <c r="HZ44" s="5159"/>
      <c r="IA44" s="5159"/>
      <c r="IB44" s="5159"/>
      <c r="IC44" s="5160"/>
      <c r="ID44" s="5158"/>
      <c r="IE44" s="5159"/>
      <c r="IF44" s="5159"/>
      <c r="IG44" s="5159"/>
      <c r="IH44" s="5159"/>
      <c r="II44" s="5160"/>
      <c r="IJ44" s="5158"/>
      <c r="IK44" s="5159"/>
      <c r="IL44" s="5159"/>
      <c r="IM44" s="5159"/>
      <c r="IN44" s="5159"/>
      <c r="IO44" s="5160"/>
      <c r="IV44" s="41"/>
    </row>
    <row r="45" spans="1:256" s="25" customFormat="1" ht="12.75" customHeight="1">
      <c r="A45" s="5686"/>
      <c r="C45" s="5161" t="s">
        <v>360</v>
      </c>
      <c r="D45" s="5162"/>
      <c r="E45" s="5163"/>
      <c r="F45" s="5161" t="s">
        <v>359</v>
      </c>
      <c r="G45" s="5162"/>
      <c r="H45" s="5163"/>
      <c r="I45" s="5161" t="s">
        <v>360</v>
      </c>
      <c r="J45" s="5162"/>
      <c r="K45" s="5163"/>
      <c r="L45" s="5161" t="s">
        <v>359</v>
      </c>
      <c r="M45" s="5162"/>
      <c r="N45" s="5163"/>
      <c r="O45" s="5161" t="s">
        <v>360</v>
      </c>
      <c r="P45" s="5162"/>
      <c r="Q45" s="5163"/>
      <c r="R45" s="5161" t="s">
        <v>359</v>
      </c>
      <c r="S45" s="5162"/>
      <c r="T45" s="5163"/>
      <c r="U45" s="5161" t="s">
        <v>360</v>
      </c>
      <c r="V45" s="5162"/>
      <c r="W45" s="5163"/>
      <c r="X45" s="5161" t="s">
        <v>359</v>
      </c>
      <c r="Y45" s="5162"/>
      <c r="Z45" s="5163"/>
      <c r="AA45" s="5161" t="s">
        <v>360</v>
      </c>
      <c r="AB45" s="5162"/>
      <c r="AC45" s="5163"/>
      <c r="AD45" s="5161" t="s">
        <v>359</v>
      </c>
      <c r="AE45" s="5162"/>
      <c r="AF45" s="5163"/>
      <c r="AH45" s="5161" t="s">
        <v>360</v>
      </c>
      <c r="AI45" s="5162"/>
      <c r="AJ45" s="5163"/>
      <c r="AK45" s="5161" t="s">
        <v>359</v>
      </c>
      <c r="AL45" s="5162"/>
      <c r="AM45" s="5163"/>
      <c r="AN45" s="5161" t="s">
        <v>360</v>
      </c>
      <c r="AO45" s="5162"/>
      <c r="AP45" s="5163"/>
      <c r="AQ45" s="5161" t="s">
        <v>359</v>
      </c>
      <c r="AR45" s="5162"/>
      <c r="AS45" s="5163"/>
      <c r="AT45" s="5161" t="s">
        <v>360</v>
      </c>
      <c r="AU45" s="5162"/>
      <c r="AV45" s="5163"/>
      <c r="AW45" s="5161" t="s">
        <v>359</v>
      </c>
      <c r="AX45" s="5162"/>
      <c r="AY45" s="5163"/>
      <c r="AZ45" s="5161" t="s">
        <v>360</v>
      </c>
      <c r="BA45" s="5162"/>
      <c r="BB45" s="5163"/>
      <c r="BC45" s="5161" t="s">
        <v>359</v>
      </c>
      <c r="BD45" s="5162"/>
      <c r="BE45" s="5163"/>
      <c r="BF45" s="5161" t="s">
        <v>360</v>
      </c>
      <c r="BG45" s="5162"/>
      <c r="BH45" s="5163"/>
      <c r="BI45" s="5161" t="s">
        <v>359</v>
      </c>
      <c r="BJ45" s="5162"/>
      <c r="BK45" s="5163"/>
      <c r="BM45" s="5161" t="s">
        <v>360</v>
      </c>
      <c r="BN45" s="5162"/>
      <c r="BO45" s="5163"/>
      <c r="BP45" s="5161" t="s">
        <v>359</v>
      </c>
      <c r="BQ45" s="5162"/>
      <c r="BR45" s="5163"/>
      <c r="BS45" s="5161" t="s">
        <v>360</v>
      </c>
      <c r="BT45" s="5162"/>
      <c r="BU45" s="5163"/>
      <c r="BV45" s="5161" t="s">
        <v>359</v>
      </c>
      <c r="BW45" s="5162"/>
      <c r="BX45" s="5163"/>
      <c r="BY45" s="5161" t="s">
        <v>360</v>
      </c>
      <c r="BZ45" s="5162"/>
      <c r="CA45" s="5163"/>
      <c r="CB45" s="5161" t="s">
        <v>359</v>
      </c>
      <c r="CC45" s="5162"/>
      <c r="CD45" s="5163"/>
      <c r="CE45" s="5161" t="s">
        <v>360</v>
      </c>
      <c r="CF45" s="5162"/>
      <c r="CG45" s="5163"/>
      <c r="CH45" s="5161" t="s">
        <v>359</v>
      </c>
      <c r="CI45" s="5162"/>
      <c r="CJ45" s="5163"/>
      <c r="CK45" s="5161" t="s">
        <v>360</v>
      </c>
      <c r="CL45" s="5162"/>
      <c r="CM45" s="5163"/>
      <c r="CN45" s="5161" t="s">
        <v>359</v>
      </c>
      <c r="CO45" s="5162"/>
      <c r="CP45" s="5163"/>
      <c r="CR45" s="5161" t="s">
        <v>360</v>
      </c>
      <c r="CS45" s="5162"/>
      <c r="CT45" s="5163"/>
      <c r="CU45" s="5161" t="s">
        <v>359</v>
      </c>
      <c r="CV45" s="5162"/>
      <c r="CW45" s="5163"/>
      <c r="CX45" s="5161" t="s">
        <v>360</v>
      </c>
      <c r="CY45" s="5162"/>
      <c r="CZ45" s="5163"/>
      <c r="DA45" s="5161" t="s">
        <v>359</v>
      </c>
      <c r="DB45" s="5162"/>
      <c r="DC45" s="5163"/>
      <c r="DD45" s="5161" t="s">
        <v>360</v>
      </c>
      <c r="DE45" s="5162"/>
      <c r="DF45" s="5163"/>
      <c r="DG45" s="5161" t="s">
        <v>359</v>
      </c>
      <c r="DH45" s="5162"/>
      <c r="DI45" s="5163"/>
      <c r="DJ45" s="5161" t="s">
        <v>360</v>
      </c>
      <c r="DK45" s="5162"/>
      <c r="DL45" s="5163"/>
      <c r="DM45" s="5161" t="s">
        <v>359</v>
      </c>
      <c r="DN45" s="5162"/>
      <c r="DO45" s="5163"/>
      <c r="DP45" s="5161" t="s">
        <v>360</v>
      </c>
      <c r="DQ45" s="5162"/>
      <c r="DR45" s="5163"/>
      <c r="DS45" s="5161" t="s">
        <v>359</v>
      </c>
      <c r="DT45" s="5162"/>
      <c r="DU45" s="5163"/>
      <c r="DW45" s="5161" t="s">
        <v>360</v>
      </c>
      <c r="DX45" s="5162"/>
      <c r="DY45" s="5163"/>
      <c r="DZ45" s="5161" t="s">
        <v>359</v>
      </c>
      <c r="EA45" s="5162"/>
      <c r="EB45" s="5163"/>
      <c r="EC45" s="5161" t="s">
        <v>360</v>
      </c>
      <c r="ED45" s="5162"/>
      <c r="EE45" s="5163"/>
      <c r="EF45" s="5161" t="s">
        <v>359</v>
      </c>
      <c r="EG45" s="5162"/>
      <c r="EH45" s="5163"/>
      <c r="EI45" s="5161" t="s">
        <v>360</v>
      </c>
      <c r="EJ45" s="5162"/>
      <c r="EK45" s="5163"/>
      <c r="EL45" s="5161" t="s">
        <v>359</v>
      </c>
      <c r="EM45" s="5162"/>
      <c r="EN45" s="5163"/>
      <c r="EO45" s="5161" t="s">
        <v>360</v>
      </c>
      <c r="EP45" s="5162"/>
      <c r="EQ45" s="5163"/>
      <c r="ER45" s="5161" t="s">
        <v>359</v>
      </c>
      <c r="ES45" s="5162"/>
      <c r="ET45" s="5163"/>
      <c r="EU45" s="5161" t="s">
        <v>360</v>
      </c>
      <c r="EV45" s="5162"/>
      <c r="EW45" s="5163"/>
      <c r="EX45" s="5161" t="s">
        <v>359</v>
      </c>
      <c r="EY45" s="5162"/>
      <c r="EZ45" s="5163"/>
      <c r="FB45" s="5161" t="s">
        <v>360</v>
      </c>
      <c r="FC45" s="5162"/>
      <c r="FD45" s="5163"/>
      <c r="FE45" s="5161" t="s">
        <v>359</v>
      </c>
      <c r="FF45" s="5162"/>
      <c r="FG45" s="5163"/>
      <c r="FH45" s="5161" t="s">
        <v>360</v>
      </c>
      <c r="FI45" s="5162"/>
      <c r="FJ45" s="5163"/>
      <c r="FK45" s="5161" t="s">
        <v>359</v>
      </c>
      <c r="FL45" s="5162"/>
      <c r="FM45" s="5163"/>
      <c r="FN45" s="5161" t="s">
        <v>360</v>
      </c>
      <c r="FO45" s="5162"/>
      <c r="FP45" s="5163"/>
      <c r="FQ45" s="5161" t="s">
        <v>359</v>
      </c>
      <c r="FR45" s="5162"/>
      <c r="FS45" s="5163"/>
      <c r="FT45" s="5161" t="s">
        <v>360</v>
      </c>
      <c r="FU45" s="5162"/>
      <c r="FV45" s="5163"/>
      <c r="FW45" s="5161" t="s">
        <v>359</v>
      </c>
      <c r="FX45" s="5162"/>
      <c r="FY45" s="5163"/>
      <c r="FZ45" s="5161" t="s">
        <v>360</v>
      </c>
      <c r="GA45" s="5162"/>
      <c r="GB45" s="5163"/>
      <c r="GC45" s="5161" t="s">
        <v>359</v>
      </c>
      <c r="GD45" s="5162"/>
      <c r="GE45" s="5163"/>
      <c r="GG45" s="5161" t="s">
        <v>360</v>
      </c>
      <c r="GH45" s="5162"/>
      <c r="GI45" s="5163"/>
      <c r="GJ45" s="5161" t="s">
        <v>359</v>
      </c>
      <c r="GK45" s="5162"/>
      <c r="GL45" s="5163"/>
      <c r="GM45" s="5161" t="s">
        <v>360</v>
      </c>
      <c r="GN45" s="5162"/>
      <c r="GO45" s="5163"/>
      <c r="GP45" s="5161" t="s">
        <v>359</v>
      </c>
      <c r="GQ45" s="5162"/>
      <c r="GR45" s="5163"/>
      <c r="GS45" s="5161" t="s">
        <v>360</v>
      </c>
      <c r="GT45" s="5162"/>
      <c r="GU45" s="5163"/>
      <c r="GV45" s="5161" t="s">
        <v>359</v>
      </c>
      <c r="GW45" s="5162"/>
      <c r="GX45" s="5163"/>
      <c r="GY45" s="5161" t="s">
        <v>360</v>
      </c>
      <c r="GZ45" s="5162"/>
      <c r="HA45" s="5163"/>
      <c r="HB45" s="5161" t="s">
        <v>359</v>
      </c>
      <c r="HC45" s="5162"/>
      <c r="HD45" s="5163"/>
      <c r="HE45" s="5161" t="s">
        <v>360</v>
      </c>
      <c r="HF45" s="5162"/>
      <c r="HG45" s="5163"/>
      <c r="HH45" s="5161" t="s">
        <v>359</v>
      </c>
      <c r="HI45" s="5162"/>
      <c r="HJ45" s="5163"/>
      <c r="HL45" s="5161" t="s">
        <v>360</v>
      </c>
      <c r="HM45" s="5162"/>
      <c r="HN45" s="5163"/>
      <c r="HO45" s="5161" t="s">
        <v>359</v>
      </c>
      <c r="HP45" s="5162"/>
      <c r="HQ45" s="5163"/>
      <c r="HR45" s="5161" t="s">
        <v>360</v>
      </c>
      <c r="HS45" s="5162"/>
      <c r="HT45" s="5163"/>
      <c r="HU45" s="5161" t="s">
        <v>359</v>
      </c>
      <c r="HV45" s="5162"/>
      <c r="HW45" s="5163"/>
      <c r="HX45" s="5161" t="s">
        <v>360</v>
      </c>
      <c r="HY45" s="5162"/>
      <c r="HZ45" s="5163"/>
      <c r="IA45" s="5161" t="s">
        <v>359</v>
      </c>
      <c r="IB45" s="5162"/>
      <c r="IC45" s="5163"/>
      <c r="ID45" s="5161" t="s">
        <v>360</v>
      </c>
      <c r="IE45" s="5162"/>
      <c r="IF45" s="5163"/>
      <c r="IG45" s="5161" t="s">
        <v>359</v>
      </c>
      <c r="IH45" s="5162"/>
      <c r="II45" s="5163"/>
      <c r="IJ45" s="5161" t="s">
        <v>360</v>
      </c>
      <c r="IK45" s="5162"/>
      <c r="IL45" s="5163"/>
      <c r="IM45" s="5161" t="s">
        <v>359</v>
      </c>
      <c r="IN45" s="5162"/>
      <c r="IO45" s="5163"/>
      <c r="IQ45" s="27"/>
      <c r="IR45" s="27"/>
      <c r="IS45" s="27"/>
      <c r="IT45" s="27"/>
      <c r="IV45" s="41"/>
    </row>
    <row r="46" spans="1:256" s="25" customFormat="1" ht="20.399999999999999">
      <c r="A46" s="5686"/>
      <c r="C46" s="325" t="s">
        <v>20</v>
      </c>
      <c r="D46" s="324" t="s">
        <v>356</v>
      </c>
      <c r="E46" s="323" t="s">
        <v>355</v>
      </c>
      <c r="F46" s="325" t="s">
        <v>20</v>
      </c>
      <c r="G46" s="324" t="s">
        <v>356</v>
      </c>
      <c r="H46" s="323" t="s">
        <v>355</v>
      </c>
      <c r="I46" s="325" t="s">
        <v>20</v>
      </c>
      <c r="J46" s="324" t="s">
        <v>356</v>
      </c>
      <c r="K46" s="323" t="s">
        <v>355</v>
      </c>
      <c r="L46" s="325" t="s">
        <v>20</v>
      </c>
      <c r="M46" s="324" t="s">
        <v>356</v>
      </c>
      <c r="N46" s="323" t="s">
        <v>355</v>
      </c>
      <c r="O46" s="325" t="s">
        <v>20</v>
      </c>
      <c r="P46" s="324" t="s">
        <v>356</v>
      </c>
      <c r="Q46" s="323" t="s">
        <v>355</v>
      </c>
      <c r="R46" s="325" t="s">
        <v>20</v>
      </c>
      <c r="S46" s="324" t="s">
        <v>356</v>
      </c>
      <c r="T46" s="323" t="s">
        <v>355</v>
      </c>
      <c r="U46" s="325" t="s">
        <v>20</v>
      </c>
      <c r="V46" s="324" t="s">
        <v>356</v>
      </c>
      <c r="W46" s="323" t="s">
        <v>355</v>
      </c>
      <c r="X46" s="325" t="s">
        <v>20</v>
      </c>
      <c r="Y46" s="324" t="s">
        <v>356</v>
      </c>
      <c r="Z46" s="323" t="s">
        <v>355</v>
      </c>
      <c r="AA46" s="325" t="s">
        <v>20</v>
      </c>
      <c r="AB46" s="324" t="s">
        <v>356</v>
      </c>
      <c r="AC46" s="323" t="s">
        <v>355</v>
      </c>
      <c r="AD46" s="325" t="s">
        <v>20</v>
      </c>
      <c r="AE46" s="324" t="s">
        <v>356</v>
      </c>
      <c r="AF46" s="323" t="s">
        <v>355</v>
      </c>
      <c r="AH46" s="325" t="s">
        <v>20</v>
      </c>
      <c r="AI46" s="324" t="s">
        <v>356</v>
      </c>
      <c r="AJ46" s="323" t="s">
        <v>355</v>
      </c>
      <c r="AK46" s="325" t="s">
        <v>20</v>
      </c>
      <c r="AL46" s="324" t="s">
        <v>356</v>
      </c>
      <c r="AM46" s="323" t="s">
        <v>355</v>
      </c>
      <c r="AN46" s="325" t="s">
        <v>20</v>
      </c>
      <c r="AO46" s="324" t="s">
        <v>356</v>
      </c>
      <c r="AP46" s="323" t="s">
        <v>355</v>
      </c>
      <c r="AQ46" s="325" t="s">
        <v>20</v>
      </c>
      <c r="AR46" s="324" t="s">
        <v>356</v>
      </c>
      <c r="AS46" s="323" t="s">
        <v>355</v>
      </c>
      <c r="AT46" s="325" t="s">
        <v>20</v>
      </c>
      <c r="AU46" s="324" t="s">
        <v>356</v>
      </c>
      <c r="AV46" s="323" t="s">
        <v>355</v>
      </c>
      <c r="AW46" s="325" t="s">
        <v>20</v>
      </c>
      <c r="AX46" s="324" t="s">
        <v>356</v>
      </c>
      <c r="AY46" s="323" t="s">
        <v>355</v>
      </c>
      <c r="AZ46" s="325" t="s">
        <v>20</v>
      </c>
      <c r="BA46" s="324" t="s">
        <v>356</v>
      </c>
      <c r="BB46" s="323" t="s">
        <v>355</v>
      </c>
      <c r="BC46" s="325" t="s">
        <v>20</v>
      </c>
      <c r="BD46" s="324" t="s">
        <v>356</v>
      </c>
      <c r="BE46" s="323" t="s">
        <v>355</v>
      </c>
      <c r="BF46" s="325" t="s">
        <v>20</v>
      </c>
      <c r="BG46" s="324" t="s">
        <v>356</v>
      </c>
      <c r="BH46" s="323" t="s">
        <v>355</v>
      </c>
      <c r="BI46" s="325" t="s">
        <v>20</v>
      </c>
      <c r="BJ46" s="324" t="s">
        <v>356</v>
      </c>
      <c r="BK46" s="323" t="s">
        <v>355</v>
      </c>
      <c r="BM46" s="325" t="s">
        <v>20</v>
      </c>
      <c r="BN46" s="324" t="s">
        <v>356</v>
      </c>
      <c r="BO46" s="323" t="s">
        <v>355</v>
      </c>
      <c r="BP46" s="325" t="s">
        <v>20</v>
      </c>
      <c r="BQ46" s="324" t="s">
        <v>356</v>
      </c>
      <c r="BR46" s="323" t="s">
        <v>355</v>
      </c>
      <c r="BS46" s="325" t="s">
        <v>20</v>
      </c>
      <c r="BT46" s="324" t="s">
        <v>356</v>
      </c>
      <c r="BU46" s="323" t="s">
        <v>355</v>
      </c>
      <c r="BV46" s="325" t="s">
        <v>20</v>
      </c>
      <c r="BW46" s="324" t="s">
        <v>356</v>
      </c>
      <c r="BX46" s="323" t="s">
        <v>355</v>
      </c>
      <c r="BY46" s="325" t="s">
        <v>20</v>
      </c>
      <c r="BZ46" s="324" t="s">
        <v>356</v>
      </c>
      <c r="CA46" s="323" t="s">
        <v>355</v>
      </c>
      <c r="CB46" s="325" t="s">
        <v>20</v>
      </c>
      <c r="CC46" s="324" t="s">
        <v>356</v>
      </c>
      <c r="CD46" s="323" t="s">
        <v>355</v>
      </c>
      <c r="CE46" s="325" t="s">
        <v>20</v>
      </c>
      <c r="CF46" s="324" t="s">
        <v>356</v>
      </c>
      <c r="CG46" s="323" t="s">
        <v>355</v>
      </c>
      <c r="CH46" s="325" t="s">
        <v>20</v>
      </c>
      <c r="CI46" s="324" t="s">
        <v>356</v>
      </c>
      <c r="CJ46" s="323" t="s">
        <v>355</v>
      </c>
      <c r="CK46" s="325" t="s">
        <v>20</v>
      </c>
      <c r="CL46" s="324" t="s">
        <v>356</v>
      </c>
      <c r="CM46" s="323" t="s">
        <v>355</v>
      </c>
      <c r="CN46" s="325" t="s">
        <v>20</v>
      </c>
      <c r="CO46" s="324" t="s">
        <v>356</v>
      </c>
      <c r="CP46" s="323" t="s">
        <v>355</v>
      </c>
      <c r="CR46" s="325" t="s">
        <v>20</v>
      </c>
      <c r="CS46" s="324" t="s">
        <v>356</v>
      </c>
      <c r="CT46" s="323" t="s">
        <v>355</v>
      </c>
      <c r="CU46" s="325" t="s">
        <v>20</v>
      </c>
      <c r="CV46" s="324" t="s">
        <v>356</v>
      </c>
      <c r="CW46" s="323" t="s">
        <v>355</v>
      </c>
      <c r="CX46" s="325" t="s">
        <v>20</v>
      </c>
      <c r="CY46" s="324" t="s">
        <v>356</v>
      </c>
      <c r="CZ46" s="323" t="s">
        <v>355</v>
      </c>
      <c r="DA46" s="325" t="s">
        <v>20</v>
      </c>
      <c r="DB46" s="324" t="s">
        <v>356</v>
      </c>
      <c r="DC46" s="323" t="s">
        <v>355</v>
      </c>
      <c r="DD46" s="325" t="s">
        <v>20</v>
      </c>
      <c r="DE46" s="324" t="s">
        <v>356</v>
      </c>
      <c r="DF46" s="323" t="s">
        <v>355</v>
      </c>
      <c r="DG46" s="325" t="s">
        <v>20</v>
      </c>
      <c r="DH46" s="324" t="s">
        <v>356</v>
      </c>
      <c r="DI46" s="323" t="s">
        <v>355</v>
      </c>
      <c r="DJ46" s="325" t="s">
        <v>20</v>
      </c>
      <c r="DK46" s="324" t="s">
        <v>356</v>
      </c>
      <c r="DL46" s="323" t="s">
        <v>355</v>
      </c>
      <c r="DM46" s="325" t="s">
        <v>20</v>
      </c>
      <c r="DN46" s="324" t="s">
        <v>356</v>
      </c>
      <c r="DO46" s="323" t="s">
        <v>355</v>
      </c>
      <c r="DP46" s="325" t="s">
        <v>20</v>
      </c>
      <c r="DQ46" s="324" t="s">
        <v>356</v>
      </c>
      <c r="DR46" s="323" t="s">
        <v>355</v>
      </c>
      <c r="DS46" s="325" t="s">
        <v>20</v>
      </c>
      <c r="DT46" s="324" t="s">
        <v>356</v>
      </c>
      <c r="DU46" s="323" t="s">
        <v>355</v>
      </c>
      <c r="DW46" s="325" t="s">
        <v>20</v>
      </c>
      <c r="DX46" s="324" t="s">
        <v>356</v>
      </c>
      <c r="DY46" s="323" t="s">
        <v>355</v>
      </c>
      <c r="DZ46" s="325" t="s">
        <v>20</v>
      </c>
      <c r="EA46" s="324" t="s">
        <v>356</v>
      </c>
      <c r="EB46" s="323" t="s">
        <v>355</v>
      </c>
      <c r="EC46" s="325" t="s">
        <v>20</v>
      </c>
      <c r="ED46" s="324" t="s">
        <v>356</v>
      </c>
      <c r="EE46" s="323" t="s">
        <v>355</v>
      </c>
      <c r="EF46" s="325" t="s">
        <v>20</v>
      </c>
      <c r="EG46" s="324" t="s">
        <v>356</v>
      </c>
      <c r="EH46" s="323" t="s">
        <v>355</v>
      </c>
      <c r="EI46" s="325" t="s">
        <v>20</v>
      </c>
      <c r="EJ46" s="324" t="s">
        <v>356</v>
      </c>
      <c r="EK46" s="323" t="s">
        <v>355</v>
      </c>
      <c r="EL46" s="325" t="s">
        <v>20</v>
      </c>
      <c r="EM46" s="324" t="s">
        <v>356</v>
      </c>
      <c r="EN46" s="323" t="s">
        <v>355</v>
      </c>
      <c r="EO46" s="325" t="s">
        <v>20</v>
      </c>
      <c r="EP46" s="324" t="s">
        <v>356</v>
      </c>
      <c r="EQ46" s="323" t="s">
        <v>355</v>
      </c>
      <c r="ER46" s="325" t="s">
        <v>20</v>
      </c>
      <c r="ES46" s="324" t="s">
        <v>356</v>
      </c>
      <c r="ET46" s="323" t="s">
        <v>355</v>
      </c>
      <c r="EU46" s="325" t="s">
        <v>20</v>
      </c>
      <c r="EV46" s="324" t="s">
        <v>356</v>
      </c>
      <c r="EW46" s="323" t="s">
        <v>355</v>
      </c>
      <c r="EX46" s="325" t="s">
        <v>20</v>
      </c>
      <c r="EY46" s="324" t="s">
        <v>356</v>
      </c>
      <c r="EZ46" s="323" t="s">
        <v>355</v>
      </c>
      <c r="FB46" s="325" t="s">
        <v>20</v>
      </c>
      <c r="FC46" s="324" t="s">
        <v>356</v>
      </c>
      <c r="FD46" s="323" t="s">
        <v>355</v>
      </c>
      <c r="FE46" s="325" t="s">
        <v>20</v>
      </c>
      <c r="FF46" s="324" t="s">
        <v>356</v>
      </c>
      <c r="FG46" s="323" t="s">
        <v>355</v>
      </c>
      <c r="FH46" s="325" t="s">
        <v>20</v>
      </c>
      <c r="FI46" s="324" t="s">
        <v>356</v>
      </c>
      <c r="FJ46" s="323" t="s">
        <v>355</v>
      </c>
      <c r="FK46" s="325" t="s">
        <v>20</v>
      </c>
      <c r="FL46" s="324" t="s">
        <v>356</v>
      </c>
      <c r="FM46" s="323" t="s">
        <v>355</v>
      </c>
      <c r="FN46" s="325" t="s">
        <v>20</v>
      </c>
      <c r="FO46" s="324" t="s">
        <v>356</v>
      </c>
      <c r="FP46" s="323" t="s">
        <v>355</v>
      </c>
      <c r="FQ46" s="325" t="s">
        <v>20</v>
      </c>
      <c r="FR46" s="324" t="s">
        <v>356</v>
      </c>
      <c r="FS46" s="323" t="s">
        <v>355</v>
      </c>
      <c r="FT46" s="325" t="s">
        <v>20</v>
      </c>
      <c r="FU46" s="324" t="s">
        <v>356</v>
      </c>
      <c r="FV46" s="323" t="s">
        <v>355</v>
      </c>
      <c r="FW46" s="325" t="s">
        <v>20</v>
      </c>
      <c r="FX46" s="324" t="s">
        <v>356</v>
      </c>
      <c r="FY46" s="323" t="s">
        <v>355</v>
      </c>
      <c r="FZ46" s="325" t="s">
        <v>20</v>
      </c>
      <c r="GA46" s="324" t="s">
        <v>356</v>
      </c>
      <c r="GB46" s="323" t="s">
        <v>355</v>
      </c>
      <c r="GC46" s="325" t="s">
        <v>20</v>
      </c>
      <c r="GD46" s="324" t="s">
        <v>356</v>
      </c>
      <c r="GE46" s="323" t="s">
        <v>355</v>
      </c>
      <c r="GG46" s="325" t="s">
        <v>20</v>
      </c>
      <c r="GH46" s="324" t="s">
        <v>356</v>
      </c>
      <c r="GI46" s="323" t="s">
        <v>355</v>
      </c>
      <c r="GJ46" s="325" t="s">
        <v>20</v>
      </c>
      <c r="GK46" s="324" t="s">
        <v>356</v>
      </c>
      <c r="GL46" s="323" t="s">
        <v>355</v>
      </c>
      <c r="GM46" s="325" t="s">
        <v>20</v>
      </c>
      <c r="GN46" s="324" t="s">
        <v>356</v>
      </c>
      <c r="GO46" s="323" t="s">
        <v>355</v>
      </c>
      <c r="GP46" s="325" t="s">
        <v>20</v>
      </c>
      <c r="GQ46" s="324" t="s">
        <v>356</v>
      </c>
      <c r="GR46" s="323" t="s">
        <v>355</v>
      </c>
      <c r="GS46" s="325" t="s">
        <v>20</v>
      </c>
      <c r="GT46" s="324" t="s">
        <v>356</v>
      </c>
      <c r="GU46" s="323" t="s">
        <v>355</v>
      </c>
      <c r="GV46" s="325" t="s">
        <v>20</v>
      </c>
      <c r="GW46" s="324" t="s">
        <v>356</v>
      </c>
      <c r="GX46" s="323" t="s">
        <v>355</v>
      </c>
      <c r="GY46" s="325" t="s">
        <v>20</v>
      </c>
      <c r="GZ46" s="324" t="s">
        <v>356</v>
      </c>
      <c r="HA46" s="323" t="s">
        <v>355</v>
      </c>
      <c r="HB46" s="325" t="s">
        <v>20</v>
      </c>
      <c r="HC46" s="324" t="s">
        <v>356</v>
      </c>
      <c r="HD46" s="323" t="s">
        <v>355</v>
      </c>
      <c r="HE46" s="325" t="s">
        <v>20</v>
      </c>
      <c r="HF46" s="324" t="s">
        <v>356</v>
      </c>
      <c r="HG46" s="323" t="s">
        <v>355</v>
      </c>
      <c r="HH46" s="325" t="s">
        <v>20</v>
      </c>
      <c r="HI46" s="324" t="s">
        <v>356</v>
      </c>
      <c r="HJ46" s="323" t="s">
        <v>355</v>
      </c>
      <c r="HL46" s="325" t="s">
        <v>20</v>
      </c>
      <c r="HM46" s="324" t="s">
        <v>356</v>
      </c>
      <c r="HN46" s="323" t="s">
        <v>355</v>
      </c>
      <c r="HO46" s="325" t="s">
        <v>20</v>
      </c>
      <c r="HP46" s="324" t="s">
        <v>356</v>
      </c>
      <c r="HQ46" s="323" t="s">
        <v>355</v>
      </c>
      <c r="HR46" s="325" t="s">
        <v>20</v>
      </c>
      <c r="HS46" s="324" t="s">
        <v>356</v>
      </c>
      <c r="HT46" s="323" t="s">
        <v>355</v>
      </c>
      <c r="HU46" s="325" t="s">
        <v>20</v>
      </c>
      <c r="HV46" s="324" t="s">
        <v>356</v>
      </c>
      <c r="HW46" s="323" t="s">
        <v>355</v>
      </c>
      <c r="HX46" s="325" t="s">
        <v>20</v>
      </c>
      <c r="HY46" s="324" t="s">
        <v>356</v>
      </c>
      <c r="HZ46" s="323" t="s">
        <v>355</v>
      </c>
      <c r="IA46" s="325" t="s">
        <v>20</v>
      </c>
      <c r="IB46" s="324" t="s">
        <v>356</v>
      </c>
      <c r="IC46" s="323" t="s">
        <v>355</v>
      </c>
      <c r="ID46" s="325" t="s">
        <v>20</v>
      </c>
      <c r="IE46" s="324" t="s">
        <v>356</v>
      </c>
      <c r="IF46" s="323" t="s">
        <v>355</v>
      </c>
      <c r="IG46" s="325" t="s">
        <v>20</v>
      </c>
      <c r="IH46" s="324" t="s">
        <v>356</v>
      </c>
      <c r="II46" s="323" t="s">
        <v>355</v>
      </c>
      <c r="IJ46" s="325" t="s">
        <v>20</v>
      </c>
      <c r="IK46" s="324" t="s">
        <v>356</v>
      </c>
      <c r="IL46" s="323" t="s">
        <v>355</v>
      </c>
      <c r="IM46" s="325" t="s">
        <v>20</v>
      </c>
      <c r="IN46" s="324" t="s">
        <v>356</v>
      </c>
      <c r="IO46" s="323" t="s">
        <v>355</v>
      </c>
      <c r="IV46" s="41"/>
    </row>
    <row r="47" spans="1:256" s="25" customFormat="1" ht="13.5" customHeight="1" thickBot="1">
      <c r="A47" s="5686"/>
      <c r="C47" s="259">
        <f>I47+O47+U47+AA47</f>
        <v>0</v>
      </c>
      <c r="D47" s="251">
        <f>J47+P47+V47+AB47</f>
        <v>0</v>
      </c>
      <c r="E47" s="254">
        <f>(C47-D47)</f>
        <v>0</v>
      </c>
      <c r="F47" s="322">
        <f>((C47)/($AY$7+0.00001))*100</f>
        <v>0</v>
      </c>
      <c r="G47" s="257">
        <f>((D47)/($AX$7+0.00001))*100</f>
        <v>0</v>
      </c>
      <c r="H47" s="321">
        <f>((E47)/($AI$7+0.00001))*100</f>
        <v>0</v>
      </c>
      <c r="I47" s="259">
        <f>'الصفحة 10'!$F$69</f>
        <v>0</v>
      </c>
      <c r="J47" s="251">
        <f>'الصفحة 10'!$G$69</f>
        <v>0</v>
      </c>
      <c r="K47" s="254">
        <f>(I47-J47)</f>
        <v>0</v>
      </c>
      <c r="L47" s="322">
        <f>((I47)/($AM$7+0.00001))*100</f>
        <v>0</v>
      </c>
      <c r="M47" s="257">
        <f>((J47)/($AL$7+0.00001))*100</f>
        <v>0</v>
      </c>
      <c r="N47" s="321">
        <f>((K47)/($W$7+0.00001))*100</f>
        <v>0</v>
      </c>
      <c r="O47" s="259">
        <f>'الصفحة 10'!$H$69</f>
        <v>0</v>
      </c>
      <c r="P47" s="251">
        <f>'الصفحة 10'!$I$69</f>
        <v>0</v>
      </c>
      <c r="Q47" s="254">
        <f>(O47-P47)</f>
        <v>0</v>
      </c>
      <c r="R47" s="322">
        <f>((O47)/($AP$7+0.00001))*100</f>
        <v>0</v>
      </c>
      <c r="S47" s="257">
        <f>((P47)/($AO$7+0.00001))*100</f>
        <v>0</v>
      </c>
      <c r="T47" s="321">
        <f>((Q47)/($Z$7+0.00001))*100</f>
        <v>0</v>
      </c>
      <c r="U47" s="259">
        <f>'الصفحة 10'!$J$69</f>
        <v>0</v>
      </c>
      <c r="V47" s="251">
        <f>'الصفحة 10'!$K$69</f>
        <v>0</v>
      </c>
      <c r="W47" s="254">
        <f>(U47-V47)</f>
        <v>0</v>
      </c>
      <c r="X47" s="322">
        <f>((U47)/($AS$7+0.00001))*100</f>
        <v>0</v>
      </c>
      <c r="Y47" s="257">
        <f>((V47)/($AR$7+0.00001))*100</f>
        <v>0</v>
      </c>
      <c r="Z47" s="321">
        <f>((W47)/($AC$7+0.00001))*100</f>
        <v>0</v>
      </c>
      <c r="AA47" s="259">
        <f>'الصفحة 10'!$L$69</f>
        <v>0</v>
      </c>
      <c r="AB47" s="251">
        <f>'الصفحة 10'!$M$69</f>
        <v>0</v>
      </c>
      <c r="AC47" s="254">
        <f>(AA47-AB47)</f>
        <v>0</v>
      </c>
      <c r="AD47" s="322">
        <f>((AA47)/($AV$7+0.00001))*100</f>
        <v>0</v>
      </c>
      <c r="AE47" s="257">
        <f>((AB47)/($AU$7+0.00001))*100</f>
        <v>0</v>
      </c>
      <c r="AF47" s="321">
        <f>((AC47)/($AF$7+0.00001))*100</f>
        <v>0</v>
      </c>
      <c r="AH47" s="259">
        <f>AN47+AT47+AZ47+BF47</f>
        <v>0</v>
      </c>
      <c r="AI47" s="251">
        <f>AO47+AU47+BA47+BG47</f>
        <v>0</v>
      </c>
      <c r="AJ47" s="254">
        <f>(AH47-AI47)</f>
        <v>0</v>
      </c>
      <c r="AK47" s="322">
        <f>((AH47)/($AY$7+0.00001))*100</f>
        <v>0</v>
      </c>
      <c r="AL47" s="257">
        <f>((AI47)/($AX$7+0.00001))*100</f>
        <v>0</v>
      </c>
      <c r="AM47" s="321">
        <f>((AJ47)/($AI$7+0.00001))*100</f>
        <v>0</v>
      </c>
      <c r="AN47" s="259">
        <f>'الصفحة 10'!$F$59</f>
        <v>0</v>
      </c>
      <c r="AO47" s="251">
        <f>'الصفحة 10'!$G$59</f>
        <v>0</v>
      </c>
      <c r="AP47" s="254">
        <f>(AN47-AO47)</f>
        <v>0</v>
      </c>
      <c r="AQ47" s="322">
        <f>((AN47)/($AM$7+0.00001))*100</f>
        <v>0</v>
      </c>
      <c r="AR47" s="257">
        <f>((AO47)/($AL$7+0.00001))*100</f>
        <v>0</v>
      </c>
      <c r="AS47" s="321">
        <f>((AP47)/($W$7+0.00001))*100</f>
        <v>0</v>
      </c>
      <c r="AT47" s="259">
        <f>'الصفحة 10'!$H$59</f>
        <v>0</v>
      </c>
      <c r="AU47" s="251">
        <f>'الصفحة 10'!$I$59</f>
        <v>0</v>
      </c>
      <c r="AV47" s="254">
        <f>(AT47-AU47)</f>
        <v>0</v>
      </c>
      <c r="AW47" s="322">
        <f>((AT47)/($AP$7+0.00001))*100</f>
        <v>0</v>
      </c>
      <c r="AX47" s="257">
        <f>((AU47)/($AO$7+0.00001))*100</f>
        <v>0</v>
      </c>
      <c r="AY47" s="321">
        <f>((AV47)/($Z$7+0.00001))*100</f>
        <v>0</v>
      </c>
      <c r="AZ47" s="259">
        <f>'الصفحة 10'!$J$59</f>
        <v>0</v>
      </c>
      <c r="BA47" s="251">
        <f>'الصفحة 10'!$K$59</f>
        <v>0</v>
      </c>
      <c r="BB47" s="254">
        <f>(AZ47-BA47)</f>
        <v>0</v>
      </c>
      <c r="BC47" s="322">
        <f>((AZ47)/($AS$7+0.00001))*100</f>
        <v>0</v>
      </c>
      <c r="BD47" s="257">
        <f>((BA47)/($AR$7+0.00001))*100</f>
        <v>0</v>
      </c>
      <c r="BE47" s="321">
        <f>((BB47)/($AC$7+0.00001))*100</f>
        <v>0</v>
      </c>
      <c r="BF47" s="259">
        <f>'الصفحة 10'!$L$59</f>
        <v>0</v>
      </c>
      <c r="BG47" s="251">
        <f>'الصفحة 10'!$M$59</f>
        <v>0</v>
      </c>
      <c r="BH47" s="254">
        <f>(BF47-BG47)</f>
        <v>0</v>
      </c>
      <c r="BI47" s="322">
        <f>((BF47)/($AV$7+0.00001))*100</f>
        <v>0</v>
      </c>
      <c r="BJ47" s="257">
        <f>((BG47)/($AU$7+0.00001))*100</f>
        <v>0</v>
      </c>
      <c r="BK47" s="321">
        <f>((BH47)/($AF$7+0.00001))*100</f>
        <v>0</v>
      </c>
      <c r="BM47" s="259">
        <f>BS47+BY47+CE47+CK47</f>
        <v>0</v>
      </c>
      <c r="BN47" s="251">
        <f>BT47+BZ47+CF47+CL47</f>
        <v>0</v>
      </c>
      <c r="BO47" s="254">
        <f>(BM47-BN47)</f>
        <v>0</v>
      </c>
      <c r="BP47" s="322">
        <f>((BM47)/($AY$7+0.00001))*100</f>
        <v>0</v>
      </c>
      <c r="BQ47" s="257">
        <f>((BN47)/($AX$7+0.00001))*100</f>
        <v>0</v>
      </c>
      <c r="BR47" s="321">
        <f>((BO47)/($AI$7+0.00001))*100</f>
        <v>0</v>
      </c>
      <c r="BS47" s="259">
        <f>'الصفحة 10'!$F$60</f>
        <v>0</v>
      </c>
      <c r="BT47" s="251">
        <f>'الصفحة 10'!$G$60</f>
        <v>0</v>
      </c>
      <c r="BU47" s="254">
        <f>(BS47-BT47)</f>
        <v>0</v>
      </c>
      <c r="BV47" s="322">
        <f>((BS47)/($AM$7+0.00001))*100</f>
        <v>0</v>
      </c>
      <c r="BW47" s="257">
        <f>((BT47)/($AL$7+0.00001))*100</f>
        <v>0</v>
      </c>
      <c r="BX47" s="321">
        <f>((BU47)/($W$7+0.00001))*100</f>
        <v>0</v>
      </c>
      <c r="BY47" s="259">
        <f>'الصفحة 10'!$H$60</f>
        <v>0</v>
      </c>
      <c r="BZ47" s="251">
        <f>'الصفحة 10'!$I$60</f>
        <v>0</v>
      </c>
      <c r="CA47" s="254">
        <f>(BY47-BZ47)</f>
        <v>0</v>
      </c>
      <c r="CB47" s="322">
        <f>((BY47)/($AP$7+0.00001))*100</f>
        <v>0</v>
      </c>
      <c r="CC47" s="257">
        <f>((BZ47)/($AO$7+0.00001))*100</f>
        <v>0</v>
      </c>
      <c r="CD47" s="321">
        <f>((CA47)/($Z$7+0.00001))*100</f>
        <v>0</v>
      </c>
      <c r="CE47" s="259">
        <f>'الصفحة 10'!$J$60</f>
        <v>0</v>
      </c>
      <c r="CF47" s="251">
        <f>'الصفحة 10'!$K$60</f>
        <v>0</v>
      </c>
      <c r="CG47" s="254">
        <f>(CE47-CF47)</f>
        <v>0</v>
      </c>
      <c r="CH47" s="322">
        <f>((CE47)/($AS$7+0.00001))*100</f>
        <v>0</v>
      </c>
      <c r="CI47" s="257">
        <f>((CF47)/($AR$7+0.00001))*100</f>
        <v>0</v>
      </c>
      <c r="CJ47" s="321">
        <f>((CG47)/($AC$7+0.00001))*100</f>
        <v>0</v>
      </c>
      <c r="CK47" s="259">
        <f>'الصفحة 10'!$L$60</f>
        <v>0</v>
      </c>
      <c r="CL47" s="251">
        <f>'الصفحة 10'!$M$60</f>
        <v>0</v>
      </c>
      <c r="CM47" s="254">
        <f>(CK47-CL47)</f>
        <v>0</v>
      </c>
      <c r="CN47" s="322">
        <f>((CK47)/($AV$7+0.00001))*100</f>
        <v>0</v>
      </c>
      <c r="CO47" s="257">
        <f>((CL47)/($AU$7+0.00001))*100</f>
        <v>0</v>
      </c>
      <c r="CP47" s="321">
        <f>((CM47)/($AF$7+0.00001))*100</f>
        <v>0</v>
      </c>
      <c r="CR47" s="259">
        <f>CX47+DD47+DJ47+DP47</f>
        <v>0</v>
      </c>
      <c r="CS47" s="251">
        <f>CY47+DE47+DK47+DQ47</f>
        <v>0</v>
      </c>
      <c r="CT47" s="254">
        <f>(CR47-CS47)</f>
        <v>0</v>
      </c>
      <c r="CU47" s="322">
        <f>((CR47)/($AY$7+0.00001))*100</f>
        <v>0</v>
      </c>
      <c r="CV47" s="257">
        <f>((CS47)/($AX$7+0.00001))*100</f>
        <v>0</v>
      </c>
      <c r="CW47" s="321">
        <f>((CT47)/($AI$7+0.00001))*100</f>
        <v>0</v>
      </c>
      <c r="CX47" s="259">
        <f>'الصفحة 10'!$F$61</f>
        <v>0</v>
      </c>
      <c r="CY47" s="251">
        <f>'الصفحة 10'!$G$61</f>
        <v>0</v>
      </c>
      <c r="CZ47" s="254">
        <f>(CX47-CY47)</f>
        <v>0</v>
      </c>
      <c r="DA47" s="322">
        <f>((CX47)/($AM$7+0.00001))*100</f>
        <v>0</v>
      </c>
      <c r="DB47" s="257">
        <f>((CY47)/($AL$7+0.00001))*100</f>
        <v>0</v>
      </c>
      <c r="DC47" s="321">
        <f>((CZ47)/($W$7+0.00001))*100</f>
        <v>0</v>
      </c>
      <c r="DD47" s="259">
        <f>'الصفحة 10'!$H$61</f>
        <v>0</v>
      </c>
      <c r="DE47" s="251">
        <f>'الصفحة 10'!$I$61</f>
        <v>0</v>
      </c>
      <c r="DF47" s="254">
        <f>(DD47-DE47)</f>
        <v>0</v>
      </c>
      <c r="DG47" s="322">
        <f>((DD47)/($AP$7+0.00001))*100</f>
        <v>0</v>
      </c>
      <c r="DH47" s="257">
        <f>((DE47)/($AO$7+0.00001))*100</f>
        <v>0</v>
      </c>
      <c r="DI47" s="321">
        <f>((DF47)/($Z$7+0.00001))*100</f>
        <v>0</v>
      </c>
      <c r="DJ47" s="259">
        <f>'الصفحة 10'!$J$61</f>
        <v>0</v>
      </c>
      <c r="DK47" s="251">
        <f>'الصفحة 10'!$K$61</f>
        <v>0</v>
      </c>
      <c r="DL47" s="254">
        <f>(DJ47-DK47)</f>
        <v>0</v>
      </c>
      <c r="DM47" s="322">
        <f>((DJ47)/($AS$7+0.00001))*100</f>
        <v>0</v>
      </c>
      <c r="DN47" s="257">
        <f>((DK47)/($AR$7+0.00001))*100</f>
        <v>0</v>
      </c>
      <c r="DO47" s="321">
        <f>((DL47)/($AC$7+0.00001))*100</f>
        <v>0</v>
      </c>
      <c r="DP47" s="259">
        <f>'الصفحة 10'!$L$61</f>
        <v>0</v>
      </c>
      <c r="DQ47" s="251">
        <f>'الصفحة 10'!$M$61</f>
        <v>0</v>
      </c>
      <c r="DR47" s="254">
        <f>(DP47-DQ47)</f>
        <v>0</v>
      </c>
      <c r="DS47" s="322">
        <f>((DP47)/($AV$7+0.00001))*100</f>
        <v>0</v>
      </c>
      <c r="DT47" s="257">
        <f>((DQ47)/($AU$7+0.00001))*100</f>
        <v>0</v>
      </c>
      <c r="DU47" s="321">
        <f>((DR47)/($AF$7+0.00001))*100</f>
        <v>0</v>
      </c>
      <c r="DW47" s="259">
        <f>EC47+EI47+EO47+EU47</f>
        <v>0</v>
      </c>
      <c r="DX47" s="251">
        <f>ED47+EJ47+EP47+EV47</f>
        <v>0</v>
      </c>
      <c r="DY47" s="254">
        <f>(DW47-DX47)</f>
        <v>0</v>
      </c>
      <c r="DZ47" s="322">
        <f>((DW47)/($AY$7+0.00001))*100</f>
        <v>0</v>
      </c>
      <c r="EA47" s="257">
        <f>((DX47)/($AX$7+0.00001))*100</f>
        <v>0</v>
      </c>
      <c r="EB47" s="321">
        <f>((DY47)/($AI$7+0.00001))*100</f>
        <v>0</v>
      </c>
      <c r="EC47" s="259">
        <f>'الصفحة 10'!$F$62</f>
        <v>0</v>
      </c>
      <c r="ED47" s="251">
        <f>'الصفحة 10'!$G$62</f>
        <v>0</v>
      </c>
      <c r="EE47" s="254">
        <f>(EC47-ED47)</f>
        <v>0</v>
      </c>
      <c r="EF47" s="322">
        <f>((EC47)/($AM$7+0.00001))*100</f>
        <v>0</v>
      </c>
      <c r="EG47" s="257">
        <f>((ED47)/($AL$7+0.00001))*100</f>
        <v>0</v>
      </c>
      <c r="EH47" s="321">
        <f>((EE47)/($W$7+0.00001))*100</f>
        <v>0</v>
      </c>
      <c r="EI47" s="259">
        <f>'الصفحة 10'!$H$62</f>
        <v>0</v>
      </c>
      <c r="EJ47" s="251">
        <f>'الصفحة 10'!$I$62</f>
        <v>0</v>
      </c>
      <c r="EK47" s="254">
        <f>(EI47-EJ47)</f>
        <v>0</v>
      </c>
      <c r="EL47" s="322">
        <f>((EI47)/($AP$7+0.00001))*100</f>
        <v>0</v>
      </c>
      <c r="EM47" s="257">
        <f>((EJ47)/($AO$7+0.00001))*100</f>
        <v>0</v>
      </c>
      <c r="EN47" s="321">
        <f>((EK47)/($Z$7+0.00001))*100</f>
        <v>0</v>
      </c>
      <c r="EO47" s="259">
        <f>'الصفحة 10'!$J$62</f>
        <v>0</v>
      </c>
      <c r="EP47" s="251">
        <f>'الصفحة 10'!$K$62</f>
        <v>0</v>
      </c>
      <c r="EQ47" s="254">
        <f>(EO47-EP47)</f>
        <v>0</v>
      </c>
      <c r="ER47" s="322">
        <f>((EO47)/($AS$7+0.00001))*100</f>
        <v>0</v>
      </c>
      <c r="ES47" s="257">
        <f>((EP47)/($AR$7+0.00001))*100</f>
        <v>0</v>
      </c>
      <c r="ET47" s="321">
        <f>((EQ47)/($AC$7+0.00001))*100</f>
        <v>0</v>
      </c>
      <c r="EU47" s="259">
        <f>'الصفحة 10'!$L$62</f>
        <v>0</v>
      </c>
      <c r="EV47" s="251">
        <f>'الصفحة 10'!$M$62</f>
        <v>0</v>
      </c>
      <c r="EW47" s="254">
        <f>(EU47-EV47)</f>
        <v>0</v>
      </c>
      <c r="EX47" s="322">
        <f>((EU47)/($AV$7+0.00001))*100</f>
        <v>0</v>
      </c>
      <c r="EY47" s="257">
        <f>((EV47)/($AU$7+0.00001))*100</f>
        <v>0</v>
      </c>
      <c r="EZ47" s="321">
        <f>((EW47)/($AF$7+0.00001))*100</f>
        <v>0</v>
      </c>
      <c r="FB47" s="259">
        <f>FH47+FN47+FT47+FZ47</f>
        <v>0</v>
      </c>
      <c r="FC47" s="251">
        <f>FI47+FO47+FU47+GA47</f>
        <v>0</v>
      </c>
      <c r="FD47" s="254">
        <f>(FB47-FC47)</f>
        <v>0</v>
      </c>
      <c r="FE47" s="322">
        <f>((FB47)/($AY$7+0.00001))*100</f>
        <v>0</v>
      </c>
      <c r="FF47" s="257">
        <f>((FC47)/($AX$7+0.00001))*100</f>
        <v>0</v>
      </c>
      <c r="FG47" s="321">
        <f>((FD47)/($AI$7+0.00001))*100</f>
        <v>0</v>
      </c>
      <c r="FH47" s="259">
        <f>'الصفحة 10'!$F$63</f>
        <v>0</v>
      </c>
      <c r="FI47" s="251">
        <f>'الصفحة 10'!$G$63</f>
        <v>0</v>
      </c>
      <c r="FJ47" s="254">
        <f>(FH47-FI47)</f>
        <v>0</v>
      </c>
      <c r="FK47" s="322">
        <f>((FH47)/($AM$7+0.00001))*100</f>
        <v>0</v>
      </c>
      <c r="FL47" s="257">
        <f>((FI47)/($AL$7+0.00001))*100</f>
        <v>0</v>
      </c>
      <c r="FM47" s="321">
        <f>((FJ47)/($W$7+0.00001))*100</f>
        <v>0</v>
      </c>
      <c r="FN47" s="259">
        <f>'الصفحة 10'!$H$63</f>
        <v>0</v>
      </c>
      <c r="FO47" s="251">
        <f>'الصفحة 10'!$I$63</f>
        <v>0</v>
      </c>
      <c r="FP47" s="254">
        <f>(FN47-FO47)</f>
        <v>0</v>
      </c>
      <c r="FQ47" s="322">
        <f>((FN47)/($AP$7+0.00001))*100</f>
        <v>0</v>
      </c>
      <c r="FR47" s="257">
        <f>((FO47)/($AO$7+0.00001))*100</f>
        <v>0</v>
      </c>
      <c r="FS47" s="321">
        <f>((FP47)/($Z$7+0.00001))*100</f>
        <v>0</v>
      </c>
      <c r="FT47" s="259">
        <f>'الصفحة 10'!$J$63</f>
        <v>0</v>
      </c>
      <c r="FU47" s="251">
        <f>'الصفحة 10'!$K$63</f>
        <v>0</v>
      </c>
      <c r="FV47" s="254">
        <f>(FT47-FU47)</f>
        <v>0</v>
      </c>
      <c r="FW47" s="322">
        <f>((FT47)/($AS$7+0.00001))*100</f>
        <v>0</v>
      </c>
      <c r="FX47" s="257">
        <f>((FU47)/($AR$7+0.00001))*100</f>
        <v>0</v>
      </c>
      <c r="FY47" s="321">
        <f>((FV47)/($AC$7+0.00001))*100</f>
        <v>0</v>
      </c>
      <c r="FZ47" s="259">
        <f>'الصفحة 10'!$L$63</f>
        <v>0</v>
      </c>
      <c r="GA47" s="251">
        <f>'الصفحة 10'!$M$63</f>
        <v>0</v>
      </c>
      <c r="GB47" s="254">
        <f>(FZ47-GA47)</f>
        <v>0</v>
      </c>
      <c r="GC47" s="322">
        <f>((FZ47)/($AV$7+0.00001))*100</f>
        <v>0</v>
      </c>
      <c r="GD47" s="257">
        <f>((GA47)/($AU$7+0.00001))*100</f>
        <v>0</v>
      </c>
      <c r="GE47" s="321">
        <f>((GB47)/($AF$7+0.00001))*100</f>
        <v>0</v>
      </c>
      <c r="GG47" s="259">
        <f>GM47+GS47+GY47+HE47</f>
        <v>0</v>
      </c>
      <c r="GH47" s="251">
        <f>GN47+GT47+GZ47+HF47</f>
        <v>0</v>
      </c>
      <c r="GI47" s="254">
        <f>(GG47-GH47)</f>
        <v>0</v>
      </c>
      <c r="GJ47" s="322">
        <f>((GG47)/($AY$7+0.00001))*100</f>
        <v>0</v>
      </c>
      <c r="GK47" s="257">
        <f>((GH47)/($AX$7+0.00001))*100</f>
        <v>0</v>
      </c>
      <c r="GL47" s="321">
        <f>((GI47)/($AI$7+0.00001))*100</f>
        <v>0</v>
      </c>
      <c r="GM47" s="259">
        <f>'الصفحة 10'!$F$64</f>
        <v>0</v>
      </c>
      <c r="GN47" s="251">
        <f>'الصفحة 10'!$G$64</f>
        <v>0</v>
      </c>
      <c r="GO47" s="254">
        <f>(GM47-GN47)</f>
        <v>0</v>
      </c>
      <c r="GP47" s="322">
        <f>((GM47)/($AM$7+0.00001))*100</f>
        <v>0</v>
      </c>
      <c r="GQ47" s="257">
        <f>((GN47)/($AL$7+0.00001))*100</f>
        <v>0</v>
      </c>
      <c r="GR47" s="321">
        <f>((GO47)/($W$7+0.00001))*100</f>
        <v>0</v>
      </c>
      <c r="GS47" s="259">
        <f>'الصفحة 10'!$H$64</f>
        <v>0</v>
      </c>
      <c r="GT47" s="251">
        <f>'الصفحة 10'!$I$64</f>
        <v>0</v>
      </c>
      <c r="GU47" s="254">
        <f>(GS47-GT47)</f>
        <v>0</v>
      </c>
      <c r="GV47" s="322">
        <f>((GS47)/($AP$7+0.00001))*100</f>
        <v>0</v>
      </c>
      <c r="GW47" s="257">
        <f>((GT47)/($AO$7+0.00001))*100</f>
        <v>0</v>
      </c>
      <c r="GX47" s="321">
        <f>((GU47)/($Z$7+0.00001))*100</f>
        <v>0</v>
      </c>
      <c r="GY47" s="259">
        <f>'الصفحة 10'!$J$64</f>
        <v>0</v>
      </c>
      <c r="GZ47" s="251">
        <f>'الصفحة 10'!$K$64</f>
        <v>0</v>
      </c>
      <c r="HA47" s="254">
        <f>(GY47-GZ47)</f>
        <v>0</v>
      </c>
      <c r="HB47" s="322">
        <f>((GY47)/($AS$7+0.00001))*100</f>
        <v>0</v>
      </c>
      <c r="HC47" s="257">
        <f>((GZ47)/($AR$7+0.00001))*100</f>
        <v>0</v>
      </c>
      <c r="HD47" s="321">
        <f>((HA47)/($AC$7+0.00001))*100</f>
        <v>0</v>
      </c>
      <c r="HE47" s="259">
        <f>'الصفحة 10'!$L$64</f>
        <v>0</v>
      </c>
      <c r="HF47" s="251">
        <f>'الصفحة 10'!$M$64</f>
        <v>0</v>
      </c>
      <c r="HG47" s="254">
        <f>(HE47-HF47)</f>
        <v>0</v>
      </c>
      <c r="HH47" s="322">
        <f>((HE47)/($AV$7+0.00001))*100</f>
        <v>0</v>
      </c>
      <c r="HI47" s="257">
        <f>((HF47)/($AU$7+0.00001))*100</f>
        <v>0</v>
      </c>
      <c r="HJ47" s="321">
        <f>((HG47)/($AF$7+0.00001))*100</f>
        <v>0</v>
      </c>
      <c r="HL47" s="259">
        <f>HR47+HX47+ID47+IJ47</f>
        <v>0</v>
      </c>
      <c r="HM47" s="251">
        <f>HS47+HY47+IE47+IK47</f>
        <v>0</v>
      </c>
      <c r="HN47" s="254">
        <f>(HL47-HM47)</f>
        <v>0</v>
      </c>
      <c r="HO47" s="322">
        <f>((HL47)/($AY$7+0.00001))*100</f>
        <v>0</v>
      </c>
      <c r="HP47" s="257">
        <f>((HM47)/($AX$7+0.00001))*100</f>
        <v>0</v>
      </c>
      <c r="HQ47" s="321">
        <f>((HN47)/($AI$7+0.00001))*100</f>
        <v>0</v>
      </c>
      <c r="HR47" s="259">
        <f>'الصفحة 10'!$F$65</f>
        <v>0</v>
      </c>
      <c r="HS47" s="251">
        <f>'الصفحة 10'!$G$65</f>
        <v>0</v>
      </c>
      <c r="HT47" s="254">
        <f>(HR47-HS47)</f>
        <v>0</v>
      </c>
      <c r="HU47" s="322">
        <f>((HR47)/($AM$7+0.00001))*100</f>
        <v>0</v>
      </c>
      <c r="HV47" s="257">
        <f>((HS47)/($AL$7+0.00001))*100</f>
        <v>0</v>
      </c>
      <c r="HW47" s="321">
        <f>((HT47)/($W$7+0.00001))*100</f>
        <v>0</v>
      </c>
      <c r="HX47" s="259">
        <f>'الصفحة 10'!$H$65</f>
        <v>0</v>
      </c>
      <c r="HY47" s="251">
        <f>'الصفحة 10'!$I$65</f>
        <v>0</v>
      </c>
      <c r="HZ47" s="254">
        <f>(HX47-HY47)</f>
        <v>0</v>
      </c>
      <c r="IA47" s="322">
        <f>((HX47)/($AP$7+0.00001))*100</f>
        <v>0</v>
      </c>
      <c r="IB47" s="257">
        <f>((HY47)/($AO$7+0.00001))*100</f>
        <v>0</v>
      </c>
      <c r="IC47" s="321">
        <f>((HZ47)/($Z$7+0.00001))*100</f>
        <v>0</v>
      </c>
      <c r="ID47" s="259">
        <f>'الصفحة 10'!$J$65</f>
        <v>0</v>
      </c>
      <c r="IE47" s="251">
        <f>'الصفحة 10'!$K$65</f>
        <v>0</v>
      </c>
      <c r="IF47" s="254">
        <f>(ID47-IE47)</f>
        <v>0</v>
      </c>
      <c r="IG47" s="322">
        <f>((ID47)/($AS$7+0.00001))*100</f>
        <v>0</v>
      </c>
      <c r="IH47" s="257">
        <f>((IE47)/($AR$7+0.00001))*100</f>
        <v>0</v>
      </c>
      <c r="II47" s="321">
        <f>((IF47)/($AC$7+0.00001))*100</f>
        <v>0</v>
      </c>
      <c r="IJ47" s="259">
        <f>'الصفحة 10'!$L$65</f>
        <v>0</v>
      </c>
      <c r="IK47" s="251">
        <f>'الصفحة 10'!$M$65</f>
        <v>0</v>
      </c>
      <c r="IL47" s="254">
        <f>(IJ47-IK47)</f>
        <v>0</v>
      </c>
      <c r="IM47" s="322">
        <f>((IJ47)/($AV$7+0.00001))*100</f>
        <v>0</v>
      </c>
      <c r="IN47" s="257">
        <f>((IK47)/($AU$7+0.00001))*100</f>
        <v>0</v>
      </c>
      <c r="IO47" s="321">
        <f>((IL47)/($AF$7+0.00001))*100</f>
        <v>0</v>
      </c>
      <c r="IV47" s="41"/>
    </row>
    <row r="48" spans="1:256" s="25" customFormat="1" ht="6" customHeight="1">
      <c r="A48" s="5686"/>
      <c r="IV48" s="41"/>
    </row>
    <row r="49" spans="1:256" s="25" customFormat="1" ht="6" customHeight="1">
      <c r="A49" s="327"/>
      <c r="B49" s="326"/>
      <c r="C49" s="326"/>
      <c r="D49" s="326"/>
      <c r="E49" s="326"/>
      <c r="F49" s="326"/>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6"/>
      <c r="CG49" s="326"/>
      <c r="CH49" s="326"/>
      <c r="CI49" s="326"/>
      <c r="CJ49" s="326"/>
      <c r="CK49" s="326"/>
      <c r="CL49" s="326"/>
      <c r="CM49" s="326"/>
      <c r="CN49" s="326"/>
      <c r="CO49" s="326"/>
      <c r="CP49" s="326"/>
      <c r="CQ49" s="326"/>
      <c r="CR49" s="326"/>
      <c r="CS49" s="326"/>
      <c r="CT49" s="326"/>
      <c r="CU49" s="326"/>
      <c r="CV49" s="326"/>
      <c r="CW49" s="326"/>
      <c r="CX49" s="326"/>
      <c r="CY49" s="326"/>
      <c r="CZ49" s="326"/>
      <c r="DA49" s="326"/>
      <c r="DB49" s="326"/>
      <c r="DC49" s="326"/>
      <c r="DD49" s="326"/>
      <c r="DE49" s="326"/>
      <c r="DF49" s="326"/>
      <c r="DG49" s="326"/>
      <c r="DH49" s="326"/>
      <c r="DI49" s="326"/>
      <c r="DJ49" s="326"/>
      <c r="DK49" s="326"/>
      <c r="DL49" s="326"/>
      <c r="DM49" s="326"/>
      <c r="DN49" s="326"/>
      <c r="DO49" s="326"/>
      <c r="DP49" s="326"/>
      <c r="DQ49" s="326"/>
      <c r="DR49" s="326"/>
      <c r="DS49" s="326"/>
      <c r="DT49" s="326"/>
      <c r="DU49" s="326"/>
      <c r="DV49" s="326"/>
      <c r="DW49" s="326"/>
      <c r="DX49" s="326"/>
      <c r="DY49" s="326"/>
      <c r="DZ49" s="326"/>
      <c r="EA49" s="326"/>
      <c r="EB49" s="326"/>
      <c r="EC49" s="326"/>
      <c r="ED49" s="326"/>
      <c r="EE49" s="326"/>
      <c r="EF49" s="326"/>
      <c r="EG49" s="326"/>
      <c r="EH49" s="326"/>
      <c r="EI49" s="326"/>
      <c r="EJ49" s="326"/>
      <c r="EK49" s="326"/>
      <c r="EL49" s="326"/>
      <c r="EM49" s="326"/>
      <c r="EN49" s="326"/>
      <c r="EO49" s="326"/>
      <c r="EP49" s="326"/>
      <c r="EQ49" s="326"/>
      <c r="ER49" s="326"/>
      <c r="ES49" s="326"/>
      <c r="ET49" s="326"/>
      <c r="EU49" s="326"/>
      <c r="EV49" s="326"/>
      <c r="EW49" s="326"/>
      <c r="EX49" s="326"/>
      <c r="EY49" s="326"/>
      <c r="EZ49" s="326"/>
      <c r="FA49" s="326"/>
      <c r="FB49" s="326"/>
      <c r="FC49" s="326"/>
      <c r="FD49" s="326"/>
      <c r="FE49" s="326"/>
      <c r="FF49" s="326"/>
      <c r="FG49" s="326"/>
      <c r="FH49" s="326"/>
      <c r="FI49" s="326"/>
      <c r="FJ49" s="326"/>
      <c r="FK49" s="326"/>
      <c r="FL49" s="326"/>
      <c r="FM49" s="326"/>
      <c r="FN49" s="326"/>
      <c r="FO49" s="326"/>
      <c r="FP49" s="326"/>
      <c r="FQ49" s="326"/>
      <c r="FR49" s="326"/>
      <c r="FS49" s="326"/>
      <c r="FT49" s="326"/>
      <c r="FU49" s="326"/>
      <c r="FV49" s="326"/>
      <c r="FW49" s="326"/>
      <c r="FX49" s="326"/>
      <c r="FY49" s="326"/>
      <c r="FZ49" s="326"/>
      <c r="GA49" s="326"/>
      <c r="GB49" s="326"/>
      <c r="GC49" s="326"/>
      <c r="GD49" s="326"/>
      <c r="GE49" s="326"/>
      <c r="GF49" s="326"/>
      <c r="GG49" s="326"/>
      <c r="GH49" s="326"/>
      <c r="GI49" s="326"/>
      <c r="GJ49" s="326"/>
      <c r="GK49" s="326"/>
      <c r="GL49" s="326"/>
      <c r="GM49" s="326"/>
      <c r="GN49" s="326"/>
      <c r="GO49" s="326"/>
      <c r="GP49" s="326"/>
      <c r="GQ49" s="326"/>
      <c r="GR49" s="326"/>
      <c r="GS49" s="326"/>
      <c r="GT49" s="326"/>
      <c r="GU49" s="326"/>
      <c r="GV49" s="326"/>
      <c r="GW49" s="326"/>
      <c r="GX49" s="326"/>
      <c r="GY49" s="326"/>
      <c r="GZ49" s="326"/>
      <c r="HA49" s="326"/>
      <c r="HB49" s="326"/>
      <c r="HC49" s="326"/>
      <c r="HD49" s="326"/>
      <c r="HE49" s="326"/>
      <c r="HF49" s="326"/>
      <c r="HG49" s="326"/>
      <c r="HH49" s="326"/>
      <c r="HI49" s="326"/>
      <c r="HJ49" s="326"/>
      <c r="HK49" s="326"/>
      <c r="HL49" s="326"/>
      <c r="HM49" s="326"/>
      <c r="HN49" s="326"/>
      <c r="HO49" s="326"/>
      <c r="HP49" s="326"/>
      <c r="HQ49" s="326"/>
      <c r="HR49" s="326"/>
      <c r="HS49" s="326"/>
      <c r="HT49" s="326"/>
      <c r="HU49" s="326"/>
      <c r="HV49" s="326"/>
      <c r="HW49" s="326"/>
      <c r="HX49" s="326"/>
      <c r="HY49" s="326"/>
      <c r="HZ49" s="326"/>
      <c r="IA49" s="326"/>
      <c r="IB49" s="326"/>
      <c r="IC49" s="326"/>
      <c r="ID49" s="326"/>
      <c r="IE49" s="326"/>
      <c r="IF49" s="326"/>
      <c r="IG49" s="326"/>
      <c r="IH49" s="326"/>
      <c r="II49" s="326"/>
      <c r="IJ49" s="326"/>
      <c r="IK49" s="326"/>
      <c r="IL49" s="326"/>
      <c r="IM49" s="326"/>
      <c r="IN49" s="326"/>
      <c r="IO49" s="326"/>
      <c r="IP49" s="326"/>
      <c r="IQ49" s="326"/>
      <c r="IR49" s="326"/>
      <c r="IS49" s="326"/>
      <c r="IT49" s="326"/>
      <c r="IV49" s="41"/>
    </row>
    <row r="50" spans="1:256" s="25" customFormat="1" ht="16.5" customHeight="1" thickBot="1">
      <c r="A50" s="5686">
        <v>7</v>
      </c>
      <c r="C50" s="170" t="s">
        <v>373</v>
      </c>
      <c r="D50" s="24"/>
      <c r="E50" s="24"/>
      <c r="F50" s="24"/>
      <c r="G50" s="24"/>
      <c r="H50" s="24"/>
      <c r="I50" s="24"/>
      <c r="J50" s="24"/>
      <c r="K50" s="24"/>
      <c r="L50" s="170"/>
      <c r="M50" s="24"/>
      <c r="N50" s="24"/>
      <c r="O50" s="24"/>
      <c r="P50" s="24"/>
      <c r="Q50" s="24"/>
      <c r="R50" s="24"/>
      <c r="S50" s="24"/>
      <c r="T50" s="24"/>
      <c r="U50" s="170"/>
      <c r="V50" s="24"/>
      <c r="W50" s="24"/>
      <c r="X50" s="24"/>
      <c r="Y50" s="24"/>
      <c r="Z50" s="24"/>
      <c r="AA50" s="24"/>
      <c r="AB50" s="24"/>
      <c r="AC50" s="24"/>
      <c r="AD50" s="24"/>
      <c r="AE50" s="24"/>
      <c r="AF50" s="24"/>
      <c r="AH50" s="170" t="s">
        <v>372</v>
      </c>
      <c r="AI50" s="24"/>
      <c r="AJ50" s="24"/>
      <c r="AK50" s="24"/>
      <c r="AL50" s="24"/>
      <c r="AM50" s="24"/>
      <c r="AN50" s="24"/>
      <c r="AO50" s="24"/>
      <c r="AP50" s="24"/>
      <c r="AQ50" s="170"/>
      <c r="AR50" s="24"/>
      <c r="AS50" s="24"/>
      <c r="AT50" s="24"/>
      <c r="AU50" s="24"/>
      <c r="AV50" s="24"/>
      <c r="AW50" s="24"/>
      <c r="AX50" s="24"/>
      <c r="AY50" s="24"/>
      <c r="AZ50" s="170"/>
      <c r="BA50" s="24"/>
      <c r="BB50" s="24"/>
      <c r="BC50" s="24"/>
      <c r="BD50" s="24"/>
      <c r="BE50" s="24"/>
      <c r="BF50" s="24"/>
      <c r="BG50" s="24"/>
      <c r="BH50" s="24"/>
      <c r="BI50" s="24"/>
      <c r="BJ50" s="24"/>
      <c r="BK50" s="24"/>
      <c r="BM50" s="170" t="s">
        <v>371</v>
      </c>
      <c r="BN50" s="24"/>
      <c r="BO50" s="24"/>
      <c r="BP50" s="24"/>
      <c r="BQ50" s="24"/>
      <c r="BR50" s="24"/>
      <c r="BS50" s="24"/>
      <c r="BT50" s="24"/>
      <c r="BU50" s="24"/>
      <c r="BV50" s="170"/>
      <c r="BW50" s="24"/>
      <c r="BX50" s="24"/>
      <c r="BY50" s="24"/>
      <c r="BZ50" s="24"/>
      <c r="CA50" s="24"/>
      <c r="CB50" s="24"/>
      <c r="CC50" s="24"/>
      <c r="CD50" s="24"/>
      <c r="CE50" s="170"/>
      <c r="CF50" s="24"/>
      <c r="CG50" s="24"/>
      <c r="CH50" s="24"/>
      <c r="CI50" s="24"/>
      <c r="CJ50" s="24"/>
      <c r="CK50" s="24"/>
      <c r="CL50" s="24"/>
      <c r="CM50" s="24"/>
      <c r="CN50" s="24"/>
      <c r="CO50" s="24"/>
      <c r="CP50" s="24"/>
      <c r="CR50" s="170" t="s">
        <v>370</v>
      </c>
      <c r="CS50" s="24"/>
      <c r="CT50" s="24"/>
      <c r="CU50" s="24"/>
      <c r="CV50" s="24"/>
      <c r="CW50" s="24"/>
      <c r="CX50" s="24"/>
      <c r="CY50" s="24"/>
      <c r="CZ50" s="24"/>
      <c r="DA50" s="170"/>
      <c r="DB50" s="24"/>
      <c r="DC50" s="24"/>
      <c r="DD50" s="24"/>
      <c r="DE50" s="24"/>
      <c r="DF50" s="24"/>
      <c r="DG50" s="24"/>
      <c r="DH50" s="24"/>
      <c r="DI50" s="24"/>
      <c r="DJ50" s="170"/>
      <c r="DK50" s="24"/>
      <c r="DL50" s="24"/>
      <c r="DM50" s="24"/>
      <c r="DN50" s="24"/>
      <c r="DO50" s="24"/>
      <c r="DP50" s="24"/>
      <c r="DQ50" s="24"/>
      <c r="DR50" s="24"/>
      <c r="DS50" s="24"/>
      <c r="DT50" s="24"/>
      <c r="DU50" s="24"/>
      <c r="DW50" s="170" t="s">
        <v>369</v>
      </c>
      <c r="DX50" s="24"/>
      <c r="DY50" s="24"/>
      <c r="DZ50" s="24"/>
      <c r="EA50" s="24"/>
      <c r="EB50" s="24"/>
      <c r="EC50" s="24"/>
      <c r="ED50" s="24"/>
      <c r="EE50" s="24"/>
      <c r="EF50" s="170"/>
      <c r="EG50" s="24"/>
      <c r="EH50" s="24"/>
      <c r="EI50" s="24"/>
      <c r="EJ50" s="24"/>
      <c r="EK50" s="24"/>
      <c r="EL50" s="24"/>
      <c r="EM50" s="24"/>
      <c r="EN50" s="24"/>
      <c r="EO50" s="170"/>
      <c r="EP50" s="24"/>
      <c r="EQ50" s="24"/>
      <c r="ER50" s="24"/>
      <c r="ES50" s="24"/>
      <c r="ET50" s="24"/>
      <c r="EU50" s="24"/>
      <c r="EV50" s="24"/>
      <c r="EW50" s="24"/>
      <c r="EX50" s="24"/>
      <c r="EY50" s="24"/>
      <c r="EZ50" s="24"/>
      <c r="FB50" s="170" t="s">
        <v>368</v>
      </c>
      <c r="FC50" s="24"/>
      <c r="FD50" s="24"/>
      <c r="FE50" s="24"/>
      <c r="FF50" s="24"/>
      <c r="FG50" s="24"/>
      <c r="FH50" s="24"/>
      <c r="FI50" s="24"/>
      <c r="FJ50" s="24"/>
      <c r="FK50" s="170"/>
      <c r="FL50" s="24"/>
      <c r="FM50" s="24"/>
      <c r="FN50" s="24"/>
      <c r="FO50" s="24"/>
      <c r="FP50" s="24"/>
      <c r="FQ50" s="24"/>
      <c r="FR50" s="24"/>
      <c r="FS50" s="24"/>
      <c r="FT50" s="170"/>
      <c r="FU50" s="24"/>
      <c r="FV50" s="24"/>
      <c r="FW50" s="24"/>
      <c r="FX50" s="24"/>
      <c r="FY50" s="24"/>
      <c r="FZ50" s="24"/>
      <c r="GA50" s="24"/>
      <c r="GB50" s="24"/>
      <c r="GC50" s="24"/>
      <c r="GD50" s="24"/>
      <c r="GE50" s="24"/>
      <c r="GG50" s="170" t="s">
        <v>367</v>
      </c>
      <c r="GH50" s="24"/>
      <c r="GI50" s="24"/>
      <c r="GJ50" s="24"/>
      <c r="GK50" s="24"/>
      <c r="GL50" s="24"/>
      <c r="GM50" s="24"/>
      <c r="GN50" s="24"/>
      <c r="GO50" s="24"/>
      <c r="GP50" s="170"/>
      <c r="GQ50" s="24"/>
      <c r="GR50" s="24"/>
      <c r="GS50" s="24"/>
      <c r="GT50" s="24"/>
      <c r="GU50" s="24"/>
      <c r="GV50" s="24"/>
      <c r="GW50" s="24"/>
      <c r="GX50" s="24"/>
      <c r="GY50" s="170"/>
      <c r="GZ50" s="24"/>
      <c r="HA50" s="24"/>
      <c r="HB50" s="24"/>
      <c r="HC50" s="24"/>
      <c r="HD50" s="24"/>
      <c r="HE50" s="24"/>
      <c r="HF50" s="24"/>
      <c r="HG50" s="24"/>
      <c r="HH50" s="24"/>
      <c r="HI50" s="24"/>
      <c r="HJ50" s="24"/>
      <c r="HL50" s="170" t="s">
        <v>366</v>
      </c>
      <c r="HM50" s="24"/>
      <c r="HN50" s="24"/>
      <c r="HO50" s="24"/>
      <c r="HP50" s="24"/>
      <c r="HQ50" s="24"/>
      <c r="HR50" s="24"/>
      <c r="HS50" s="24"/>
      <c r="HT50" s="24"/>
      <c r="HU50" s="170"/>
      <c r="HV50" s="24"/>
      <c r="HW50" s="24"/>
      <c r="HX50" s="24"/>
      <c r="HY50" s="24"/>
      <c r="HZ50" s="24"/>
      <c r="IA50" s="24"/>
      <c r="IB50" s="24"/>
      <c r="IC50" s="24"/>
      <c r="ID50" s="170"/>
      <c r="IE50" s="24"/>
      <c r="IF50" s="24"/>
      <c r="IG50" s="24"/>
      <c r="IH50" s="24"/>
      <c r="II50" s="24"/>
      <c r="IJ50" s="24"/>
      <c r="IK50" s="24"/>
      <c r="IL50" s="24"/>
      <c r="IM50" s="24"/>
      <c r="IN50" s="24"/>
      <c r="IO50" s="24"/>
      <c r="IV50" s="41"/>
    </row>
    <row r="51" spans="1:256" s="25" customFormat="1" ht="12.75" customHeight="1">
      <c r="A51" s="5686"/>
      <c r="C51" s="5155" t="s">
        <v>365</v>
      </c>
      <c r="D51" s="5156"/>
      <c r="E51" s="5156"/>
      <c r="F51" s="5156"/>
      <c r="G51" s="5156"/>
      <c r="H51" s="5157"/>
      <c r="I51" s="5155" t="s">
        <v>364</v>
      </c>
      <c r="J51" s="5156"/>
      <c r="K51" s="5156"/>
      <c r="L51" s="5156"/>
      <c r="M51" s="5156"/>
      <c r="N51" s="5157"/>
      <c r="O51" s="5155" t="s">
        <v>363</v>
      </c>
      <c r="P51" s="5156"/>
      <c r="Q51" s="5156"/>
      <c r="R51" s="5156"/>
      <c r="S51" s="5156"/>
      <c r="T51" s="5157"/>
      <c r="U51" s="5155" t="s">
        <v>362</v>
      </c>
      <c r="V51" s="5156"/>
      <c r="W51" s="5156"/>
      <c r="X51" s="5156"/>
      <c r="Y51" s="5156"/>
      <c r="Z51" s="5157"/>
      <c r="AA51" s="5155" t="s">
        <v>361</v>
      </c>
      <c r="AB51" s="5156"/>
      <c r="AC51" s="5156"/>
      <c r="AD51" s="5156"/>
      <c r="AE51" s="5156"/>
      <c r="AF51" s="5157"/>
      <c r="AH51" s="5155" t="s">
        <v>365</v>
      </c>
      <c r="AI51" s="5156"/>
      <c r="AJ51" s="5156"/>
      <c r="AK51" s="5156"/>
      <c r="AL51" s="5156"/>
      <c r="AM51" s="5157"/>
      <c r="AN51" s="5155" t="s">
        <v>364</v>
      </c>
      <c r="AO51" s="5156"/>
      <c r="AP51" s="5156"/>
      <c r="AQ51" s="5156"/>
      <c r="AR51" s="5156"/>
      <c r="AS51" s="5157"/>
      <c r="AT51" s="5155" t="s">
        <v>363</v>
      </c>
      <c r="AU51" s="5156"/>
      <c r="AV51" s="5156"/>
      <c r="AW51" s="5156"/>
      <c r="AX51" s="5156"/>
      <c r="AY51" s="5157"/>
      <c r="AZ51" s="5155" t="s">
        <v>362</v>
      </c>
      <c r="BA51" s="5156"/>
      <c r="BB51" s="5156"/>
      <c r="BC51" s="5156"/>
      <c r="BD51" s="5156"/>
      <c r="BE51" s="5157"/>
      <c r="BF51" s="5155" t="s">
        <v>361</v>
      </c>
      <c r="BG51" s="5156"/>
      <c r="BH51" s="5156"/>
      <c r="BI51" s="5156"/>
      <c r="BJ51" s="5156"/>
      <c r="BK51" s="5157"/>
      <c r="BM51" s="5155" t="s">
        <v>365</v>
      </c>
      <c r="BN51" s="5156"/>
      <c r="BO51" s="5156"/>
      <c r="BP51" s="5156"/>
      <c r="BQ51" s="5156"/>
      <c r="BR51" s="5157"/>
      <c r="BS51" s="5155" t="s">
        <v>364</v>
      </c>
      <c r="BT51" s="5156"/>
      <c r="BU51" s="5156"/>
      <c r="BV51" s="5156"/>
      <c r="BW51" s="5156"/>
      <c r="BX51" s="5157"/>
      <c r="BY51" s="5155" t="s">
        <v>363</v>
      </c>
      <c r="BZ51" s="5156"/>
      <c r="CA51" s="5156"/>
      <c r="CB51" s="5156"/>
      <c r="CC51" s="5156"/>
      <c r="CD51" s="5157"/>
      <c r="CE51" s="5155" t="s">
        <v>362</v>
      </c>
      <c r="CF51" s="5156"/>
      <c r="CG51" s="5156"/>
      <c r="CH51" s="5156"/>
      <c r="CI51" s="5156"/>
      <c r="CJ51" s="5157"/>
      <c r="CK51" s="5155" t="s">
        <v>361</v>
      </c>
      <c r="CL51" s="5156"/>
      <c r="CM51" s="5156"/>
      <c r="CN51" s="5156"/>
      <c r="CO51" s="5156"/>
      <c r="CP51" s="5157"/>
      <c r="CR51" s="5155" t="s">
        <v>365</v>
      </c>
      <c r="CS51" s="5156"/>
      <c r="CT51" s="5156"/>
      <c r="CU51" s="5156"/>
      <c r="CV51" s="5156"/>
      <c r="CW51" s="5157"/>
      <c r="CX51" s="5155" t="s">
        <v>364</v>
      </c>
      <c r="CY51" s="5156"/>
      <c r="CZ51" s="5156"/>
      <c r="DA51" s="5156"/>
      <c r="DB51" s="5156"/>
      <c r="DC51" s="5157"/>
      <c r="DD51" s="5155" t="s">
        <v>363</v>
      </c>
      <c r="DE51" s="5156"/>
      <c r="DF51" s="5156"/>
      <c r="DG51" s="5156"/>
      <c r="DH51" s="5156"/>
      <c r="DI51" s="5157"/>
      <c r="DJ51" s="5155" t="s">
        <v>362</v>
      </c>
      <c r="DK51" s="5156"/>
      <c r="DL51" s="5156"/>
      <c r="DM51" s="5156"/>
      <c r="DN51" s="5156"/>
      <c r="DO51" s="5157"/>
      <c r="DP51" s="5155" t="s">
        <v>361</v>
      </c>
      <c r="DQ51" s="5156"/>
      <c r="DR51" s="5156"/>
      <c r="DS51" s="5156"/>
      <c r="DT51" s="5156"/>
      <c r="DU51" s="5157"/>
      <c r="DW51" s="5593" t="s">
        <v>365</v>
      </c>
      <c r="DX51" s="5594"/>
      <c r="DY51" s="5594"/>
      <c r="DZ51" s="5594"/>
      <c r="EA51" s="5594"/>
      <c r="EB51" s="5595"/>
      <c r="EC51" s="5593" t="s">
        <v>364</v>
      </c>
      <c r="ED51" s="5594"/>
      <c r="EE51" s="5594"/>
      <c r="EF51" s="5594"/>
      <c r="EG51" s="5594"/>
      <c r="EH51" s="5595"/>
      <c r="EI51" s="5593" t="s">
        <v>363</v>
      </c>
      <c r="EJ51" s="5594"/>
      <c r="EK51" s="5594"/>
      <c r="EL51" s="5594"/>
      <c r="EM51" s="5594"/>
      <c r="EN51" s="5595"/>
      <c r="EO51" s="5593" t="s">
        <v>362</v>
      </c>
      <c r="EP51" s="5594"/>
      <c r="EQ51" s="5594"/>
      <c r="ER51" s="5594"/>
      <c r="ES51" s="5594"/>
      <c r="ET51" s="5595"/>
      <c r="EU51" s="5593" t="s">
        <v>361</v>
      </c>
      <c r="EV51" s="5594"/>
      <c r="EW51" s="5594"/>
      <c r="EX51" s="5594"/>
      <c r="EY51" s="5594"/>
      <c r="EZ51" s="5595"/>
      <c r="FB51" s="5593" t="s">
        <v>365</v>
      </c>
      <c r="FC51" s="5594"/>
      <c r="FD51" s="5594"/>
      <c r="FE51" s="5594"/>
      <c r="FF51" s="5594"/>
      <c r="FG51" s="5595"/>
      <c r="FH51" s="5593" t="s">
        <v>364</v>
      </c>
      <c r="FI51" s="5594"/>
      <c r="FJ51" s="5594"/>
      <c r="FK51" s="5594"/>
      <c r="FL51" s="5594"/>
      <c r="FM51" s="5595"/>
      <c r="FN51" s="5593" t="s">
        <v>363</v>
      </c>
      <c r="FO51" s="5594"/>
      <c r="FP51" s="5594"/>
      <c r="FQ51" s="5594"/>
      <c r="FR51" s="5594"/>
      <c r="FS51" s="5595"/>
      <c r="FT51" s="5593" t="s">
        <v>362</v>
      </c>
      <c r="FU51" s="5594"/>
      <c r="FV51" s="5594"/>
      <c r="FW51" s="5594"/>
      <c r="FX51" s="5594"/>
      <c r="FY51" s="5595"/>
      <c r="FZ51" s="5593" t="s">
        <v>361</v>
      </c>
      <c r="GA51" s="5594"/>
      <c r="GB51" s="5594"/>
      <c r="GC51" s="5594"/>
      <c r="GD51" s="5594"/>
      <c r="GE51" s="5595"/>
      <c r="GG51" s="5593" t="s">
        <v>365</v>
      </c>
      <c r="GH51" s="5594"/>
      <c r="GI51" s="5594"/>
      <c r="GJ51" s="5594"/>
      <c r="GK51" s="5594"/>
      <c r="GL51" s="5595"/>
      <c r="GM51" s="5593" t="s">
        <v>364</v>
      </c>
      <c r="GN51" s="5594"/>
      <c r="GO51" s="5594"/>
      <c r="GP51" s="5594"/>
      <c r="GQ51" s="5594"/>
      <c r="GR51" s="5595"/>
      <c r="GS51" s="5593" t="s">
        <v>363</v>
      </c>
      <c r="GT51" s="5594"/>
      <c r="GU51" s="5594"/>
      <c r="GV51" s="5594"/>
      <c r="GW51" s="5594"/>
      <c r="GX51" s="5595"/>
      <c r="GY51" s="5593" t="s">
        <v>362</v>
      </c>
      <c r="GZ51" s="5594"/>
      <c r="HA51" s="5594"/>
      <c r="HB51" s="5594"/>
      <c r="HC51" s="5594"/>
      <c r="HD51" s="5595"/>
      <c r="HE51" s="5593" t="s">
        <v>361</v>
      </c>
      <c r="HF51" s="5594"/>
      <c r="HG51" s="5594"/>
      <c r="HH51" s="5594"/>
      <c r="HI51" s="5594"/>
      <c r="HJ51" s="5595"/>
      <c r="HL51" s="5593" t="s">
        <v>365</v>
      </c>
      <c r="HM51" s="5594"/>
      <c r="HN51" s="5594"/>
      <c r="HO51" s="5594"/>
      <c r="HP51" s="5594"/>
      <c r="HQ51" s="5595"/>
      <c r="HR51" s="5593" t="s">
        <v>364</v>
      </c>
      <c r="HS51" s="5594"/>
      <c r="HT51" s="5594"/>
      <c r="HU51" s="5594"/>
      <c r="HV51" s="5594"/>
      <c r="HW51" s="5595"/>
      <c r="HX51" s="5593" t="s">
        <v>363</v>
      </c>
      <c r="HY51" s="5594"/>
      <c r="HZ51" s="5594"/>
      <c r="IA51" s="5594"/>
      <c r="IB51" s="5594"/>
      <c r="IC51" s="5595"/>
      <c r="ID51" s="5593" t="s">
        <v>362</v>
      </c>
      <c r="IE51" s="5594"/>
      <c r="IF51" s="5594"/>
      <c r="IG51" s="5594"/>
      <c r="IH51" s="5594"/>
      <c r="II51" s="5595"/>
      <c r="IJ51" s="5593" t="s">
        <v>361</v>
      </c>
      <c r="IK51" s="5594"/>
      <c r="IL51" s="5594"/>
      <c r="IM51" s="5594"/>
      <c r="IN51" s="5594"/>
      <c r="IO51" s="5595"/>
      <c r="IV51" s="41"/>
    </row>
    <row r="52" spans="1:256" s="25" customFormat="1" ht="12.75" customHeight="1">
      <c r="A52" s="5686"/>
      <c r="C52" s="5158"/>
      <c r="D52" s="5159"/>
      <c r="E52" s="5159"/>
      <c r="F52" s="5159"/>
      <c r="G52" s="5159"/>
      <c r="H52" s="5160"/>
      <c r="I52" s="5158"/>
      <c r="J52" s="5159"/>
      <c r="K52" s="5159"/>
      <c r="L52" s="5159"/>
      <c r="M52" s="5159"/>
      <c r="N52" s="5160"/>
      <c r="O52" s="5158"/>
      <c r="P52" s="5159"/>
      <c r="Q52" s="5159"/>
      <c r="R52" s="5159"/>
      <c r="S52" s="5159"/>
      <c r="T52" s="5160"/>
      <c r="U52" s="5158"/>
      <c r="V52" s="5159"/>
      <c r="W52" s="5159"/>
      <c r="X52" s="5159"/>
      <c r="Y52" s="5159"/>
      <c r="Z52" s="5160"/>
      <c r="AA52" s="5158"/>
      <c r="AB52" s="5159"/>
      <c r="AC52" s="5159"/>
      <c r="AD52" s="5159"/>
      <c r="AE52" s="5159"/>
      <c r="AF52" s="5160"/>
      <c r="AH52" s="5158"/>
      <c r="AI52" s="5159"/>
      <c r="AJ52" s="5159"/>
      <c r="AK52" s="5159"/>
      <c r="AL52" s="5159"/>
      <c r="AM52" s="5160"/>
      <c r="AN52" s="5158"/>
      <c r="AO52" s="5159"/>
      <c r="AP52" s="5159"/>
      <c r="AQ52" s="5159"/>
      <c r="AR52" s="5159"/>
      <c r="AS52" s="5160"/>
      <c r="AT52" s="5158"/>
      <c r="AU52" s="5159"/>
      <c r="AV52" s="5159"/>
      <c r="AW52" s="5159"/>
      <c r="AX52" s="5159"/>
      <c r="AY52" s="5160"/>
      <c r="AZ52" s="5158"/>
      <c r="BA52" s="5159"/>
      <c r="BB52" s="5159"/>
      <c r="BC52" s="5159"/>
      <c r="BD52" s="5159"/>
      <c r="BE52" s="5160"/>
      <c r="BF52" s="5158"/>
      <c r="BG52" s="5159"/>
      <c r="BH52" s="5159"/>
      <c r="BI52" s="5159"/>
      <c r="BJ52" s="5159"/>
      <c r="BK52" s="5160"/>
      <c r="BM52" s="5158"/>
      <c r="BN52" s="5159"/>
      <c r="BO52" s="5159"/>
      <c r="BP52" s="5159"/>
      <c r="BQ52" s="5159"/>
      <c r="BR52" s="5160"/>
      <c r="BS52" s="5158"/>
      <c r="BT52" s="5159"/>
      <c r="BU52" s="5159"/>
      <c r="BV52" s="5159"/>
      <c r="BW52" s="5159"/>
      <c r="BX52" s="5160"/>
      <c r="BY52" s="5158"/>
      <c r="BZ52" s="5159"/>
      <c r="CA52" s="5159"/>
      <c r="CB52" s="5159"/>
      <c r="CC52" s="5159"/>
      <c r="CD52" s="5160"/>
      <c r="CE52" s="5158"/>
      <c r="CF52" s="5159"/>
      <c r="CG52" s="5159"/>
      <c r="CH52" s="5159"/>
      <c r="CI52" s="5159"/>
      <c r="CJ52" s="5160"/>
      <c r="CK52" s="5158"/>
      <c r="CL52" s="5159"/>
      <c r="CM52" s="5159"/>
      <c r="CN52" s="5159"/>
      <c r="CO52" s="5159"/>
      <c r="CP52" s="5160"/>
      <c r="CR52" s="5158"/>
      <c r="CS52" s="5159"/>
      <c r="CT52" s="5159"/>
      <c r="CU52" s="5159"/>
      <c r="CV52" s="5159"/>
      <c r="CW52" s="5160"/>
      <c r="CX52" s="5158"/>
      <c r="CY52" s="5159"/>
      <c r="CZ52" s="5159"/>
      <c r="DA52" s="5159"/>
      <c r="DB52" s="5159"/>
      <c r="DC52" s="5160"/>
      <c r="DD52" s="5158"/>
      <c r="DE52" s="5159"/>
      <c r="DF52" s="5159"/>
      <c r="DG52" s="5159"/>
      <c r="DH52" s="5159"/>
      <c r="DI52" s="5160"/>
      <c r="DJ52" s="5158"/>
      <c r="DK52" s="5159"/>
      <c r="DL52" s="5159"/>
      <c r="DM52" s="5159"/>
      <c r="DN52" s="5159"/>
      <c r="DO52" s="5160"/>
      <c r="DP52" s="5158"/>
      <c r="DQ52" s="5159"/>
      <c r="DR52" s="5159"/>
      <c r="DS52" s="5159"/>
      <c r="DT52" s="5159"/>
      <c r="DU52" s="5160"/>
      <c r="DW52" s="5596"/>
      <c r="DX52" s="5597"/>
      <c r="DY52" s="5597"/>
      <c r="DZ52" s="5597"/>
      <c r="EA52" s="5597"/>
      <c r="EB52" s="5598"/>
      <c r="EC52" s="5596"/>
      <c r="ED52" s="5597"/>
      <c r="EE52" s="5597"/>
      <c r="EF52" s="5597"/>
      <c r="EG52" s="5597"/>
      <c r="EH52" s="5598"/>
      <c r="EI52" s="5596"/>
      <c r="EJ52" s="5597"/>
      <c r="EK52" s="5597"/>
      <c r="EL52" s="5597"/>
      <c r="EM52" s="5597"/>
      <c r="EN52" s="5598"/>
      <c r="EO52" s="5596"/>
      <c r="EP52" s="5597"/>
      <c r="EQ52" s="5597"/>
      <c r="ER52" s="5597"/>
      <c r="ES52" s="5597"/>
      <c r="ET52" s="5598"/>
      <c r="EU52" s="5596"/>
      <c r="EV52" s="5597"/>
      <c r="EW52" s="5597"/>
      <c r="EX52" s="5597"/>
      <c r="EY52" s="5597"/>
      <c r="EZ52" s="5598"/>
      <c r="FB52" s="5596"/>
      <c r="FC52" s="5597"/>
      <c r="FD52" s="5597"/>
      <c r="FE52" s="5597"/>
      <c r="FF52" s="5597"/>
      <c r="FG52" s="5598"/>
      <c r="FH52" s="5596"/>
      <c r="FI52" s="5597"/>
      <c r="FJ52" s="5597"/>
      <c r="FK52" s="5597"/>
      <c r="FL52" s="5597"/>
      <c r="FM52" s="5598"/>
      <c r="FN52" s="5596"/>
      <c r="FO52" s="5597"/>
      <c r="FP52" s="5597"/>
      <c r="FQ52" s="5597"/>
      <c r="FR52" s="5597"/>
      <c r="FS52" s="5598"/>
      <c r="FT52" s="5596"/>
      <c r="FU52" s="5597"/>
      <c r="FV52" s="5597"/>
      <c r="FW52" s="5597"/>
      <c r="FX52" s="5597"/>
      <c r="FY52" s="5598"/>
      <c r="FZ52" s="5596"/>
      <c r="GA52" s="5597"/>
      <c r="GB52" s="5597"/>
      <c r="GC52" s="5597"/>
      <c r="GD52" s="5597"/>
      <c r="GE52" s="5598"/>
      <c r="GG52" s="5596"/>
      <c r="GH52" s="5597"/>
      <c r="GI52" s="5597"/>
      <c r="GJ52" s="5597"/>
      <c r="GK52" s="5597"/>
      <c r="GL52" s="5598"/>
      <c r="GM52" s="5596"/>
      <c r="GN52" s="5597"/>
      <c r="GO52" s="5597"/>
      <c r="GP52" s="5597"/>
      <c r="GQ52" s="5597"/>
      <c r="GR52" s="5598"/>
      <c r="GS52" s="5596"/>
      <c r="GT52" s="5597"/>
      <c r="GU52" s="5597"/>
      <c r="GV52" s="5597"/>
      <c r="GW52" s="5597"/>
      <c r="GX52" s="5598"/>
      <c r="GY52" s="5596"/>
      <c r="GZ52" s="5597"/>
      <c r="HA52" s="5597"/>
      <c r="HB52" s="5597"/>
      <c r="HC52" s="5597"/>
      <c r="HD52" s="5598"/>
      <c r="HE52" s="5596"/>
      <c r="HF52" s="5597"/>
      <c r="HG52" s="5597"/>
      <c r="HH52" s="5597"/>
      <c r="HI52" s="5597"/>
      <c r="HJ52" s="5598"/>
      <c r="HL52" s="5596"/>
      <c r="HM52" s="5597"/>
      <c r="HN52" s="5597"/>
      <c r="HO52" s="5597"/>
      <c r="HP52" s="5597"/>
      <c r="HQ52" s="5598"/>
      <c r="HR52" s="5596"/>
      <c r="HS52" s="5597"/>
      <c r="HT52" s="5597"/>
      <c r="HU52" s="5597"/>
      <c r="HV52" s="5597"/>
      <c r="HW52" s="5598"/>
      <c r="HX52" s="5596"/>
      <c r="HY52" s="5597"/>
      <c r="HZ52" s="5597"/>
      <c r="IA52" s="5597"/>
      <c r="IB52" s="5597"/>
      <c r="IC52" s="5598"/>
      <c r="ID52" s="5596"/>
      <c r="IE52" s="5597"/>
      <c r="IF52" s="5597"/>
      <c r="IG52" s="5597"/>
      <c r="IH52" s="5597"/>
      <c r="II52" s="5598"/>
      <c r="IJ52" s="5596"/>
      <c r="IK52" s="5597"/>
      <c r="IL52" s="5597"/>
      <c r="IM52" s="5597"/>
      <c r="IN52" s="5597"/>
      <c r="IO52" s="5598"/>
      <c r="IV52" s="41"/>
    </row>
    <row r="53" spans="1:256" s="25" customFormat="1" ht="12.75" customHeight="1">
      <c r="A53" s="5686"/>
      <c r="C53" s="5161" t="s">
        <v>360</v>
      </c>
      <c r="D53" s="5162"/>
      <c r="E53" s="5163"/>
      <c r="F53" s="5161" t="s">
        <v>359</v>
      </c>
      <c r="G53" s="5162"/>
      <c r="H53" s="5163"/>
      <c r="I53" s="5161" t="s">
        <v>360</v>
      </c>
      <c r="J53" s="5162"/>
      <c r="K53" s="5163"/>
      <c r="L53" s="5161" t="s">
        <v>359</v>
      </c>
      <c r="M53" s="5162"/>
      <c r="N53" s="5163"/>
      <c r="O53" s="5161" t="s">
        <v>360</v>
      </c>
      <c r="P53" s="5162"/>
      <c r="Q53" s="5163"/>
      <c r="R53" s="5161" t="s">
        <v>359</v>
      </c>
      <c r="S53" s="5162"/>
      <c r="T53" s="5163"/>
      <c r="U53" s="5161" t="s">
        <v>360</v>
      </c>
      <c r="V53" s="5162"/>
      <c r="W53" s="5163"/>
      <c r="X53" s="5161" t="s">
        <v>359</v>
      </c>
      <c r="Y53" s="5162"/>
      <c r="Z53" s="5163"/>
      <c r="AA53" s="5161" t="s">
        <v>360</v>
      </c>
      <c r="AB53" s="5162"/>
      <c r="AC53" s="5163"/>
      <c r="AD53" s="5161" t="s">
        <v>359</v>
      </c>
      <c r="AE53" s="5162"/>
      <c r="AF53" s="5163"/>
      <c r="AH53" s="5161" t="s">
        <v>360</v>
      </c>
      <c r="AI53" s="5162"/>
      <c r="AJ53" s="5163"/>
      <c r="AK53" s="5161" t="s">
        <v>359</v>
      </c>
      <c r="AL53" s="5162"/>
      <c r="AM53" s="5163"/>
      <c r="AN53" s="5161" t="s">
        <v>360</v>
      </c>
      <c r="AO53" s="5162"/>
      <c r="AP53" s="5163"/>
      <c r="AQ53" s="5161" t="s">
        <v>359</v>
      </c>
      <c r="AR53" s="5162"/>
      <c r="AS53" s="5163"/>
      <c r="AT53" s="5161" t="s">
        <v>360</v>
      </c>
      <c r="AU53" s="5162"/>
      <c r="AV53" s="5163"/>
      <c r="AW53" s="5161" t="s">
        <v>359</v>
      </c>
      <c r="AX53" s="5162"/>
      <c r="AY53" s="5163"/>
      <c r="AZ53" s="5161" t="s">
        <v>360</v>
      </c>
      <c r="BA53" s="5162"/>
      <c r="BB53" s="5163"/>
      <c r="BC53" s="5161" t="s">
        <v>359</v>
      </c>
      <c r="BD53" s="5162"/>
      <c r="BE53" s="5163"/>
      <c r="BF53" s="5161" t="s">
        <v>360</v>
      </c>
      <c r="BG53" s="5162"/>
      <c r="BH53" s="5163"/>
      <c r="BI53" s="5161" t="s">
        <v>359</v>
      </c>
      <c r="BJ53" s="5162"/>
      <c r="BK53" s="5163"/>
      <c r="BM53" s="5161" t="s">
        <v>360</v>
      </c>
      <c r="BN53" s="5162"/>
      <c r="BO53" s="5163"/>
      <c r="BP53" s="5161" t="s">
        <v>359</v>
      </c>
      <c r="BQ53" s="5162"/>
      <c r="BR53" s="5163"/>
      <c r="BS53" s="5161" t="s">
        <v>360</v>
      </c>
      <c r="BT53" s="5162"/>
      <c r="BU53" s="5163"/>
      <c r="BV53" s="5161" t="s">
        <v>359</v>
      </c>
      <c r="BW53" s="5162"/>
      <c r="BX53" s="5163"/>
      <c r="BY53" s="5161" t="s">
        <v>360</v>
      </c>
      <c r="BZ53" s="5162"/>
      <c r="CA53" s="5163"/>
      <c r="CB53" s="5161" t="s">
        <v>359</v>
      </c>
      <c r="CC53" s="5162"/>
      <c r="CD53" s="5163"/>
      <c r="CE53" s="5161" t="s">
        <v>360</v>
      </c>
      <c r="CF53" s="5162"/>
      <c r="CG53" s="5163"/>
      <c r="CH53" s="5161" t="s">
        <v>359</v>
      </c>
      <c r="CI53" s="5162"/>
      <c r="CJ53" s="5163"/>
      <c r="CK53" s="5161" t="s">
        <v>360</v>
      </c>
      <c r="CL53" s="5162"/>
      <c r="CM53" s="5163"/>
      <c r="CN53" s="5161" t="s">
        <v>359</v>
      </c>
      <c r="CO53" s="5162"/>
      <c r="CP53" s="5163"/>
      <c r="CR53" s="5161" t="s">
        <v>360</v>
      </c>
      <c r="CS53" s="5162"/>
      <c r="CT53" s="5163"/>
      <c r="CU53" s="5161" t="s">
        <v>359</v>
      </c>
      <c r="CV53" s="5162"/>
      <c r="CW53" s="5163"/>
      <c r="CX53" s="5161" t="s">
        <v>360</v>
      </c>
      <c r="CY53" s="5162"/>
      <c r="CZ53" s="5163"/>
      <c r="DA53" s="5161" t="s">
        <v>359</v>
      </c>
      <c r="DB53" s="5162"/>
      <c r="DC53" s="5163"/>
      <c r="DD53" s="5161" t="s">
        <v>360</v>
      </c>
      <c r="DE53" s="5162"/>
      <c r="DF53" s="5163"/>
      <c r="DG53" s="5161" t="s">
        <v>359</v>
      </c>
      <c r="DH53" s="5162"/>
      <c r="DI53" s="5163"/>
      <c r="DJ53" s="5161" t="s">
        <v>360</v>
      </c>
      <c r="DK53" s="5162"/>
      <c r="DL53" s="5163"/>
      <c r="DM53" s="5161" t="s">
        <v>359</v>
      </c>
      <c r="DN53" s="5162"/>
      <c r="DO53" s="5163"/>
      <c r="DP53" s="5161" t="s">
        <v>360</v>
      </c>
      <c r="DQ53" s="5162"/>
      <c r="DR53" s="5163"/>
      <c r="DS53" s="5161" t="s">
        <v>359</v>
      </c>
      <c r="DT53" s="5162"/>
      <c r="DU53" s="5163"/>
      <c r="DW53" s="5600" t="s">
        <v>358</v>
      </c>
      <c r="DX53" s="5601"/>
      <c r="DY53" s="5602"/>
      <c r="DZ53" s="5600" t="s">
        <v>357</v>
      </c>
      <c r="EA53" s="5601"/>
      <c r="EB53" s="5602"/>
      <c r="EC53" s="5600" t="s">
        <v>358</v>
      </c>
      <c r="ED53" s="5601"/>
      <c r="EE53" s="5602"/>
      <c r="EF53" s="5600" t="s">
        <v>357</v>
      </c>
      <c r="EG53" s="5601"/>
      <c r="EH53" s="5602"/>
      <c r="EI53" s="5600" t="s">
        <v>358</v>
      </c>
      <c r="EJ53" s="5601"/>
      <c r="EK53" s="5602"/>
      <c r="EL53" s="5600" t="s">
        <v>357</v>
      </c>
      <c r="EM53" s="5601"/>
      <c r="EN53" s="5602"/>
      <c r="EO53" s="5600" t="s">
        <v>358</v>
      </c>
      <c r="EP53" s="5601"/>
      <c r="EQ53" s="5602"/>
      <c r="ER53" s="5600" t="s">
        <v>357</v>
      </c>
      <c r="ES53" s="5601"/>
      <c r="ET53" s="5602"/>
      <c r="EU53" s="5600" t="s">
        <v>358</v>
      </c>
      <c r="EV53" s="5601"/>
      <c r="EW53" s="5602"/>
      <c r="EX53" s="5600" t="s">
        <v>357</v>
      </c>
      <c r="EY53" s="5601"/>
      <c r="EZ53" s="5602"/>
      <c r="FB53" s="5600" t="s">
        <v>358</v>
      </c>
      <c r="FC53" s="5601"/>
      <c r="FD53" s="5602"/>
      <c r="FE53" s="5600" t="s">
        <v>357</v>
      </c>
      <c r="FF53" s="5601"/>
      <c r="FG53" s="5602"/>
      <c r="FH53" s="5600" t="s">
        <v>358</v>
      </c>
      <c r="FI53" s="5601"/>
      <c r="FJ53" s="5602"/>
      <c r="FK53" s="5600" t="s">
        <v>357</v>
      </c>
      <c r="FL53" s="5601"/>
      <c r="FM53" s="5602"/>
      <c r="FN53" s="5600" t="s">
        <v>358</v>
      </c>
      <c r="FO53" s="5601"/>
      <c r="FP53" s="5602"/>
      <c r="FQ53" s="5600" t="s">
        <v>357</v>
      </c>
      <c r="FR53" s="5601"/>
      <c r="FS53" s="5602"/>
      <c r="FT53" s="5600" t="s">
        <v>358</v>
      </c>
      <c r="FU53" s="5601"/>
      <c r="FV53" s="5602"/>
      <c r="FW53" s="5600" t="s">
        <v>357</v>
      </c>
      <c r="FX53" s="5601"/>
      <c r="FY53" s="5602"/>
      <c r="FZ53" s="5600" t="s">
        <v>358</v>
      </c>
      <c r="GA53" s="5601"/>
      <c r="GB53" s="5602"/>
      <c r="GC53" s="5600" t="s">
        <v>357</v>
      </c>
      <c r="GD53" s="5601"/>
      <c r="GE53" s="5602"/>
      <c r="GG53" s="5600" t="s">
        <v>358</v>
      </c>
      <c r="GH53" s="5601"/>
      <c r="GI53" s="5602"/>
      <c r="GJ53" s="5600" t="s">
        <v>357</v>
      </c>
      <c r="GK53" s="5601"/>
      <c r="GL53" s="5602"/>
      <c r="GM53" s="5600" t="s">
        <v>358</v>
      </c>
      <c r="GN53" s="5601"/>
      <c r="GO53" s="5602"/>
      <c r="GP53" s="5600" t="s">
        <v>357</v>
      </c>
      <c r="GQ53" s="5601"/>
      <c r="GR53" s="5602"/>
      <c r="GS53" s="5600" t="s">
        <v>358</v>
      </c>
      <c r="GT53" s="5601"/>
      <c r="GU53" s="5602"/>
      <c r="GV53" s="5600" t="s">
        <v>357</v>
      </c>
      <c r="GW53" s="5601"/>
      <c r="GX53" s="5602"/>
      <c r="GY53" s="5600" t="s">
        <v>358</v>
      </c>
      <c r="GZ53" s="5601"/>
      <c r="HA53" s="5602"/>
      <c r="HB53" s="5600" t="s">
        <v>357</v>
      </c>
      <c r="HC53" s="5601"/>
      <c r="HD53" s="5602"/>
      <c r="HE53" s="5600" t="s">
        <v>358</v>
      </c>
      <c r="HF53" s="5601"/>
      <c r="HG53" s="5602"/>
      <c r="HH53" s="5600" t="s">
        <v>357</v>
      </c>
      <c r="HI53" s="5601"/>
      <c r="HJ53" s="5602"/>
      <c r="HL53" s="5600" t="s">
        <v>358</v>
      </c>
      <c r="HM53" s="5601"/>
      <c r="HN53" s="5602"/>
      <c r="HO53" s="5600" t="s">
        <v>357</v>
      </c>
      <c r="HP53" s="5601"/>
      <c r="HQ53" s="5602"/>
      <c r="HR53" s="5600" t="s">
        <v>358</v>
      </c>
      <c r="HS53" s="5601"/>
      <c r="HT53" s="5602"/>
      <c r="HU53" s="5600" t="s">
        <v>357</v>
      </c>
      <c r="HV53" s="5601"/>
      <c r="HW53" s="5602"/>
      <c r="HX53" s="5600" t="s">
        <v>358</v>
      </c>
      <c r="HY53" s="5601"/>
      <c r="HZ53" s="5602"/>
      <c r="IA53" s="5600" t="s">
        <v>357</v>
      </c>
      <c r="IB53" s="5601"/>
      <c r="IC53" s="5602"/>
      <c r="ID53" s="5600" t="s">
        <v>358</v>
      </c>
      <c r="IE53" s="5601"/>
      <c r="IF53" s="5602"/>
      <c r="IG53" s="5600" t="s">
        <v>357</v>
      </c>
      <c r="IH53" s="5601"/>
      <c r="II53" s="5602"/>
      <c r="IJ53" s="5600" t="s">
        <v>358</v>
      </c>
      <c r="IK53" s="5601"/>
      <c r="IL53" s="5602"/>
      <c r="IM53" s="5600" t="s">
        <v>357</v>
      </c>
      <c r="IN53" s="5601"/>
      <c r="IO53" s="5602"/>
      <c r="IQ53" s="27"/>
      <c r="IR53" s="27"/>
      <c r="IS53" s="27"/>
      <c r="IT53" s="27"/>
      <c r="IV53" s="41"/>
    </row>
    <row r="54" spans="1:256" s="25" customFormat="1" ht="20.399999999999999">
      <c r="A54" s="5686"/>
      <c r="C54" s="325" t="s">
        <v>20</v>
      </c>
      <c r="D54" s="324" t="s">
        <v>356</v>
      </c>
      <c r="E54" s="323" t="s">
        <v>355</v>
      </c>
      <c r="F54" s="325" t="s">
        <v>20</v>
      </c>
      <c r="G54" s="324" t="s">
        <v>356</v>
      </c>
      <c r="H54" s="323" t="s">
        <v>355</v>
      </c>
      <c r="I54" s="325" t="s">
        <v>20</v>
      </c>
      <c r="J54" s="324" t="s">
        <v>356</v>
      </c>
      <c r="K54" s="323" t="s">
        <v>355</v>
      </c>
      <c r="L54" s="325" t="s">
        <v>20</v>
      </c>
      <c r="M54" s="324" t="s">
        <v>356</v>
      </c>
      <c r="N54" s="323" t="s">
        <v>355</v>
      </c>
      <c r="O54" s="325" t="s">
        <v>20</v>
      </c>
      <c r="P54" s="324" t="s">
        <v>356</v>
      </c>
      <c r="Q54" s="323" t="s">
        <v>355</v>
      </c>
      <c r="R54" s="325" t="s">
        <v>20</v>
      </c>
      <c r="S54" s="324" t="s">
        <v>356</v>
      </c>
      <c r="T54" s="323" t="s">
        <v>355</v>
      </c>
      <c r="U54" s="325" t="s">
        <v>20</v>
      </c>
      <c r="V54" s="324" t="s">
        <v>356</v>
      </c>
      <c r="W54" s="323" t="s">
        <v>355</v>
      </c>
      <c r="X54" s="325" t="s">
        <v>20</v>
      </c>
      <c r="Y54" s="324" t="s">
        <v>356</v>
      </c>
      <c r="Z54" s="323" t="s">
        <v>355</v>
      </c>
      <c r="AA54" s="325" t="s">
        <v>20</v>
      </c>
      <c r="AB54" s="324" t="s">
        <v>356</v>
      </c>
      <c r="AC54" s="323" t="s">
        <v>355</v>
      </c>
      <c r="AD54" s="325" t="s">
        <v>20</v>
      </c>
      <c r="AE54" s="324" t="s">
        <v>356</v>
      </c>
      <c r="AF54" s="323" t="s">
        <v>355</v>
      </c>
      <c r="AH54" s="325" t="s">
        <v>20</v>
      </c>
      <c r="AI54" s="324" t="s">
        <v>356</v>
      </c>
      <c r="AJ54" s="323" t="s">
        <v>355</v>
      </c>
      <c r="AK54" s="325" t="s">
        <v>20</v>
      </c>
      <c r="AL54" s="324" t="s">
        <v>356</v>
      </c>
      <c r="AM54" s="323" t="s">
        <v>355</v>
      </c>
      <c r="AN54" s="325" t="s">
        <v>20</v>
      </c>
      <c r="AO54" s="324" t="s">
        <v>356</v>
      </c>
      <c r="AP54" s="323" t="s">
        <v>355</v>
      </c>
      <c r="AQ54" s="325" t="s">
        <v>20</v>
      </c>
      <c r="AR54" s="324" t="s">
        <v>356</v>
      </c>
      <c r="AS54" s="323" t="s">
        <v>355</v>
      </c>
      <c r="AT54" s="325" t="s">
        <v>20</v>
      </c>
      <c r="AU54" s="324" t="s">
        <v>356</v>
      </c>
      <c r="AV54" s="323" t="s">
        <v>355</v>
      </c>
      <c r="AW54" s="325" t="s">
        <v>20</v>
      </c>
      <c r="AX54" s="324" t="s">
        <v>356</v>
      </c>
      <c r="AY54" s="323" t="s">
        <v>355</v>
      </c>
      <c r="AZ54" s="325" t="s">
        <v>20</v>
      </c>
      <c r="BA54" s="324" t="s">
        <v>356</v>
      </c>
      <c r="BB54" s="323" t="s">
        <v>355</v>
      </c>
      <c r="BC54" s="325" t="s">
        <v>20</v>
      </c>
      <c r="BD54" s="324" t="s">
        <v>356</v>
      </c>
      <c r="BE54" s="323" t="s">
        <v>355</v>
      </c>
      <c r="BF54" s="325" t="s">
        <v>20</v>
      </c>
      <c r="BG54" s="324" t="s">
        <v>356</v>
      </c>
      <c r="BH54" s="323" t="s">
        <v>355</v>
      </c>
      <c r="BI54" s="325" t="s">
        <v>20</v>
      </c>
      <c r="BJ54" s="324" t="s">
        <v>356</v>
      </c>
      <c r="BK54" s="323" t="s">
        <v>355</v>
      </c>
      <c r="BM54" s="325" t="s">
        <v>20</v>
      </c>
      <c r="BN54" s="324" t="s">
        <v>356</v>
      </c>
      <c r="BO54" s="323" t="s">
        <v>355</v>
      </c>
      <c r="BP54" s="325" t="s">
        <v>20</v>
      </c>
      <c r="BQ54" s="324" t="s">
        <v>356</v>
      </c>
      <c r="BR54" s="323" t="s">
        <v>355</v>
      </c>
      <c r="BS54" s="325" t="s">
        <v>20</v>
      </c>
      <c r="BT54" s="324" t="s">
        <v>356</v>
      </c>
      <c r="BU54" s="323" t="s">
        <v>355</v>
      </c>
      <c r="BV54" s="325" t="s">
        <v>20</v>
      </c>
      <c r="BW54" s="324" t="s">
        <v>356</v>
      </c>
      <c r="BX54" s="323" t="s">
        <v>355</v>
      </c>
      <c r="BY54" s="325" t="s">
        <v>20</v>
      </c>
      <c r="BZ54" s="324" t="s">
        <v>356</v>
      </c>
      <c r="CA54" s="323" t="s">
        <v>355</v>
      </c>
      <c r="CB54" s="325" t="s">
        <v>20</v>
      </c>
      <c r="CC54" s="324" t="s">
        <v>356</v>
      </c>
      <c r="CD54" s="323" t="s">
        <v>355</v>
      </c>
      <c r="CE54" s="325" t="s">
        <v>20</v>
      </c>
      <c r="CF54" s="324" t="s">
        <v>356</v>
      </c>
      <c r="CG54" s="323" t="s">
        <v>355</v>
      </c>
      <c r="CH54" s="325" t="s">
        <v>20</v>
      </c>
      <c r="CI54" s="324" t="s">
        <v>356</v>
      </c>
      <c r="CJ54" s="323" t="s">
        <v>355</v>
      </c>
      <c r="CK54" s="325" t="s">
        <v>20</v>
      </c>
      <c r="CL54" s="324" t="s">
        <v>356</v>
      </c>
      <c r="CM54" s="323" t="s">
        <v>355</v>
      </c>
      <c r="CN54" s="325" t="s">
        <v>20</v>
      </c>
      <c r="CO54" s="324" t="s">
        <v>356</v>
      </c>
      <c r="CP54" s="323" t="s">
        <v>355</v>
      </c>
      <c r="CR54" s="325" t="s">
        <v>20</v>
      </c>
      <c r="CS54" s="324" t="s">
        <v>356</v>
      </c>
      <c r="CT54" s="323" t="s">
        <v>355</v>
      </c>
      <c r="CU54" s="325" t="s">
        <v>20</v>
      </c>
      <c r="CV54" s="324" t="s">
        <v>356</v>
      </c>
      <c r="CW54" s="323" t="s">
        <v>355</v>
      </c>
      <c r="CX54" s="325" t="s">
        <v>20</v>
      </c>
      <c r="CY54" s="324" t="s">
        <v>356</v>
      </c>
      <c r="CZ54" s="323" t="s">
        <v>355</v>
      </c>
      <c r="DA54" s="325" t="s">
        <v>20</v>
      </c>
      <c r="DB54" s="324" t="s">
        <v>356</v>
      </c>
      <c r="DC54" s="323" t="s">
        <v>355</v>
      </c>
      <c r="DD54" s="325" t="s">
        <v>20</v>
      </c>
      <c r="DE54" s="324" t="s">
        <v>356</v>
      </c>
      <c r="DF54" s="323" t="s">
        <v>355</v>
      </c>
      <c r="DG54" s="325" t="s">
        <v>20</v>
      </c>
      <c r="DH54" s="324" t="s">
        <v>356</v>
      </c>
      <c r="DI54" s="323" t="s">
        <v>355</v>
      </c>
      <c r="DJ54" s="325" t="s">
        <v>20</v>
      </c>
      <c r="DK54" s="324" t="s">
        <v>356</v>
      </c>
      <c r="DL54" s="323" t="s">
        <v>355</v>
      </c>
      <c r="DM54" s="325" t="s">
        <v>20</v>
      </c>
      <c r="DN54" s="324" t="s">
        <v>356</v>
      </c>
      <c r="DO54" s="323" t="s">
        <v>355</v>
      </c>
      <c r="DP54" s="325" t="s">
        <v>20</v>
      </c>
      <c r="DQ54" s="324" t="s">
        <v>356</v>
      </c>
      <c r="DR54" s="323" t="s">
        <v>355</v>
      </c>
      <c r="DS54" s="325" t="s">
        <v>20</v>
      </c>
      <c r="DT54" s="324" t="s">
        <v>356</v>
      </c>
      <c r="DU54" s="323" t="s">
        <v>355</v>
      </c>
      <c r="DW54" s="325" t="s">
        <v>20</v>
      </c>
      <c r="DX54" s="324" t="s">
        <v>356</v>
      </c>
      <c r="DY54" s="323" t="s">
        <v>355</v>
      </c>
      <c r="DZ54" s="325" t="s">
        <v>20</v>
      </c>
      <c r="EA54" s="324" t="s">
        <v>356</v>
      </c>
      <c r="EB54" s="323" t="s">
        <v>355</v>
      </c>
      <c r="EC54" s="325" t="s">
        <v>20</v>
      </c>
      <c r="ED54" s="324" t="s">
        <v>356</v>
      </c>
      <c r="EE54" s="323" t="s">
        <v>355</v>
      </c>
      <c r="EF54" s="325" t="s">
        <v>20</v>
      </c>
      <c r="EG54" s="324" t="s">
        <v>356</v>
      </c>
      <c r="EH54" s="323" t="s">
        <v>355</v>
      </c>
      <c r="EI54" s="325" t="s">
        <v>20</v>
      </c>
      <c r="EJ54" s="324" t="s">
        <v>356</v>
      </c>
      <c r="EK54" s="323" t="s">
        <v>355</v>
      </c>
      <c r="EL54" s="325" t="s">
        <v>20</v>
      </c>
      <c r="EM54" s="324" t="s">
        <v>356</v>
      </c>
      <c r="EN54" s="323" t="s">
        <v>355</v>
      </c>
      <c r="EO54" s="325" t="s">
        <v>20</v>
      </c>
      <c r="EP54" s="324" t="s">
        <v>356</v>
      </c>
      <c r="EQ54" s="323" t="s">
        <v>355</v>
      </c>
      <c r="ER54" s="325" t="s">
        <v>20</v>
      </c>
      <c r="ES54" s="324" t="s">
        <v>356</v>
      </c>
      <c r="ET54" s="323" t="s">
        <v>355</v>
      </c>
      <c r="EU54" s="325" t="s">
        <v>20</v>
      </c>
      <c r="EV54" s="324" t="s">
        <v>356</v>
      </c>
      <c r="EW54" s="323" t="s">
        <v>355</v>
      </c>
      <c r="EX54" s="325" t="s">
        <v>20</v>
      </c>
      <c r="EY54" s="324" t="s">
        <v>356</v>
      </c>
      <c r="EZ54" s="323" t="s">
        <v>355</v>
      </c>
      <c r="FB54" s="325" t="s">
        <v>20</v>
      </c>
      <c r="FC54" s="324" t="s">
        <v>356</v>
      </c>
      <c r="FD54" s="323" t="s">
        <v>355</v>
      </c>
      <c r="FE54" s="325" t="s">
        <v>20</v>
      </c>
      <c r="FF54" s="324" t="s">
        <v>356</v>
      </c>
      <c r="FG54" s="323" t="s">
        <v>355</v>
      </c>
      <c r="FH54" s="325" t="s">
        <v>20</v>
      </c>
      <c r="FI54" s="324" t="s">
        <v>356</v>
      </c>
      <c r="FJ54" s="323" t="s">
        <v>355</v>
      </c>
      <c r="FK54" s="325" t="s">
        <v>20</v>
      </c>
      <c r="FL54" s="324" t="s">
        <v>356</v>
      </c>
      <c r="FM54" s="323" t="s">
        <v>355</v>
      </c>
      <c r="FN54" s="325" t="s">
        <v>20</v>
      </c>
      <c r="FO54" s="324" t="s">
        <v>356</v>
      </c>
      <c r="FP54" s="323" t="s">
        <v>355</v>
      </c>
      <c r="FQ54" s="325" t="s">
        <v>20</v>
      </c>
      <c r="FR54" s="324" t="s">
        <v>356</v>
      </c>
      <c r="FS54" s="323" t="s">
        <v>355</v>
      </c>
      <c r="FT54" s="325" t="s">
        <v>20</v>
      </c>
      <c r="FU54" s="324" t="s">
        <v>356</v>
      </c>
      <c r="FV54" s="323" t="s">
        <v>355</v>
      </c>
      <c r="FW54" s="325" t="s">
        <v>20</v>
      </c>
      <c r="FX54" s="324" t="s">
        <v>356</v>
      </c>
      <c r="FY54" s="323" t="s">
        <v>355</v>
      </c>
      <c r="FZ54" s="325" t="s">
        <v>20</v>
      </c>
      <c r="GA54" s="324" t="s">
        <v>356</v>
      </c>
      <c r="GB54" s="323" t="s">
        <v>355</v>
      </c>
      <c r="GC54" s="325" t="s">
        <v>20</v>
      </c>
      <c r="GD54" s="324" t="s">
        <v>356</v>
      </c>
      <c r="GE54" s="323" t="s">
        <v>355</v>
      </c>
      <c r="GG54" s="325" t="s">
        <v>20</v>
      </c>
      <c r="GH54" s="324" t="s">
        <v>356</v>
      </c>
      <c r="GI54" s="323" t="s">
        <v>355</v>
      </c>
      <c r="GJ54" s="325" t="s">
        <v>20</v>
      </c>
      <c r="GK54" s="324" t="s">
        <v>356</v>
      </c>
      <c r="GL54" s="323" t="s">
        <v>355</v>
      </c>
      <c r="GM54" s="325" t="s">
        <v>20</v>
      </c>
      <c r="GN54" s="324" t="s">
        <v>356</v>
      </c>
      <c r="GO54" s="323" t="s">
        <v>355</v>
      </c>
      <c r="GP54" s="325" t="s">
        <v>20</v>
      </c>
      <c r="GQ54" s="324" t="s">
        <v>356</v>
      </c>
      <c r="GR54" s="323" t="s">
        <v>355</v>
      </c>
      <c r="GS54" s="325" t="s">
        <v>20</v>
      </c>
      <c r="GT54" s="324" t="s">
        <v>356</v>
      </c>
      <c r="GU54" s="323" t="s">
        <v>355</v>
      </c>
      <c r="GV54" s="325" t="s">
        <v>20</v>
      </c>
      <c r="GW54" s="324" t="s">
        <v>356</v>
      </c>
      <c r="GX54" s="323" t="s">
        <v>355</v>
      </c>
      <c r="GY54" s="325" t="s">
        <v>20</v>
      </c>
      <c r="GZ54" s="324" t="s">
        <v>356</v>
      </c>
      <c r="HA54" s="323" t="s">
        <v>355</v>
      </c>
      <c r="HB54" s="325" t="s">
        <v>20</v>
      </c>
      <c r="HC54" s="324" t="s">
        <v>356</v>
      </c>
      <c r="HD54" s="323" t="s">
        <v>355</v>
      </c>
      <c r="HE54" s="325" t="s">
        <v>20</v>
      </c>
      <c r="HF54" s="324" t="s">
        <v>356</v>
      </c>
      <c r="HG54" s="323" t="s">
        <v>355</v>
      </c>
      <c r="HH54" s="325" t="s">
        <v>20</v>
      </c>
      <c r="HI54" s="324" t="s">
        <v>356</v>
      </c>
      <c r="HJ54" s="323" t="s">
        <v>355</v>
      </c>
      <c r="HL54" s="325" t="s">
        <v>20</v>
      </c>
      <c r="HM54" s="324" t="s">
        <v>356</v>
      </c>
      <c r="HN54" s="323" t="s">
        <v>355</v>
      </c>
      <c r="HO54" s="325" t="s">
        <v>20</v>
      </c>
      <c r="HP54" s="324" t="s">
        <v>356</v>
      </c>
      <c r="HQ54" s="323" t="s">
        <v>355</v>
      </c>
      <c r="HR54" s="325" t="s">
        <v>20</v>
      </c>
      <c r="HS54" s="324" t="s">
        <v>356</v>
      </c>
      <c r="HT54" s="323" t="s">
        <v>355</v>
      </c>
      <c r="HU54" s="325" t="s">
        <v>20</v>
      </c>
      <c r="HV54" s="324" t="s">
        <v>356</v>
      </c>
      <c r="HW54" s="323" t="s">
        <v>355</v>
      </c>
      <c r="HX54" s="325" t="s">
        <v>20</v>
      </c>
      <c r="HY54" s="324" t="s">
        <v>356</v>
      </c>
      <c r="HZ54" s="323" t="s">
        <v>355</v>
      </c>
      <c r="IA54" s="325" t="s">
        <v>20</v>
      </c>
      <c r="IB54" s="324" t="s">
        <v>356</v>
      </c>
      <c r="IC54" s="323" t="s">
        <v>355</v>
      </c>
      <c r="ID54" s="325" t="s">
        <v>20</v>
      </c>
      <c r="IE54" s="324" t="s">
        <v>356</v>
      </c>
      <c r="IF54" s="323" t="s">
        <v>355</v>
      </c>
      <c r="IG54" s="325" t="s">
        <v>20</v>
      </c>
      <c r="IH54" s="324" t="s">
        <v>356</v>
      </c>
      <c r="II54" s="323" t="s">
        <v>355</v>
      </c>
      <c r="IJ54" s="325" t="s">
        <v>20</v>
      </c>
      <c r="IK54" s="324" t="s">
        <v>356</v>
      </c>
      <c r="IL54" s="323" t="s">
        <v>355</v>
      </c>
      <c r="IM54" s="325" t="s">
        <v>20</v>
      </c>
      <c r="IN54" s="324" t="s">
        <v>356</v>
      </c>
      <c r="IO54" s="323" t="s">
        <v>355</v>
      </c>
      <c r="IV54" s="41"/>
    </row>
    <row r="55" spans="1:256" s="25" customFormat="1" ht="13.5" customHeight="1" thickBot="1">
      <c r="A55" s="5686"/>
      <c r="C55" s="259">
        <f>I55+O55+U55+AA55</f>
        <v>0</v>
      </c>
      <c r="D55" s="251">
        <f>J55+P55+V55+AB55</f>
        <v>0</v>
      </c>
      <c r="E55" s="254">
        <f>(C55-D55)</f>
        <v>0</v>
      </c>
      <c r="F55" s="322">
        <f>((C55)/($AY$7+0.00001))*100</f>
        <v>0</v>
      </c>
      <c r="G55" s="257">
        <f>((D55)/($AX$7+0.00001))*100</f>
        <v>0</v>
      </c>
      <c r="H55" s="321">
        <f>((E55)/($AI$7+0.00001))*100</f>
        <v>0</v>
      </c>
      <c r="I55" s="259">
        <f>'الصفحة 10'!$F$66</f>
        <v>0</v>
      </c>
      <c r="J55" s="251">
        <f>'الصفحة 10'!$G$66</f>
        <v>0</v>
      </c>
      <c r="K55" s="254">
        <f>(I55-J55)</f>
        <v>0</v>
      </c>
      <c r="L55" s="322">
        <f>((I55)/($AM$7+0.00001))*100</f>
        <v>0</v>
      </c>
      <c r="M55" s="257">
        <f>((J55)/($AL$7+0.00001))*100</f>
        <v>0</v>
      </c>
      <c r="N55" s="321">
        <f>((K55)/($W$7+0.00001))*100</f>
        <v>0</v>
      </c>
      <c r="O55" s="259">
        <f>'الصفحة 10'!$H$66</f>
        <v>0</v>
      </c>
      <c r="P55" s="251">
        <f>'الصفحة 10'!$I$66</f>
        <v>0</v>
      </c>
      <c r="Q55" s="254">
        <f>(O55-P55)</f>
        <v>0</v>
      </c>
      <c r="R55" s="322">
        <f>((O55)/($AP$7+0.00001))*100</f>
        <v>0</v>
      </c>
      <c r="S55" s="257">
        <f>((P55)/($AO$7+0.00001))*100</f>
        <v>0</v>
      </c>
      <c r="T55" s="321">
        <f>((Q55)/($Z$7+0.00001))*100</f>
        <v>0</v>
      </c>
      <c r="U55" s="259">
        <f>'الصفحة 10'!$J$66</f>
        <v>0</v>
      </c>
      <c r="V55" s="251">
        <f>'الصفحة 10'!$K$66</f>
        <v>0</v>
      </c>
      <c r="W55" s="254">
        <f>(U55-V55)</f>
        <v>0</v>
      </c>
      <c r="X55" s="322">
        <f>((U55)/($AS$7+0.00001))*100</f>
        <v>0</v>
      </c>
      <c r="Y55" s="257">
        <f>((V55)/($AR$7+0.00001))*100</f>
        <v>0</v>
      </c>
      <c r="Z55" s="321">
        <f>((W55)/($AC$7+0.00001))*100</f>
        <v>0</v>
      </c>
      <c r="AA55" s="259">
        <f>'الصفحة 10'!$L$66</f>
        <v>0</v>
      </c>
      <c r="AB55" s="251">
        <f>'الصفحة 10'!$M$66</f>
        <v>0</v>
      </c>
      <c r="AC55" s="254">
        <f>(AA55-AB55)</f>
        <v>0</v>
      </c>
      <c r="AD55" s="322">
        <f>((AA55)/($AV$7+0.00001))*100</f>
        <v>0</v>
      </c>
      <c r="AE55" s="257">
        <f>((AB55)/($AU$7+0.00001))*100</f>
        <v>0</v>
      </c>
      <c r="AF55" s="321">
        <f>((AC55)/($AF$7+0.00001))*100</f>
        <v>0</v>
      </c>
      <c r="AH55" s="259">
        <f>AN55+AT55+AZ55+BF55</f>
        <v>0</v>
      </c>
      <c r="AI55" s="251">
        <f>AO55+AU55+BA55+BG55</f>
        <v>0</v>
      </c>
      <c r="AJ55" s="254">
        <f>(AH55-AI55)</f>
        <v>0</v>
      </c>
      <c r="AK55" s="322">
        <f>((AH55)/($AY$7+0.00001))*100</f>
        <v>0</v>
      </c>
      <c r="AL55" s="257">
        <f>((AI55)/($AX$7+0.00001))*100</f>
        <v>0</v>
      </c>
      <c r="AM55" s="321">
        <f>((AJ55)/($AI$7+0.00001))*100</f>
        <v>0</v>
      </c>
      <c r="AN55" s="259">
        <f>'الصفحة 10'!$F$67</f>
        <v>0</v>
      </c>
      <c r="AO55" s="251">
        <f>'الصفحة 10'!$G$67</f>
        <v>0</v>
      </c>
      <c r="AP55" s="254">
        <f>(AN55-AO55)</f>
        <v>0</v>
      </c>
      <c r="AQ55" s="322">
        <f>((AN55)/($AM$7+0.00001))*100</f>
        <v>0</v>
      </c>
      <c r="AR55" s="257">
        <f>((AO55)/($AL$7+0.00001))*100</f>
        <v>0</v>
      </c>
      <c r="AS55" s="321">
        <f>((AP55)/($W$7+0.00001))*100</f>
        <v>0</v>
      </c>
      <c r="AT55" s="259">
        <f>'الصفحة 10'!$H$67</f>
        <v>0</v>
      </c>
      <c r="AU55" s="251">
        <f>'الصفحة 10'!$I$67</f>
        <v>0</v>
      </c>
      <c r="AV55" s="254">
        <f>(AT55-AU55)</f>
        <v>0</v>
      </c>
      <c r="AW55" s="322">
        <f>((AT55)/($AP$7+0.00001))*100</f>
        <v>0</v>
      </c>
      <c r="AX55" s="257">
        <f>((AU55)/($AO$7+0.00001))*100</f>
        <v>0</v>
      </c>
      <c r="AY55" s="321">
        <f>((AV55)/($Z$7+0.00001))*100</f>
        <v>0</v>
      </c>
      <c r="AZ55" s="259">
        <f>'الصفحة 10'!$J$67</f>
        <v>0</v>
      </c>
      <c r="BA55" s="251">
        <f>'الصفحة 10'!$K$67</f>
        <v>0</v>
      </c>
      <c r="BB55" s="254">
        <f>(AZ55-BA55)</f>
        <v>0</v>
      </c>
      <c r="BC55" s="322">
        <f>((AZ55)/($AS$7+0.00001))*100</f>
        <v>0</v>
      </c>
      <c r="BD55" s="257">
        <f>((BA55)/($AR$7+0.00001))*100</f>
        <v>0</v>
      </c>
      <c r="BE55" s="321">
        <f>((BB55)/($AC$7+0.00001))*100</f>
        <v>0</v>
      </c>
      <c r="BF55" s="259">
        <f>'الصفحة 10'!$L$67</f>
        <v>0</v>
      </c>
      <c r="BG55" s="251">
        <f>'الصفحة 10'!$M$67</f>
        <v>0</v>
      </c>
      <c r="BH55" s="254">
        <f>(BF55-BG55)</f>
        <v>0</v>
      </c>
      <c r="BI55" s="322">
        <f>((BF55)/($AV$7+0.00001))*100</f>
        <v>0</v>
      </c>
      <c r="BJ55" s="257">
        <f>((BG55)/($AU$7+0.00001))*100</f>
        <v>0</v>
      </c>
      <c r="BK55" s="321">
        <f>((BH55)/($AF$7+0.00001))*100</f>
        <v>0</v>
      </c>
      <c r="BM55" s="259">
        <f>BS55+BY55+CE55+CK55</f>
        <v>0</v>
      </c>
      <c r="BN55" s="251">
        <f>BT55+BZ55+CF55+CL55</f>
        <v>0</v>
      </c>
      <c r="BO55" s="254">
        <f>(BM55-BN55)</f>
        <v>0</v>
      </c>
      <c r="BP55" s="322">
        <f>((BM55)/($AY$7+0.00001))*100</f>
        <v>0</v>
      </c>
      <c r="BQ55" s="257">
        <f>((BN55)/($AX$7+0.00001))*100</f>
        <v>0</v>
      </c>
      <c r="BR55" s="321">
        <f>((BO55)/($AI$7+0.00001))*100</f>
        <v>0</v>
      </c>
      <c r="BS55" s="259">
        <f>'الصفحة 10'!$F$68</f>
        <v>0</v>
      </c>
      <c r="BT55" s="251">
        <f>'الصفحة 10'!$G$68</f>
        <v>0</v>
      </c>
      <c r="BU55" s="254">
        <f>(BS55-BT55)</f>
        <v>0</v>
      </c>
      <c r="BV55" s="322">
        <f>((BS55)/($AM$7+0.00001))*100</f>
        <v>0</v>
      </c>
      <c r="BW55" s="257">
        <f>((BT55)/($AL$7+0.00001))*100</f>
        <v>0</v>
      </c>
      <c r="BX55" s="321">
        <f>((BU55)/($W$7+0.00001))*100</f>
        <v>0</v>
      </c>
      <c r="BY55" s="259">
        <f>'الصفحة 10'!$H$68</f>
        <v>0</v>
      </c>
      <c r="BZ55" s="251">
        <f>'الصفحة 10'!$I$68</f>
        <v>0</v>
      </c>
      <c r="CA55" s="254">
        <f>(BY55-BZ55)</f>
        <v>0</v>
      </c>
      <c r="CB55" s="322">
        <f>((BY55)/($AP$7+0.00001))*100</f>
        <v>0</v>
      </c>
      <c r="CC55" s="257">
        <f>((BZ55)/($AO$7+0.00001))*100</f>
        <v>0</v>
      </c>
      <c r="CD55" s="321">
        <f>((CA55)/($Z$7+0.00001))*100</f>
        <v>0</v>
      </c>
      <c r="CE55" s="259">
        <f>'الصفحة 10'!$J$68</f>
        <v>0</v>
      </c>
      <c r="CF55" s="251">
        <f>'الصفحة 10'!$K$68</f>
        <v>0</v>
      </c>
      <c r="CG55" s="254">
        <f>(CE55-CF55)</f>
        <v>0</v>
      </c>
      <c r="CH55" s="322">
        <f>((CE55)/($AS$7+0.00001))*100</f>
        <v>0</v>
      </c>
      <c r="CI55" s="257">
        <f>((CF55)/($AR$7+0.00001))*100</f>
        <v>0</v>
      </c>
      <c r="CJ55" s="321">
        <f>((CG55)/($AC$7+0.00001))*100</f>
        <v>0</v>
      </c>
      <c r="CK55" s="259">
        <f>'الصفحة 10'!$L$68</f>
        <v>0</v>
      </c>
      <c r="CL55" s="251">
        <f>'الصفحة 10'!$M$68</f>
        <v>0</v>
      </c>
      <c r="CM55" s="254">
        <f>(CK55-CL55)</f>
        <v>0</v>
      </c>
      <c r="CN55" s="322">
        <f>((CK55)/($AV$7+0.00001))*100</f>
        <v>0</v>
      </c>
      <c r="CO55" s="257">
        <f>((CL55)/($AU$7+0.00001))*100</f>
        <v>0</v>
      </c>
      <c r="CP55" s="321">
        <f>((CM55)/($AF$7+0.00001))*100</f>
        <v>0</v>
      </c>
      <c r="CR55" s="259">
        <f>CX55+DD55+DJ55+DP55</f>
        <v>0</v>
      </c>
      <c r="CS55" s="251">
        <f>CY55+DE55+DK55+DQ55</f>
        <v>0</v>
      </c>
      <c r="CT55" s="254">
        <f>(CR55-CS55)</f>
        <v>0</v>
      </c>
      <c r="CU55" s="322">
        <f>((CR55)/($AY$7+0.00001))*100</f>
        <v>0</v>
      </c>
      <c r="CV55" s="257">
        <f>((CS55)/($AX$7+0.00001))*100</f>
        <v>0</v>
      </c>
      <c r="CW55" s="321">
        <f>((CT55)/($AI$7+0.00001))*100</f>
        <v>0</v>
      </c>
      <c r="CX55" s="259">
        <f>'الصفحة 10'!$F$70</f>
        <v>0</v>
      </c>
      <c r="CY55" s="251">
        <f>'الصفحة 10'!$G$70</f>
        <v>0</v>
      </c>
      <c r="CZ55" s="254">
        <f>(CX55-CY55)</f>
        <v>0</v>
      </c>
      <c r="DA55" s="322">
        <f>((CX55)/($AM$7+0.00001))*100</f>
        <v>0</v>
      </c>
      <c r="DB55" s="257">
        <f>((CY55)/($AL$7+0.00001))*100</f>
        <v>0</v>
      </c>
      <c r="DC55" s="321">
        <f>((CZ55)/($W$7+0.00001))*100</f>
        <v>0</v>
      </c>
      <c r="DD55" s="259">
        <f>'الصفحة 10'!$H$70</f>
        <v>0</v>
      </c>
      <c r="DE55" s="251">
        <f>'الصفحة 10'!$I$70</f>
        <v>0</v>
      </c>
      <c r="DF55" s="254">
        <f>(DD55-DE55)</f>
        <v>0</v>
      </c>
      <c r="DG55" s="322">
        <f>((DD55)/($AP$7+0.00001))*100</f>
        <v>0</v>
      </c>
      <c r="DH55" s="257">
        <f>((DE55)/($AO$7+0.00001))*100</f>
        <v>0</v>
      </c>
      <c r="DI55" s="321">
        <f>((DF55)/($Z$7+0.00001))*100</f>
        <v>0</v>
      </c>
      <c r="DJ55" s="259">
        <f>'الصفحة 10'!$J$70</f>
        <v>0</v>
      </c>
      <c r="DK55" s="251">
        <f>'الصفحة 10'!$K$70</f>
        <v>0</v>
      </c>
      <c r="DL55" s="254">
        <f>(DJ55-DK55)</f>
        <v>0</v>
      </c>
      <c r="DM55" s="322">
        <f>((DJ55)/($AS$7+0.00001))*100</f>
        <v>0</v>
      </c>
      <c r="DN55" s="257">
        <f>((DK55)/($AR$7+0.00001))*100</f>
        <v>0</v>
      </c>
      <c r="DO55" s="321">
        <f>((DL55)/($AC$7+0.00001))*100</f>
        <v>0</v>
      </c>
      <c r="DP55" s="259">
        <f>'الصفحة 10'!$L$70</f>
        <v>0</v>
      </c>
      <c r="DQ55" s="251">
        <f>'الصفحة 10'!$M$70</f>
        <v>0</v>
      </c>
      <c r="DR55" s="254">
        <f>(DP55-DQ55)</f>
        <v>0</v>
      </c>
      <c r="DS55" s="322">
        <f>((DP55)/($AV$7+0.00001))*100</f>
        <v>0</v>
      </c>
      <c r="DT55" s="257">
        <f>((DQ55)/($AU$7+0.00001))*100</f>
        <v>0</v>
      </c>
      <c r="DU55" s="321">
        <f>((DR55)/($AF$7+0.00001))*100</f>
        <v>0</v>
      </c>
      <c r="DW55" s="259">
        <f>EC55+EI55+EO55+EU55</f>
        <v>0</v>
      </c>
      <c r="DX55" s="251">
        <f>ED55+EJ55+EP55+EV55</f>
        <v>0</v>
      </c>
      <c r="DY55" s="254">
        <f>(DW55-DX55)</f>
        <v>0</v>
      </c>
      <c r="DZ55" s="322">
        <f>((DW55)/($AY$7+0.00001))*100</f>
        <v>0</v>
      </c>
      <c r="EA55" s="257">
        <f>((DX55)/($AX$7+0.00001))*100</f>
        <v>0</v>
      </c>
      <c r="EB55" s="321">
        <f>((DY55)/($AI$7+0.00001))*100</f>
        <v>0</v>
      </c>
      <c r="EC55" s="259">
        <f>'الصفحة 10'!$F$79</f>
        <v>0</v>
      </c>
      <c r="ED55" s="251">
        <f>'الصفحة 10'!$G$79</f>
        <v>0</v>
      </c>
      <c r="EE55" s="254">
        <f>(EC55-ED55)</f>
        <v>0</v>
      </c>
      <c r="EF55" s="322">
        <f>((EC55)/($AM$7+0.00001))*100</f>
        <v>0</v>
      </c>
      <c r="EG55" s="257">
        <f>((ED55)/($AL$7+0.00001))*100</f>
        <v>0</v>
      </c>
      <c r="EH55" s="321">
        <f>((EE55)/($W$7+0.00001))*100</f>
        <v>0</v>
      </c>
      <c r="EI55" s="259">
        <f>'الصفحة 10'!$H$79</f>
        <v>0</v>
      </c>
      <c r="EJ55" s="251">
        <f>'الصفحة 10'!$I$79</f>
        <v>0</v>
      </c>
      <c r="EK55" s="254">
        <f>(EI55-EJ55)</f>
        <v>0</v>
      </c>
      <c r="EL55" s="322">
        <f>((EI55)/($AP$7+0.00001))*100</f>
        <v>0</v>
      </c>
      <c r="EM55" s="257">
        <f>((EJ55)/($AO$7+0.00001))*100</f>
        <v>0</v>
      </c>
      <c r="EN55" s="321">
        <f>((EK55)/($Z$7+0.00001))*100</f>
        <v>0</v>
      </c>
      <c r="EO55" s="259">
        <f>'الصفحة 10'!$J$79</f>
        <v>0</v>
      </c>
      <c r="EP55" s="251">
        <f>'الصفحة 10'!$K$79</f>
        <v>0</v>
      </c>
      <c r="EQ55" s="254">
        <f>(EO55-EP55)</f>
        <v>0</v>
      </c>
      <c r="ER55" s="322">
        <f>((EO55)/($AS$7+0.00001))*100</f>
        <v>0</v>
      </c>
      <c r="ES55" s="257">
        <f>((EP55)/($AR$7+0.00001))*100</f>
        <v>0</v>
      </c>
      <c r="ET55" s="321">
        <f>((EQ55)/($AC$7+0.00001))*100</f>
        <v>0</v>
      </c>
      <c r="EU55" s="259">
        <f>'الصفحة 10'!$L$79</f>
        <v>0</v>
      </c>
      <c r="EV55" s="251">
        <f>'الصفحة 10'!$M$79</f>
        <v>0</v>
      </c>
      <c r="EW55" s="254">
        <f>(EU55-EV55)</f>
        <v>0</v>
      </c>
      <c r="EX55" s="322">
        <f>((EU55)/($AV$7+0.00001))*100</f>
        <v>0</v>
      </c>
      <c r="EY55" s="257">
        <f>((EV55)/($AU$7+0.00001))*100</f>
        <v>0</v>
      </c>
      <c r="EZ55" s="321">
        <f>((EW55)/($AF$7+0.00001))*100</f>
        <v>0</v>
      </c>
      <c r="FB55" s="259">
        <f>FH55+FN55+FT55+FZ55</f>
        <v>0</v>
      </c>
      <c r="FC55" s="251">
        <f>FI55+FO55+FU55+GA55</f>
        <v>0</v>
      </c>
      <c r="FD55" s="254">
        <f>(FB55-FC55)</f>
        <v>0</v>
      </c>
      <c r="FE55" s="322">
        <f>((FB55)/($AY$7+0.00001))*100</f>
        <v>0</v>
      </c>
      <c r="FF55" s="257">
        <f>((FC55)/($AX$7+0.00001))*100</f>
        <v>0</v>
      </c>
      <c r="FG55" s="321">
        <f>((FD55)/($AI$7+0.00001))*100</f>
        <v>0</v>
      </c>
      <c r="FH55" s="259">
        <f>'الصفحة 10'!$F$76</f>
        <v>0</v>
      </c>
      <c r="FI55" s="251">
        <f>'الصفحة 10'!$G$76</f>
        <v>0</v>
      </c>
      <c r="FJ55" s="254">
        <f>(FH55-FI55)</f>
        <v>0</v>
      </c>
      <c r="FK55" s="322">
        <f>((FH55)/($AM$7+0.00001))*100</f>
        <v>0</v>
      </c>
      <c r="FL55" s="257">
        <f>((FI55)/($AL$7+0.00001))*100</f>
        <v>0</v>
      </c>
      <c r="FM55" s="321">
        <f>((FJ55)/($W$7+0.00001))*100</f>
        <v>0</v>
      </c>
      <c r="FN55" s="259">
        <f>'الصفحة 10'!$H$76</f>
        <v>0</v>
      </c>
      <c r="FO55" s="251">
        <f>'الصفحة 10'!$I$76</f>
        <v>0</v>
      </c>
      <c r="FP55" s="254">
        <f>(FN55-FO55)</f>
        <v>0</v>
      </c>
      <c r="FQ55" s="322">
        <f>((FN55)/($AP$7+0.00001))*100</f>
        <v>0</v>
      </c>
      <c r="FR55" s="257">
        <f>((FO55)/($AO$7+0.00001))*100</f>
        <v>0</v>
      </c>
      <c r="FS55" s="321">
        <f>((FP55)/($Z$7+0.00001))*100</f>
        <v>0</v>
      </c>
      <c r="FT55" s="259">
        <f>'الصفحة 10'!$J$76</f>
        <v>0</v>
      </c>
      <c r="FU55" s="251">
        <f>'الصفحة 10'!$K$76</f>
        <v>0</v>
      </c>
      <c r="FV55" s="254">
        <f>(FT55-FU55)</f>
        <v>0</v>
      </c>
      <c r="FW55" s="322">
        <f>((FT55)/($AS$7+0.00001))*100</f>
        <v>0</v>
      </c>
      <c r="FX55" s="257">
        <f>((FU55)/($AR$7+0.00001))*100</f>
        <v>0</v>
      </c>
      <c r="FY55" s="321">
        <f>((FV55)/($AC$7+0.00001))*100</f>
        <v>0</v>
      </c>
      <c r="FZ55" s="259">
        <f>'الصفحة 10'!$L$76</f>
        <v>0</v>
      </c>
      <c r="GA55" s="251">
        <f>'الصفحة 10'!$M$76</f>
        <v>0</v>
      </c>
      <c r="GB55" s="254">
        <f>(FZ55-GA55)</f>
        <v>0</v>
      </c>
      <c r="GC55" s="322">
        <f>((FZ55)/($AV$7+0.00001))*100</f>
        <v>0</v>
      </c>
      <c r="GD55" s="257">
        <f>((GA55)/($AU$7+0.00001))*100</f>
        <v>0</v>
      </c>
      <c r="GE55" s="321">
        <f>((GB55)/($AF$7+0.00001))*100</f>
        <v>0</v>
      </c>
      <c r="GG55" s="259">
        <f>GM55+GS55+GY55+HE55</f>
        <v>0</v>
      </c>
      <c r="GH55" s="251">
        <f>GN55+GT55+GZ55+HF55</f>
        <v>0</v>
      </c>
      <c r="GI55" s="254">
        <f>(GG55-GH55)</f>
        <v>0</v>
      </c>
      <c r="GJ55" s="322">
        <f>((GG55)/($AY$7+0.00001))*100</f>
        <v>0</v>
      </c>
      <c r="GK55" s="257">
        <f>((GH55)/($AX$7+0.00001))*100</f>
        <v>0</v>
      </c>
      <c r="GL55" s="321">
        <f>((GI55)/($AI$7+0.00001))*100</f>
        <v>0</v>
      </c>
      <c r="GM55" s="259">
        <f>'الصفحة 10'!$F$77</f>
        <v>0</v>
      </c>
      <c r="GN55" s="251">
        <f>'الصفحة 10'!$G$77</f>
        <v>0</v>
      </c>
      <c r="GO55" s="254">
        <f>(GM55-GN55)</f>
        <v>0</v>
      </c>
      <c r="GP55" s="322">
        <f>((GM55)/($AM$7+0.00001))*100</f>
        <v>0</v>
      </c>
      <c r="GQ55" s="257">
        <f>((GN55)/($AL$7+0.00001))*100</f>
        <v>0</v>
      </c>
      <c r="GR55" s="321">
        <f>((GO55)/($W$7+0.00001))*100</f>
        <v>0</v>
      </c>
      <c r="GS55" s="259">
        <f>'الصفحة 10'!$H$77</f>
        <v>0</v>
      </c>
      <c r="GT55" s="251">
        <f>'الصفحة 10'!$I$77</f>
        <v>0</v>
      </c>
      <c r="GU55" s="254">
        <f>(GS55-GT55)</f>
        <v>0</v>
      </c>
      <c r="GV55" s="322">
        <f>((GS55)/($AP$7+0.00001))*100</f>
        <v>0</v>
      </c>
      <c r="GW55" s="257">
        <f>((GT55)/($AO$7+0.00001))*100</f>
        <v>0</v>
      </c>
      <c r="GX55" s="321">
        <f>((GU55)/($Z$7+0.00001))*100</f>
        <v>0</v>
      </c>
      <c r="GY55" s="259">
        <f>'الصفحة 10'!$J$77</f>
        <v>0</v>
      </c>
      <c r="GZ55" s="251">
        <f>'الصفحة 10'!$K$77</f>
        <v>0</v>
      </c>
      <c r="HA55" s="254">
        <f>(GY55-GZ55)</f>
        <v>0</v>
      </c>
      <c r="HB55" s="322">
        <f>((GY55)/($AS$7+0.00001))*100</f>
        <v>0</v>
      </c>
      <c r="HC55" s="257">
        <f>((GZ55)/($AR$7+0.00001))*100</f>
        <v>0</v>
      </c>
      <c r="HD55" s="321">
        <f>((HA55)/($AC$7+0.00001))*100</f>
        <v>0</v>
      </c>
      <c r="HE55" s="259">
        <f>'الصفحة 10'!$L$77</f>
        <v>0</v>
      </c>
      <c r="HF55" s="251">
        <f>'الصفحة 10'!$M$77</f>
        <v>0</v>
      </c>
      <c r="HG55" s="254">
        <f>(HE55-HF55)</f>
        <v>0</v>
      </c>
      <c r="HH55" s="322">
        <f>((HE55)/($AV$7+0.00001))*100</f>
        <v>0</v>
      </c>
      <c r="HI55" s="257">
        <f>((HF55)/($AU$7+0.00001))*100</f>
        <v>0</v>
      </c>
      <c r="HJ55" s="321">
        <f>((HG55)/($AF$7+0.00001))*100</f>
        <v>0</v>
      </c>
      <c r="HL55" s="259">
        <f>HR55+HX55+ID55+IJ55</f>
        <v>0</v>
      </c>
      <c r="HM55" s="251">
        <f>HS55+HY55+IE55+IK55</f>
        <v>0</v>
      </c>
      <c r="HN55" s="254">
        <f>(HL55-HM55)</f>
        <v>0</v>
      </c>
      <c r="HO55" s="322">
        <f>((HL55)/($AY$7+0.00001))*100</f>
        <v>0</v>
      </c>
      <c r="HP55" s="257">
        <f>((HM55)/($AX$7+0.00001))*100</f>
        <v>0</v>
      </c>
      <c r="HQ55" s="321">
        <f>((HN55)/($AI$7+0.00001))*100</f>
        <v>0</v>
      </c>
      <c r="HR55" s="259">
        <f>'الصفحة 10'!$F$78</f>
        <v>0</v>
      </c>
      <c r="HS55" s="251">
        <f>'الصفحة 10'!$G$78</f>
        <v>0</v>
      </c>
      <c r="HT55" s="254">
        <f>(HR55-HS55)</f>
        <v>0</v>
      </c>
      <c r="HU55" s="322">
        <f>((HR55)/($AM$7+0.00001))*100</f>
        <v>0</v>
      </c>
      <c r="HV55" s="257">
        <f>((HS55)/($AL$7+0.00001))*100</f>
        <v>0</v>
      </c>
      <c r="HW55" s="321">
        <f>((HT55)/($W$7+0.00001))*100</f>
        <v>0</v>
      </c>
      <c r="HX55" s="259">
        <f>'الصفحة 10'!$H$78</f>
        <v>0</v>
      </c>
      <c r="HY55" s="251">
        <f>'الصفحة 10'!$I$78</f>
        <v>0</v>
      </c>
      <c r="HZ55" s="254">
        <f>(HX55-HY55)</f>
        <v>0</v>
      </c>
      <c r="IA55" s="322">
        <f>((HX55)/($AP$7+0.00001))*100</f>
        <v>0</v>
      </c>
      <c r="IB55" s="257">
        <f>((HY55)/($AO$7+0.00001))*100</f>
        <v>0</v>
      </c>
      <c r="IC55" s="321">
        <f>((HZ55)/($Z$7+0.00001))*100</f>
        <v>0</v>
      </c>
      <c r="ID55" s="259">
        <f>'الصفحة 10'!$J$78</f>
        <v>0</v>
      </c>
      <c r="IE55" s="251">
        <f>'الصفحة 10'!$K$78</f>
        <v>0</v>
      </c>
      <c r="IF55" s="254">
        <f>(ID55-IE55)</f>
        <v>0</v>
      </c>
      <c r="IG55" s="322">
        <f>((ID55)/($AS$7+0.00001))*100</f>
        <v>0</v>
      </c>
      <c r="IH55" s="257">
        <f>((IE55)/($AR$7+0.00001))*100</f>
        <v>0</v>
      </c>
      <c r="II55" s="321">
        <f>((IF55)/($AC$7+0.00001))*100</f>
        <v>0</v>
      </c>
      <c r="IJ55" s="259">
        <f>'الصفحة 10'!$L$78</f>
        <v>0</v>
      </c>
      <c r="IK55" s="251">
        <f>'الصفحة 10'!$M$78</f>
        <v>0</v>
      </c>
      <c r="IL55" s="254">
        <f>(IJ55-IK55)</f>
        <v>0</v>
      </c>
      <c r="IM55" s="322">
        <f>((IJ55)/($AV$7+0.00001))*100</f>
        <v>0</v>
      </c>
      <c r="IN55" s="257">
        <f>((IK55)/($AU$7+0.00001))*100</f>
        <v>0</v>
      </c>
      <c r="IO55" s="321">
        <f>((IL55)/($AF$7+0.00001))*100</f>
        <v>0</v>
      </c>
      <c r="IV55" s="41"/>
    </row>
    <row r="56" spans="1:256" s="25" customFormat="1" ht="6" customHeight="1">
      <c r="A56" s="5686"/>
      <c r="IV56" s="41"/>
    </row>
    <row r="57" spans="1:256" s="25" customFormat="1" ht="6" customHeight="1">
      <c r="A57" s="248"/>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V57" s="41"/>
    </row>
    <row r="58" spans="1:256" s="25" customFormat="1" ht="15.75" customHeight="1" thickBot="1">
      <c r="A58" s="5729">
        <v>8</v>
      </c>
      <c r="C58" s="305" t="s">
        <v>343</v>
      </c>
      <c r="N58" s="305" t="s">
        <v>338</v>
      </c>
      <c r="R58" s="305" t="s">
        <v>337</v>
      </c>
      <c r="Y58" s="305" t="s">
        <v>337</v>
      </c>
      <c r="AF58" s="305" t="s">
        <v>337</v>
      </c>
      <c r="AM58" s="305" t="s">
        <v>337</v>
      </c>
      <c r="AT58" s="305" t="s">
        <v>337</v>
      </c>
      <c r="BA58" s="305" t="s">
        <v>337</v>
      </c>
      <c r="BG58" s="305" t="s">
        <v>337</v>
      </c>
      <c r="BM58" s="305" t="s">
        <v>336</v>
      </c>
      <c r="BT58" s="307" t="s">
        <v>335</v>
      </c>
      <c r="BU58" s="306"/>
      <c r="BV58" s="306"/>
      <c r="BW58" s="306"/>
      <c r="BX58" s="306"/>
      <c r="BY58" s="306"/>
      <c r="CB58" s="305" t="s">
        <v>334</v>
      </c>
      <c r="CJ58" s="305" t="s">
        <v>333</v>
      </c>
      <c r="CR58" s="305" t="s">
        <v>332</v>
      </c>
      <c r="CZ58" s="305" t="s">
        <v>331</v>
      </c>
      <c r="DH58" s="305" t="s">
        <v>330</v>
      </c>
      <c r="DP58" s="305" t="s">
        <v>329</v>
      </c>
      <c r="DU58" s="304" t="s">
        <v>328</v>
      </c>
      <c r="EA58" s="304"/>
      <c r="EB58" s="303" t="str">
        <f>DP59</f>
        <v>المجموع</v>
      </c>
      <c r="EG58" s="304" t="str">
        <f>$DU58</f>
        <v>توزيع اساتذة التعليم المتوسط حسب المؤهل العلمي  -</v>
      </c>
      <c r="EM58" s="303" t="str">
        <f>$EB58</f>
        <v>المجموع</v>
      </c>
      <c r="ES58" s="304" t="str">
        <f>$DU58</f>
        <v>توزيع اساتذة التعليم المتوسط حسب المؤهل العلمي  -</v>
      </c>
      <c r="EY58" s="303" t="str">
        <f>$EB58</f>
        <v>المجموع</v>
      </c>
      <c r="FE58" s="304" t="str">
        <f>$DU58</f>
        <v>توزيع اساتذة التعليم المتوسط حسب المؤهل العلمي  -</v>
      </c>
      <c r="FK58" s="303" t="str">
        <f>$EB58</f>
        <v>المجموع</v>
      </c>
      <c r="IV58" s="41"/>
    </row>
    <row r="59" spans="1:256" s="25" customFormat="1" ht="12.75" customHeight="1">
      <c r="A59" s="5729"/>
      <c r="C59" s="302"/>
      <c r="D59" s="300"/>
      <c r="E59" s="300"/>
      <c r="F59" s="300"/>
      <c r="G59" s="301" t="s">
        <v>354</v>
      </c>
      <c r="H59" s="300"/>
      <c r="I59" s="300"/>
      <c r="J59" s="300"/>
      <c r="K59" s="300"/>
      <c r="L59" s="299"/>
      <c r="N59" s="318"/>
      <c r="O59" s="317"/>
      <c r="P59" s="316"/>
      <c r="R59" s="315"/>
      <c r="S59" s="314"/>
      <c r="T59" s="314" t="str">
        <f>O60</f>
        <v>المجموع</v>
      </c>
      <c r="U59" s="300"/>
      <c r="V59" s="300"/>
      <c r="W59" s="299"/>
      <c r="Y59" s="315"/>
      <c r="Z59" s="314"/>
      <c r="AA59" s="314" t="str">
        <f>O60</f>
        <v>المجموع</v>
      </c>
      <c r="AB59" s="300"/>
      <c r="AC59" s="300"/>
      <c r="AD59" s="299"/>
      <c r="AF59" s="315"/>
      <c r="AG59" s="314"/>
      <c r="AH59" s="314" t="str">
        <f>O60</f>
        <v>المجموع</v>
      </c>
      <c r="AI59" s="300"/>
      <c r="AJ59" s="300"/>
      <c r="AK59" s="299"/>
      <c r="AM59" s="315"/>
      <c r="AN59" s="314"/>
      <c r="AO59" s="314" t="str">
        <f>O60</f>
        <v>المجموع</v>
      </c>
      <c r="AP59" s="300"/>
      <c r="AQ59" s="300"/>
      <c r="AR59" s="299"/>
      <c r="AT59" s="315"/>
      <c r="AU59" s="314"/>
      <c r="AV59" s="314" t="str">
        <f>O60</f>
        <v>المجموع</v>
      </c>
      <c r="AW59" s="300"/>
      <c r="AX59" s="300"/>
      <c r="AY59" s="299"/>
      <c r="BA59" s="315"/>
      <c r="BB59" s="314"/>
      <c r="BC59" s="314" t="str">
        <f>O60</f>
        <v>المجموع</v>
      </c>
      <c r="BD59" s="300"/>
      <c r="BE59" s="300"/>
      <c r="BF59" s="299"/>
      <c r="BG59" s="315"/>
      <c r="BH59" s="314"/>
      <c r="BI59" s="314" t="str">
        <f>O60</f>
        <v>المجموع</v>
      </c>
      <c r="BJ59" s="300"/>
      <c r="BK59" s="300"/>
      <c r="BL59" s="299"/>
      <c r="BM59" s="298"/>
      <c r="BN59" s="297"/>
      <c r="BO59" s="297"/>
      <c r="BP59" s="297"/>
      <c r="BQ59" s="297"/>
      <c r="BR59" s="296"/>
      <c r="BT59" s="5146" t="str">
        <f>O60</f>
        <v>المجموع</v>
      </c>
      <c r="BU59" s="5147"/>
      <c r="BV59" s="5147"/>
      <c r="BW59" s="5147"/>
      <c r="BX59" s="5147"/>
      <c r="BY59" s="5148"/>
      <c r="CB59" s="5146" t="str">
        <f>O60</f>
        <v>المجموع</v>
      </c>
      <c r="CC59" s="5147"/>
      <c r="CD59" s="5147"/>
      <c r="CE59" s="5147"/>
      <c r="CF59" s="5147"/>
      <c r="CG59" s="5148"/>
      <c r="CJ59" s="5146" t="str">
        <f>O60</f>
        <v>المجموع</v>
      </c>
      <c r="CK59" s="5147"/>
      <c r="CL59" s="5147"/>
      <c r="CM59" s="5147"/>
      <c r="CN59" s="5147"/>
      <c r="CO59" s="5148"/>
      <c r="CR59" s="5146" t="str">
        <f>O60</f>
        <v>المجموع</v>
      </c>
      <c r="CS59" s="5147"/>
      <c r="CT59" s="5147"/>
      <c r="CU59" s="5147"/>
      <c r="CV59" s="5147"/>
      <c r="CW59" s="5148"/>
      <c r="CZ59" s="5146" t="str">
        <f>O60</f>
        <v>المجموع</v>
      </c>
      <c r="DA59" s="5147"/>
      <c r="DB59" s="5147"/>
      <c r="DC59" s="5147"/>
      <c r="DD59" s="5147"/>
      <c r="DE59" s="5148"/>
      <c r="DH59" s="5146" t="str">
        <f>O60</f>
        <v>المجموع</v>
      </c>
      <c r="DI59" s="5147"/>
      <c r="DJ59" s="5147"/>
      <c r="DK59" s="5147"/>
      <c r="DL59" s="5147"/>
      <c r="DM59" s="5148"/>
      <c r="DP59" s="5146" t="str">
        <f>O60</f>
        <v>المجموع</v>
      </c>
      <c r="DQ59" s="5147"/>
      <c r="DR59" s="5148"/>
      <c r="DU59" s="5758" t="s">
        <v>57</v>
      </c>
      <c r="DV59" s="5759"/>
      <c r="DW59" s="5759"/>
      <c r="DX59" s="5759"/>
      <c r="DY59" s="5759"/>
      <c r="DZ59" s="5760"/>
      <c r="EA59" s="5758" t="s">
        <v>56</v>
      </c>
      <c r="EB59" s="5759"/>
      <c r="EC59" s="5759"/>
      <c r="ED59" s="5759"/>
      <c r="EE59" s="5759"/>
      <c r="EF59" s="5760"/>
      <c r="EG59" s="5758" t="s">
        <v>55</v>
      </c>
      <c r="EH59" s="5759"/>
      <c r="EI59" s="5759"/>
      <c r="EJ59" s="5759"/>
      <c r="EK59" s="5759"/>
      <c r="EL59" s="5760"/>
      <c r="EM59" s="5758" t="s">
        <v>54</v>
      </c>
      <c r="EN59" s="5759"/>
      <c r="EO59" s="5759"/>
      <c r="EP59" s="5759"/>
      <c r="EQ59" s="5759"/>
      <c r="ER59" s="5760"/>
      <c r="ES59" s="5758" t="s">
        <v>53</v>
      </c>
      <c r="ET59" s="5759"/>
      <c r="EU59" s="5759"/>
      <c r="EV59" s="5759"/>
      <c r="EW59" s="5759"/>
      <c r="EX59" s="5760"/>
      <c r="EY59" s="5758" t="s">
        <v>52</v>
      </c>
      <c r="EZ59" s="5759"/>
      <c r="FA59" s="5759"/>
      <c r="FB59" s="5759"/>
      <c r="FC59" s="5759"/>
      <c r="FD59" s="5760"/>
      <c r="FE59" s="5758" t="s">
        <v>51</v>
      </c>
      <c r="FF59" s="5759"/>
      <c r="FG59" s="5759"/>
      <c r="FH59" s="5759"/>
      <c r="FI59" s="5759"/>
      <c r="FJ59" s="5760"/>
      <c r="FK59" s="5758" t="s">
        <v>50</v>
      </c>
      <c r="FL59" s="5759"/>
      <c r="FM59" s="5759"/>
      <c r="FN59" s="5759"/>
      <c r="FO59" s="5759"/>
      <c r="FP59" s="5760"/>
      <c r="IV59" s="41"/>
    </row>
    <row r="60" spans="1:256" s="25" customFormat="1" ht="12.75" customHeight="1" thickBot="1">
      <c r="A60" s="5729"/>
      <c r="C60" s="295"/>
      <c r="D60" s="293"/>
      <c r="E60" s="291" t="s">
        <v>326</v>
      </c>
      <c r="F60" s="294"/>
      <c r="G60" s="293"/>
      <c r="H60" s="291" t="s">
        <v>325</v>
      </c>
      <c r="I60" s="290"/>
      <c r="J60" s="292"/>
      <c r="K60" s="291" t="s">
        <v>324</v>
      </c>
      <c r="L60" s="290"/>
      <c r="N60" s="313"/>
      <c r="O60" s="312" t="s">
        <v>28</v>
      </c>
      <c r="P60" s="311"/>
      <c r="R60" s="5164" t="s">
        <v>645</v>
      </c>
      <c r="S60" s="5165"/>
      <c r="T60" s="5165"/>
      <c r="U60" s="5165"/>
      <c r="V60" s="5165"/>
      <c r="W60" s="5166"/>
      <c r="Y60" s="5164" t="s">
        <v>323</v>
      </c>
      <c r="Z60" s="5165"/>
      <c r="AA60" s="5165"/>
      <c r="AB60" s="5165"/>
      <c r="AC60" s="5165"/>
      <c r="AD60" s="5166"/>
      <c r="AF60" s="5164" t="s">
        <v>322</v>
      </c>
      <c r="AG60" s="5165"/>
      <c r="AH60" s="5165"/>
      <c r="AI60" s="5165"/>
      <c r="AJ60" s="5165"/>
      <c r="AK60" s="5166"/>
      <c r="AM60" s="5164" t="s">
        <v>321</v>
      </c>
      <c r="AN60" s="5165"/>
      <c r="AO60" s="5165"/>
      <c r="AP60" s="5165"/>
      <c r="AQ60" s="5165"/>
      <c r="AR60" s="5166"/>
      <c r="AT60" s="5164" t="s">
        <v>644</v>
      </c>
      <c r="AU60" s="5165"/>
      <c r="AV60" s="5165"/>
      <c r="AW60" s="5165"/>
      <c r="AX60" s="5165"/>
      <c r="AY60" s="5166"/>
      <c r="BA60" s="5164" t="s">
        <v>642</v>
      </c>
      <c r="BB60" s="5165"/>
      <c r="BC60" s="5165"/>
      <c r="BD60" s="5165"/>
      <c r="BE60" s="5165"/>
      <c r="BF60" s="5166"/>
      <c r="BG60" s="5164" t="s">
        <v>643</v>
      </c>
      <c r="BH60" s="5165"/>
      <c r="BI60" s="5165"/>
      <c r="BJ60" s="5165"/>
      <c r="BK60" s="5165"/>
      <c r="BL60" s="5166"/>
      <c r="BM60" s="289"/>
      <c r="BN60" s="286"/>
      <c r="BO60" s="288" t="str">
        <f>O60</f>
        <v>المجموع</v>
      </c>
      <c r="BP60" s="287"/>
      <c r="BQ60" s="286"/>
      <c r="BR60" s="285"/>
      <c r="BT60" s="5149"/>
      <c r="BU60" s="5150"/>
      <c r="BV60" s="5150"/>
      <c r="BW60" s="5150"/>
      <c r="BX60" s="5150"/>
      <c r="BY60" s="5151"/>
      <c r="CB60" s="5149"/>
      <c r="CC60" s="5150"/>
      <c r="CD60" s="5150"/>
      <c r="CE60" s="5150"/>
      <c r="CF60" s="5150"/>
      <c r="CG60" s="5151"/>
      <c r="CJ60" s="5149"/>
      <c r="CK60" s="5150"/>
      <c r="CL60" s="5150"/>
      <c r="CM60" s="5150"/>
      <c r="CN60" s="5150"/>
      <c r="CO60" s="5151"/>
      <c r="CR60" s="5149"/>
      <c r="CS60" s="5150"/>
      <c r="CT60" s="5150"/>
      <c r="CU60" s="5150"/>
      <c r="CV60" s="5150"/>
      <c r="CW60" s="5151"/>
      <c r="CZ60" s="5149"/>
      <c r="DA60" s="5150"/>
      <c r="DB60" s="5150"/>
      <c r="DC60" s="5150"/>
      <c r="DD60" s="5150"/>
      <c r="DE60" s="5151"/>
      <c r="DH60" s="5149"/>
      <c r="DI60" s="5150"/>
      <c r="DJ60" s="5150"/>
      <c r="DK60" s="5150"/>
      <c r="DL60" s="5150"/>
      <c r="DM60" s="5151"/>
      <c r="DP60" s="5771"/>
      <c r="DQ60" s="5772"/>
      <c r="DR60" s="5773"/>
      <c r="DU60" s="5761"/>
      <c r="DV60" s="5762"/>
      <c r="DW60" s="5762"/>
      <c r="DX60" s="5762"/>
      <c r="DY60" s="5762"/>
      <c r="DZ60" s="5763"/>
      <c r="EA60" s="5761"/>
      <c r="EB60" s="5762"/>
      <c r="EC60" s="5762"/>
      <c r="ED60" s="5762"/>
      <c r="EE60" s="5762"/>
      <c r="EF60" s="5763"/>
      <c r="EG60" s="5761"/>
      <c r="EH60" s="5762"/>
      <c r="EI60" s="5762"/>
      <c r="EJ60" s="5762"/>
      <c r="EK60" s="5762"/>
      <c r="EL60" s="5763"/>
      <c r="EM60" s="5761"/>
      <c r="EN60" s="5762"/>
      <c r="EO60" s="5762"/>
      <c r="EP60" s="5762"/>
      <c r="EQ60" s="5762"/>
      <c r="ER60" s="5763"/>
      <c r="ES60" s="5761"/>
      <c r="ET60" s="5762"/>
      <c r="EU60" s="5762"/>
      <c r="EV60" s="5762"/>
      <c r="EW60" s="5762"/>
      <c r="EX60" s="5763"/>
      <c r="EY60" s="5761"/>
      <c r="EZ60" s="5762"/>
      <c r="FA60" s="5762"/>
      <c r="FB60" s="5762"/>
      <c r="FC60" s="5762"/>
      <c r="FD60" s="5763"/>
      <c r="FE60" s="5761"/>
      <c r="FF60" s="5762"/>
      <c r="FG60" s="5762"/>
      <c r="FH60" s="5762"/>
      <c r="FI60" s="5762"/>
      <c r="FJ60" s="5763"/>
      <c r="FK60" s="5761"/>
      <c r="FL60" s="5762"/>
      <c r="FM60" s="5762"/>
      <c r="FN60" s="5762"/>
      <c r="FO60" s="5762"/>
      <c r="FP60" s="5763"/>
      <c r="IV60" s="41"/>
    </row>
    <row r="61" spans="1:256" s="25" customFormat="1" ht="12.75" customHeight="1">
      <c r="A61" s="5729"/>
      <c r="C61" s="284"/>
      <c r="D61" s="282"/>
      <c r="E61" s="282"/>
      <c r="F61" s="282"/>
      <c r="G61" s="282"/>
      <c r="H61" s="282"/>
      <c r="I61" s="281"/>
      <c r="J61" s="283"/>
      <c r="K61" s="282"/>
      <c r="L61" s="281"/>
      <c r="N61" s="310"/>
      <c r="O61" s="309"/>
      <c r="P61" s="308"/>
      <c r="R61" s="5167"/>
      <c r="S61" s="5168"/>
      <c r="T61" s="5168"/>
      <c r="U61" s="5168"/>
      <c r="V61" s="5168"/>
      <c r="W61" s="5169"/>
      <c r="Y61" s="5167"/>
      <c r="Z61" s="5168"/>
      <c r="AA61" s="5168"/>
      <c r="AB61" s="5168"/>
      <c r="AC61" s="5168"/>
      <c r="AD61" s="5169"/>
      <c r="AF61" s="5167"/>
      <c r="AG61" s="5168"/>
      <c r="AH61" s="5168"/>
      <c r="AI61" s="5168"/>
      <c r="AJ61" s="5168"/>
      <c r="AK61" s="5169"/>
      <c r="AM61" s="5167"/>
      <c r="AN61" s="5168"/>
      <c r="AO61" s="5168"/>
      <c r="AP61" s="5168"/>
      <c r="AQ61" s="5168"/>
      <c r="AR61" s="5169"/>
      <c r="AT61" s="5167"/>
      <c r="AU61" s="5168"/>
      <c r="AV61" s="5168"/>
      <c r="AW61" s="5168"/>
      <c r="AX61" s="5168"/>
      <c r="AY61" s="5169"/>
      <c r="BA61" s="5167"/>
      <c r="BB61" s="5168"/>
      <c r="BC61" s="5168"/>
      <c r="BD61" s="5168"/>
      <c r="BE61" s="5168"/>
      <c r="BF61" s="5169"/>
      <c r="BG61" s="5167"/>
      <c r="BH61" s="5168"/>
      <c r="BI61" s="5168"/>
      <c r="BJ61" s="5168"/>
      <c r="BK61" s="5168"/>
      <c r="BL61" s="5169"/>
      <c r="BM61" s="280"/>
      <c r="BN61" s="279"/>
      <c r="BO61" s="279"/>
      <c r="BP61" s="279"/>
      <c r="BQ61" s="279"/>
      <c r="BR61" s="278"/>
      <c r="BT61" s="5130" t="s">
        <v>318</v>
      </c>
      <c r="BU61" s="5131"/>
      <c r="BV61" s="5132"/>
      <c r="BW61" s="5144" t="s">
        <v>317</v>
      </c>
      <c r="BX61" s="5131"/>
      <c r="BY61" s="5145"/>
      <c r="CB61" s="5130" t="s">
        <v>318</v>
      </c>
      <c r="CC61" s="5131"/>
      <c r="CD61" s="5132"/>
      <c r="CE61" s="5144" t="s">
        <v>317</v>
      </c>
      <c r="CF61" s="5131"/>
      <c r="CG61" s="5145"/>
      <c r="CJ61" s="5130" t="s">
        <v>318</v>
      </c>
      <c r="CK61" s="5131"/>
      <c r="CL61" s="5132"/>
      <c r="CM61" s="5144" t="s">
        <v>317</v>
      </c>
      <c r="CN61" s="5131"/>
      <c r="CO61" s="5145"/>
      <c r="CR61" s="5152" t="s">
        <v>320</v>
      </c>
      <c r="CS61" s="5153"/>
      <c r="CT61" s="5153"/>
      <c r="CU61" s="5152" t="s">
        <v>319</v>
      </c>
      <c r="CV61" s="5153"/>
      <c r="CW61" s="5154"/>
      <c r="CZ61" s="5130" t="s">
        <v>318</v>
      </c>
      <c r="DA61" s="5131"/>
      <c r="DB61" s="5132"/>
      <c r="DC61" s="5144" t="s">
        <v>317</v>
      </c>
      <c r="DD61" s="5131"/>
      <c r="DE61" s="5145"/>
      <c r="DH61" s="5130" t="s">
        <v>318</v>
      </c>
      <c r="DI61" s="5131"/>
      <c r="DJ61" s="5132"/>
      <c r="DK61" s="5144" t="s">
        <v>317</v>
      </c>
      <c r="DL61" s="5131"/>
      <c r="DM61" s="5145"/>
      <c r="DP61" s="5130" t="s">
        <v>318</v>
      </c>
      <c r="DQ61" s="5131"/>
      <c r="DR61" s="5145"/>
      <c r="DU61" s="277"/>
      <c r="DV61" s="274" t="s">
        <v>318</v>
      </c>
      <c r="DW61" s="276"/>
      <c r="DX61" s="275"/>
      <c r="DY61" s="274" t="s">
        <v>317</v>
      </c>
      <c r="DZ61" s="273"/>
      <c r="EA61" s="277"/>
      <c r="EB61" s="274" t="s">
        <v>318</v>
      </c>
      <c r="EC61" s="276"/>
      <c r="ED61" s="275"/>
      <c r="EE61" s="274" t="s">
        <v>317</v>
      </c>
      <c r="EF61" s="273"/>
      <c r="EG61" s="277"/>
      <c r="EH61" s="274" t="s">
        <v>318</v>
      </c>
      <c r="EI61" s="276"/>
      <c r="EJ61" s="275"/>
      <c r="EK61" s="274" t="s">
        <v>317</v>
      </c>
      <c r="EL61" s="273"/>
      <c r="EM61" s="277"/>
      <c r="EN61" s="274" t="s">
        <v>318</v>
      </c>
      <c r="EO61" s="276"/>
      <c r="EP61" s="275"/>
      <c r="EQ61" s="274" t="s">
        <v>317</v>
      </c>
      <c r="ER61" s="273"/>
      <c r="ES61" s="277"/>
      <c r="ET61" s="274" t="s">
        <v>318</v>
      </c>
      <c r="EU61" s="276"/>
      <c r="EV61" s="275"/>
      <c r="EW61" s="274" t="s">
        <v>317</v>
      </c>
      <c r="EX61" s="273"/>
      <c r="EY61" s="277"/>
      <c r="EZ61" s="274" t="s">
        <v>318</v>
      </c>
      <c r="FA61" s="276"/>
      <c r="FB61" s="275"/>
      <c r="FC61" s="274" t="s">
        <v>317</v>
      </c>
      <c r="FD61" s="273"/>
      <c r="FE61" s="277"/>
      <c r="FF61" s="274" t="s">
        <v>318</v>
      </c>
      <c r="FG61" s="276"/>
      <c r="FH61" s="275"/>
      <c r="FI61" s="274" t="s">
        <v>317</v>
      </c>
      <c r="FJ61" s="273"/>
      <c r="FK61" s="277"/>
      <c r="FL61" s="274" t="s">
        <v>318</v>
      </c>
      <c r="FM61" s="276"/>
      <c r="FN61" s="275"/>
      <c r="FO61" s="274" t="s">
        <v>317</v>
      </c>
      <c r="FP61" s="273"/>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c r="HG61" s="27"/>
      <c r="HH61" s="27"/>
      <c r="HI61" s="27"/>
      <c r="HJ61" s="27"/>
      <c r="HK61" s="27"/>
      <c r="HL61" s="27"/>
      <c r="HM61" s="27"/>
      <c r="HN61" s="27"/>
      <c r="HO61" s="27"/>
      <c r="HP61" s="27"/>
      <c r="HQ61" s="27"/>
      <c r="HR61" s="27"/>
      <c r="HS61" s="27"/>
      <c r="HT61" s="27"/>
      <c r="HU61" s="27"/>
      <c r="HV61" s="27"/>
      <c r="HW61" s="27"/>
      <c r="HX61" s="27"/>
      <c r="HY61" s="27"/>
      <c r="HZ61" s="27"/>
      <c r="IA61" s="27"/>
      <c r="IB61" s="27"/>
      <c r="IC61" s="27"/>
      <c r="ID61" s="27"/>
      <c r="IE61" s="27"/>
      <c r="IF61" s="27"/>
      <c r="IG61" s="27"/>
      <c r="IH61" s="27"/>
      <c r="II61" s="27"/>
      <c r="IJ61" s="27"/>
      <c r="IK61" s="27"/>
      <c r="IL61" s="27"/>
      <c r="IM61" s="27"/>
      <c r="IN61" s="27"/>
      <c r="IO61" s="27"/>
      <c r="IP61" s="27"/>
      <c r="IQ61" s="27"/>
      <c r="IR61" s="27"/>
      <c r="IS61" s="27"/>
      <c r="IT61" s="27"/>
      <c r="IV61" s="41"/>
    </row>
    <row r="62" spans="1:256" s="25" customFormat="1" ht="24" customHeight="1">
      <c r="A62" s="5729"/>
      <c r="C62" s="272" t="s">
        <v>316</v>
      </c>
      <c r="D62" s="270" t="s">
        <v>20</v>
      </c>
      <c r="E62" s="270" t="s">
        <v>49</v>
      </c>
      <c r="F62" s="270" t="s">
        <v>311</v>
      </c>
      <c r="G62" s="270" t="s">
        <v>20</v>
      </c>
      <c r="H62" s="270" t="s">
        <v>49</v>
      </c>
      <c r="I62" s="269" t="s">
        <v>311</v>
      </c>
      <c r="J62" s="271" t="s">
        <v>20</v>
      </c>
      <c r="K62" s="270" t="s">
        <v>49</v>
      </c>
      <c r="L62" s="269" t="s">
        <v>311</v>
      </c>
      <c r="N62" s="266" t="s">
        <v>20</v>
      </c>
      <c r="O62" s="264" t="s">
        <v>49</v>
      </c>
      <c r="P62" s="263" t="s">
        <v>311</v>
      </c>
      <c r="R62" s="266" t="s">
        <v>20</v>
      </c>
      <c r="S62" s="264" t="s">
        <v>49</v>
      </c>
      <c r="T62" s="265" t="s">
        <v>311</v>
      </c>
      <c r="U62" s="264" t="s">
        <v>310</v>
      </c>
      <c r="V62" s="264" t="s">
        <v>309</v>
      </c>
      <c r="W62" s="263" t="s">
        <v>308</v>
      </c>
      <c r="Y62" s="266" t="s">
        <v>20</v>
      </c>
      <c r="Z62" s="264" t="s">
        <v>49</v>
      </c>
      <c r="AA62" s="265" t="s">
        <v>311</v>
      </c>
      <c r="AB62" s="264" t="s">
        <v>310</v>
      </c>
      <c r="AC62" s="264" t="s">
        <v>309</v>
      </c>
      <c r="AD62" s="263" t="s">
        <v>308</v>
      </c>
      <c r="AF62" s="266" t="s">
        <v>20</v>
      </c>
      <c r="AG62" s="264" t="s">
        <v>49</v>
      </c>
      <c r="AH62" s="265" t="s">
        <v>311</v>
      </c>
      <c r="AI62" s="264" t="s">
        <v>310</v>
      </c>
      <c r="AJ62" s="264" t="s">
        <v>309</v>
      </c>
      <c r="AK62" s="263" t="s">
        <v>308</v>
      </c>
      <c r="AM62" s="266" t="s">
        <v>20</v>
      </c>
      <c r="AN62" s="264" t="s">
        <v>49</v>
      </c>
      <c r="AO62" s="265" t="s">
        <v>311</v>
      </c>
      <c r="AP62" s="264" t="s">
        <v>310</v>
      </c>
      <c r="AQ62" s="264" t="s">
        <v>309</v>
      </c>
      <c r="AR62" s="263" t="s">
        <v>308</v>
      </c>
      <c r="AT62" s="266" t="s">
        <v>20</v>
      </c>
      <c r="AU62" s="264" t="s">
        <v>49</v>
      </c>
      <c r="AV62" s="265" t="s">
        <v>311</v>
      </c>
      <c r="AW62" s="264" t="s">
        <v>310</v>
      </c>
      <c r="AX62" s="264" t="s">
        <v>309</v>
      </c>
      <c r="AY62" s="263" t="s">
        <v>308</v>
      </c>
      <c r="BA62" s="266" t="s">
        <v>20</v>
      </c>
      <c r="BB62" s="264" t="s">
        <v>49</v>
      </c>
      <c r="BC62" s="265" t="s">
        <v>311</v>
      </c>
      <c r="BD62" s="264" t="s">
        <v>310</v>
      </c>
      <c r="BE62" s="264" t="s">
        <v>309</v>
      </c>
      <c r="BF62" s="263" t="s">
        <v>308</v>
      </c>
      <c r="BG62" s="266" t="s">
        <v>20</v>
      </c>
      <c r="BH62" s="264" t="s">
        <v>49</v>
      </c>
      <c r="BI62" s="265" t="s">
        <v>311</v>
      </c>
      <c r="BJ62" s="264" t="s">
        <v>310</v>
      </c>
      <c r="BK62" s="264" t="s">
        <v>309</v>
      </c>
      <c r="BL62" s="263" t="s">
        <v>308</v>
      </c>
      <c r="BM62" s="266" t="s">
        <v>20</v>
      </c>
      <c r="BN62" s="264" t="s">
        <v>49</v>
      </c>
      <c r="BO62" s="265" t="s">
        <v>311</v>
      </c>
      <c r="BP62" s="264" t="s">
        <v>310</v>
      </c>
      <c r="BQ62" s="264" t="s">
        <v>309</v>
      </c>
      <c r="BR62" s="263" t="s">
        <v>308</v>
      </c>
      <c r="BT62" s="266" t="s">
        <v>20</v>
      </c>
      <c r="BU62" s="264" t="s">
        <v>49</v>
      </c>
      <c r="BV62" s="265" t="s">
        <v>311</v>
      </c>
      <c r="BW62" s="264" t="s">
        <v>310</v>
      </c>
      <c r="BX62" s="264" t="s">
        <v>309</v>
      </c>
      <c r="BY62" s="263" t="s">
        <v>308</v>
      </c>
      <c r="CB62" s="266" t="s">
        <v>20</v>
      </c>
      <c r="CC62" s="264" t="s">
        <v>49</v>
      </c>
      <c r="CD62" s="265" t="s">
        <v>311</v>
      </c>
      <c r="CE62" s="264" t="s">
        <v>310</v>
      </c>
      <c r="CF62" s="264" t="s">
        <v>309</v>
      </c>
      <c r="CG62" s="263" t="s">
        <v>308</v>
      </c>
      <c r="CJ62" s="266" t="s">
        <v>20</v>
      </c>
      <c r="CK62" s="264" t="s">
        <v>49</v>
      </c>
      <c r="CL62" s="265" t="s">
        <v>311</v>
      </c>
      <c r="CM62" s="264" t="s">
        <v>310</v>
      </c>
      <c r="CN62" s="264" t="s">
        <v>309</v>
      </c>
      <c r="CO62" s="263" t="s">
        <v>308</v>
      </c>
      <c r="CR62" s="266" t="s">
        <v>313</v>
      </c>
      <c r="CS62" s="264" t="s">
        <v>315</v>
      </c>
      <c r="CT62" s="268" t="s">
        <v>314</v>
      </c>
      <c r="CU62" s="267" t="s">
        <v>313</v>
      </c>
      <c r="CV62" s="264" t="s">
        <v>28</v>
      </c>
      <c r="CW62" s="263" t="s">
        <v>312</v>
      </c>
      <c r="CZ62" s="266" t="s">
        <v>20</v>
      </c>
      <c r="DA62" s="264" t="s">
        <v>49</v>
      </c>
      <c r="DB62" s="265" t="s">
        <v>311</v>
      </c>
      <c r="DC62" s="264" t="s">
        <v>310</v>
      </c>
      <c r="DD62" s="264" t="s">
        <v>309</v>
      </c>
      <c r="DE62" s="263" t="s">
        <v>308</v>
      </c>
      <c r="DH62" s="266" t="s">
        <v>20</v>
      </c>
      <c r="DI62" s="264" t="s">
        <v>49</v>
      </c>
      <c r="DJ62" s="265" t="s">
        <v>311</v>
      </c>
      <c r="DK62" s="264" t="s">
        <v>310</v>
      </c>
      <c r="DL62" s="264" t="s">
        <v>309</v>
      </c>
      <c r="DM62" s="319" t="s">
        <v>308</v>
      </c>
      <c r="DP62" s="266" t="s">
        <v>20</v>
      </c>
      <c r="DQ62" s="264" t="s">
        <v>49</v>
      </c>
      <c r="DR62" s="263" t="s">
        <v>311</v>
      </c>
      <c r="DU62" s="266" t="s">
        <v>20</v>
      </c>
      <c r="DV62" s="264" t="s">
        <v>49</v>
      </c>
      <c r="DW62" s="265" t="s">
        <v>311</v>
      </c>
      <c r="DX62" s="264" t="s">
        <v>310</v>
      </c>
      <c r="DY62" s="264" t="s">
        <v>309</v>
      </c>
      <c r="DZ62" s="263" t="s">
        <v>308</v>
      </c>
      <c r="EA62" s="266" t="s">
        <v>20</v>
      </c>
      <c r="EB62" s="264" t="s">
        <v>49</v>
      </c>
      <c r="EC62" s="265" t="s">
        <v>311</v>
      </c>
      <c r="ED62" s="264" t="s">
        <v>310</v>
      </c>
      <c r="EE62" s="264" t="s">
        <v>309</v>
      </c>
      <c r="EF62" s="263" t="s">
        <v>308</v>
      </c>
      <c r="EG62" s="266" t="s">
        <v>20</v>
      </c>
      <c r="EH62" s="264" t="s">
        <v>49</v>
      </c>
      <c r="EI62" s="265" t="s">
        <v>311</v>
      </c>
      <c r="EJ62" s="264" t="s">
        <v>310</v>
      </c>
      <c r="EK62" s="264" t="s">
        <v>309</v>
      </c>
      <c r="EL62" s="263" t="s">
        <v>308</v>
      </c>
      <c r="EM62" s="266" t="s">
        <v>20</v>
      </c>
      <c r="EN62" s="264" t="s">
        <v>49</v>
      </c>
      <c r="EO62" s="265" t="s">
        <v>311</v>
      </c>
      <c r="EP62" s="264" t="s">
        <v>310</v>
      </c>
      <c r="EQ62" s="264" t="s">
        <v>309</v>
      </c>
      <c r="ER62" s="263" t="s">
        <v>308</v>
      </c>
      <c r="ES62" s="266" t="s">
        <v>20</v>
      </c>
      <c r="ET62" s="264" t="s">
        <v>49</v>
      </c>
      <c r="EU62" s="265" t="s">
        <v>311</v>
      </c>
      <c r="EV62" s="264" t="s">
        <v>310</v>
      </c>
      <c r="EW62" s="264" t="s">
        <v>309</v>
      </c>
      <c r="EX62" s="263" t="s">
        <v>308</v>
      </c>
      <c r="EY62" s="266" t="s">
        <v>20</v>
      </c>
      <c r="EZ62" s="264" t="s">
        <v>49</v>
      </c>
      <c r="FA62" s="265" t="s">
        <v>311</v>
      </c>
      <c r="FB62" s="264" t="s">
        <v>310</v>
      </c>
      <c r="FC62" s="264" t="s">
        <v>309</v>
      </c>
      <c r="FD62" s="263" t="s">
        <v>308</v>
      </c>
      <c r="FE62" s="266" t="s">
        <v>20</v>
      </c>
      <c r="FF62" s="264" t="s">
        <v>49</v>
      </c>
      <c r="FG62" s="265" t="s">
        <v>311</v>
      </c>
      <c r="FH62" s="264" t="s">
        <v>310</v>
      </c>
      <c r="FI62" s="264" t="s">
        <v>309</v>
      </c>
      <c r="FJ62" s="263" t="s">
        <v>308</v>
      </c>
      <c r="FK62" s="266" t="s">
        <v>20</v>
      </c>
      <c r="FL62" s="264" t="s">
        <v>49</v>
      </c>
      <c r="FM62" s="265" t="s">
        <v>311</v>
      </c>
      <c r="FN62" s="264" t="s">
        <v>310</v>
      </c>
      <c r="FO62" s="264" t="s">
        <v>309</v>
      </c>
      <c r="FP62" s="263" t="s">
        <v>308</v>
      </c>
      <c r="IV62" s="41"/>
    </row>
    <row r="63" spans="1:256" s="25" customFormat="1" ht="13.5" customHeight="1" thickBot="1">
      <c r="A63" s="5729"/>
      <c r="C63" s="253">
        <f>('الصفحة 27'!$F$58)</f>
        <v>34</v>
      </c>
      <c r="D63" s="252">
        <f>'الصفحة 27'!$M$58</f>
        <v>34</v>
      </c>
      <c r="E63" s="252">
        <f>'الصفحة 27'!$N$58</f>
        <v>26</v>
      </c>
      <c r="F63" s="251">
        <f>(D63-E63)</f>
        <v>8</v>
      </c>
      <c r="G63" s="251">
        <f>('الصفحة 27'!$K$58)</f>
        <v>6</v>
      </c>
      <c r="H63" s="262">
        <f>('الصفحة 27'!$L$58)</f>
        <v>6</v>
      </c>
      <c r="I63" s="261">
        <f>(G63-H63)</f>
        <v>0</v>
      </c>
      <c r="J63" s="260">
        <f>((G63)/(D63+0.00001))*100</f>
        <v>17.647053633219517</v>
      </c>
      <c r="K63" s="250">
        <f>((H63)/(E63+0.00001))*100</f>
        <v>23.076914201186845</v>
      </c>
      <c r="L63" s="249">
        <f>((I63)/(F63+0.00001))*100</f>
        <v>0</v>
      </c>
      <c r="N63" s="253">
        <f>'الصفحة 27'!$K$35</f>
        <v>28</v>
      </c>
      <c r="O63" s="252">
        <f>'الصفحة 27'!$K$36</f>
        <v>20</v>
      </c>
      <c r="P63" s="258">
        <f>(N63-O63)</f>
        <v>8</v>
      </c>
      <c r="R63" s="253">
        <f>'الصفحة 27'!$F$35</f>
        <v>11</v>
      </c>
      <c r="S63" s="252">
        <f>'الصفحة 27'!$F$36</f>
        <v>8</v>
      </c>
      <c r="T63" s="252">
        <f>(R63-S63)</f>
        <v>3</v>
      </c>
      <c r="U63" s="257">
        <f>(R63/(N63+0.00001))*100</f>
        <v>39.285700255107052</v>
      </c>
      <c r="V63" s="257">
        <f>(S63/(O63+0.00001))*100</f>
        <v>39.999980000009998</v>
      </c>
      <c r="W63" s="256">
        <f>(T63/(P63+0.00001))*100</f>
        <v>37.499953125058596</v>
      </c>
      <c r="Y63" s="253">
        <f>'الصفحة 27'!$G$35</f>
        <v>7</v>
      </c>
      <c r="Z63" s="252">
        <f>'الصفحة 27'!$G$36</f>
        <v>4</v>
      </c>
      <c r="AA63" s="252">
        <f>(Y63-Z63)</f>
        <v>3</v>
      </c>
      <c r="AB63" s="257">
        <f>(Y63/($N$63+0.00001))*100</f>
        <v>24.999991071431758</v>
      </c>
      <c r="AC63" s="257">
        <f>(Z63/($O$63+0.00001))*100</f>
        <v>19.999990000004999</v>
      </c>
      <c r="AD63" s="256">
        <f>(AA63/($P$63+0.00001))*100</f>
        <v>37.499953125058596</v>
      </c>
      <c r="AF63" s="253">
        <f>'الصفحة 27'!$H$35</f>
        <v>0</v>
      </c>
      <c r="AG63" s="252">
        <f>'الصفحة 27'!$H$36</f>
        <v>0</v>
      </c>
      <c r="AH63" s="252">
        <f>(AF63-AG63)</f>
        <v>0</v>
      </c>
      <c r="AI63" s="257">
        <f>(AF63/($N$63+0.00001))*100</f>
        <v>0</v>
      </c>
      <c r="AJ63" s="257">
        <f>(AG63/($O$63+0.00001))*100</f>
        <v>0</v>
      </c>
      <c r="AK63" s="256">
        <f>(AH63/($P$63+0.00001))*100</f>
        <v>0</v>
      </c>
      <c r="AM63" s="253">
        <f>'الصفحة 27'!$I$35</f>
        <v>10</v>
      </c>
      <c r="AN63" s="252">
        <f>'الصفحة 27'!$I$36</f>
        <v>8</v>
      </c>
      <c r="AO63" s="252">
        <f>(AM63-AN63)</f>
        <v>2</v>
      </c>
      <c r="AP63" s="257">
        <f>(AM63/($N$63+0.00001))*100</f>
        <v>35.714272959188229</v>
      </c>
      <c r="AQ63" s="257">
        <f>(AN63/($O$63+0.00001))*100</f>
        <v>39.999980000009998</v>
      </c>
      <c r="AR63" s="256">
        <f>(AO63/($P$63+0.00001))*100</f>
        <v>24.999968750039063</v>
      </c>
      <c r="AT63" s="253">
        <f>'الصفحة 27'!$J$35</f>
        <v>0</v>
      </c>
      <c r="AU63" s="252">
        <f>'الصفحة 27'!$J$36</f>
        <v>0</v>
      </c>
      <c r="AV63" s="252">
        <f>(AT63-AU63)</f>
        <v>0</v>
      </c>
      <c r="AW63" s="257">
        <f>(AT63/($N$63+0.00001))*100</f>
        <v>0</v>
      </c>
      <c r="AX63" s="257">
        <f>(AU63/($O$63+0.00001))*100</f>
        <v>0</v>
      </c>
      <c r="AY63" s="256">
        <f>(AV63/($P$63+0.00001))*100</f>
        <v>0</v>
      </c>
      <c r="BA63" s="253" t="e">
        <f>'الصفحة 27'!#REF!</f>
        <v>#REF!</v>
      </c>
      <c r="BB63" s="252" t="e">
        <f>'الصفحة 27'!#REF!</f>
        <v>#REF!</v>
      </c>
      <c r="BC63" s="252" t="e">
        <f>(BA63-BB63)</f>
        <v>#REF!</v>
      </c>
      <c r="BD63" s="257" t="e">
        <f>(BA63/($N$63+0.00001))*100</f>
        <v>#REF!</v>
      </c>
      <c r="BE63" s="257" t="e">
        <f>(BB63/($O$63+0.00001))*100</f>
        <v>#REF!</v>
      </c>
      <c r="BF63" s="256" t="e">
        <f>(BC63/($P$63+0.00001))*100</f>
        <v>#REF!</v>
      </c>
      <c r="BG63" s="253" t="e">
        <f>'الصفحة 27'!#REF!</f>
        <v>#REF!</v>
      </c>
      <c r="BH63" s="252" t="e">
        <f>'الصفحة 27'!#REF!</f>
        <v>#REF!</v>
      </c>
      <c r="BI63" s="252" t="e">
        <f>(BG63-BH63)</f>
        <v>#REF!</v>
      </c>
      <c r="BJ63" s="257" t="e">
        <f>(BG63/($N$63+0.00001))*100</f>
        <v>#REF!</v>
      </c>
      <c r="BK63" s="257" t="e">
        <f>(BH63/($O$63+0.00001))*100</f>
        <v>#REF!</v>
      </c>
      <c r="BL63" s="256" t="e">
        <f>(BI63/($P$63+0.00001))*100</f>
        <v>#REF!</v>
      </c>
      <c r="BM63" s="253">
        <f>'الصفحة 30'!$O$41+'الصفحة 30'!$Q$22+'الصفحة 30'!$Q$41+'الصفحة 30'!$S$22+'الصفحة 30'!$S$41+'الصفحة 30'!$U$22+'الصفحة 30'!$U$41+'الصفحة 30'!$W$22+'الصفحة 30'!$W$41+'الصفحة 30'!$Y$22+'الصفحة 30'!$Y$41</f>
        <v>3</v>
      </c>
      <c r="BN63" s="252">
        <f>'الصفحة 30'!$P$41+'الصفحة 30'!$R$22+'الصفحة 30'!$R$41+'الصفحة 30'!$T$22+'الصفحة 30'!$T$41+'الصفحة 30'!$V$22+'الصفحة 30'!$V$41+'الصفحة 30'!$X$22+'الصفحة 30'!$X$41+'الصفحة 30'!$Z$22+'الصفحة 30'!$Z$41</f>
        <v>2</v>
      </c>
      <c r="BO63" s="252">
        <f>(BM63-BN63)</f>
        <v>1</v>
      </c>
      <c r="BP63" s="257">
        <f>(BM63/($N63+0.00001))*100</f>
        <v>10.714281887756469</v>
      </c>
      <c r="BQ63" s="257">
        <f>(BN63/($O63+0.00001))*100</f>
        <v>9.9999950000024995</v>
      </c>
      <c r="BR63" s="256">
        <f>(BO63/($P63+0.00001))*100</f>
        <v>12.499984375019531</v>
      </c>
      <c r="BT63" s="253">
        <f>'الصفحة 31'!$R$35</f>
        <v>0</v>
      </c>
      <c r="BU63" s="252">
        <f>'الصفحة 31'!$R$36</f>
        <v>0</v>
      </c>
      <c r="BV63" s="251">
        <f>(BT63-BU63)</f>
        <v>0</v>
      </c>
      <c r="BW63" s="257">
        <f>(BT63/($N63+0.00001))*100</f>
        <v>0</v>
      </c>
      <c r="BX63" s="257">
        <f>(BU63/($O63+0.00001))*100</f>
        <v>0</v>
      </c>
      <c r="BY63" s="256">
        <f>(BV63/($P63+0.00001))*100</f>
        <v>0</v>
      </c>
      <c r="CB63" s="253">
        <f>'الصفحة 31'!$P$57</f>
        <v>0</v>
      </c>
      <c r="CC63" s="252">
        <f>'الصفحة 31'!$Q$57</f>
        <v>0</v>
      </c>
      <c r="CD63" s="251">
        <f>(CB63-CC63)</f>
        <v>0</v>
      </c>
      <c r="CE63" s="257">
        <f>(CB63/($N63+0.00001))*100</f>
        <v>0</v>
      </c>
      <c r="CF63" s="257">
        <f>(CC63/($O63+0.00001))*100</f>
        <v>0</v>
      </c>
      <c r="CG63" s="256">
        <f>(CD63/($P63+0.00001))*100</f>
        <v>0</v>
      </c>
      <c r="CJ63" s="253">
        <f>'الصفحة 31'!$Q$35</f>
        <v>0</v>
      </c>
      <c r="CK63" s="252">
        <f>'الصفحة 31'!$Q$36</f>
        <v>0</v>
      </c>
      <c r="CL63" s="251">
        <f>(CJ63-CK63)</f>
        <v>0</v>
      </c>
      <c r="CM63" s="257">
        <f>(CJ63/($N63+0.00001))*100</f>
        <v>0</v>
      </c>
      <c r="CN63" s="257">
        <f>(CK63/($O63+0.00001))*100</f>
        <v>0</v>
      </c>
      <c r="CO63" s="256">
        <f>(CL63/($P63+0.00001))*100</f>
        <v>0</v>
      </c>
      <c r="CR63" s="253" t="e">
        <f>'الصفحة 27'!#REF!</f>
        <v>#REF!</v>
      </c>
      <c r="CS63" s="252" t="e">
        <f>CV63-CR63</f>
        <v>#REF!</v>
      </c>
      <c r="CT63" s="255" t="e">
        <f>((CR63)/(CS63+0.00001))</f>
        <v>#REF!</v>
      </c>
      <c r="CU63" s="253" t="e">
        <f>CR63</f>
        <v>#REF!</v>
      </c>
      <c r="CV63" s="252" t="e">
        <f>'الصفحة 27'!#REF!</f>
        <v>#REF!</v>
      </c>
      <c r="CW63" s="249" t="e">
        <f>((CU63)/(CV63+0.00001))*100</f>
        <v>#REF!</v>
      </c>
      <c r="CZ63" s="253">
        <f>'الصفحة 27'!$F$35+'الصفحة 27'!$G$35+'الصفحة 27'!$H$35+'الصفحة 27'!$I$35</f>
        <v>28</v>
      </c>
      <c r="DA63" s="252">
        <f>'الصفحة 27'!$F$36+'الصفحة 27'!$G$36+'الصفحة 27'!$H$36+'الصفحة 27'!$I$36</f>
        <v>20</v>
      </c>
      <c r="DB63" s="251">
        <f>(CZ63-DA63)</f>
        <v>8</v>
      </c>
      <c r="DC63" s="250" t="e">
        <f>((CZ63)/(CV63+0.00001))*100</f>
        <v>#REF!</v>
      </c>
      <c r="DD63" s="250" t="e">
        <f>((DA63)/(CR63+0.00001))*100</f>
        <v>#REF!</v>
      </c>
      <c r="DE63" s="249" t="e">
        <f>((DB63)/(CV63-CR63+0.00001))*100</f>
        <v>#REF!</v>
      </c>
      <c r="DH63" s="253">
        <f>'الصفحة 27'!$N$35</f>
        <v>0</v>
      </c>
      <c r="DI63" s="252">
        <f>'الصفحة 27'!$N$36</f>
        <v>0</v>
      </c>
      <c r="DJ63" s="251">
        <f>(DH63-DI63)</f>
        <v>0</v>
      </c>
      <c r="DK63" s="250" t="e">
        <f>((DH63)/(CV63+0.00001))*100</f>
        <v>#REF!</v>
      </c>
      <c r="DL63" s="250" t="e">
        <f>((DI63)/(CR63+0.00001))*100</f>
        <v>#REF!</v>
      </c>
      <c r="DM63" s="249" t="e">
        <f>((DJ63)/(CV63-CR63+0.00001))*100</f>
        <v>#REF!</v>
      </c>
      <c r="DP63" s="253">
        <f>'الصفحة 27'!$M$58</f>
        <v>34</v>
      </c>
      <c r="DQ63" s="252">
        <f>'الصفحة 27'!$N$58</f>
        <v>26</v>
      </c>
      <c r="DR63" s="254">
        <f>(DP63-DQ63)</f>
        <v>8</v>
      </c>
      <c r="DU63" s="253">
        <f>'الصفحة 32'!$R$30</f>
        <v>4</v>
      </c>
      <c r="DV63" s="252">
        <f>'الصفحة 32'!$R$31</f>
        <v>4</v>
      </c>
      <c r="DW63" s="251">
        <f>(DU63-DV63)</f>
        <v>0</v>
      </c>
      <c r="DX63" s="250">
        <f>((DU63)/($DP$63+0.00001))*100</f>
        <v>11.764702422146344</v>
      </c>
      <c r="DY63" s="250">
        <f>((DV63)/($DQ$63+0.00001))*100</f>
        <v>15.384609467457896</v>
      </c>
      <c r="DZ63" s="249">
        <f>((DW63)/($DR$63+0.00001))*100</f>
        <v>0</v>
      </c>
      <c r="EA63" s="253">
        <f>'الصفحة 32'!$R$32</f>
        <v>25</v>
      </c>
      <c r="EB63" s="252">
        <f>'الصفحة 32'!$R$33</f>
        <v>20</v>
      </c>
      <c r="EC63" s="251">
        <f>(EA63-EB63)</f>
        <v>5</v>
      </c>
      <c r="ED63" s="250">
        <f>((EA63)/($DP$63+0.00001))*100</f>
        <v>73.529390138414669</v>
      </c>
      <c r="EE63" s="250">
        <f>((EB63)/($DQ$63+0.00001))*100</f>
        <v>76.923047337289489</v>
      </c>
      <c r="EF63" s="249">
        <f>((EC63)/($DR$63+0.00001))*100</f>
        <v>62.499921875097662</v>
      </c>
      <c r="EG63" s="253">
        <f>'الصفحة 32'!$R$39</f>
        <v>0</v>
      </c>
      <c r="EH63" s="252">
        <f>'الصفحة 32'!$R$35</f>
        <v>0</v>
      </c>
      <c r="EI63" s="251">
        <f>(EG63-EH63)</f>
        <v>0</v>
      </c>
      <c r="EJ63" s="250">
        <f>((EG63)/($DP$63+0.00001))*100</f>
        <v>0</v>
      </c>
      <c r="EK63" s="250">
        <f>((EH63)/($DQ$63+0.00001))*100</f>
        <v>0</v>
      </c>
      <c r="EL63" s="249">
        <f>((EI63)/($DR$63+0.00001))*100</f>
        <v>0</v>
      </c>
      <c r="EM63" s="253">
        <f>'الصفحة 32'!$R$36</f>
        <v>4</v>
      </c>
      <c r="EN63" s="252">
        <f>'الصفحة 32'!$R$37</f>
        <v>2</v>
      </c>
      <c r="EO63" s="251">
        <f>(EM63-EN63)</f>
        <v>2</v>
      </c>
      <c r="EP63" s="250">
        <f>((EM63)/($DP$63+0.00001))*100</f>
        <v>11.764702422146344</v>
      </c>
      <c r="EQ63" s="250">
        <f>((EN63)/($DQ$63+0.00001))*100</f>
        <v>7.6923047337289479</v>
      </c>
      <c r="ER63" s="249">
        <f>((EO63)/($DR$63+0.00001))*100</f>
        <v>24.999968750039063</v>
      </c>
      <c r="ES63" s="253">
        <f>'الصفحة 32'!$R$38</f>
        <v>0</v>
      </c>
      <c r="ET63" s="252">
        <f>'الصفحة 32'!$R$39</f>
        <v>0</v>
      </c>
      <c r="EU63" s="251">
        <f>(ES63-ET63)</f>
        <v>0</v>
      </c>
      <c r="EV63" s="250">
        <f>((ES63)/($DP$63+0.00001))*100</f>
        <v>0</v>
      </c>
      <c r="EW63" s="250">
        <f>((ET63)/($DQ$63+0.00001))*100</f>
        <v>0</v>
      </c>
      <c r="EX63" s="249">
        <f>((EU63)/($DR$63+0.00001))*100</f>
        <v>0</v>
      </c>
      <c r="EY63" s="253">
        <f>'الصفحة 32'!$R$40</f>
        <v>0</v>
      </c>
      <c r="EZ63" s="252">
        <f>'الصفحة 32'!$R$41</f>
        <v>0</v>
      </c>
      <c r="FA63" s="251">
        <f>(EY63-EZ63)</f>
        <v>0</v>
      </c>
      <c r="FB63" s="250">
        <f>((EY63)/($DP$63+0.00001))*100</f>
        <v>0</v>
      </c>
      <c r="FC63" s="250">
        <f>((EZ63)/($DQ$63+0.00001))*100</f>
        <v>0</v>
      </c>
      <c r="FD63" s="249">
        <f>((FA63)/($DR$63+0.00001))*100</f>
        <v>0</v>
      </c>
      <c r="FE63" s="253">
        <f>'الصفحة 32'!$R$42</f>
        <v>0</v>
      </c>
      <c r="FF63" s="252">
        <f>'الصفحة 32'!$R$43</f>
        <v>0</v>
      </c>
      <c r="FG63" s="251">
        <f>(FE63-FF63)</f>
        <v>0</v>
      </c>
      <c r="FH63" s="250">
        <f>((FE63)/($DP$63+0.00001))*100</f>
        <v>0</v>
      </c>
      <c r="FI63" s="250">
        <f>((FF63)/($DQ$63+0.00001))*100</f>
        <v>0</v>
      </c>
      <c r="FJ63" s="249">
        <f>((FG63)/($DR$63+0.00001))*100</f>
        <v>0</v>
      </c>
      <c r="FK63" s="253">
        <f>'الصفحة 32'!$R$44</f>
        <v>0</v>
      </c>
      <c r="FL63" s="252">
        <f>'الصفحة 32'!$R$45</f>
        <v>0</v>
      </c>
      <c r="FM63" s="251">
        <f>(FK63-FL63)</f>
        <v>0</v>
      </c>
      <c r="FN63" s="250">
        <f>((FK63)/($DP$63+0.00001))*100</f>
        <v>0</v>
      </c>
      <c r="FO63" s="250">
        <f>((FL63)/($DQ$63+0.00001))*100</f>
        <v>0</v>
      </c>
      <c r="FP63" s="249">
        <f>((FM63)/($DR$63+0.00001))*100</f>
        <v>0</v>
      </c>
      <c r="IV63" s="41"/>
    </row>
    <row r="64" spans="1:256" s="25" customFormat="1" ht="6" customHeight="1">
      <c r="A64" s="320"/>
      <c r="B64" s="24"/>
      <c r="HS64" s="106"/>
      <c r="HT64" s="106"/>
      <c r="HU64" s="106"/>
      <c r="HV64" s="106"/>
      <c r="HW64" s="106"/>
      <c r="HX64" s="203"/>
      <c r="HY64" s="106"/>
      <c r="HZ64" s="106"/>
      <c r="IA64" s="106"/>
      <c r="IB64" s="203"/>
      <c r="IC64" s="106"/>
      <c r="ID64" s="106"/>
      <c r="IE64" s="24"/>
      <c r="IF64" s="24"/>
      <c r="IG64" s="106"/>
      <c r="IH64" s="24"/>
      <c r="II64" s="24"/>
      <c r="IJ64" s="24"/>
      <c r="IK64" s="24"/>
      <c r="IL64" s="24"/>
      <c r="IM64" s="24"/>
      <c r="IN64" s="24"/>
      <c r="IO64" s="24"/>
      <c r="IP64" s="24"/>
      <c r="IQ64" s="24"/>
      <c r="IR64" s="24"/>
      <c r="IS64" s="24"/>
      <c r="IT64" s="24"/>
      <c r="IV64" s="41"/>
    </row>
    <row r="65" spans="1:256" s="25" customFormat="1" ht="6" customHeight="1">
      <c r="A65" s="248"/>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c r="IS65" s="21"/>
      <c r="IT65" s="21"/>
      <c r="IV65" s="41"/>
    </row>
    <row r="66" spans="1:256" s="25" customFormat="1" ht="15.75" customHeight="1" thickBot="1">
      <c r="A66" s="5729">
        <v>9</v>
      </c>
      <c r="C66" s="305" t="s">
        <v>343</v>
      </c>
      <c r="N66" s="305" t="s">
        <v>338</v>
      </c>
      <c r="R66" s="305" t="s">
        <v>337</v>
      </c>
      <c r="Y66" s="305" t="s">
        <v>337</v>
      </c>
      <c r="AF66" s="305" t="s">
        <v>337</v>
      </c>
      <c r="AM66" s="305" t="s">
        <v>337</v>
      </c>
      <c r="AT66" s="305" t="s">
        <v>337</v>
      </c>
      <c r="BA66" s="305" t="s">
        <v>337</v>
      </c>
      <c r="BG66" s="305" t="s">
        <v>337</v>
      </c>
      <c r="BM66" s="305" t="s">
        <v>336</v>
      </c>
      <c r="BT66" s="307" t="s">
        <v>335</v>
      </c>
      <c r="BU66" s="306"/>
      <c r="BV66" s="306"/>
      <c r="BW66" s="306"/>
      <c r="BX66" s="306"/>
      <c r="BY66" s="306"/>
      <c r="CB66" s="305" t="s">
        <v>334</v>
      </c>
      <c r="CJ66" s="305" t="s">
        <v>333</v>
      </c>
      <c r="CR66" s="305" t="s">
        <v>332</v>
      </c>
      <c r="CZ66" s="305" t="s">
        <v>331</v>
      </c>
      <c r="DH66" s="305" t="s">
        <v>330</v>
      </c>
      <c r="DP66" s="305" t="s">
        <v>329</v>
      </c>
      <c r="DU66" s="304" t="s">
        <v>328</v>
      </c>
      <c r="EA66" s="304"/>
      <c r="EB66" s="303" t="str">
        <f>DP67</f>
        <v>اللغــة العربية</v>
      </c>
      <c r="EG66" s="304" t="str">
        <f>$DU66</f>
        <v>توزيع اساتذة التعليم المتوسط حسب المؤهل العلمي  -</v>
      </c>
      <c r="EM66" s="303" t="str">
        <f>$EB66</f>
        <v>اللغــة العربية</v>
      </c>
      <c r="ES66" s="304" t="str">
        <f>$DU66</f>
        <v>توزيع اساتذة التعليم المتوسط حسب المؤهل العلمي  -</v>
      </c>
      <c r="EY66" s="303" t="str">
        <f>$EB66</f>
        <v>اللغــة العربية</v>
      </c>
      <c r="FE66" s="304" t="str">
        <f>$DU66</f>
        <v>توزيع اساتذة التعليم المتوسط حسب المؤهل العلمي  -</v>
      </c>
      <c r="FK66" s="303" t="str">
        <f>$EB66</f>
        <v>اللغــة العربية</v>
      </c>
      <c r="IV66" s="41"/>
    </row>
    <row r="67" spans="1:256" s="25" customFormat="1" ht="12.75" customHeight="1">
      <c r="A67" s="5729"/>
      <c r="C67" s="302"/>
      <c r="D67" s="300"/>
      <c r="E67" s="300"/>
      <c r="F67" s="300"/>
      <c r="G67" s="301" t="s">
        <v>353</v>
      </c>
      <c r="H67" s="300"/>
      <c r="I67" s="300"/>
      <c r="J67" s="300"/>
      <c r="K67" s="300"/>
      <c r="L67" s="299"/>
      <c r="N67" s="318"/>
      <c r="O67" s="317"/>
      <c r="P67" s="316"/>
      <c r="R67" s="315"/>
      <c r="S67" s="314"/>
      <c r="T67" s="314" t="str">
        <f>O68</f>
        <v>اللغــة العربية</v>
      </c>
      <c r="U67" s="300"/>
      <c r="V67" s="300"/>
      <c r="W67" s="299"/>
      <c r="Y67" s="315"/>
      <c r="Z67" s="314"/>
      <c r="AA67" s="314" t="str">
        <f>O68</f>
        <v>اللغــة العربية</v>
      </c>
      <c r="AB67" s="300"/>
      <c r="AC67" s="300"/>
      <c r="AD67" s="299"/>
      <c r="AF67" s="315"/>
      <c r="AG67" s="314"/>
      <c r="AH67" s="314" t="str">
        <f>O68</f>
        <v>اللغــة العربية</v>
      </c>
      <c r="AI67" s="300"/>
      <c r="AJ67" s="300"/>
      <c r="AK67" s="299"/>
      <c r="AM67" s="315"/>
      <c r="AN67" s="314"/>
      <c r="AO67" s="314" t="str">
        <f>O68</f>
        <v>اللغــة العربية</v>
      </c>
      <c r="AP67" s="300"/>
      <c r="AQ67" s="300"/>
      <c r="AR67" s="299"/>
      <c r="AT67" s="315"/>
      <c r="AU67" s="314"/>
      <c r="AV67" s="314" t="str">
        <f>O68</f>
        <v>اللغــة العربية</v>
      </c>
      <c r="AW67" s="300"/>
      <c r="AX67" s="300"/>
      <c r="AY67" s="299"/>
      <c r="BA67" s="315"/>
      <c r="BB67" s="314"/>
      <c r="BC67" s="314" t="str">
        <f>O68</f>
        <v>اللغــة العربية</v>
      </c>
      <c r="BD67" s="300"/>
      <c r="BE67" s="300"/>
      <c r="BF67" s="299"/>
      <c r="BG67" s="315"/>
      <c r="BH67" s="314"/>
      <c r="BI67" s="314" t="str">
        <f>O68</f>
        <v>اللغــة العربية</v>
      </c>
      <c r="BJ67" s="300"/>
      <c r="BK67" s="300"/>
      <c r="BL67" s="299"/>
      <c r="BM67" s="298"/>
      <c r="BN67" s="297"/>
      <c r="BO67" s="297"/>
      <c r="BP67" s="297"/>
      <c r="BQ67" s="297"/>
      <c r="BR67" s="296"/>
      <c r="BT67" s="5146" t="str">
        <f>O68</f>
        <v>اللغــة العربية</v>
      </c>
      <c r="BU67" s="5147"/>
      <c r="BV67" s="5147"/>
      <c r="BW67" s="5147"/>
      <c r="BX67" s="5147"/>
      <c r="BY67" s="5148"/>
      <c r="CB67" s="5146" t="str">
        <f>O68</f>
        <v>اللغــة العربية</v>
      </c>
      <c r="CC67" s="5147"/>
      <c r="CD67" s="5147"/>
      <c r="CE67" s="5147"/>
      <c r="CF67" s="5147"/>
      <c r="CG67" s="5148"/>
      <c r="CJ67" s="5146" t="str">
        <f>O68</f>
        <v>اللغــة العربية</v>
      </c>
      <c r="CK67" s="5147"/>
      <c r="CL67" s="5147"/>
      <c r="CM67" s="5147"/>
      <c r="CN67" s="5147"/>
      <c r="CO67" s="5148"/>
      <c r="CR67" s="5146" t="str">
        <f>O68</f>
        <v>اللغــة العربية</v>
      </c>
      <c r="CS67" s="5147"/>
      <c r="CT67" s="5147"/>
      <c r="CU67" s="5147"/>
      <c r="CV67" s="5147"/>
      <c r="CW67" s="5148"/>
      <c r="CZ67" s="5146" t="str">
        <f>O68</f>
        <v>اللغــة العربية</v>
      </c>
      <c r="DA67" s="5147"/>
      <c r="DB67" s="5147"/>
      <c r="DC67" s="5147"/>
      <c r="DD67" s="5147"/>
      <c r="DE67" s="5148"/>
      <c r="DH67" s="5146" t="str">
        <f>O68</f>
        <v>اللغــة العربية</v>
      </c>
      <c r="DI67" s="5147"/>
      <c r="DJ67" s="5147"/>
      <c r="DK67" s="5147"/>
      <c r="DL67" s="5147"/>
      <c r="DM67" s="5148"/>
      <c r="DP67" s="5146" t="str">
        <f>O68</f>
        <v>اللغــة العربية</v>
      </c>
      <c r="DQ67" s="5147"/>
      <c r="DR67" s="5148"/>
      <c r="DU67" s="5758" t="s">
        <v>57</v>
      </c>
      <c r="DV67" s="5759"/>
      <c r="DW67" s="5759"/>
      <c r="DX67" s="5759"/>
      <c r="DY67" s="5759"/>
      <c r="DZ67" s="5760"/>
      <c r="EA67" s="5758" t="s">
        <v>56</v>
      </c>
      <c r="EB67" s="5759"/>
      <c r="EC67" s="5759"/>
      <c r="ED67" s="5759"/>
      <c r="EE67" s="5759"/>
      <c r="EF67" s="5760"/>
      <c r="EG67" s="5758" t="s">
        <v>55</v>
      </c>
      <c r="EH67" s="5759"/>
      <c r="EI67" s="5759"/>
      <c r="EJ67" s="5759"/>
      <c r="EK67" s="5759"/>
      <c r="EL67" s="5760"/>
      <c r="EM67" s="5758" t="s">
        <v>54</v>
      </c>
      <c r="EN67" s="5759"/>
      <c r="EO67" s="5759"/>
      <c r="EP67" s="5759"/>
      <c r="EQ67" s="5759"/>
      <c r="ER67" s="5760"/>
      <c r="ES67" s="5758" t="s">
        <v>53</v>
      </c>
      <c r="ET67" s="5759"/>
      <c r="EU67" s="5759"/>
      <c r="EV67" s="5759"/>
      <c r="EW67" s="5759"/>
      <c r="EX67" s="5760"/>
      <c r="EY67" s="5758" t="s">
        <v>52</v>
      </c>
      <c r="EZ67" s="5759"/>
      <c r="FA67" s="5759"/>
      <c r="FB67" s="5759"/>
      <c r="FC67" s="5759"/>
      <c r="FD67" s="5760"/>
      <c r="FE67" s="5758" t="s">
        <v>51</v>
      </c>
      <c r="FF67" s="5759"/>
      <c r="FG67" s="5759"/>
      <c r="FH67" s="5759"/>
      <c r="FI67" s="5759"/>
      <c r="FJ67" s="5760"/>
      <c r="FK67" s="5758" t="s">
        <v>50</v>
      </c>
      <c r="FL67" s="5759"/>
      <c r="FM67" s="5759"/>
      <c r="FN67" s="5759"/>
      <c r="FO67" s="5759"/>
      <c r="FP67" s="5760"/>
      <c r="IV67" s="41"/>
    </row>
    <row r="68" spans="1:256" s="25" customFormat="1" ht="12.75" customHeight="1" thickBot="1">
      <c r="A68" s="5729"/>
      <c r="C68" s="295"/>
      <c r="D68" s="293"/>
      <c r="E68" s="291" t="s">
        <v>326</v>
      </c>
      <c r="F68" s="294"/>
      <c r="G68" s="293"/>
      <c r="H68" s="291" t="s">
        <v>325</v>
      </c>
      <c r="I68" s="290"/>
      <c r="J68" s="292"/>
      <c r="K68" s="291" t="s">
        <v>324</v>
      </c>
      <c r="L68" s="290"/>
      <c r="N68" s="313"/>
      <c r="O68" s="312" t="s">
        <v>47</v>
      </c>
      <c r="P68" s="311"/>
      <c r="R68" s="5164" t="s">
        <v>645</v>
      </c>
      <c r="S68" s="5165"/>
      <c r="T68" s="5165"/>
      <c r="U68" s="5165"/>
      <c r="V68" s="5165"/>
      <c r="W68" s="5166"/>
      <c r="Y68" s="5164" t="s">
        <v>323</v>
      </c>
      <c r="Z68" s="5165"/>
      <c r="AA68" s="5165"/>
      <c r="AB68" s="5165"/>
      <c r="AC68" s="5165"/>
      <c r="AD68" s="5166"/>
      <c r="AF68" s="5164" t="s">
        <v>322</v>
      </c>
      <c r="AG68" s="5165"/>
      <c r="AH68" s="5165"/>
      <c r="AI68" s="5165"/>
      <c r="AJ68" s="5165"/>
      <c r="AK68" s="5166"/>
      <c r="AM68" s="5164" t="s">
        <v>321</v>
      </c>
      <c r="AN68" s="5165"/>
      <c r="AO68" s="5165"/>
      <c r="AP68" s="5165"/>
      <c r="AQ68" s="5165"/>
      <c r="AR68" s="5166"/>
      <c r="AT68" s="5164" t="s">
        <v>644</v>
      </c>
      <c r="AU68" s="5165"/>
      <c r="AV68" s="5165"/>
      <c r="AW68" s="5165"/>
      <c r="AX68" s="5165"/>
      <c r="AY68" s="5166"/>
      <c r="BA68" s="5164" t="s">
        <v>642</v>
      </c>
      <c r="BB68" s="5165"/>
      <c r="BC68" s="5165"/>
      <c r="BD68" s="5165"/>
      <c r="BE68" s="5165"/>
      <c r="BF68" s="5166"/>
      <c r="BG68" s="5164" t="s">
        <v>643</v>
      </c>
      <c r="BH68" s="5165"/>
      <c r="BI68" s="5165"/>
      <c r="BJ68" s="5165"/>
      <c r="BK68" s="5165"/>
      <c r="BL68" s="5166"/>
      <c r="BM68" s="289"/>
      <c r="BN68" s="286"/>
      <c r="BO68" s="288" t="str">
        <f>O68</f>
        <v>اللغــة العربية</v>
      </c>
      <c r="BP68" s="287"/>
      <c r="BQ68" s="286"/>
      <c r="BR68" s="285"/>
      <c r="BT68" s="5149"/>
      <c r="BU68" s="5150"/>
      <c r="BV68" s="5150"/>
      <c r="BW68" s="5150"/>
      <c r="BX68" s="5150"/>
      <c r="BY68" s="5151"/>
      <c r="CB68" s="5149"/>
      <c r="CC68" s="5150"/>
      <c r="CD68" s="5150"/>
      <c r="CE68" s="5150"/>
      <c r="CF68" s="5150"/>
      <c r="CG68" s="5151"/>
      <c r="CJ68" s="5149"/>
      <c r="CK68" s="5150"/>
      <c r="CL68" s="5150"/>
      <c r="CM68" s="5150"/>
      <c r="CN68" s="5150"/>
      <c r="CO68" s="5151"/>
      <c r="CR68" s="5149"/>
      <c r="CS68" s="5150"/>
      <c r="CT68" s="5150"/>
      <c r="CU68" s="5150"/>
      <c r="CV68" s="5150"/>
      <c r="CW68" s="5151"/>
      <c r="CZ68" s="5149"/>
      <c r="DA68" s="5150"/>
      <c r="DB68" s="5150"/>
      <c r="DC68" s="5150"/>
      <c r="DD68" s="5150"/>
      <c r="DE68" s="5151"/>
      <c r="DH68" s="5149"/>
      <c r="DI68" s="5150"/>
      <c r="DJ68" s="5150"/>
      <c r="DK68" s="5150"/>
      <c r="DL68" s="5150"/>
      <c r="DM68" s="5151"/>
      <c r="DP68" s="5771"/>
      <c r="DQ68" s="5772"/>
      <c r="DR68" s="5773"/>
      <c r="DU68" s="5761"/>
      <c r="DV68" s="5762"/>
      <c r="DW68" s="5762"/>
      <c r="DX68" s="5762"/>
      <c r="DY68" s="5762"/>
      <c r="DZ68" s="5763"/>
      <c r="EA68" s="5761"/>
      <c r="EB68" s="5762"/>
      <c r="EC68" s="5762"/>
      <c r="ED68" s="5762"/>
      <c r="EE68" s="5762"/>
      <c r="EF68" s="5763"/>
      <c r="EG68" s="5761"/>
      <c r="EH68" s="5762"/>
      <c r="EI68" s="5762"/>
      <c r="EJ68" s="5762"/>
      <c r="EK68" s="5762"/>
      <c r="EL68" s="5763"/>
      <c r="EM68" s="5761"/>
      <c r="EN68" s="5762"/>
      <c r="EO68" s="5762"/>
      <c r="EP68" s="5762"/>
      <c r="EQ68" s="5762"/>
      <c r="ER68" s="5763"/>
      <c r="ES68" s="5761"/>
      <c r="ET68" s="5762"/>
      <c r="EU68" s="5762"/>
      <c r="EV68" s="5762"/>
      <c r="EW68" s="5762"/>
      <c r="EX68" s="5763"/>
      <c r="EY68" s="5761"/>
      <c r="EZ68" s="5762"/>
      <c r="FA68" s="5762"/>
      <c r="FB68" s="5762"/>
      <c r="FC68" s="5762"/>
      <c r="FD68" s="5763"/>
      <c r="FE68" s="5761"/>
      <c r="FF68" s="5762"/>
      <c r="FG68" s="5762"/>
      <c r="FH68" s="5762"/>
      <c r="FI68" s="5762"/>
      <c r="FJ68" s="5763"/>
      <c r="FK68" s="5761"/>
      <c r="FL68" s="5762"/>
      <c r="FM68" s="5762"/>
      <c r="FN68" s="5762"/>
      <c r="FO68" s="5762"/>
      <c r="FP68" s="5763"/>
      <c r="IV68" s="41"/>
    </row>
    <row r="69" spans="1:256" s="25" customFormat="1" ht="12.75" customHeight="1">
      <c r="A69" s="5729"/>
      <c r="C69" s="284"/>
      <c r="D69" s="282"/>
      <c r="E69" s="282"/>
      <c r="F69" s="282"/>
      <c r="G69" s="282"/>
      <c r="H69" s="282"/>
      <c r="I69" s="281"/>
      <c r="J69" s="283"/>
      <c r="K69" s="282"/>
      <c r="L69" s="281"/>
      <c r="N69" s="310"/>
      <c r="O69" s="309"/>
      <c r="P69" s="308"/>
      <c r="R69" s="5167"/>
      <c r="S69" s="5168"/>
      <c r="T69" s="5168"/>
      <c r="U69" s="5168"/>
      <c r="V69" s="5168"/>
      <c r="W69" s="5169"/>
      <c r="Y69" s="5167"/>
      <c r="Z69" s="5168"/>
      <c r="AA69" s="5168"/>
      <c r="AB69" s="5168"/>
      <c r="AC69" s="5168"/>
      <c r="AD69" s="5169"/>
      <c r="AF69" s="5167"/>
      <c r="AG69" s="5168"/>
      <c r="AH69" s="5168"/>
      <c r="AI69" s="5168"/>
      <c r="AJ69" s="5168"/>
      <c r="AK69" s="5169"/>
      <c r="AM69" s="5167"/>
      <c r="AN69" s="5168"/>
      <c r="AO69" s="5168"/>
      <c r="AP69" s="5168"/>
      <c r="AQ69" s="5168"/>
      <c r="AR69" s="5169"/>
      <c r="AT69" s="5167"/>
      <c r="AU69" s="5168"/>
      <c r="AV69" s="5168"/>
      <c r="AW69" s="5168"/>
      <c r="AX69" s="5168"/>
      <c r="AY69" s="5169"/>
      <c r="BA69" s="5167"/>
      <c r="BB69" s="5168"/>
      <c r="BC69" s="5168"/>
      <c r="BD69" s="5168"/>
      <c r="BE69" s="5168"/>
      <c r="BF69" s="5169"/>
      <c r="BG69" s="5167"/>
      <c r="BH69" s="5168"/>
      <c r="BI69" s="5168"/>
      <c r="BJ69" s="5168"/>
      <c r="BK69" s="5168"/>
      <c r="BL69" s="5169"/>
      <c r="BM69" s="280"/>
      <c r="BN69" s="279"/>
      <c r="BO69" s="279"/>
      <c r="BP69" s="279"/>
      <c r="BQ69" s="279"/>
      <c r="BR69" s="278"/>
      <c r="BT69" s="5130" t="s">
        <v>318</v>
      </c>
      <c r="BU69" s="5131"/>
      <c r="BV69" s="5132"/>
      <c r="BW69" s="5144" t="s">
        <v>317</v>
      </c>
      <c r="BX69" s="5131"/>
      <c r="BY69" s="5145"/>
      <c r="CB69" s="5130" t="s">
        <v>318</v>
      </c>
      <c r="CC69" s="5131"/>
      <c r="CD69" s="5132"/>
      <c r="CE69" s="5144" t="s">
        <v>317</v>
      </c>
      <c r="CF69" s="5131"/>
      <c r="CG69" s="5145"/>
      <c r="CJ69" s="5130" t="s">
        <v>318</v>
      </c>
      <c r="CK69" s="5131"/>
      <c r="CL69" s="5132"/>
      <c r="CM69" s="5144" t="s">
        <v>317</v>
      </c>
      <c r="CN69" s="5131"/>
      <c r="CO69" s="5145"/>
      <c r="CR69" s="5152" t="s">
        <v>320</v>
      </c>
      <c r="CS69" s="5153"/>
      <c r="CT69" s="5153"/>
      <c r="CU69" s="5152" t="s">
        <v>319</v>
      </c>
      <c r="CV69" s="5153"/>
      <c r="CW69" s="5154"/>
      <c r="CZ69" s="5130" t="s">
        <v>318</v>
      </c>
      <c r="DA69" s="5131"/>
      <c r="DB69" s="5132"/>
      <c r="DC69" s="5144" t="s">
        <v>317</v>
      </c>
      <c r="DD69" s="5131"/>
      <c r="DE69" s="5145"/>
      <c r="DH69" s="5130" t="s">
        <v>318</v>
      </c>
      <c r="DI69" s="5131"/>
      <c r="DJ69" s="5132"/>
      <c r="DK69" s="5144" t="s">
        <v>317</v>
      </c>
      <c r="DL69" s="5131"/>
      <c r="DM69" s="5145"/>
      <c r="DP69" s="5130" t="s">
        <v>318</v>
      </c>
      <c r="DQ69" s="5131"/>
      <c r="DR69" s="5145"/>
      <c r="DU69" s="277"/>
      <c r="DV69" s="274" t="s">
        <v>318</v>
      </c>
      <c r="DW69" s="276"/>
      <c r="DX69" s="275"/>
      <c r="DY69" s="274" t="s">
        <v>317</v>
      </c>
      <c r="DZ69" s="273"/>
      <c r="EA69" s="277"/>
      <c r="EB69" s="274" t="s">
        <v>318</v>
      </c>
      <c r="EC69" s="276"/>
      <c r="ED69" s="275"/>
      <c r="EE69" s="274" t="s">
        <v>317</v>
      </c>
      <c r="EF69" s="273"/>
      <c r="EG69" s="277"/>
      <c r="EH69" s="274" t="s">
        <v>318</v>
      </c>
      <c r="EI69" s="276"/>
      <c r="EJ69" s="275"/>
      <c r="EK69" s="274" t="s">
        <v>317</v>
      </c>
      <c r="EL69" s="273"/>
      <c r="EM69" s="277"/>
      <c r="EN69" s="274" t="s">
        <v>318</v>
      </c>
      <c r="EO69" s="276"/>
      <c r="EP69" s="275"/>
      <c r="EQ69" s="274" t="s">
        <v>317</v>
      </c>
      <c r="ER69" s="273"/>
      <c r="ES69" s="277"/>
      <c r="ET69" s="274" t="s">
        <v>318</v>
      </c>
      <c r="EU69" s="276"/>
      <c r="EV69" s="275"/>
      <c r="EW69" s="274" t="s">
        <v>317</v>
      </c>
      <c r="EX69" s="273"/>
      <c r="EY69" s="277"/>
      <c r="EZ69" s="274" t="s">
        <v>318</v>
      </c>
      <c r="FA69" s="276"/>
      <c r="FB69" s="275"/>
      <c r="FC69" s="274" t="s">
        <v>317</v>
      </c>
      <c r="FD69" s="273"/>
      <c r="FE69" s="277"/>
      <c r="FF69" s="274" t="s">
        <v>318</v>
      </c>
      <c r="FG69" s="276"/>
      <c r="FH69" s="275"/>
      <c r="FI69" s="274" t="s">
        <v>317</v>
      </c>
      <c r="FJ69" s="273"/>
      <c r="FK69" s="277"/>
      <c r="FL69" s="274" t="s">
        <v>318</v>
      </c>
      <c r="FM69" s="276"/>
      <c r="FN69" s="275"/>
      <c r="FO69" s="274" t="s">
        <v>317</v>
      </c>
      <c r="FP69" s="273"/>
      <c r="FR69" s="27"/>
      <c r="FS69" s="27"/>
      <c r="FT69" s="27"/>
      <c r="FU69" s="27"/>
      <c r="FV69" s="27"/>
      <c r="FW69" s="27"/>
      <c r="FX69" s="27"/>
      <c r="FY69" s="27"/>
      <c r="FZ69" s="27"/>
      <c r="GA69" s="27"/>
      <c r="GB69" s="27"/>
      <c r="GC69" s="27"/>
      <c r="GD69" s="27"/>
      <c r="GE69" s="27"/>
      <c r="GF69" s="27"/>
      <c r="GG69" s="27"/>
      <c r="GH69" s="27"/>
      <c r="GI69" s="27"/>
      <c r="GJ69" s="27"/>
      <c r="GK69" s="27"/>
      <c r="GL69" s="27"/>
      <c r="GM69" s="27"/>
      <c r="GN69" s="27"/>
      <c r="GO69" s="27"/>
      <c r="GP69" s="27"/>
      <c r="GQ69" s="27"/>
      <c r="GR69" s="27"/>
      <c r="GS69" s="27"/>
      <c r="GT69" s="27"/>
      <c r="GU69" s="27"/>
      <c r="GV69" s="27"/>
      <c r="GW69" s="27"/>
      <c r="GX69" s="27"/>
      <c r="GY69" s="27"/>
      <c r="GZ69" s="27"/>
      <c r="HA69" s="27"/>
      <c r="HB69" s="27"/>
      <c r="HC69" s="27"/>
      <c r="HD69" s="27"/>
      <c r="HE69" s="27"/>
      <c r="HF69" s="27"/>
      <c r="HG69" s="27"/>
      <c r="HH69" s="27"/>
      <c r="HI69" s="27"/>
      <c r="HJ69" s="27"/>
      <c r="HK69" s="27"/>
      <c r="HL69" s="27"/>
      <c r="HM69" s="27"/>
      <c r="HN69" s="27"/>
      <c r="HO69" s="27"/>
      <c r="HP69" s="27"/>
      <c r="HQ69" s="27"/>
      <c r="HR69" s="27"/>
      <c r="HS69" s="27"/>
      <c r="HT69" s="27"/>
      <c r="HU69" s="27"/>
      <c r="HV69" s="27"/>
      <c r="HW69" s="27"/>
      <c r="HX69" s="27"/>
      <c r="HY69" s="27"/>
      <c r="HZ69" s="27"/>
      <c r="IA69" s="27"/>
      <c r="IB69" s="27"/>
      <c r="IC69" s="27"/>
      <c r="ID69" s="27"/>
      <c r="IE69" s="27"/>
      <c r="IF69" s="27"/>
      <c r="IG69" s="27"/>
      <c r="IH69" s="27"/>
      <c r="II69" s="27"/>
      <c r="IJ69" s="27"/>
      <c r="IK69" s="27"/>
      <c r="IL69" s="27"/>
      <c r="IM69" s="27"/>
      <c r="IN69" s="27"/>
      <c r="IO69" s="27"/>
      <c r="IP69" s="27"/>
      <c r="IQ69" s="27"/>
      <c r="IR69" s="27"/>
      <c r="IS69" s="27"/>
      <c r="IT69" s="27"/>
      <c r="IV69" s="41"/>
    </row>
    <row r="70" spans="1:256" s="25" customFormat="1" ht="14.4">
      <c r="A70" s="5729"/>
      <c r="C70" s="272" t="s">
        <v>316</v>
      </c>
      <c r="D70" s="270" t="s">
        <v>20</v>
      </c>
      <c r="E70" s="270" t="s">
        <v>49</v>
      </c>
      <c r="F70" s="270" t="s">
        <v>311</v>
      </c>
      <c r="G70" s="270" t="s">
        <v>20</v>
      </c>
      <c r="H70" s="270" t="s">
        <v>49</v>
      </c>
      <c r="I70" s="269" t="s">
        <v>311</v>
      </c>
      <c r="J70" s="271" t="s">
        <v>20</v>
      </c>
      <c r="K70" s="270" t="s">
        <v>49</v>
      </c>
      <c r="L70" s="269" t="s">
        <v>311</v>
      </c>
      <c r="N70" s="266" t="s">
        <v>20</v>
      </c>
      <c r="O70" s="264" t="s">
        <v>49</v>
      </c>
      <c r="P70" s="263" t="s">
        <v>311</v>
      </c>
      <c r="R70" s="266" t="s">
        <v>20</v>
      </c>
      <c r="S70" s="264" t="s">
        <v>49</v>
      </c>
      <c r="T70" s="265" t="s">
        <v>311</v>
      </c>
      <c r="U70" s="264" t="s">
        <v>310</v>
      </c>
      <c r="V70" s="264" t="s">
        <v>309</v>
      </c>
      <c r="W70" s="263" t="s">
        <v>308</v>
      </c>
      <c r="Y70" s="266" t="s">
        <v>20</v>
      </c>
      <c r="Z70" s="264" t="s">
        <v>49</v>
      </c>
      <c r="AA70" s="265" t="s">
        <v>311</v>
      </c>
      <c r="AB70" s="264" t="s">
        <v>310</v>
      </c>
      <c r="AC70" s="264" t="s">
        <v>309</v>
      </c>
      <c r="AD70" s="263" t="s">
        <v>308</v>
      </c>
      <c r="AF70" s="266" t="s">
        <v>20</v>
      </c>
      <c r="AG70" s="264" t="s">
        <v>49</v>
      </c>
      <c r="AH70" s="265" t="s">
        <v>311</v>
      </c>
      <c r="AI70" s="264" t="s">
        <v>310</v>
      </c>
      <c r="AJ70" s="264" t="s">
        <v>309</v>
      </c>
      <c r="AK70" s="263" t="s">
        <v>308</v>
      </c>
      <c r="AM70" s="266" t="s">
        <v>20</v>
      </c>
      <c r="AN70" s="264" t="s">
        <v>49</v>
      </c>
      <c r="AO70" s="265" t="s">
        <v>311</v>
      </c>
      <c r="AP70" s="264" t="s">
        <v>310</v>
      </c>
      <c r="AQ70" s="264" t="s">
        <v>309</v>
      </c>
      <c r="AR70" s="263" t="s">
        <v>308</v>
      </c>
      <c r="AT70" s="266" t="s">
        <v>20</v>
      </c>
      <c r="AU70" s="264" t="s">
        <v>49</v>
      </c>
      <c r="AV70" s="265" t="s">
        <v>311</v>
      </c>
      <c r="AW70" s="264" t="s">
        <v>310</v>
      </c>
      <c r="AX70" s="264" t="s">
        <v>309</v>
      </c>
      <c r="AY70" s="263" t="s">
        <v>308</v>
      </c>
      <c r="BA70" s="266" t="s">
        <v>20</v>
      </c>
      <c r="BB70" s="264" t="s">
        <v>49</v>
      </c>
      <c r="BC70" s="265" t="s">
        <v>311</v>
      </c>
      <c r="BD70" s="264" t="s">
        <v>310</v>
      </c>
      <c r="BE70" s="264" t="s">
        <v>309</v>
      </c>
      <c r="BF70" s="263" t="s">
        <v>308</v>
      </c>
      <c r="BG70" s="266" t="s">
        <v>20</v>
      </c>
      <c r="BH70" s="264" t="s">
        <v>49</v>
      </c>
      <c r="BI70" s="265" t="s">
        <v>311</v>
      </c>
      <c r="BJ70" s="264" t="s">
        <v>310</v>
      </c>
      <c r="BK70" s="264" t="s">
        <v>309</v>
      </c>
      <c r="BL70" s="263" t="s">
        <v>308</v>
      </c>
      <c r="BM70" s="266" t="s">
        <v>20</v>
      </c>
      <c r="BN70" s="264" t="s">
        <v>49</v>
      </c>
      <c r="BO70" s="265" t="s">
        <v>311</v>
      </c>
      <c r="BP70" s="264" t="s">
        <v>310</v>
      </c>
      <c r="BQ70" s="264" t="s">
        <v>309</v>
      </c>
      <c r="BR70" s="263" t="s">
        <v>308</v>
      </c>
      <c r="BT70" s="266" t="s">
        <v>20</v>
      </c>
      <c r="BU70" s="264" t="s">
        <v>49</v>
      </c>
      <c r="BV70" s="265" t="s">
        <v>311</v>
      </c>
      <c r="BW70" s="264" t="s">
        <v>310</v>
      </c>
      <c r="BX70" s="264" t="s">
        <v>309</v>
      </c>
      <c r="BY70" s="263" t="s">
        <v>308</v>
      </c>
      <c r="CB70" s="266" t="s">
        <v>20</v>
      </c>
      <c r="CC70" s="264" t="s">
        <v>49</v>
      </c>
      <c r="CD70" s="265" t="s">
        <v>311</v>
      </c>
      <c r="CE70" s="264" t="s">
        <v>310</v>
      </c>
      <c r="CF70" s="264" t="s">
        <v>309</v>
      </c>
      <c r="CG70" s="263" t="s">
        <v>308</v>
      </c>
      <c r="CJ70" s="266" t="s">
        <v>20</v>
      </c>
      <c r="CK70" s="264" t="s">
        <v>49</v>
      </c>
      <c r="CL70" s="265" t="s">
        <v>311</v>
      </c>
      <c r="CM70" s="264" t="s">
        <v>310</v>
      </c>
      <c r="CN70" s="264" t="s">
        <v>309</v>
      </c>
      <c r="CO70" s="263" t="s">
        <v>308</v>
      </c>
      <c r="CR70" s="266" t="s">
        <v>313</v>
      </c>
      <c r="CS70" s="264" t="s">
        <v>315</v>
      </c>
      <c r="CT70" s="268" t="s">
        <v>314</v>
      </c>
      <c r="CU70" s="267" t="s">
        <v>313</v>
      </c>
      <c r="CV70" s="264" t="s">
        <v>28</v>
      </c>
      <c r="CW70" s="263" t="s">
        <v>312</v>
      </c>
      <c r="CZ70" s="266" t="s">
        <v>20</v>
      </c>
      <c r="DA70" s="264" t="s">
        <v>49</v>
      </c>
      <c r="DB70" s="265" t="s">
        <v>311</v>
      </c>
      <c r="DC70" s="264" t="s">
        <v>310</v>
      </c>
      <c r="DD70" s="264" t="s">
        <v>309</v>
      </c>
      <c r="DE70" s="263" t="s">
        <v>308</v>
      </c>
      <c r="DH70" s="266" t="s">
        <v>20</v>
      </c>
      <c r="DI70" s="264" t="s">
        <v>49</v>
      </c>
      <c r="DJ70" s="265" t="s">
        <v>311</v>
      </c>
      <c r="DK70" s="264" t="s">
        <v>310</v>
      </c>
      <c r="DL70" s="264" t="s">
        <v>309</v>
      </c>
      <c r="DM70" s="319" t="s">
        <v>308</v>
      </c>
      <c r="DP70" s="266" t="s">
        <v>20</v>
      </c>
      <c r="DQ70" s="264" t="s">
        <v>49</v>
      </c>
      <c r="DR70" s="263" t="s">
        <v>311</v>
      </c>
      <c r="DU70" s="266" t="s">
        <v>20</v>
      </c>
      <c r="DV70" s="264" t="s">
        <v>49</v>
      </c>
      <c r="DW70" s="265" t="s">
        <v>311</v>
      </c>
      <c r="DX70" s="264" t="s">
        <v>310</v>
      </c>
      <c r="DY70" s="264" t="s">
        <v>309</v>
      </c>
      <c r="DZ70" s="263" t="s">
        <v>308</v>
      </c>
      <c r="EA70" s="266" t="s">
        <v>20</v>
      </c>
      <c r="EB70" s="264" t="s">
        <v>49</v>
      </c>
      <c r="EC70" s="265" t="s">
        <v>311</v>
      </c>
      <c r="ED70" s="264" t="s">
        <v>310</v>
      </c>
      <c r="EE70" s="264" t="s">
        <v>309</v>
      </c>
      <c r="EF70" s="263" t="s">
        <v>308</v>
      </c>
      <c r="EG70" s="266" t="s">
        <v>20</v>
      </c>
      <c r="EH70" s="264" t="s">
        <v>49</v>
      </c>
      <c r="EI70" s="265" t="s">
        <v>311</v>
      </c>
      <c r="EJ70" s="264" t="s">
        <v>310</v>
      </c>
      <c r="EK70" s="264" t="s">
        <v>309</v>
      </c>
      <c r="EL70" s="263" t="s">
        <v>308</v>
      </c>
      <c r="EM70" s="266" t="s">
        <v>20</v>
      </c>
      <c r="EN70" s="264" t="s">
        <v>49</v>
      </c>
      <c r="EO70" s="265" t="s">
        <v>311</v>
      </c>
      <c r="EP70" s="264" t="s">
        <v>310</v>
      </c>
      <c r="EQ70" s="264" t="s">
        <v>309</v>
      </c>
      <c r="ER70" s="263" t="s">
        <v>308</v>
      </c>
      <c r="ES70" s="266" t="s">
        <v>20</v>
      </c>
      <c r="ET70" s="264" t="s">
        <v>49</v>
      </c>
      <c r="EU70" s="265" t="s">
        <v>311</v>
      </c>
      <c r="EV70" s="264" t="s">
        <v>310</v>
      </c>
      <c r="EW70" s="264" t="s">
        <v>309</v>
      </c>
      <c r="EX70" s="263" t="s">
        <v>308</v>
      </c>
      <c r="EY70" s="266" t="s">
        <v>20</v>
      </c>
      <c r="EZ70" s="264" t="s">
        <v>49</v>
      </c>
      <c r="FA70" s="265" t="s">
        <v>311</v>
      </c>
      <c r="FB70" s="264" t="s">
        <v>310</v>
      </c>
      <c r="FC70" s="264" t="s">
        <v>309</v>
      </c>
      <c r="FD70" s="263" t="s">
        <v>308</v>
      </c>
      <c r="FE70" s="266" t="s">
        <v>20</v>
      </c>
      <c r="FF70" s="264" t="s">
        <v>49</v>
      </c>
      <c r="FG70" s="265" t="s">
        <v>311</v>
      </c>
      <c r="FH70" s="264" t="s">
        <v>310</v>
      </c>
      <c r="FI70" s="264" t="s">
        <v>309</v>
      </c>
      <c r="FJ70" s="263" t="s">
        <v>308</v>
      </c>
      <c r="FK70" s="266" t="s">
        <v>20</v>
      </c>
      <c r="FL70" s="264" t="s">
        <v>49</v>
      </c>
      <c r="FM70" s="265" t="s">
        <v>311</v>
      </c>
      <c r="FN70" s="264" t="s">
        <v>310</v>
      </c>
      <c r="FO70" s="264" t="s">
        <v>309</v>
      </c>
      <c r="FP70" s="263" t="s">
        <v>308</v>
      </c>
      <c r="IV70" s="41"/>
    </row>
    <row r="71" spans="1:256" s="25" customFormat="1" ht="13.5" customHeight="1" thickBot="1">
      <c r="A71" s="5729"/>
      <c r="C71" s="253">
        <f>('الصفحة 27'!$F$46)</f>
        <v>7</v>
      </c>
      <c r="D71" s="252">
        <f>'الصفحة 27'!$M$46</f>
        <v>7</v>
      </c>
      <c r="E71" s="252">
        <f>'الصفحة 27'!$N$46</f>
        <v>6</v>
      </c>
      <c r="F71" s="251">
        <f>(D71-E71)</f>
        <v>1</v>
      </c>
      <c r="G71" s="251">
        <f>('الصفحة 27'!$K$46)</f>
        <v>2</v>
      </c>
      <c r="H71" s="262">
        <f>('الصفحة 27'!$L$46)</f>
        <v>2</v>
      </c>
      <c r="I71" s="261">
        <f>(G71-H71)</f>
        <v>0</v>
      </c>
      <c r="J71" s="260">
        <f>((G71)/($D$63+0.00001))*100</f>
        <v>5.8823512110731722</v>
      </c>
      <c r="K71" s="250">
        <f>((H71)/($E$63+0.00001))*100</f>
        <v>7.6923047337289479</v>
      </c>
      <c r="L71" s="249">
        <f>((I71)/(F71+0.00001))*100</f>
        <v>0</v>
      </c>
      <c r="N71" s="253">
        <f>'الصفحة 27'!$K$11</f>
        <v>5</v>
      </c>
      <c r="O71" s="252">
        <f>'الصفحة 27'!$K$12</f>
        <v>4</v>
      </c>
      <c r="P71" s="258">
        <f>(N71-O71)</f>
        <v>1</v>
      </c>
      <c r="R71" s="253">
        <f>'الصفحة 27'!$F$11</f>
        <v>0</v>
      </c>
      <c r="S71" s="252">
        <f>'الصفحة 27'!$F$12</f>
        <v>0</v>
      </c>
      <c r="T71" s="252">
        <f>(R71-S71)</f>
        <v>0</v>
      </c>
      <c r="U71" s="257">
        <f>(R71/($N$63+0.00001))*100</f>
        <v>0</v>
      </c>
      <c r="V71" s="257">
        <f>(S71/($O$63+0.00001))*100</f>
        <v>0</v>
      </c>
      <c r="W71" s="256">
        <f>(T71/($P$63+0.00001))*100</f>
        <v>0</v>
      </c>
      <c r="Y71" s="253">
        <f>'الصفحة 27'!$G$11</f>
        <v>2</v>
      </c>
      <c r="Z71" s="252">
        <f>'الصفحة 27'!$G$12</f>
        <v>2</v>
      </c>
      <c r="AA71" s="252">
        <f>(Y71-Z71)</f>
        <v>0</v>
      </c>
      <c r="AB71" s="257">
        <f>(Y71/($N$63+0.00001))*100</f>
        <v>7.1428545918376454</v>
      </c>
      <c r="AC71" s="257">
        <f>(Z71/($O$63+0.00001))*100</f>
        <v>9.9999950000024995</v>
      </c>
      <c r="AD71" s="256">
        <f>(AA71/($P$63+0.00001))*100</f>
        <v>0</v>
      </c>
      <c r="AF71" s="253">
        <f>'الصفحة 27'!$H$11</f>
        <v>0</v>
      </c>
      <c r="AG71" s="252">
        <f>'الصفحة 27'!$H$12</f>
        <v>0</v>
      </c>
      <c r="AH71" s="252">
        <f>(AF71-AG71)</f>
        <v>0</v>
      </c>
      <c r="AI71" s="257">
        <f>(AF71/($N$63+0.00001))*100</f>
        <v>0</v>
      </c>
      <c r="AJ71" s="257">
        <f>(AG71/($O$63+0.00001))*100</f>
        <v>0</v>
      </c>
      <c r="AK71" s="256">
        <f>(AH71/($P$63+0.00001))*100</f>
        <v>0</v>
      </c>
      <c r="AM71" s="253">
        <f>'الصفحة 27'!$I$11</f>
        <v>3</v>
      </c>
      <c r="AN71" s="252">
        <f>'الصفحة 27'!$I$12</f>
        <v>2</v>
      </c>
      <c r="AO71" s="252">
        <f>(AM71-AN71)</f>
        <v>1</v>
      </c>
      <c r="AP71" s="257">
        <f>(AM71/($N$63+0.00001))*100</f>
        <v>10.714281887756469</v>
      </c>
      <c r="AQ71" s="257">
        <f>(AN71/($O$63+0.00001))*100</f>
        <v>9.9999950000024995</v>
      </c>
      <c r="AR71" s="256">
        <f>(AO71/($P$63+0.00001))*100</f>
        <v>12.499984375019531</v>
      </c>
      <c r="AT71" s="253">
        <f>'الصفحة 27'!$J$11</f>
        <v>0</v>
      </c>
      <c r="AU71" s="252">
        <f>'الصفحة 27'!$J$12</f>
        <v>0</v>
      </c>
      <c r="AV71" s="252">
        <f>(AT71-AU71)</f>
        <v>0</v>
      </c>
      <c r="AW71" s="257">
        <f>(AT71/($N$63+0.00001))*100</f>
        <v>0</v>
      </c>
      <c r="AX71" s="257">
        <f>(AU71/($O$63+0.00001))*100</f>
        <v>0</v>
      </c>
      <c r="AY71" s="256">
        <f>(AV71/($P$63+0.00001))*100</f>
        <v>0</v>
      </c>
      <c r="BA71" s="253" t="e">
        <f>'الصفحة 27'!#REF!</f>
        <v>#REF!</v>
      </c>
      <c r="BB71" s="252" t="e">
        <f>'الصفحة 27'!#REF!</f>
        <v>#REF!</v>
      </c>
      <c r="BC71" s="252" t="e">
        <f>(BA71-BB71)</f>
        <v>#REF!</v>
      </c>
      <c r="BD71" s="257" t="e">
        <f>(BA71/($N$63+0.00001))*100</f>
        <v>#REF!</v>
      </c>
      <c r="BE71" s="257" t="e">
        <f>(BB71/($O$63+0.00001))*100</f>
        <v>#REF!</v>
      </c>
      <c r="BF71" s="256" t="e">
        <f>(BC71/($P$63+0.00001))*100</f>
        <v>#REF!</v>
      </c>
      <c r="BG71" s="253" t="e">
        <f>'الصفحة 27'!#REF!</f>
        <v>#REF!</v>
      </c>
      <c r="BH71" s="252" t="e">
        <f>'الصفحة 27'!#REF!</f>
        <v>#REF!</v>
      </c>
      <c r="BI71" s="252" t="e">
        <f>(BG71-BH71)</f>
        <v>#REF!</v>
      </c>
      <c r="BJ71" s="257" t="e">
        <f>(BG71/($N$63+0.00001))*100</f>
        <v>#REF!</v>
      </c>
      <c r="BK71" s="257" t="e">
        <f>(BH71/($O$63+0.00001))*100</f>
        <v>#REF!</v>
      </c>
      <c r="BL71" s="256" t="e">
        <f>(BI71/($P$63+0.00001))*100</f>
        <v>#REF!</v>
      </c>
      <c r="BM71" s="253">
        <f>'الصفحة 30'!$O$29+'الصفحة 30'!$Q$10+'الصفحة 30'!$Q$29+'الصفحة 30'!$S$10+'الصفحة 30'!$S$29+'الصفحة 30'!$U$10+'الصفحة 30'!$U$29+'الصفحة 30'!$W$10+'الصفحة 30'!$W$29+'الصفحة 30'!$Y$10+'الصفحة 30'!$Y$29</f>
        <v>0</v>
      </c>
      <c r="BN71" s="252">
        <f>'الصفحة 30'!$P$29+'الصفحة 30'!$R$10+'الصفحة 30'!$R$29+'الصفحة 30'!$T$10+'الصفحة 30'!$T$29+'الصفحة 30'!$V$10+'الصفحة 30'!$V$29+'الصفحة 30'!$X$10+'الصفحة 30'!$X$29+'الصفحة 30'!$Z$10+'الصفحة 30'!$Z$29</f>
        <v>0</v>
      </c>
      <c r="BO71" s="252">
        <f>(BM71-BN71)</f>
        <v>0</v>
      </c>
      <c r="BP71" s="257">
        <f>(BM71/($N71+0.00001))*100</f>
        <v>0</v>
      </c>
      <c r="BQ71" s="257">
        <f>(BN71/($O71+0.00001))*100</f>
        <v>0</v>
      </c>
      <c r="BR71" s="256">
        <f>(BO71/($P71+0.00001))*100</f>
        <v>0</v>
      </c>
      <c r="BT71" s="253">
        <f>'الصفحة 31'!$F$11</f>
        <v>0</v>
      </c>
      <c r="BU71" s="252">
        <f>'الصفحة 31'!$F$12</f>
        <v>0</v>
      </c>
      <c r="BV71" s="251">
        <f>(BT71-BU71)</f>
        <v>0</v>
      </c>
      <c r="BW71" s="257">
        <f>(BT71/($N71+0.00001))*100</f>
        <v>0</v>
      </c>
      <c r="BX71" s="257">
        <f>(BU71/($O71+0.00001))*100</f>
        <v>0</v>
      </c>
      <c r="BY71" s="256">
        <f>(BV71/($P71+0.00001))*100</f>
        <v>0</v>
      </c>
      <c r="CB71" s="253">
        <f>'الصفحة 31'!$P$45</f>
        <v>0</v>
      </c>
      <c r="CC71" s="252">
        <f>'الصفحة 31'!$Q$45</f>
        <v>0</v>
      </c>
      <c r="CD71" s="251">
        <f>(CB71-CC71)</f>
        <v>0</v>
      </c>
      <c r="CE71" s="257">
        <f>(CB71/($N71+0.00001))*100</f>
        <v>0</v>
      </c>
      <c r="CF71" s="257">
        <f>(CC71/($O71+0.00001))*100</f>
        <v>0</v>
      </c>
      <c r="CG71" s="256">
        <f>(CD71/($P71+0.00001))*100</f>
        <v>0</v>
      </c>
      <c r="CJ71" s="253">
        <f>'الصفحة 31'!$Q$11</f>
        <v>0</v>
      </c>
      <c r="CK71" s="252">
        <f>'الصفحة 31'!$Q$12</f>
        <v>0</v>
      </c>
      <c r="CL71" s="251">
        <f>(CJ71-CK71)</f>
        <v>0</v>
      </c>
      <c r="CM71" s="257">
        <f>(CJ71/($N71+0.00001))*100</f>
        <v>0</v>
      </c>
      <c r="CN71" s="257">
        <f>(CK71/($O71+0.00001))*100</f>
        <v>0</v>
      </c>
      <c r="CO71" s="256">
        <f>(CL71/($P71+0.00001))*100</f>
        <v>0</v>
      </c>
      <c r="CR71" s="253" t="e">
        <f>'الصفحة 27'!#REF!</f>
        <v>#REF!</v>
      </c>
      <c r="CS71" s="252" t="e">
        <f>CV71-CR71</f>
        <v>#REF!</v>
      </c>
      <c r="CT71" s="255" t="e">
        <f>((CR71)/(CS71+0.00001))</f>
        <v>#REF!</v>
      </c>
      <c r="CU71" s="253" t="e">
        <f>CR71</f>
        <v>#REF!</v>
      </c>
      <c r="CV71" s="252" t="e">
        <f>'الصفحة 27'!#REF!</f>
        <v>#REF!</v>
      </c>
      <c r="CW71" s="249" t="e">
        <f>((CU71)/(CV71+0.00001))*100</f>
        <v>#REF!</v>
      </c>
      <c r="CZ71" s="253">
        <f>'الصفحة 27'!$F$11+'الصفحة 27'!$G$11+'الصفحة 27'!$H$11+'الصفحة 27'!$I$11</f>
        <v>5</v>
      </c>
      <c r="DA71" s="252">
        <f>'الصفحة 27'!$F$12+'الصفحة 27'!$G$12+'الصفحة 27'!$H$12+'الصفحة 27'!$I$12</f>
        <v>4</v>
      </c>
      <c r="DB71" s="251">
        <f>(CZ71-DA71)</f>
        <v>1</v>
      </c>
      <c r="DC71" s="250" t="e">
        <f>((CZ71)/(CV71+0.00001))*100</f>
        <v>#REF!</v>
      </c>
      <c r="DD71" s="250" t="e">
        <f>((DA71)/(CR71+0.00001))*100</f>
        <v>#REF!</v>
      </c>
      <c r="DE71" s="249" t="e">
        <f>((DB71)/(CV71-CR71+0.00001))*100</f>
        <v>#REF!</v>
      </c>
      <c r="DH71" s="253">
        <f>'الصفحة 27'!$N$11</f>
        <v>0</v>
      </c>
      <c r="DI71" s="252">
        <f>'الصفحة 27'!$N$12</f>
        <v>0</v>
      </c>
      <c r="DJ71" s="251">
        <f>(DH71-DI71)</f>
        <v>0</v>
      </c>
      <c r="DK71" s="250" t="e">
        <f>((DH71)/(CV71+0.00001))*100</f>
        <v>#REF!</v>
      </c>
      <c r="DL71" s="250" t="e">
        <f>((DI71)/(CR71+0.00001))*100</f>
        <v>#REF!</v>
      </c>
      <c r="DM71" s="249" t="e">
        <f>((DJ71)/(CV71-CR71+0.00001))*100</f>
        <v>#REF!</v>
      </c>
      <c r="DP71" s="253">
        <f>'الصفحة 32'!$F$46</f>
        <v>6</v>
      </c>
      <c r="DQ71" s="252">
        <f>'الصفحة 32'!$F$47</f>
        <v>6</v>
      </c>
      <c r="DR71" s="254">
        <f>(DP71-DQ71)</f>
        <v>0</v>
      </c>
      <c r="DU71" s="253">
        <f>'الصفحة 32'!$F$30</f>
        <v>0</v>
      </c>
      <c r="DV71" s="252">
        <f>'الصفحة 32'!$F$31</f>
        <v>0</v>
      </c>
      <c r="DW71" s="251">
        <f>(DU71-DV71)</f>
        <v>0</v>
      </c>
      <c r="DX71" s="250">
        <f>((DU71)/($DP$71+0.00001))*100</f>
        <v>0</v>
      </c>
      <c r="DY71" s="250">
        <f>((DV71)/($DQ$71+0.00001))*100</f>
        <v>0</v>
      </c>
      <c r="DZ71" s="249">
        <f>((DW71)/($DR$71+0.00001))*100</f>
        <v>0</v>
      </c>
      <c r="EA71" s="253">
        <f>'الصفحة 32'!$F$32</f>
        <v>5</v>
      </c>
      <c r="EB71" s="252">
        <f>'الصفحة 32'!$F$33</f>
        <v>5</v>
      </c>
      <c r="EC71" s="251">
        <f>(EA71-EB71)</f>
        <v>0</v>
      </c>
      <c r="ED71" s="250">
        <f>((EA71)/($DP$71+0.00001))*100</f>
        <v>83.333194444675925</v>
      </c>
      <c r="EE71" s="250">
        <f>((EB71)/($DQ$71+0.00001))*100</f>
        <v>83.333194444675925</v>
      </c>
      <c r="EF71" s="249">
        <f>((EC71)/($DR$71+0.00001))*100</f>
        <v>0</v>
      </c>
      <c r="EG71" s="253">
        <f>'الصفحة 32'!$F$39</f>
        <v>0</v>
      </c>
      <c r="EH71" s="252">
        <f>'الصفحة 32'!$F$35</f>
        <v>0</v>
      </c>
      <c r="EI71" s="251">
        <f>(EG71-EH71)</f>
        <v>0</v>
      </c>
      <c r="EJ71" s="250">
        <f>((EG71)/($DP$71+0.00001))*100</f>
        <v>0</v>
      </c>
      <c r="EK71" s="250">
        <f>((EH71)/($DQ$71+0.00001))*100</f>
        <v>0</v>
      </c>
      <c r="EL71" s="249">
        <f>((EI71)/($DR$71+0.00001))*100</f>
        <v>0</v>
      </c>
      <c r="EM71" s="253">
        <f>'الصفحة 32'!$F$36</f>
        <v>1</v>
      </c>
      <c r="EN71" s="252">
        <f>'الصفحة 32'!$F$37</f>
        <v>1</v>
      </c>
      <c r="EO71" s="251">
        <f>(EM71-EN71)</f>
        <v>0</v>
      </c>
      <c r="EP71" s="250">
        <f>((EM71)/($DP$71+0.00001))*100</f>
        <v>16.666638888935186</v>
      </c>
      <c r="EQ71" s="250">
        <f>((EN71)/($DQ$71+0.00001))*100</f>
        <v>16.666638888935186</v>
      </c>
      <c r="ER71" s="249">
        <f>((EO71)/($DR$71+0.00001))*100</f>
        <v>0</v>
      </c>
      <c r="ES71" s="253">
        <f>'الصفحة 32'!$F$38</f>
        <v>0</v>
      </c>
      <c r="ET71" s="252">
        <f>'الصفحة 32'!$F$39</f>
        <v>0</v>
      </c>
      <c r="EU71" s="251">
        <f>(ES71-ET71)</f>
        <v>0</v>
      </c>
      <c r="EV71" s="250">
        <f>((ES71)/($DP$71+0.00001))*100</f>
        <v>0</v>
      </c>
      <c r="EW71" s="250">
        <f>((ET71)/($DQ$71+0.00001))*100</f>
        <v>0</v>
      </c>
      <c r="EX71" s="249">
        <f>((EU71)/($DR$71+0.00001))*100</f>
        <v>0</v>
      </c>
      <c r="EY71" s="253">
        <f>'الصفحة 32'!$F$40</f>
        <v>0</v>
      </c>
      <c r="EZ71" s="252">
        <f>'الصفحة 32'!$F$41</f>
        <v>0</v>
      </c>
      <c r="FA71" s="251">
        <f>(EY71-EZ71)</f>
        <v>0</v>
      </c>
      <c r="FB71" s="250">
        <f>((EY71)/($DP$71+0.00001))*100</f>
        <v>0</v>
      </c>
      <c r="FC71" s="250">
        <f>((EZ71)/($DQ$71+0.00001))*100</f>
        <v>0</v>
      </c>
      <c r="FD71" s="249">
        <f>((FA71)/($DR$71+0.00001))*100</f>
        <v>0</v>
      </c>
      <c r="FE71" s="253">
        <f>'الصفحة 32'!$F$42</f>
        <v>0</v>
      </c>
      <c r="FF71" s="252">
        <f>'الصفحة 32'!$F$43</f>
        <v>0</v>
      </c>
      <c r="FG71" s="251">
        <f>(FE71-FF71)</f>
        <v>0</v>
      </c>
      <c r="FH71" s="250">
        <f>((FE71)/($DP$71+0.00001))*100</f>
        <v>0</v>
      </c>
      <c r="FI71" s="250">
        <f>((FF71)/($DQ$71+0.00001))*100</f>
        <v>0</v>
      </c>
      <c r="FJ71" s="249">
        <f>((FG71)/($DR$71+0.00001))*100</f>
        <v>0</v>
      </c>
      <c r="FK71" s="253">
        <f>'الصفحة 32'!$F$44</f>
        <v>0</v>
      </c>
      <c r="FL71" s="252">
        <f>'الصفحة 32'!$F$45</f>
        <v>0</v>
      </c>
      <c r="FM71" s="251">
        <f>(FK71-FL71)</f>
        <v>0</v>
      </c>
      <c r="FN71" s="250">
        <f>((FK71)/($DP$71+0.00001))*100</f>
        <v>0</v>
      </c>
      <c r="FO71" s="250">
        <f>((FL71)/($DQ$71+0.00001))*100</f>
        <v>0</v>
      </c>
      <c r="FP71" s="249">
        <f>((FM71)/($DR$71+0.00001))*100</f>
        <v>0</v>
      </c>
      <c r="IV71" s="41"/>
    </row>
    <row r="72" spans="1:256" s="25" customFormat="1" ht="6" customHeight="1">
      <c r="A72" s="248"/>
      <c r="B72" s="24"/>
      <c r="HS72" s="106"/>
      <c r="HT72" s="106"/>
      <c r="HU72" s="106"/>
      <c r="HV72" s="106"/>
      <c r="HW72" s="106"/>
      <c r="HX72" s="203"/>
      <c r="HY72" s="106"/>
      <c r="HZ72" s="106"/>
      <c r="IA72" s="106"/>
      <c r="IB72" s="203"/>
      <c r="IC72" s="106"/>
      <c r="ID72" s="106"/>
      <c r="IE72" s="24"/>
      <c r="IF72" s="24"/>
      <c r="IG72" s="106"/>
      <c r="IH72" s="24"/>
      <c r="II72" s="24"/>
      <c r="IJ72" s="24"/>
      <c r="IK72" s="24"/>
      <c r="IL72" s="24"/>
      <c r="IM72" s="24"/>
      <c r="IN72" s="24"/>
      <c r="IO72" s="24"/>
      <c r="IP72" s="24"/>
      <c r="IQ72" s="24"/>
      <c r="IR72" s="24"/>
      <c r="IS72" s="24"/>
      <c r="IT72" s="24"/>
      <c r="IV72" s="41"/>
    </row>
    <row r="73" spans="1:256" s="25" customFormat="1" ht="6" customHeight="1">
      <c r="A73" s="248"/>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c r="IS73" s="21"/>
      <c r="IT73" s="21"/>
      <c r="IV73" s="41"/>
    </row>
    <row r="74" spans="1:256" s="25" customFormat="1" ht="15.75" customHeight="1" thickBot="1">
      <c r="A74" s="5729">
        <v>10</v>
      </c>
      <c r="C74" s="305" t="s">
        <v>343</v>
      </c>
      <c r="N74" s="305" t="s">
        <v>338</v>
      </c>
      <c r="R74" s="305" t="s">
        <v>337</v>
      </c>
      <c r="Y74" s="305" t="s">
        <v>337</v>
      </c>
      <c r="AF74" s="305" t="s">
        <v>337</v>
      </c>
      <c r="AM74" s="305" t="s">
        <v>337</v>
      </c>
      <c r="AT74" s="305" t="s">
        <v>337</v>
      </c>
      <c r="BA74" s="305" t="s">
        <v>337</v>
      </c>
      <c r="BG74" s="305" t="s">
        <v>337</v>
      </c>
      <c r="BM74" s="305" t="s">
        <v>336</v>
      </c>
      <c r="BT74" s="307" t="s">
        <v>335</v>
      </c>
      <c r="BU74" s="306"/>
      <c r="BV74" s="306"/>
      <c r="BW74" s="306"/>
      <c r="BX74" s="306"/>
      <c r="BY74" s="306"/>
      <c r="CB74" s="305" t="s">
        <v>334</v>
      </c>
      <c r="CJ74" s="305" t="s">
        <v>333</v>
      </c>
      <c r="CR74" s="305" t="s">
        <v>332</v>
      </c>
      <c r="CZ74" s="305" t="s">
        <v>331</v>
      </c>
      <c r="DH74" s="305" t="s">
        <v>330</v>
      </c>
      <c r="DP74" s="305" t="s">
        <v>329</v>
      </c>
      <c r="DU74" s="304" t="s">
        <v>328</v>
      </c>
      <c r="EA74" s="304"/>
      <c r="EB74" s="303" t="str">
        <f>DP75</f>
        <v xml:space="preserve"> اللغــة الأمازيغية</v>
      </c>
      <c r="EG74" s="304" t="str">
        <f>$DU74</f>
        <v>توزيع اساتذة التعليم المتوسط حسب المؤهل العلمي  -</v>
      </c>
      <c r="EM74" s="303" t="str">
        <f>$EB74</f>
        <v xml:space="preserve"> اللغــة الأمازيغية</v>
      </c>
      <c r="ES74" s="304" t="str">
        <f>$DU74</f>
        <v>توزيع اساتذة التعليم المتوسط حسب المؤهل العلمي  -</v>
      </c>
      <c r="EY74" s="303" t="str">
        <f>$EB74</f>
        <v xml:space="preserve"> اللغــة الأمازيغية</v>
      </c>
      <c r="FE74" s="304" t="str">
        <f>$DU74</f>
        <v>توزيع اساتذة التعليم المتوسط حسب المؤهل العلمي  -</v>
      </c>
      <c r="FK74" s="303" t="str">
        <f>$EB74</f>
        <v xml:space="preserve"> اللغــة الأمازيغية</v>
      </c>
      <c r="IV74" s="41"/>
    </row>
    <row r="75" spans="1:256" s="25" customFormat="1" ht="12.75" customHeight="1">
      <c r="A75" s="5729"/>
      <c r="C75" s="302"/>
      <c r="D75" s="300"/>
      <c r="E75" s="300"/>
      <c r="F75" s="300"/>
      <c r="G75" s="301" t="s">
        <v>352</v>
      </c>
      <c r="H75" s="300"/>
      <c r="I75" s="300"/>
      <c r="J75" s="300"/>
      <c r="K75" s="300"/>
      <c r="L75" s="299"/>
      <c r="N75" s="318"/>
      <c r="O75" s="317"/>
      <c r="P75" s="316"/>
      <c r="R75" s="315"/>
      <c r="S75" s="314"/>
      <c r="T75" s="314" t="str">
        <f>O76</f>
        <v xml:space="preserve"> اللغــة الأمازيغية</v>
      </c>
      <c r="U75" s="300"/>
      <c r="V75" s="300"/>
      <c r="W75" s="299"/>
      <c r="Y75" s="315"/>
      <c r="Z75" s="314"/>
      <c r="AA75" s="314" t="str">
        <f>O76</f>
        <v xml:space="preserve"> اللغــة الأمازيغية</v>
      </c>
      <c r="AB75" s="300"/>
      <c r="AC75" s="300"/>
      <c r="AD75" s="299"/>
      <c r="AF75" s="315"/>
      <c r="AG75" s="314"/>
      <c r="AH75" s="314" t="str">
        <f>O76</f>
        <v xml:space="preserve"> اللغــة الأمازيغية</v>
      </c>
      <c r="AI75" s="300"/>
      <c r="AJ75" s="300"/>
      <c r="AK75" s="299"/>
      <c r="AM75" s="315"/>
      <c r="AN75" s="314"/>
      <c r="AO75" s="314" t="str">
        <f>O76</f>
        <v xml:space="preserve"> اللغــة الأمازيغية</v>
      </c>
      <c r="AP75" s="300"/>
      <c r="AQ75" s="300"/>
      <c r="AR75" s="299"/>
      <c r="AT75" s="315"/>
      <c r="AU75" s="314"/>
      <c r="AV75" s="314" t="str">
        <f>O76</f>
        <v xml:space="preserve"> اللغــة الأمازيغية</v>
      </c>
      <c r="AW75" s="300"/>
      <c r="AX75" s="300"/>
      <c r="AY75" s="299"/>
      <c r="BA75" s="315"/>
      <c r="BB75" s="314"/>
      <c r="BC75" s="314" t="str">
        <f>O76</f>
        <v xml:space="preserve"> اللغــة الأمازيغية</v>
      </c>
      <c r="BD75" s="300"/>
      <c r="BE75" s="300"/>
      <c r="BF75" s="299"/>
      <c r="BG75" s="315"/>
      <c r="BH75" s="314"/>
      <c r="BI75" s="314" t="str">
        <f>O76</f>
        <v xml:space="preserve"> اللغــة الأمازيغية</v>
      </c>
      <c r="BJ75" s="300"/>
      <c r="BK75" s="300"/>
      <c r="BL75" s="299"/>
      <c r="BM75" s="298"/>
      <c r="BN75" s="297"/>
      <c r="BO75" s="297"/>
      <c r="BP75" s="297"/>
      <c r="BQ75" s="297"/>
      <c r="BR75" s="296"/>
      <c r="BT75" s="5146" t="str">
        <f>O76</f>
        <v xml:space="preserve"> اللغــة الأمازيغية</v>
      </c>
      <c r="BU75" s="5147"/>
      <c r="BV75" s="5147"/>
      <c r="BW75" s="5147"/>
      <c r="BX75" s="5147"/>
      <c r="BY75" s="5148"/>
      <c r="CB75" s="5146" t="str">
        <f>O76</f>
        <v xml:space="preserve"> اللغــة الأمازيغية</v>
      </c>
      <c r="CC75" s="5147"/>
      <c r="CD75" s="5147"/>
      <c r="CE75" s="5147"/>
      <c r="CF75" s="5147"/>
      <c r="CG75" s="5148"/>
      <c r="CJ75" s="5146" t="str">
        <f>O76</f>
        <v xml:space="preserve"> اللغــة الأمازيغية</v>
      </c>
      <c r="CK75" s="5147"/>
      <c r="CL75" s="5147"/>
      <c r="CM75" s="5147"/>
      <c r="CN75" s="5147"/>
      <c r="CO75" s="5148"/>
      <c r="CR75" s="5146" t="str">
        <f>O76</f>
        <v xml:space="preserve"> اللغــة الأمازيغية</v>
      </c>
      <c r="CS75" s="5147"/>
      <c r="CT75" s="5147"/>
      <c r="CU75" s="5147"/>
      <c r="CV75" s="5147"/>
      <c r="CW75" s="5148"/>
      <c r="CZ75" s="5146" t="str">
        <f>O76</f>
        <v xml:space="preserve"> اللغــة الأمازيغية</v>
      </c>
      <c r="DA75" s="5147"/>
      <c r="DB75" s="5147"/>
      <c r="DC75" s="5147"/>
      <c r="DD75" s="5147"/>
      <c r="DE75" s="5148"/>
      <c r="DH75" s="5146" t="str">
        <f>O76</f>
        <v xml:space="preserve"> اللغــة الأمازيغية</v>
      </c>
      <c r="DI75" s="5147"/>
      <c r="DJ75" s="5147"/>
      <c r="DK75" s="5147"/>
      <c r="DL75" s="5147"/>
      <c r="DM75" s="5148"/>
      <c r="DP75" s="5146" t="str">
        <f>O76</f>
        <v xml:space="preserve"> اللغــة الأمازيغية</v>
      </c>
      <c r="DQ75" s="5147"/>
      <c r="DR75" s="5148"/>
      <c r="DU75" s="5758" t="s">
        <v>57</v>
      </c>
      <c r="DV75" s="5759"/>
      <c r="DW75" s="5759"/>
      <c r="DX75" s="5759"/>
      <c r="DY75" s="5759"/>
      <c r="DZ75" s="5760"/>
      <c r="EA75" s="5758" t="s">
        <v>56</v>
      </c>
      <c r="EB75" s="5759"/>
      <c r="EC75" s="5759"/>
      <c r="ED75" s="5759"/>
      <c r="EE75" s="5759"/>
      <c r="EF75" s="5760"/>
      <c r="EG75" s="5758" t="s">
        <v>55</v>
      </c>
      <c r="EH75" s="5759"/>
      <c r="EI75" s="5759"/>
      <c r="EJ75" s="5759"/>
      <c r="EK75" s="5759"/>
      <c r="EL75" s="5760"/>
      <c r="EM75" s="5758" t="s">
        <v>54</v>
      </c>
      <c r="EN75" s="5759"/>
      <c r="EO75" s="5759"/>
      <c r="EP75" s="5759"/>
      <c r="EQ75" s="5759"/>
      <c r="ER75" s="5760"/>
      <c r="ES75" s="5758" t="s">
        <v>53</v>
      </c>
      <c r="ET75" s="5759"/>
      <c r="EU75" s="5759"/>
      <c r="EV75" s="5759"/>
      <c r="EW75" s="5759"/>
      <c r="EX75" s="5760"/>
      <c r="EY75" s="5758" t="s">
        <v>52</v>
      </c>
      <c r="EZ75" s="5759"/>
      <c r="FA75" s="5759"/>
      <c r="FB75" s="5759"/>
      <c r="FC75" s="5759"/>
      <c r="FD75" s="5760"/>
      <c r="FE75" s="5758" t="s">
        <v>51</v>
      </c>
      <c r="FF75" s="5759"/>
      <c r="FG75" s="5759"/>
      <c r="FH75" s="5759"/>
      <c r="FI75" s="5759"/>
      <c r="FJ75" s="5760"/>
      <c r="FK75" s="5758" t="s">
        <v>50</v>
      </c>
      <c r="FL75" s="5759"/>
      <c r="FM75" s="5759"/>
      <c r="FN75" s="5759"/>
      <c r="FO75" s="5759"/>
      <c r="FP75" s="5760"/>
      <c r="IV75" s="41"/>
    </row>
    <row r="76" spans="1:256" s="25" customFormat="1" ht="12.75" customHeight="1" thickBot="1">
      <c r="A76" s="5729"/>
      <c r="C76" s="295"/>
      <c r="D76" s="293"/>
      <c r="E76" s="291" t="s">
        <v>326</v>
      </c>
      <c r="F76" s="294"/>
      <c r="G76" s="293"/>
      <c r="H76" s="291" t="s">
        <v>325</v>
      </c>
      <c r="I76" s="290"/>
      <c r="J76" s="292"/>
      <c r="K76" s="291" t="s">
        <v>324</v>
      </c>
      <c r="L76" s="290"/>
      <c r="N76" s="313"/>
      <c r="O76" s="312" t="s">
        <v>351</v>
      </c>
      <c r="P76" s="311"/>
      <c r="R76" s="5164" t="s">
        <v>645</v>
      </c>
      <c r="S76" s="5165"/>
      <c r="T76" s="5165"/>
      <c r="U76" s="5165"/>
      <c r="V76" s="5165"/>
      <c r="W76" s="5166"/>
      <c r="Y76" s="5164" t="s">
        <v>323</v>
      </c>
      <c r="Z76" s="5165"/>
      <c r="AA76" s="5165"/>
      <c r="AB76" s="5165"/>
      <c r="AC76" s="5165"/>
      <c r="AD76" s="5166"/>
      <c r="AF76" s="5164" t="s">
        <v>322</v>
      </c>
      <c r="AG76" s="5165"/>
      <c r="AH76" s="5165"/>
      <c r="AI76" s="5165"/>
      <c r="AJ76" s="5165"/>
      <c r="AK76" s="5166"/>
      <c r="AM76" s="5164" t="s">
        <v>321</v>
      </c>
      <c r="AN76" s="5165"/>
      <c r="AO76" s="5165"/>
      <c r="AP76" s="5165"/>
      <c r="AQ76" s="5165"/>
      <c r="AR76" s="5166"/>
      <c r="AT76" s="5164" t="s">
        <v>644</v>
      </c>
      <c r="AU76" s="5165"/>
      <c r="AV76" s="5165"/>
      <c r="AW76" s="5165"/>
      <c r="AX76" s="5165"/>
      <c r="AY76" s="5166"/>
      <c r="BA76" s="5164" t="s">
        <v>642</v>
      </c>
      <c r="BB76" s="5165"/>
      <c r="BC76" s="5165"/>
      <c r="BD76" s="5165"/>
      <c r="BE76" s="5165"/>
      <c r="BF76" s="5166"/>
      <c r="BG76" s="5164" t="s">
        <v>643</v>
      </c>
      <c r="BH76" s="5165"/>
      <c r="BI76" s="5165"/>
      <c r="BJ76" s="5165"/>
      <c r="BK76" s="5165"/>
      <c r="BL76" s="5166"/>
      <c r="BM76" s="289"/>
      <c r="BN76" s="286"/>
      <c r="BO76" s="288" t="str">
        <f>O76</f>
        <v xml:space="preserve"> اللغــة الأمازيغية</v>
      </c>
      <c r="BP76" s="287"/>
      <c r="BQ76" s="286"/>
      <c r="BR76" s="285"/>
      <c r="BT76" s="5149"/>
      <c r="BU76" s="5150"/>
      <c r="BV76" s="5150"/>
      <c r="BW76" s="5150"/>
      <c r="BX76" s="5150"/>
      <c r="BY76" s="5151"/>
      <c r="CB76" s="5149"/>
      <c r="CC76" s="5150"/>
      <c r="CD76" s="5150"/>
      <c r="CE76" s="5150"/>
      <c r="CF76" s="5150"/>
      <c r="CG76" s="5151"/>
      <c r="CJ76" s="5149"/>
      <c r="CK76" s="5150"/>
      <c r="CL76" s="5150"/>
      <c r="CM76" s="5150"/>
      <c r="CN76" s="5150"/>
      <c r="CO76" s="5151"/>
      <c r="CR76" s="5149"/>
      <c r="CS76" s="5150"/>
      <c r="CT76" s="5150"/>
      <c r="CU76" s="5150"/>
      <c r="CV76" s="5150"/>
      <c r="CW76" s="5151"/>
      <c r="CZ76" s="5149"/>
      <c r="DA76" s="5150"/>
      <c r="DB76" s="5150"/>
      <c r="DC76" s="5150"/>
      <c r="DD76" s="5150"/>
      <c r="DE76" s="5151"/>
      <c r="DH76" s="5149"/>
      <c r="DI76" s="5150"/>
      <c r="DJ76" s="5150"/>
      <c r="DK76" s="5150"/>
      <c r="DL76" s="5150"/>
      <c r="DM76" s="5151"/>
      <c r="DP76" s="5771"/>
      <c r="DQ76" s="5772"/>
      <c r="DR76" s="5773"/>
      <c r="DU76" s="5761"/>
      <c r="DV76" s="5762"/>
      <c r="DW76" s="5762"/>
      <c r="DX76" s="5762"/>
      <c r="DY76" s="5762"/>
      <c r="DZ76" s="5763"/>
      <c r="EA76" s="5761"/>
      <c r="EB76" s="5762"/>
      <c r="EC76" s="5762"/>
      <c r="ED76" s="5762"/>
      <c r="EE76" s="5762"/>
      <c r="EF76" s="5763"/>
      <c r="EG76" s="5761"/>
      <c r="EH76" s="5762"/>
      <c r="EI76" s="5762"/>
      <c r="EJ76" s="5762"/>
      <c r="EK76" s="5762"/>
      <c r="EL76" s="5763"/>
      <c r="EM76" s="5761"/>
      <c r="EN76" s="5762"/>
      <c r="EO76" s="5762"/>
      <c r="EP76" s="5762"/>
      <c r="EQ76" s="5762"/>
      <c r="ER76" s="5763"/>
      <c r="ES76" s="5761"/>
      <c r="ET76" s="5762"/>
      <c r="EU76" s="5762"/>
      <c r="EV76" s="5762"/>
      <c r="EW76" s="5762"/>
      <c r="EX76" s="5763"/>
      <c r="EY76" s="5761"/>
      <c r="EZ76" s="5762"/>
      <c r="FA76" s="5762"/>
      <c r="FB76" s="5762"/>
      <c r="FC76" s="5762"/>
      <c r="FD76" s="5763"/>
      <c r="FE76" s="5761"/>
      <c r="FF76" s="5762"/>
      <c r="FG76" s="5762"/>
      <c r="FH76" s="5762"/>
      <c r="FI76" s="5762"/>
      <c r="FJ76" s="5763"/>
      <c r="FK76" s="5761"/>
      <c r="FL76" s="5762"/>
      <c r="FM76" s="5762"/>
      <c r="FN76" s="5762"/>
      <c r="FO76" s="5762"/>
      <c r="FP76" s="5763"/>
      <c r="IV76" s="41"/>
    </row>
    <row r="77" spans="1:256" s="25" customFormat="1" ht="12.75" customHeight="1">
      <c r="A77" s="5729"/>
      <c r="C77" s="284"/>
      <c r="D77" s="282"/>
      <c r="E77" s="282"/>
      <c r="F77" s="282"/>
      <c r="G77" s="282"/>
      <c r="H77" s="282"/>
      <c r="I77" s="281"/>
      <c r="J77" s="283"/>
      <c r="K77" s="282"/>
      <c r="L77" s="281"/>
      <c r="N77" s="310"/>
      <c r="O77" s="309"/>
      <c r="P77" s="308"/>
      <c r="R77" s="5167"/>
      <c r="S77" s="5168"/>
      <c r="T77" s="5168"/>
      <c r="U77" s="5168"/>
      <c r="V77" s="5168"/>
      <c r="W77" s="5169"/>
      <c r="Y77" s="5167"/>
      <c r="Z77" s="5168"/>
      <c r="AA77" s="5168"/>
      <c r="AB77" s="5168"/>
      <c r="AC77" s="5168"/>
      <c r="AD77" s="5169"/>
      <c r="AF77" s="5167"/>
      <c r="AG77" s="5168"/>
      <c r="AH77" s="5168"/>
      <c r="AI77" s="5168"/>
      <c r="AJ77" s="5168"/>
      <c r="AK77" s="5169"/>
      <c r="AM77" s="5167"/>
      <c r="AN77" s="5168"/>
      <c r="AO77" s="5168"/>
      <c r="AP77" s="5168"/>
      <c r="AQ77" s="5168"/>
      <c r="AR77" s="5169"/>
      <c r="AT77" s="5167"/>
      <c r="AU77" s="5168"/>
      <c r="AV77" s="5168"/>
      <c r="AW77" s="5168"/>
      <c r="AX77" s="5168"/>
      <c r="AY77" s="5169"/>
      <c r="BA77" s="5167"/>
      <c r="BB77" s="5168"/>
      <c r="BC77" s="5168"/>
      <c r="BD77" s="5168"/>
      <c r="BE77" s="5168"/>
      <c r="BF77" s="5169"/>
      <c r="BG77" s="5167"/>
      <c r="BH77" s="5168"/>
      <c r="BI77" s="5168"/>
      <c r="BJ77" s="5168"/>
      <c r="BK77" s="5168"/>
      <c r="BL77" s="5169"/>
      <c r="BM77" s="280"/>
      <c r="BN77" s="279"/>
      <c r="BO77" s="279"/>
      <c r="BP77" s="279"/>
      <c r="BQ77" s="279"/>
      <c r="BR77" s="278"/>
      <c r="BT77" s="5130" t="s">
        <v>318</v>
      </c>
      <c r="BU77" s="5131"/>
      <c r="BV77" s="5132"/>
      <c r="BW77" s="5144" t="s">
        <v>317</v>
      </c>
      <c r="BX77" s="5131"/>
      <c r="BY77" s="5145"/>
      <c r="CB77" s="5130" t="s">
        <v>318</v>
      </c>
      <c r="CC77" s="5131"/>
      <c r="CD77" s="5132"/>
      <c r="CE77" s="5144" t="s">
        <v>317</v>
      </c>
      <c r="CF77" s="5131"/>
      <c r="CG77" s="5145"/>
      <c r="CJ77" s="5130" t="s">
        <v>318</v>
      </c>
      <c r="CK77" s="5131"/>
      <c r="CL77" s="5132"/>
      <c r="CM77" s="5144" t="s">
        <v>317</v>
      </c>
      <c r="CN77" s="5131"/>
      <c r="CO77" s="5145"/>
      <c r="CR77" s="5152" t="s">
        <v>320</v>
      </c>
      <c r="CS77" s="5153"/>
      <c r="CT77" s="5153"/>
      <c r="CU77" s="5152" t="s">
        <v>319</v>
      </c>
      <c r="CV77" s="5153"/>
      <c r="CW77" s="5154"/>
      <c r="CZ77" s="5130" t="s">
        <v>318</v>
      </c>
      <c r="DA77" s="5131"/>
      <c r="DB77" s="5132"/>
      <c r="DC77" s="5144" t="s">
        <v>317</v>
      </c>
      <c r="DD77" s="5131"/>
      <c r="DE77" s="5145"/>
      <c r="DH77" s="5130" t="s">
        <v>318</v>
      </c>
      <c r="DI77" s="5131"/>
      <c r="DJ77" s="5132"/>
      <c r="DK77" s="5144" t="s">
        <v>317</v>
      </c>
      <c r="DL77" s="5131"/>
      <c r="DM77" s="5145"/>
      <c r="DP77" s="5130" t="s">
        <v>318</v>
      </c>
      <c r="DQ77" s="5131"/>
      <c r="DR77" s="5145"/>
      <c r="DU77" s="277"/>
      <c r="DV77" s="274" t="s">
        <v>318</v>
      </c>
      <c r="DW77" s="276"/>
      <c r="DX77" s="275"/>
      <c r="DY77" s="274" t="s">
        <v>317</v>
      </c>
      <c r="DZ77" s="273"/>
      <c r="EA77" s="277"/>
      <c r="EB77" s="274" t="s">
        <v>318</v>
      </c>
      <c r="EC77" s="276"/>
      <c r="ED77" s="275"/>
      <c r="EE77" s="274" t="s">
        <v>317</v>
      </c>
      <c r="EF77" s="273"/>
      <c r="EG77" s="277"/>
      <c r="EH77" s="274" t="s">
        <v>318</v>
      </c>
      <c r="EI77" s="276"/>
      <c r="EJ77" s="275"/>
      <c r="EK77" s="274" t="s">
        <v>317</v>
      </c>
      <c r="EL77" s="273"/>
      <c r="EM77" s="277"/>
      <c r="EN77" s="274" t="s">
        <v>318</v>
      </c>
      <c r="EO77" s="276"/>
      <c r="EP77" s="275"/>
      <c r="EQ77" s="274" t="s">
        <v>317</v>
      </c>
      <c r="ER77" s="273"/>
      <c r="ES77" s="277"/>
      <c r="ET77" s="274" t="s">
        <v>318</v>
      </c>
      <c r="EU77" s="276"/>
      <c r="EV77" s="275"/>
      <c r="EW77" s="274" t="s">
        <v>317</v>
      </c>
      <c r="EX77" s="273"/>
      <c r="EY77" s="277"/>
      <c r="EZ77" s="274" t="s">
        <v>318</v>
      </c>
      <c r="FA77" s="276"/>
      <c r="FB77" s="275"/>
      <c r="FC77" s="274" t="s">
        <v>317</v>
      </c>
      <c r="FD77" s="273"/>
      <c r="FE77" s="277"/>
      <c r="FF77" s="274" t="s">
        <v>318</v>
      </c>
      <c r="FG77" s="276"/>
      <c r="FH77" s="275"/>
      <c r="FI77" s="274" t="s">
        <v>317</v>
      </c>
      <c r="FJ77" s="273"/>
      <c r="FK77" s="277"/>
      <c r="FL77" s="274" t="s">
        <v>318</v>
      </c>
      <c r="FM77" s="276"/>
      <c r="FN77" s="275"/>
      <c r="FO77" s="274" t="s">
        <v>317</v>
      </c>
      <c r="FP77" s="273"/>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c r="HG77" s="27"/>
      <c r="HH77" s="27"/>
      <c r="HI77" s="27"/>
      <c r="HJ77" s="27"/>
      <c r="HK77" s="27"/>
      <c r="HL77" s="27"/>
      <c r="HM77" s="27"/>
      <c r="HN77" s="27"/>
      <c r="HO77" s="27"/>
      <c r="HP77" s="27"/>
      <c r="HQ77" s="27"/>
      <c r="HR77" s="27"/>
      <c r="HS77" s="27"/>
      <c r="HT77" s="27"/>
      <c r="HU77" s="27"/>
      <c r="HV77" s="27"/>
      <c r="HW77" s="27"/>
      <c r="HX77" s="27"/>
      <c r="HY77" s="27"/>
      <c r="HZ77" s="27"/>
      <c r="IA77" s="27"/>
      <c r="IB77" s="27"/>
      <c r="IC77" s="27"/>
      <c r="ID77" s="27"/>
      <c r="IE77" s="27"/>
      <c r="IF77" s="27"/>
      <c r="IG77" s="27"/>
      <c r="IH77" s="27"/>
      <c r="II77" s="27"/>
      <c r="IJ77" s="27"/>
      <c r="IK77" s="27"/>
      <c r="IL77" s="27"/>
      <c r="IM77" s="27"/>
      <c r="IN77" s="27"/>
      <c r="IO77" s="27"/>
      <c r="IP77" s="27"/>
      <c r="IQ77" s="27"/>
      <c r="IR77" s="27"/>
      <c r="IS77" s="27"/>
      <c r="IT77" s="27"/>
      <c r="IV77" s="41"/>
    </row>
    <row r="78" spans="1:256" s="25" customFormat="1" ht="14.4">
      <c r="A78" s="5729"/>
      <c r="C78" s="272" t="s">
        <v>316</v>
      </c>
      <c r="D78" s="270" t="s">
        <v>20</v>
      </c>
      <c r="E78" s="270" t="s">
        <v>49</v>
      </c>
      <c r="F78" s="270" t="s">
        <v>311</v>
      </c>
      <c r="G78" s="270" t="s">
        <v>20</v>
      </c>
      <c r="H78" s="270" t="s">
        <v>49</v>
      </c>
      <c r="I78" s="269" t="s">
        <v>311</v>
      </c>
      <c r="J78" s="271" t="s">
        <v>20</v>
      </c>
      <c r="K78" s="270" t="s">
        <v>49</v>
      </c>
      <c r="L78" s="269" t="s">
        <v>311</v>
      </c>
      <c r="N78" s="266" t="s">
        <v>20</v>
      </c>
      <c r="O78" s="264" t="s">
        <v>49</v>
      </c>
      <c r="P78" s="263" t="s">
        <v>311</v>
      </c>
      <c r="R78" s="266" t="s">
        <v>20</v>
      </c>
      <c r="S78" s="264" t="s">
        <v>49</v>
      </c>
      <c r="T78" s="265" t="s">
        <v>311</v>
      </c>
      <c r="U78" s="264" t="s">
        <v>310</v>
      </c>
      <c r="V78" s="264" t="s">
        <v>309</v>
      </c>
      <c r="W78" s="263" t="s">
        <v>308</v>
      </c>
      <c r="Y78" s="266" t="s">
        <v>20</v>
      </c>
      <c r="Z78" s="264" t="s">
        <v>49</v>
      </c>
      <c r="AA78" s="265" t="s">
        <v>311</v>
      </c>
      <c r="AB78" s="264" t="s">
        <v>310</v>
      </c>
      <c r="AC78" s="264" t="s">
        <v>309</v>
      </c>
      <c r="AD78" s="263" t="s">
        <v>308</v>
      </c>
      <c r="AF78" s="266" t="s">
        <v>20</v>
      </c>
      <c r="AG78" s="264" t="s">
        <v>49</v>
      </c>
      <c r="AH78" s="265" t="s">
        <v>311</v>
      </c>
      <c r="AI78" s="264" t="s">
        <v>310</v>
      </c>
      <c r="AJ78" s="264" t="s">
        <v>309</v>
      </c>
      <c r="AK78" s="263" t="s">
        <v>308</v>
      </c>
      <c r="AM78" s="266" t="s">
        <v>20</v>
      </c>
      <c r="AN78" s="264" t="s">
        <v>49</v>
      </c>
      <c r="AO78" s="265" t="s">
        <v>311</v>
      </c>
      <c r="AP78" s="264" t="s">
        <v>310</v>
      </c>
      <c r="AQ78" s="264" t="s">
        <v>309</v>
      </c>
      <c r="AR78" s="263" t="s">
        <v>308</v>
      </c>
      <c r="AT78" s="266" t="s">
        <v>20</v>
      </c>
      <c r="AU78" s="264" t="s">
        <v>49</v>
      </c>
      <c r="AV78" s="265" t="s">
        <v>311</v>
      </c>
      <c r="AW78" s="264" t="s">
        <v>310</v>
      </c>
      <c r="AX78" s="264" t="s">
        <v>309</v>
      </c>
      <c r="AY78" s="263" t="s">
        <v>308</v>
      </c>
      <c r="BA78" s="266" t="s">
        <v>20</v>
      </c>
      <c r="BB78" s="264" t="s">
        <v>49</v>
      </c>
      <c r="BC78" s="265" t="s">
        <v>311</v>
      </c>
      <c r="BD78" s="264" t="s">
        <v>310</v>
      </c>
      <c r="BE78" s="264" t="s">
        <v>309</v>
      </c>
      <c r="BF78" s="263" t="s">
        <v>308</v>
      </c>
      <c r="BG78" s="266" t="s">
        <v>20</v>
      </c>
      <c r="BH78" s="264" t="s">
        <v>49</v>
      </c>
      <c r="BI78" s="265" t="s">
        <v>311</v>
      </c>
      <c r="BJ78" s="264" t="s">
        <v>310</v>
      </c>
      <c r="BK78" s="264" t="s">
        <v>309</v>
      </c>
      <c r="BL78" s="263" t="s">
        <v>308</v>
      </c>
      <c r="BM78" s="266" t="s">
        <v>20</v>
      </c>
      <c r="BN78" s="264" t="s">
        <v>49</v>
      </c>
      <c r="BO78" s="265" t="s">
        <v>311</v>
      </c>
      <c r="BP78" s="264" t="s">
        <v>310</v>
      </c>
      <c r="BQ78" s="264" t="s">
        <v>309</v>
      </c>
      <c r="BR78" s="263" t="s">
        <v>308</v>
      </c>
      <c r="BT78" s="266" t="s">
        <v>20</v>
      </c>
      <c r="BU78" s="264" t="s">
        <v>49</v>
      </c>
      <c r="BV78" s="265" t="s">
        <v>311</v>
      </c>
      <c r="BW78" s="264" t="s">
        <v>310</v>
      </c>
      <c r="BX78" s="264" t="s">
        <v>309</v>
      </c>
      <c r="BY78" s="263" t="s">
        <v>308</v>
      </c>
      <c r="CB78" s="266" t="s">
        <v>20</v>
      </c>
      <c r="CC78" s="264" t="s">
        <v>49</v>
      </c>
      <c r="CD78" s="265" t="s">
        <v>311</v>
      </c>
      <c r="CE78" s="264" t="s">
        <v>310</v>
      </c>
      <c r="CF78" s="264" t="s">
        <v>309</v>
      </c>
      <c r="CG78" s="263" t="s">
        <v>308</v>
      </c>
      <c r="CJ78" s="266" t="s">
        <v>20</v>
      </c>
      <c r="CK78" s="264" t="s">
        <v>49</v>
      </c>
      <c r="CL78" s="265" t="s">
        <v>311</v>
      </c>
      <c r="CM78" s="264" t="s">
        <v>310</v>
      </c>
      <c r="CN78" s="264" t="s">
        <v>309</v>
      </c>
      <c r="CO78" s="263" t="s">
        <v>308</v>
      </c>
      <c r="CR78" s="266" t="s">
        <v>313</v>
      </c>
      <c r="CS78" s="264" t="s">
        <v>315</v>
      </c>
      <c r="CT78" s="268" t="s">
        <v>314</v>
      </c>
      <c r="CU78" s="267" t="s">
        <v>313</v>
      </c>
      <c r="CV78" s="264" t="s">
        <v>28</v>
      </c>
      <c r="CW78" s="263" t="s">
        <v>312</v>
      </c>
      <c r="CZ78" s="266" t="s">
        <v>20</v>
      </c>
      <c r="DA78" s="264" t="s">
        <v>49</v>
      </c>
      <c r="DB78" s="265" t="s">
        <v>311</v>
      </c>
      <c r="DC78" s="264" t="s">
        <v>310</v>
      </c>
      <c r="DD78" s="264" t="s">
        <v>309</v>
      </c>
      <c r="DE78" s="263" t="s">
        <v>308</v>
      </c>
      <c r="DH78" s="266" t="s">
        <v>20</v>
      </c>
      <c r="DI78" s="264" t="s">
        <v>49</v>
      </c>
      <c r="DJ78" s="265" t="s">
        <v>311</v>
      </c>
      <c r="DK78" s="264" t="s">
        <v>310</v>
      </c>
      <c r="DL78" s="264" t="s">
        <v>309</v>
      </c>
      <c r="DM78" s="319" t="s">
        <v>308</v>
      </c>
      <c r="DP78" s="266" t="s">
        <v>20</v>
      </c>
      <c r="DQ78" s="264" t="s">
        <v>49</v>
      </c>
      <c r="DR78" s="263" t="s">
        <v>311</v>
      </c>
      <c r="DU78" s="266" t="s">
        <v>20</v>
      </c>
      <c r="DV78" s="264" t="s">
        <v>49</v>
      </c>
      <c r="DW78" s="265" t="s">
        <v>311</v>
      </c>
      <c r="DX78" s="264" t="s">
        <v>310</v>
      </c>
      <c r="DY78" s="264" t="s">
        <v>309</v>
      </c>
      <c r="DZ78" s="263" t="s">
        <v>308</v>
      </c>
      <c r="EA78" s="266" t="s">
        <v>20</v>
      </c>
      <c r="EB78" s="264" t="s">
        <v>49</v>
      </c>
      <c r="EC78" s="265" t="s">
        <v>311</v>
      </c>
      <c r="ED78" s="264" t="s">
        <v>310</v>
      </c>
      <c r="EE78" s="264" t="s">
        <v>309</v>
      </c>
      <c r="EF78" s="263" t="s">
        <v>308</v>
      </c>
      <c r="EG78" s="266" t="s">
        <v>20</v>
      </c>
      <c r="EH78" s="264" t="s">
        <v>49</v>
      </c>
      <c r="EI78" s="265" t="s">
        <v>311</v>
      </c>
      <c r="EJ78" s="264" t="s">
        <v>310</v>
      </c>
      <c r="EK78" s="264" t="s">
        <v>309</v>
      </c>
      <c r="EL78" s="263" t="s">
        <v>308</v>
      </c>
      <c r="EM78" s="266" t="s">
        <v>20</v>
      </c>
      <c r="EN78" s="264" t="s">
        <v>49</v>
      </c>
      <c r="EO78" s="265" t="s">
        <v>311</v>
      </c>
      <c r="EP78" s="264" t="s">
        <v>310</v>
      </c>
      <c r="EQ78" s="264" t="s">
        <v>309</v>
      </c>
      <c r="ER78" s="263" t="s">
        <v>308</v>
      </c>
      <c r="ES78" s="266" t="s">
        <v>20</v>
      </c>
      <c r="ET78" s="264" t="s">
        <v>49</v>
      </c>
      <c r="EU78" s="265" t="s">
        <v>311</v>
      </c>
      <c r="EV78" s="264" t="s">
        <v>310</v>
      </c>
      <c r="EW78" s="264" t="s">
        <v>309</v>
      </c>
      <c r="EX78" s="263" t="s">
        <v>308</v>
      </c>
      <c r="EY78" s="266" t="s">
        <v>20</v>
      </c>
      <c r="EZ78" s="264" t="s">
        <v>49</v>
      </c>
      <c r="FA78" s="265" t="s">
        <v>311</v>
      </c>
      <c r="FB78" s="264" t="s">
        <v>310</v>
      </c>
      <c r="FC78" s="264" t="s">
        <v>309</v>
      </c>
      <c r="FD78" s="263" t="s">
        <v>308</v>
      </c>
      <c r="FE78" s="266" t="s">
        <v>20</v>
      </c>
      <c r="FF78" s="264" t="s">
        <v>49</v>
      </c>
      <c r="FG78" s="265" t="s">
        <v>311</v>
      </c>
      <c r="FH78" s="264" t="s">
        <v>310</v>
      </c>
      <c r="FI78" s="264" t="s">
        <v>309</v>
      </c>
      <c r="FJ78" s="263" t="s">
        <v>308</v>
      </c>
      <c r="FK78" s="266" t="s">
        <v>20</v>
      </c>
      <c r="FL78" s="264" t="s">
        <v>49</v>
      </c>
      <c r="FM78" s="265" t="s">
        <v>311</v>
      </c>
      <c r="FN78" s="264" t="s">
        <v>310</v>
      </c>
      <c r="FO78" s="264" t="s">
        <v>309</v>
      </c>
      <c r="FP78" s="263" t="s">
        <v>308</v>
      </c>
      <c r="IV78" s="41"/>
    </row>
    <row r="79" spans="1:256" s="25" customFormat="1" ht="13.5" customHeight="1" thickBot="1">
      <c r="A79" s="5729"/>
      <c r="C79" s="253">
        <f>('الصفحة 27'!$F$47)</f>
        <v>0</v>
      </c>
      <c r="D79" s="252">
        <f>'الصفحة 27'!$M$47</f>
        <v>0</v>
      </c>
      <c r="E79" s="252">
        <f>'الصفحة 27'!$N$47</f>
        <v>0</v>
      </c>
      <c r="F79" s="251">
        <f>(D79-E79)</f>
        <v>0</v>
      </c>
      <c r="G79" s="251">
        <f>('الصفحة 27'!$K$47)</f>
        <v>0</v>
      </c>
      <c r="H79" s="262">
        <f>('الصفحة 27'!$L$47)</f>
        <v>0</v>
      </c>
      <c r="I79" s="261">
        <f>(G79-H79)</f>
        <v>0</v>
      </c>
      <c r="J79" s="260">
        <f>((G79)/($D$63+0.00001))*100</f>
        <v>0</v>
      </c>
      <c r="K79" s="250">
        <f>((H79)/($E$63+0.00001))*100</f>
        <v>0</v>
      </c>
      <c r="L79" s="249">
        <f>((I79)/(F79+0.00001))*100</f>
        <v>0</v>
      </c>
      <c r="N79" s="253">
        <f>'الصفحة 27'!$K$13</f>
        <v>0</v>
      </c>
      <c r="O79" s="252">
        <f>'الصفحة 27'!$K$14</f>
        <v>0</v>
      </c>
      <c r="P79" s="258">
        <f>(N79-O79)</f>
        <v>0</v>
      </c>
      <c r="R79" s="253">
        <f>'الصفحة 27'!$F$13</f>
        <v>0</v>
      </c>
      <c r="S79" s="252">
        <f>'الصفحة 27'!$F$14</f>
        <v>0</v>
      </c>
      <c r="T79" s="252">
        <f>(R79-S79)</f>
        <v>0</v>
      </c>
      <c r="U79" s="257">
        <f>(R79/($N$63+0.00001))*100</f>
        <v>0</v>
      </c>
      <c r="V79" s="257">
        <f>(S79/($O$63+0.00001))*100</f>
        <v>0</v>
      </c>
      <c r="W79" s="256">
        <f>(T79/($P$63+0.00001))*100</f>
        <v>0</v>
      </c>
      <c r="Y79" s="253">
        <f>'الصفحة 27'!$G$13</f>
        <v>0</v>
      </c>
      <c r="Z79" s="252">
        <f>'الصفحة 27'!$G$14</f>
        <v>0</v>
      </c>
      <c r="AA79" s="252">
        <f>(Y79-Z79)</f>
        <v>0</v>
      </c>
      <c r="AB79" s="257">
        <f>(Y79/($N$63+0.00001))*100</f>
        <v>0</v>
      </c>
      <c r="AC79" s="257">
        <f>(Z79/($O$63+0.00001))*100</f>
        <v>0</v>
      </c>
      <c r="AD79" s="256">
        <f>(AA79/($P$63+0.00001))*100</f>
        <v>0</v>
      </c>
      <c r="AF79" s="253">
        <f>'الصفحة 27'!$H$13</f>
        <v>0</v>
      </c>
      <c r="AG79" s="252">
        <f>'الصفحة 27'!$H$14</f>
        <v>0</v>
      </c>
      <c r="AH79" s="252">
        <f>(AF79-AG79)</f>
        <v>0</v>
      </c>
      <c r="AI79" s="257">
        <f>(AF79/($N$63+0.00001))*100</f>
        <v>0</v>
      </c>
      <c r="AJ79" s="257">
        <f>(AG79/($O$63+0.00001))*100</f>
        <v>0</v>
      </c>
      <c r="AK79" s="256">
        <f>(AH79/($P$63+0.00001))*100</f>
        <v>0</v>
      </c>
      <c r="AM79" s="253">
        <f>'الصفحة 27'!$I$13</f>
        <v>0</v>
      </c>
      <c r="AN79" s="252">
        <f>'الصفحة 27'!$I$14</f>
        <v>0</v>
      </c>
      <c r="AO79" s="252">
        <f>(AM79-AN79)</f>
        <v>0</v>
      </c>
      <c r="AP79" s="257">
        <f>(AM79/($N$63+0.00001))*100</f>
        <v>0</v>
      </c>
      <c r="AQ79" s="257">
        <f>(AN79/($O$63+0.00001))*100</f>
        <v>0</v>
      </c>
      <c r="AR79" s="256">
        <f>(AO79/($P$63+0.00001))*100</f>
        <v>0</v>
      </c>
      <c r="AT79" s="253">
        <f>'الصفحة 27'!$J$13</f>
        <v>0</v>
      </c>
      <c r="AU79" s="252">
        <f>'الصفحة 27'!$J$14</f>
        <v>0</v>
      </c>
      <c r="AV79" s="252">
        <f>(AT79-AU79)</f>
        <v>0</v>
      </c>
      <c r="AW79" s="257">
        <f>(AT79/($N$63+0.00001))*100</f>
        <v>0</v>
      </c>
      <c r="AX79" s="257">
        <f>(AU79/($O$63+0.00001))*100</f>
        <v>0</v>
      </c>
      <c r="AY79" s="256">
        <f>(AV79/($P$63+0.00001))*100</f>
        <v>0</v>
      </c>
      <c r="BA79" s="253" t="e">
        <f>'الصفحة 27'!#REF!</f>
        <v>#REF!</v>
      </c>
      <c r="BB79" s="252" t="e">
        <f>'الصفحة 27'!#REF!</f>
        <v>#REF!</v>
      </c>
      <c r="BC79" s="252" t="e">
        <f>(BA79-BB79)</f>
        <v>#REF!</v>
      </c>
      <c r="BD79" s="257" t="e">
        <f>(BA79/($N$63+0.00001))*100</f>
        <v>#REF!</v>
      </c>
      <c r="BE79" s="257" t="e">
        <f>(BB79/($O$63+0.00001))*100</f>
        <v>#REF!</v>
      </c>
      <c r="BF79" s="256" t="e">
        <f>(BC79/($P$63+0.00001))*100</f>
        <v>#REF!</v>
      </c>
      <c r="BG79" s="253" t="e">
        <f>'الصفحة 27'!#REF!</f>
        <v>#REF!</v>
      </c>
      <c r="BH79" s="252" t="e">
        <f>'الصفحة 27'!#REF!</f>
        <v>#REF!</v>
      </c>
      <c r="BI79" s="252" t="e">
        <f>(BG79-BH79)</f>
        <v>#REF!</v>
      </c>
      <c r="BJ79" s="257" t="e">
        <f>(BG79/($N$63+0.00001))*100</f>
        <v>#REF!</v>
      </c>
      <c r="BK79" s="257" t="e">
        <f>(BH79/($O$63+0.00001))*100</f>
        <v>#REF!</v>
      </c>
      <c r="BL79" s="256" t="e">
        <f>(BI79/($P$63+0.00001))*100</f>
        <v>#REF!</v>
      </c>
      <c r="BM79" s="253">
        <f>'الصفحة 30'!$O$30+'الصفحة 30'!$Q$11+'الصفحة 30'!$Q$30+'الصفحة 30'!$S$11+'الصفحة 30'!$S$30+'الصفحة 30'!$U$11+'الصفحة 30'!$U$30+'الصفحة 30'!$W$11+'الصفحة 30'!$W$30+'الصفحة 30'!$Y$11+'الصفحة 30'!$Y$30</f>
        <v>0</v>
      </c>
      <c r="BN79" s="252">
        <f>'الصفحة 30'!$P$30+'الصفحة 30'!$R$11+'الصفحة 30'!$R$30+'الصفحة 30'!$T$11+'الصفحة 30'!$T$30+'الصفحة 30'!$V$11+'الصفحة 30'!$V$30+'الصفحة 30'!$X$11+'الصفحة 30'!$X$30+'الصفحة 30'!$Z$11+'الصفحة 30'!$Z$30</f>
        <v>0</v>
      </c>
      <c r="BO79" s="252">
        <f>(BM79-BN79)</f>
        <v>0</v>
      </c>
      <c r="BP79" s="257">
        <f>(BM79/($N79+0.00001))*100</f>
        <v>0</v>
      </c>
      <c r="BQ79" s="257">
        <f>(BN79/($O79+0.00001))*100</f>
        <v>0</v>
      </c>
      <c r="BR79" s="256">
        <f>(BO79/($P79+0.00001))*100</f>
        <v>0</v>
      </c>
      <c r="BT79" s="253">
        <f>'الصفحة 31'!$G$13</f>
        <v>0</v>
      </c>
      <c r="BU79" s="252">
        <f>'الصفحة 31'!$G$14</f>
        <v>0</v>
      </c>
      <c r="BV79" s="251">
        <f>(BT79-BU79)</f>
        <v>0</v>
      </c>
      <c r="BW79" s="257">
        <f>(BT79/($N79+0.00001))*100</f>
        <v>0</v>
      </c>
      <c r="BX79" s="257">
        <f>(BU79/($O79+0.00001))*100</f>
        <v>0</v>
      </c>
      <c r="BY79" s="256">
        <f>(BV79/($P79+0.00001))*100</f>
        <v>0</v>
      </c>
      <c r="CB79" s="253">
        <f>'الصفحة 31'!$P$46</f>
        <v>0</v>
      </c>
      <c r="CC79" s="252">
        <f>'الصفحة 31'!$Q$46</f>
        <v>0</v>
      </c>
      <c r="CD79" s="251">
        <f>(CB79-CC79)</f>
        <v>0</v>
      </c>
      <c r="CE79" s="257">
        <f>(CB79/($N79+0.00001))*100</f>
        <v>0</v>
      </c>
      <c r="CF79" s="257">
        <f>(CC79/($O79+0.00001))*100</f>
        <v>0</v>
      </c>
      <c r="CG79" s="256">
        <f>(CD79/($P79+0.00001))*100</f>
        <v>0</v>
      </c>
      <c r="CJ79" s="253">
        <f>'الصفحة 31'!$Q$13</f>
        <v>0</v>
      </c>
      <c r="CK79" s="252">
        <f>'الصفحة 31'!$Q$14</f>
        <v>0</v>
      </c>
      <c r="CL79" s="251">
        <f>(CJ79-CK79)</f>
        <v>0</v>
      </c>
      <c r="CM79" s="257">
        <f>(CJ79/($N79+0.00001))*100</f>
        <v>0</v>
      </c>
      <c r="CN79" s="257">
        <f>(CK79/($O79+0.00001))*100</f>
        <v>0</v>
      </c>
      <c r="CO79" s="256">
        <f>(CL79/($P79+0.00001))*100</f>
        <v>0</v>
      </c>
      <c r="CR79" s="253" t="e">
        <f>'الصفحة 27'!#REF!</f>
        <v>#REF!</v>
      </c>
      <c r="CS79" s="252" t="e">
        <f>CV79-CR79</f>
        <v>#REF!</v>
      </c>
      <c r="CT79" s="255" t="e">
        <f>((CR79)/(CS79+0.00001))</f>
        <v>#REF!</v>
      </c>
      <c r="CU79" s="253" t="e">
        <f>CR79</f>
        <v>#REF!</v>
      </c>
      <c r="CV79" s="252" t="e">
        <f>'الصفحة 27'!#REF!</f>
        <v>#REF!</v>
      </c>
      <c r="CW79" s="249" t="e">
        <f>((CU79)/(CV79+0.00001))*100</f>
        <v>#REF!</v>
      </c>
      <c r="CZ79" s="253">
        <f>'الصفحة 27'!$F$13+'الصفحة 27'!$G$13+'الصفحة 27'!$H$13+'الصفحة 27'!$I$13</f>
        <v>0</v>
      </c>
      <c r="DA79" s="252">
        <f>'الصفحة 27'!$F$14+'الصفحة 27'!$G$14+'الصفحة 27'!$H$14+'الصفحة 27'!$I$14</f>
        <v>0</v>
      </c>
      <c r="DB79" s="251">
        <f>(CZ79-DA79)</f>
        <v>0</v>
      </c>
      <c r="DC79" s="250" t="e">
        <f>((CZ79)/(CV79+0.00001))*100</f>
        <v>#REF!</v>
      </c>
      <c r="DD79" s="250" t="e">
        <f>((DA79)/(CR79+0.00001))*100</f>
        <v>#REF!</v>
      </c>
      <c r="DE79" s="249" t="e">
        <f>((DB79)/(CV79-CR79+0.00001))*100</f>
        <v>#REF!</v>
      </c>
      <c r="DH79" s="253">
        <f>'الصفحة 27'!$N$13</f>
        <v>0</v>
      </c>
      <c r="DI79" s="252">
        <f>'الصفحة 27'!$N$14</f>
        <v>0</v>
      </c>
      <c r="DJ79" s="251">
        <f>(DH79-DI79)</f>
        <v>0</v>
      </c>
      <c r="DK79" s="250" t="e">
        <f>((DH79)/(CV79+0.00001))*100</f>
        <v>#REF!</v>
      </c>
      <c r="DL79" s="250" t="e">
        <f>((DI79)/(CR79+0.00001))*100</f>
        <v>#REF!</v>
      </c>
      <c r="DM79" s="249" t="e">
        <f>((DJ79)/(CV79-CR79+0.00001))*100</f>
        <v>#REF!</v>
      </c>
      <c r="DP79" s="253">
        <f>'الصفحة 32'!$G$46</f>
        <v>0</v>
      </c>
      <c r="DQ79" s="252">
        <f>'الصفحة 32'!$G$47</f>
        <v>0</v>
      </c>
      <c r="DR79" s="254">
        <f>(DP79-DQ79)</f>
        <v>0</v>
      </c>
      <c r="DU79" s="253">
        <f>'الصفحة 32'!$G$30</f>
        <v>0</v>
      </c>
      <c r="DV79" s="252">
        <f>'الصفحة 32'!$G$31</f>
        <v>0</v>
      </c>
      <c r="DW79" s="251">
        <f>(DU79-DV79)</f>
        <v>0</v>
      </c>
      <c r="DX79" s="250">
        <f>((DU79)/($DP$79+0.00001))*100</f>
        <v>0</v>
      </c>
      <c r="DY79" s="250">
        <f>((DV79)/($DQ$79+0.00001))*100</f>
        <v>0</v>
      </c>
      <c r="DZ79" s="249">
        <f>((DW79)/($DR$79+0.00001))*100</f>
        <v>0</v>
      </c>
      <c r="EA79" s="253">
        <f>'الصفحة 32'!$G$32</f>
        <v>0</v>
      </c>
      <c r="EB79" s="252">
        <f>'الصفحة 32'!$G$33</f>
        <v>0</v>
      </c>
      <c r="EC79" s="251">
        <f>(EA79-EB79)</f>
        <v>0</v>
      </c>
      <c r="ED79" s="250">
        <f>((EA79)/($DP$79+0.00001))*100</f>
        <v>0</v>
      </c>
      <c r="EE79" s="250">
        <f>((EB79)/($DQ$79+0.00001))*100</f>
        <v>0</v>
      </c>
      <c r="EF79" s="249">
        <f>((EC79)/($DR$79+0.00001))*100</f>
        <v>0</v>
      </c>
      <c r="EG79" s="253">
        <f>'الصفحة 32'!$G$39</f>
        <v>0</v>
      </c>
      <c r="EH79" s="252">
        <f>'الصفحة 32'!$G$35</f>
        <v>0</v>
      </c>
      <c r="EI79" s="251">
        <f>(EG79-EH79)</f>
        <v>0</v>
      </c>
      <c r="EJ79" s="250">
        <f>((EG79)/($DP$79+0.00001))*100</f>
        <v>0</v>
      </c>
      <c r="EK79" s="250">
        <f>((EH79)/($DQ$79+0.00001))*100</f>
        <v>0</v>
      </c>
      <c r="EL79" s="249">
        <f>((EI79)/($DR$79+0.00001))*100</f>
        <v>0</v>
      </c>
      <c r="EM79" s="253">
        <f>'الصفحة 32'!$G$36</f>
        <v>0</v>
      </c>
      <c r="EN79" s="252">
        <f>'الصفحة 32'!$G$37</f>
        <v>0</v>
      </c>
      <c r="EO79" s="251">
        <f>(EM79-EN79)</f>
        <v>0</v>
      </c>
      <c r="EP79" s="250">
        <f>((EM79)/($DP$79+0.00001))*100</f>
        <v>0</v>
      </c>
      <c r="EQ79" s="250">
        <f>((EN79)/($DQ$79+0.00001))*100</f>
        <v>0</v>
      </c>
      <c r="ER79" s="249">
        <f>((EO79)/($DR$79+0.00001))*100</f>
        <v>0</v>
      </c>
      <c r="ES79" s="253">
        <f>'الصفحة 32'!$G$38</f>
        <v>0</v>
      </c>
      <c r="ET79" s="252">
        <f>'الصفحة 32'!$G$39</f>
        <v>0</v>
      </c>
      <c r="EU79" s="251">
        <f>(ES79-ET79)</f>
        <v>0</v>
      </c>
      <c r="EV79" s="250">
        <f>((ES79)/($DP$79+0.00001))*100</f>
        <v>0</v>
      </c>
      <c r="EW79" s="250">
        <f>((ET79)/($DQ$79+0.00001))*100</f>
        <v>0</v>
      </c>
      <c r="EX79" s="249">
        <f>((EU79)/($DR$79+0.00001))*100</f>
        <v>0</v>
      </c>
      <c r="EY79" s="253">
        <f>'الصفحة 32'!$G$40</f>
        <v>0</v>
      </c>
      <c r="EZ79" s="252">
        <f>'الصفحة 32'!$G$41</f>
        <v>0</v>
      </c>
      <c r="FA79" s="251">
        <f>(EY79-EZ79)</f>
        <v>0</v>
      </c>
      <c r="FB79" s="250">
        <f>((EY79)/($DP$79+0.00001))*100</f>
        <v>0</v>
      </c>
      <c r="FC79" s="250">
        <f>((EZ79)/($DQ$79+0.00001))*100</f>
        <v>0</v>
      </c>
      <c r="FD79" s="249">
        <f>((FA79)/($DR$79+0.00001))*100</f>
        <v>0</v>
      </c>
      <c r="FE79" s="253">
        <f>'الصفحة 32'!$G$42</f>
        <v>0</v>
      </c>
      <c r="FF79" s="252">
        <f>'الصفحة 32'!$G$43</f>
        <v>0</v>
      </c>
      <c r="FG79" s="251">
        <f>(FE79-FF79)</f>
        <v>0</v>
      </c>
      <c r="FH79" s="250">
        <f>((FE79)/($DP$79+0.00001))*100</f>
        <v>0</v>
      </c>
      <c r="FI79" s="250">
        <f>((FF79)/($DQ$79+0.00001))*100</f>
        <v>0</v>
      </c>
      <c r="FJ79" s="249">
        <f>((FG79)/($DR$79+0.00001))*100</f>
        <v>0</v>
      </c>
      <c r="FK79" s="253">
        <f>'الصفحة 32'!$G$44</f>
        <v>0</v>
      </c>
      <c r="FL79" s="252">
        <f>'الصفحة 32'!$G$45</f>
        <v>0</v>
      </c>
      <c r="FM79" s="251">
        <f>(FK79-FL79)</f>
        <v>0</v>
      </c>
      <c r="FN79" s="250">
        <f>((FK79)/($DP$79+0.00001))*100</f>
        <v>0</v>
      </c>
      <c r="FO79" s="250">
        <f>((FL79)/($DQ$79+0.00001))*100</f>
        <v>0</v>
      </c>
      <c r="FP79" s="249">
        <f>((FM79)/($DR$79+0.00001))*100</f>
        <v>0</v>
      </c>
      <c r="IV79" s="41"/>
    </row>
    <row r="80" spans="1:256" s="25" customFormat="1" ht="6" customHeight="1">
      <c r="A80" s="248"/>
      <c r="HS80" s="106"/>
      <c r="HT80" s="106"/>
      <c r="HU80" s="106"/>
      <c r="HV80" s="106"/>
      <c r="HW80" s="106"/>
      <c r="HX80" s="203"/>
      <c r="HY80" s="106"/>
      <c r="HZ80" s="106"/>
      <c r="IA80" s="106"/>
      <c r="IB80" s="203"/>
      <c r="IC80" s="106"/>
      <c r="ID80" s="106"/>
      <c r="IE80" s="24"/>
      <c r="IF80" s="24"/>
      <c r="IG80" s="106"/>
      <c r="IH80" s="24"/>
      <c r="II80" s="24"/>
      <c r="IJ80" s="24"/>
      <c r="IK80" s="24"/>
      <c r="IL80" s="24"/>
      <c r="IM80" s="24"/>
      <c r="IN80" s="24"/>
      <c r="IO80" s="24"/>
      <c r="IP80" s="24"/>
      <c r="IQ80" s="24"/>
      <c r="IR80" s="24"/>
      <c r="IS80" s="24"/>
      <c r="IT80" s="24"/>
      <c r="IV80" s="41"/>
    </row>
    <row r="81" spans="1:256" s="25" customFormat="1" ht="6" customHeight="1">
      <c r="A81" s="248"/>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c r="IS81" s="21"/>
      <c r="IT81" s="21"/>
      <c r="IV81" s="41"/>
    </row>
    <row r="82" spans="1:256" s="25" customFormat="1" ht="15.75" customHeight="1" thickBot="1">
      <c r="A82" s="5729">
        <v>11</v>
      </c>
      <c r="C82" s="305" t="s">
        <v>343</v>
      </c>
      <c r="N82" s="305" t="s">
        <v>338</v>
      </c>
      <c r="R82" s="305" t="s">
        <v>337</v>
      </c>
      <c r="Y82" s="305" t="s">
        <v>337</v>
      </c>
      <c r="AF82" s="305" t="s">
        <v>337</v>
      </c>
      <c r="AM82" s="305" t="s">
        <v>337</v>
      </c>
      <c r="AT82" s="305" t="s">
        <v>337</v>
      </c>
      <c r="BA82" s="305" t="s">
        <v>337</v>
      </c>
      <c r="BG82" s="305" t="s">
        <v>337</v>
      </c>
      <c r="BM82" s="305" t="s">
        <v>336</v>
      </c>
      <c r="BT82" s="307" t="s">
        <v>335</v>
      </c>
      <c r="BU82" s="306"/>
      <c r="BV82" s="306"/>
      <c r="BW82" s="306"/>
      <c r="BX82" s="306"/>
      <c r="BY82" s="306"/>
      <c r="CB82" s="305" t="s">
        <v>334</v>
      </c>
      <c r="CJ82" s="305" t="s">
        <v>333</v>
      </c>
      <c r="CR82" s="305" t="s">
        <v>332</v>
      </c>
      <c r="CZ82" s="305" t="s">
        <v>331</v>
      </c>
      <c r="DH82" s="305" t="s">
        <v>330</v>
      </c>
      <c r="DP82" s="305" t="s">
        <v>329</v>
      </c>
      <c r="DU82" s="304" t="s">
        <v>328</v>
      </c>
      <c r="EA82" s="304"/>
      <c r="EB82" s="303" t="str">
        <f>DP83</f>
        <v>التاريخ والجغرافيا</v>
      </c>
      <c r="EG82" s="304" t="str">
        <f>$DU82</f>
        <v>توزيع اساتذة التعليم المتوسط حسب المؤهل العلمي  -</v>
      </c>
      <c r="EM82" s="303" t="str">
        <f>$EB82</f>
        <v>التاريخ والجغرافيا</v>
      </c>
      <c r="ES82" s="304" t="str">
        <f>$DU82</f>
        <v>توزيع اساتذة التعليم المتوسط حسب المؤهل العلمي  -</v>
      </c>
      <c r="EY82" s="303" t="str">
        <f>$EB82</f>
        <v>التاريخ والجغرافيا</v>
      </c>
      <c r="FE82" s="304" t="str">
        <f>$DU82</f>
        <v>توزيع اساتذة التعليم المتوسط حسب المؤهل العلمي  -</v>
      </c>
      <c r="FK82" s="303" t="str">
        <f>$EB82</f>
        <v>التاريخ والجغرافيا</v>
      </c>
      <c r="IV82" s="41"/>
    </row>
    <row r="83" spans="1:256" s="25" customFormat="1" ht="12.75" customHeight="1">
      <c r="A83" s="5729"/>
      <c r="C83" s="302"/>
      <c r="D83" s="300"/>
      <c r="E83" s="300"/>
      <c r="F83" s="301" t="s">
        <v>350</v>
      </c>
      <c r="G83" s="300"/>
      <c r="H83" s="300"/>
      <c r="I83" s="300"/>
      <c r="J83" s="300"/>
      <c r="K83" s="300"/>
      <c r="L83" s="299"/>
      <c r="N83" s="318"/>
      <c r="O83" s="317"/>
      <c r="P83" s="316"/>
      <c r="R83" s="315"/>
      <c r="S83" s="314"/>
      <c r="T83" s="314" t="str">
        <f>O84</f>
        <v>التاريخ والجغرافيا</v>
      </c>
      <c r="U83" s="300"/>
      <c r="V83" s="300"/>
      <c r="W83" s="299"/>
      <c r="Y83" s="315"/>
      <c r="Z83" s="314"/>
      <c r="AA83" s="314" t="str">
        <f>O84</f>
        <v>التاريخ والجغرافيا</v>
      </c>
      <c r="AB83" s="300"/>
      <c r="AC83" s="300"/>
      <c r="AD83" s="299"/>
      <c r="AF83" s="315"/>
      <c r="AG83" s="314"/>
      <c r="AH83" s="314" t="str">
        <f>O84</f>
        <v>التاريخ والجغرافيا</v>
      </c>
      <c r="AI83" s="300"/>
      <c r="AJ83" s="300"/>
      <c r="AK83" s="299"/>
      <c r="AM83" s="315"/>
      <c r="AN83" s="314"/>
      <c r="AO83" s="314" t="str">
        <f>O84</f>
        <v>التاريخ والجغرافيا</v>
      </c>
      <c r="AP83" s="300"/>
      <c r="AQ83" s="300"/>
      <c r="AR83" s="299"/>
      <c r="AT83" s="315"/>
      <c r="AU83" s="314"/>
      <c r="AV83" s="314" t="str">
        <f>O84</f>
        <v>التاريخ والجغرافيا</v>
      </c>
      <c r="AW83" s="300"/>
      <c r="AX83" s="300"/>
      <c r="AY83" s="299"/>
      <c r="BA83" s="315"/>
      <c r="BB83" s="314"/>
      <c r="BC83" s="314" t="str">
        <f>O84</f>
        <v>التاريخ والجغرافيا</v>
      </c>
      <c r="BD83" s="300"/>
      <c r="BE83" s="300"/>
      <c r="BF83" s="299"/>
      <c r="BG83" s="315"/>
      <c r="BH83" s="314"/>
      <c r="BI83" s="314" t="str">
        <f>O84</f>
        <v>التاريخ والجغرافيا</v>
      </c>
      <c r="BJ83" s="300"/>
      <c r="BK83" s="300"/>
      <c r="BL83" s="299"/>
      <c r="BM83" s="298"/>
      <c r="BN83" s="297"/>
      <c r="BO83" s="297"/>
      <c r="BP83" s="297"/>
      <c r="BQ83" s="297"/>
      <c r="BR83" s="296"/>
      <c r="BT83" s="5146" t="str">
        <f>O84</f>
        <v>التاريخ والجغرافيا</v>
      </c>
      <c r="BU83" s="5147"/>
      <c r="BV83" s="5147"/>
      <c r="BW83" s="5147"/>
      <c r="BX83" s="5147"/>
      <c r="BY83" s="5148"/>
      <c r="CB83" s="5146" t="str">
        <f>O84</f>
        <v>التاريخ والجغرافيا</v>
      </c>
      <c r="CC83" s="5147"/>
      <c r="CD83" s="5147"/>
      <c r="CE83" s="5147"/>
      <c r="CF83" s="5147"/>
      <c r="CG83" s="5148"/>
      <c r="CJ83" s="5146" t="str">
        <f>O84</f>
        <v>التاريخ والجغرافيا</v>
      </c>
      <c r="CK83" s="5147"/>
      <c r="CL83" s="5147"/>
      <c r="CM83" s="5147"/>
      <c r="CN83" s="5147"/>
      <c r="CO83" s="5148"/>
      <c r="CR83" s="5146" t="str">
        <f>O84</f>
        <v>التاريخ والجغرافيا</v>
      </c>
      <c r="CS83" s="5147"/>
      <c r="CT83" s="5147"/>
      <c r="CU83" s="5147"/>
      <c r="CV83" s="5147"/>
      <c r="CW83" s="5148"/>
      <c r="CZ83" s="5146" t="str">
        <f>O84</f>
        <v>التاريخ والجغرافيا</v>
      </c>
      <c r="DA83" s="5147"/>
      <c r="DB83" s="5147"/>
      <c r="DC83" s="5147"/>
      <c r="DD83" s="5147"/>
      <c r="DE83" s="5148"/>
      <c r="DH83" s="5146" t="str">
        <f>O84</f>
        <v>التاريخ والجغرافيا</v>
      </c>
      <c r="DI83" s="5147"/>
      <c r="DJ83" s="5147"/>
      <c r="DK83" s="5147"/>
      <c r="DL83" s="5147"/>
      <c r="DM83" s="5148"/>
      <c r="DP83" s="5146" t="str">
        <f>O84</f>
        <v>التاريخ والجغرافيا</v>
      </c>
      <c r="DQ83" s="5147"/>
      <c r="DR83" s="5148"/>
      <c r="DU83" s="5758" t="s">
        <v>57</v>
      </c>
      <c r="DV83" s="5759"/>
      <c r="DW83" s="5759"/>
      <c r="DX83" s="5759"/>
      <c r="DY83" s="5759"/>
      <c r="DZ83" s="5760"/>
      <c r="EA83" s="5758" t="s">
        <v>56</v>
      </c>
      <c r="EB83" s="5759"/>
      <c r="EC83" s="5759"/>
      <c r="ED83" s="5759"/>
      <c r="EE83" s="5759"/>
      <c r="EF83" s="5760"/>
      <c r="EG83" s="5758" t="s">
        <v>55</v>
      </c>
      <c r="EH83" s="5759"/>
      <c r="EI83" s="5759"/>
      <c r="EJ83" s="5759"/>
      <c r="EK83" s="5759"/>
      <c r="EL83" s="5760"/>
      <c r="EM83" s="5758" t="s">
        <v>54</v>
      </c>
      <c r="EN83" s="5759"/>
      <c r="EO83" s="5759"/>
      <c r="EP83" s="5759"/>
      <c r="EQ83" s="5759"/>
      <c r="ER83" s="5760"/>
      <c r="ES83" s="5758" t="s">
        <v>53</v>
      </c>
      <c r="ET83" s="5759"/>
      <c r="EU83" s="5759"/>
      <c r="EV83" s="5759"/>
      <c r="EW83" s="5759"/>
      <c r="EX83" s="5760"/>
      <c r="EY83" s="5758" t="s">
        <v>52</v>
      </c>
      <c r="EZ83" s="5759"/>
      <c r="FA83" s="5759"/>
      <c r="FB83" s="5759"/>
      <c r="FC83" s="5759"/>
      <c r="FD83" s="5760"/>
      <c r="FE83" s="5758" t="s">
        <v>51</v>
      </c>
      <c r="FF83" s="5759"/>
      <c r="FG83" s="5759"/>
      <c r="FH83" s="5759"/>
      <c r="FI83" s="5759"/>
      <c r="FJ83" s="5760"/>
      <c r="FK83" s="5758" t="s">
        <v>50</v>
      </c>
      <c r="FL83" s="5759"/>
      <c r="FM83" s="5759"/>
      <c r="FN83" s="5759"/>
      <c r="FO83" s="5759"/>
      <c r="FP83" s="5760"/>
      <c r="IV83" s="41"/>
    </row>
    <row r="84" spans="1:256" s="25" customFormat="1" ht="12.75" customHeight="1" thickBot="1">
      <c r="A84" s="5729"/>
      <c r="C84" s="295"/>
      <c r="D84" s="293"/>
      <c r="E84" s="291" t="s">
        <v>326</v>
      </c>
      <c r="F84" s="294"/>
      <c r="G84" s="293"/>
      <c r="H84" s="291" t="s">
        <v>325</v>
      </c>
      <c r="I84" s="290"/>
      <c r="J84" s="292"/>
      <c r="K84" s="291" t="s">
        <v>324</v>
      </c>
      <c r="L84" s="290"/>
      <c r="N84" s="313"/>
      <c r="O84" s="312" t="s">
        <v>45</v>
      </c>
      <c r="P84" s="311"/>
      <c r="R84" s="5164" t="s">
        <v>645</v>
      </c>
      <c r="S84" s="5165"/>
      <c r="T84" s="5165"/>
      <c r="U84" s="5165"/>
      <c r="V84" s="5165"/>
      <c r="W84" s="5166"/>
      <c r="Y84" s="5164" t="s">
        <v>323</v>
      </c>
      <c r="Z84" s="5165"/>
      <c r="AA84" s="5165"/>
      <c r="AB84" s="5165"/>
      <c r="AC84" s="5165"/>
      <c r="AD84" s="5166"/>
      <c r="AF84" s="5164" t="s">
        <v>322</v>
      </c>
      <c r="AG84" s="5165"/>
      <c r="AH84" s="5165"/>
      <c r="AI84" s="5165"/>
      <c r="AJ84" s="5165"/>
      <c r="AK84" s="5166"/>
      <c r="AM84" s="5164" t="s">
        <v>321</v>
      </c>
      <c r="AN84" s="5165"/>
      <c r="AO84" s="5165"/>
      <c r="AP84" s="5165"/>
      <c r="AQ84" s="5165"/>
      <c r="AR84" s="5166"/>
      <c r="AT84" s="5164" t="s">
        <v>644</v>
      </c>
      <c r="AU84" s="5165"/>
      <c r="AV84" s="5165"/>
      <c r="AW84" s="5165"/>
      <c r="AX84" s="5165"/>
      <c r="AY84" s="5166"/>
      <c r="BA84" s="5164" t="s">
        <v>642</v>
      </c>
      <c r="BB84" s="5165"/>
      <c r="BC84" s="5165"/>
      <c r="BD84" s="5165"/>
      <c r="BE84" s="5165"/>
      <c r="BF84" s="5166"/>
      <c r="BG84" s="5164" t="s">
        <v>643</v>
      </c>
      <c r="BH84" s="5165"/>
      <c r="BI84" s="5165"/>
      <c r="BJ84" s="5165"/>
      <c r="BK84" s="5165"/>
      <c r="BL84" s="5166"/>
      <c r="BM84" s="289"/>
      <c r="BN84" s="286"/>
      <c r="BO84" s="288" t="str">
        <f>O84</f>
        <v>التاريخ والجغرافيا</v>
      </c>
      <c r="BP84" s="287"/>
      <c r="BQ84" s="286"/>
      <c r="BR84" s="285"/>
      <c r="BT84" s="5149"/>
      <c r="BU84" s="5150"/>
      <c r="BV84" s="5150"/>
      <c r="BW84" s="5150"/>
      <c r="BX84" s="5150"/>
      <c r="BY84" s="5151"/>
      <c r="CB84" s="5149"/>
      <c r="CC84" s="5150"/>
      <c r="CD84" s="5150"/>
      <c r="CE84" s="5150"/>
      <c r="CF84" s="5150"/>
      <c r="CG84" s="5151"/>
      <c r="CJ84" s="5149"/>
      <c r="CK84" s="5150"/>
      <c r="CL84" s="5150"/>
      <c r="CM84" s="5150"/>
      <c r="CN84" s="5150"/>
      <c r="CO84" s="5151"/>
      <c r="CR84" s="5149"/>
      <c r="CS84" s="5150"/>
      <c r="CT84" s="5150"/>
      <c r="CU84" s="5150"/>
      <c r="CV84" s="5150"/>
      <c r="CW84" s="5151"/>
      <c r="CZ84" s="5149"/>
      <c r="DA84" s="5150"/>
      <c r="DB84" s="5150"/>
      <c r="DC84" s="5150"/>
      <c r="DD84" s="5150"/>
      <c r="DE84" s="5151"/>
      <c r="DH84" s="5149"/>
      <c r="DI84" s="5150"/>
      <c r="DJ84" s="5150"/>
      <c r="DK84" s="5150"/>
      <c r="DL84" s="5150"/>
      <c r="DM84" s="5151"/>
      <c r="DP84" s="5771"/>
      <c r="DQ84" s="5772"/>
      <c r="DR84" s="5773"/>
      <c r="DU84" s="5761"/>
      <c r="DV84" s="5762"/>
      <c r="DW84" s="5762"/>
      <c r="DX84" s="5762"/>
      <c r="DY84" s="5762"/>
      <c r="DZ84" s="5763"/>
      <c r="EA84" s="5761"/>
      <c r="EB84" s="5762"/>
      <c r="EC84" s="5762"/>
      <c r="ED84" s="5762"/>
      <c r="EE84" s="5762"/>
      <c r="EF84" s="5763"/>
      <c r="EG84" s="5761"/>
      <c r="EH84" s="5762"/>
      <c r="EI84" s="5762"/>
      <c r="EJ84" s="5762"/>
      <c r="EK84" s="5762"/>
      <c r="EL84" s="5763"/>
      <c r="EM84" s="5761"/>
      <c r="EN84" s="5762"/>
      <c r="EO84" s="5762"/>
      <c r="EP84" s="5762"/>
      <c r="EQ84" s="5762"/>
      <c r="ER84" s="5763"/>
      <c r="ES84" s="5761"/>
      <c r="ET84" s="5762"/>
      <c r="EU84" s="5762"/>
      <c r="EV84" s="5762"/>
      <c r="EW84" s="5762"/>
      <c r="EX84" s="5763"/>
      <c r="EY84" s="5761"/>
      <c r="EZ84" s="5762"/>
      <c r="FA84" s="5762"/>
      <c r="FB84" s="5762"/>
      <c r="FC84" s="5762"/>
      <c r="FD84" s="5763"/>
      <c r="FE84" s="5761"/>
      <c r="FF84" s="5762"/>
      <c r="FG84" s="5762"/>
      <c r="FH84" s="5762"/>
      <c r="FI84" s="5762"/>
      <c r="FJ84" s="5763"/>
      <c r="FK84" s="5761"/>
      <c r="FL84" s="5762"/>
      <c r="FM84" s="5762"/>
      <c r="FN84" s="5762"/>
      <c r="FO84" s="5762"/>
      <c r="FP84" s="5763"/>
      <c r="IV84" s="41"/>
    </row>
    <row r="85" spans="1:256" s="25" customFormat="1" ht="12.75" customHeight="1">
      <c r="A85" s="5729"/>
      <c r="C85" s="284"/>
      <c r="D85" s="282"/>
      <c r="E85" s="282"/>
      <c r="F85" s="282"/>
      <c r="G85" s="282"/>
      <c r="H85" s="282"/>
      <c r="I85" s="281"/>
      <c r="J85" s="283"/>
      <c r="K85" s="282"/>
      <c r="L85" s="281"/>
      <c r="N85" s="310"/>
      <c r="O85" s="309"/>
      <c r="P85" s="308"/>
      <c r="R85" s="5167"/>
      <c r="S85" s="5168"/>
      <c r="T85" s="5168"/>
      <c r="U85" s="5168"/>
      <c r="V85" s="5168"/>
      <c r="W85" s="5169"/>
      <c r="Y85" s="5167"/>
      <c r="Z85" s="5168"/>
      <c r="AA85" s="5168"/>
      <c r="AB85" s="5168"/>
      <c r="AC85" s="5168"/>
      <c r="AD85" s="5169"/>
      <c r="AF85" s="5167"/>
      <c r="AG85" s="5168"/>
      <c r="AH85" s="5168"/>
      <c r="AI85" s="5168"/>
      <c r="AJ85" s="5168"/>
      <c r="AK85" s="5169"/>
      <c r="AM85" s="5167"/>
      <c r="AN85" s="5168"/>
      <c r="AO85" s="5168"/>
      <c r="AP85" s="5168"/>
      <c r="AQ85" s="5168"/>
      <c r="AR85" s="5169"/>
      <c r="AT85" s="5167"/>
      <c r="AU85" s="5168"/>
      <c r="AV85" s="5168"/>
      <c r="AW85" s="5168"/>
      <c r="AX85" s="5168"/>
      <c r="AY85" s="5169"/>
      <c r="BA85" s="5167"/>
      <c r="BB85" s="5168"/>
      <c r="BC85" s="5168"/>
      <c r="BD85" s="5168"/>
      <c r="BE85" s="5168"/>
      <c r="BF85" s="5169"/>
      <c r="BG85" s="5167"/>
      <c r="BH85" s="5168"/>
      <c r="BI85" s="5168"/>
      <c r="BJ85" s="5168"/>
      <c r="BK85" s="5168"/>
      <c r="BL85" s="5169"/>
      <c r="BM85" s="280"/>
      <c r="BN85" s="279"/>
      <c r="BO85" s="279"/>
      <c r="BP85" s="279"/>
      <c r="BQ85" s="279"/>
      <c r="BR85" s="278"/>
      <c r="BT85" s="5130" t="s">
        <v>318</v>
      </c>
      <c r="BU85" s="5131"/>
      <c r="BV85" s="5132"/>
      <c r="BW85" s="5144" t="s">
        <v>317</v>
      </c>
      <c r="BX85" s="5131"/>
      <c r="BY85" s="5145"/>
      <c r="CB85" s="5130" t="s">
        <v>318</v>
      </c>
      <c r="CC85" s="5131"/>
      <c r="CD85" s="5132"/>
      <c r="CE85" s="5144" t="s">
        <v>317</v>
      </c>
      <c r="CF85" s="5131"/>
      <c r="CG85" s="5145"/>
      <c r="CJ85" s="5130" t="s">
        <v>318</v>
      </c>
      <c r="CK85" s="5131"/>
      <c r="CL85" s="5132"/>
      <c r="CM85" s="5144" t="s">
        <v>317</v>
      </c>
      <c r="CN85" s="5131"/>
      <c r="CO85" s="5145"/>
      <c r="CR85" s="5152" t="s">
        <v>320</v>
      </c>
      <c r="CS85" s="5153"/>
      <c r="CT85" s="5153"/>
      <c r="CU85" s="5152" t="s">
        <v>319</v>
      </c>
      <c r="CV85" s="5153"/>
      <c r="CW85" s="5154"/>
      <c r="CZ85" s="5130" t="s">
        <v>318</v>
      </c>
      <c r="DA85" s="5131"/>
      <c r="DB85" s="5132"/>
      <c r="DC85" s="5144" t="s">
        <v>317</v>
      </c>
      <c r="DD85" s="5131"/>
      <c r="DE85" s="5145"/>
      <c r="DH85" s="5130" t="s">
        <v>318</v>
      </c>
      <c r="DI85" s="5131"/>
      <c r="DJ85" s="5132"/>
      <c r="DK85" s="5144" t="s">
        <v>317</v>
      </c>
      <c r="DL85" s="5131"/>
      <c r="DM85" s="5145"/>
      <c r="DP85" s="5130" t="s">
        <v>318</v>
      </c>
      <c r="DQ85" s="5131"/>
      <c r="DR85" s="5145"/>
      <c r="DU85" s="277"/>
      <c r="DV85" s="274" t="s">
        <v>318</v>
      </c>
      <c r="DW85" s="276"/>
      <c r="DX85" s="275"/>
      <c r="DY85" s="274" t="s">
        <v>317</v>
      </c>
      <c r="DZ85" s="273"/>
      <c r="EA85" s="277"/>
      <c r="EB85" s="274" t="s">
        <v>318</v>
      </c>
      <c r="EC85" s="276"/>
      <c r="ED85" s="275"/>
      <c r="EE85" s="274" t="s">
        <v>317</v>
      </c>
      <c r="EF85" s="273"/>
      <c r="EG85" s="277"/>
      <c r="EH85" s="274" t="s">
        <v>318</v>
      </c>
      <c r="EI85" s="276"/>
      <c r="EJ85" s="275"/>
      <c r="EK85" s="274" t="s">
        <v>317</v>
      </c>
      <c r="EL85" s="273"/>
      <c r="EM85" s="277"/>
      <c r="EN85" s="274" t="s">
        <v>318</v>
      </c>
      <c r="EO85" s="276"/>
      <c r="EP85" s="275"/>
      <c r="EQ85" s="274" t="s">
        <v>317</v>
      </c>
      <c r="ER85" s="273"/>
      <c r="ES85" s="277"/>
      <c r="ET85" s="274" t="s">
        <v>318</v>
      </c>
      <c r="EU85" s="276"/>
      <c r="EV85" s="275"/>
      <c r="EW85" s="274" t="s">
        <v>317</v>
      </c>
      <c r="EX85" s="273"/>
      <c r="EY85" s="277"/>
      <c r="EZ85" s="274" t="s">
        <v>318</v>
      </c>
      <c r="FA85" s="276"/>
      <c r="FB85" s="275"/>
      <c r="FC85" s="274" t="s">
        <v>317</v>
      </c>
      <c r="FD85" s="273"/>
      <c r="FE85" s="277"/>
      <c r="FF85" s="274" t="s">
        <v>318</v>
      </c>
      <c r="FG85" s="276"/>
      <c r="FH85" s="275"/>
      <c r="FI85" s="274" t="s">
        <v>317</v>
      </c>
      <c r="FJ85" s="273"/>
      <c r="FK85" s="277"/>
      <c r="FL85" s="274" t="s">
        <v>318</v>
      </c>
      <c r="FM85" s="276"/>
      <c r="FN85" s="275"/>
      <c r="FO85" s="274" t="s">
        <v>317</v>
      </c>
      <c r="FP85" s="273"/>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c r="HG85" s="27"/>
      <c r="HH85" s="27"/>
      <c r="HI85" s="27"/>
      <c r="HJ85" s="27"/>
      <c r="HK85" s="27"/>
      <c r="HL85" s="27"/>
      <c r="HM85" s="27"/>
      <c r="HN85" s="27"/>
      <c r="HO85" s="27"/>
      <c r="HP85" s="27"/>
      <c r="HQ85" s="27"/>
      <c r="HR85" s="27"/>
      <c r="HS85" s="27"/>
      <c r="HT85" s="27"/>
      <c r="HU85" s="27"/>
      <c r="HV85" s="27"/>
      <c r="HW85" s="27"/>
      <c r="HX85" s="27"/>
      <c r="HY85" s="27"/>
      <c r="HZ85" s="27"/>
      <c r="IA85" s="27"/>
      <c r="IB85" s="27"/>
      <c r="IC85" s="27"/>
      <c r="ID85" s="27"/>
      <c r="IE85" s="27"/>
      <c r="IF85" s="27"/>
      <c r="IG85" s="27"/>
      <c r="IH85" s="27"/>
      <c r="II85" s="27"/>
      <c r="IJ85" s="27"/>
      <c r="IK85" s="27"/>
      <c r="IL85" s="27"/>
      <c r="IM85" s="27"/>
      <c r="IN85" s="27"/>
      <c r="IO85" s="27"/>
      <c r="IP85" s="27"/>
      <c r="IQ85" s="27"/>
      <c r="IR85" s="27"/>
      <c r="IS85" s="27"/>
      <c r="IT85" s="27"/>
      <c r="IV85" s="41"/>
    </row>
    <row r="86" spans="1:256" s="25" customFormat="1" ht="14.4">
      <c r="A86" s="5729"/>
      <c r="C86" s="272" t="s">
        <v>316</v>
      </c>
      <c r="D86" s="270" t="s">
        <v>20</v>
      </c>
      <c r="E86" s="270" t="s">
        <v>49</v>
      </c>
      <c r="F86" s="270" t="s">
        <v>311</v>
      </c>
      <c r="G86" s="270" t="s">
        <v>20</v>
      </c>
      <c r="H86" s="270" t="s">
        <v>49</v>
      </c>
      <c r="I86" s="269" t="s">
        <v>311</v>
      </c>
      <c r="J86" s="271" t="s">
        <v>20</v>
      </c>
      <c r="K86" s="270" t="s">
        <v>49</v>
      </c>
      <c r="L86" s="269" t="s">
        <v>311</v>
      </c>
      <c r="N86" s="266" t="s">
        <v>20</v>
      </c>
      <c r="O86" s="264" t="s">
        <v>49</v>
      </c>
      <c r="P86" s="263" t="s">
        <v>311</v>
      </c>
      <c r="R86" s="266" t="s">
        <v>20</v>
      </c>
      <c r="S86" s="264" t="s">
        <v>49</v>
      </c>
      <c r="T86" s="265" t="s">
        <v>311</v>
      </c>
      <c r="U86" s="264" t="s">
        <v>310</v>
      </c>
      <c r="V86" s="264" t="s">
        <v>309</v>
      </c>
      <c r="W86" s="263" t="s">
        <v>308</v>
      </c>
      <c r="Y86" s="266" t="s">
        <v>20</v>
      </c>
      <c r="Z86" s="264" t="s">
        <v>49</v>
      </c>
      <c r="AA86" s="265" t="s">
        <v>311</v>
      </c>
      <c r="AB86" s="264" t="s">
        <v>310</v>
      </c>
      <c r="AC86" s="264" t="s">
        <v>309</v>
      </c>
      <c r="AD86" s="263" t="s">
        <v>308</v>
      </c>
      <c r="AF86" s="266" t="s">
        <v>20</v>
      </c>
      <c r="AG86" s="264" t="s">
        <v>49</v>
      </c>
      <c r="AH86" s="265" t="s">
        <v>311</v>
      </c>
      <c r="AI86" s="264" t="s">
        <v>310</v>
      </c>
      <c r="AJ86" s="264" t="s">
        <v>309</v>
      </c>
      <c r="AK86" s="263" t="s">
        <v>308</v>
      </c>
      <c r="AM86" s="266" t="s">
        <v>20</v>
      </c>
      <c r="AN86" s="264" t="s">
        <v>49</v>
      </c>
      <c r="AO86" s="265" t="s">
        <v>311</v>
      </c>
      <c r="AP86" s="264" t="s">
        <v>310</v>
      </c>
      <c r="AQ86" s="264" t="s">
        <v>309</v>
      </c>
      <c r="AR86" s="263" t="s">
        <v>308</v>
      </c>
      <c r="AT86" s="266" t="s">
        <v>20</v>
      </c>
      <c r="AU86" s="264" t="s">
        <v>49</v>
      </c>
      <c r="AV86" s="265" t="s">
        <v>311</v>
      </c>
      <c r="AW86" s="264" t="s">
        <v>310</v>
      </c>
      <c r="AX86" s="264" t="s">
        <v>309</v>
      </c>
      <c r="AY86" s="263" t="s">
        <v>308</v>
      </c>
      <c r="BA86" s="266" t="s">
        <v>20</v>
      </c>
      <c r="BB86" s="264" t="s">
        <v>49</v>
      </c>
      <c r="BC86" s="265" t="s">
        <v>311</v>
      </c>
      <c r="BD86" s="264" t="s">
        <v>310</v>
      </c>
      <c r="BE86" s="264" t="s">
        <v>309</v>
      </c>
      <c r="BF86" s="263" t="s">
        <v>308</v>
      </c>
      <c r="BG86" s="266" t="s">
        <v>20</v>
      </c>
      <c r="BH86" s="264" t="s">
        <v>49</v>
      </c>
      <c r="BI86" s="265" t="s">
        <v>311</v>
      </c>
      <c r="BJ86" s="264" t="s">
        <v>310</v>
      </c>
      <c r="BK86" s="264" t="s">
        <v>309</v>
      </c>
      <c r="BL86" s="263" t="s">
        <v>308</v>
      </c>
      <c r="BM86" s="266" t="s">
        <v>20</v>
      </c>
      <c r="BN86" s="264" t="s">
        <v>49</v>
      </c>
      <c r="BO86" s="265" t="s">
        <v>311</v>
      </c>
      <c r="BP86" s="264" t="s">
        <v>310</v>
      </c>
      <c r="BQ86" s="264" t="s">
        <v>309</v>
      </c>
      <c r="BR86" s="263" t="s">
        <v>308</v>
      </c>
      <c r="BT86" s="266" t="s">
        <v>20</v>
      </c>
      <c r="BU86" s="264" t="s">
        <v>49</v>
      </c>
      <c r="BV86" s="265" t="s">
        <v>311</v>
      </c>
      <c r="BW86" s="264" t="s">
        <v>310</v>
      </c>
      <c r="BX86" s="264" t="s">
        <v>309</v>
      </c>
      <c r="BY86" s="263" t="s">
        <v>308</v>
      </c>
      <c r="CB86" s="266" t="s">
        <v>20</v>
      </c>
      <c r="CC86" s="264" t="s">
        <v>49</v>
      </c>
      <c r="CD86" s="265" t="s">
        <v>311</v>
      </c>
      <c r="CE86" s="264" t="s">
        <v>310</v>
      </c>
      <c r="CF86" s="264" t="s">
        <v>309</v>
      </c>
      <c r="CG86" s="263" t="s">
        <v>308</v>
      </c>
      <c r="CJ86" s="266" t="s">
        <v>20</v>
      </c>
      <c r="CK86" s="264" t="s">
        <v>49</v>
      </c>
      <c r="CL86" s="265" t="s">
        <v>311</v>
      </c>
      <c r="CM86" s="264" t="s">
        <v>310</v>
      </c>
      <c r="CN86" s="264" t="s">
        <v>309</v>
      </c>
      <c r="CO86" s="263" t="s">
        <v>308</v>
      </c>
      <c r="CR86" s="266" t="s">
        <v>313</v>
      </c>
      <c r="CS86" s="264" t="s">
        <v>315</v>
      </c>
      <c r="CT86" s="268" t="s">
        <v>314</v>
      </c>
      <c r="CU86" s="267" t="s">
        <v>313</v>
      </c>
      <c r="CV86" s="264" t="s">
        <v>28</v>
      </c>
      <c r="CW86" s="263" t="s">
        <v>312</v>
      </c>
      <c r="CZ86" s="266" t="s">
        <v>20</v>
      </c>
      <c r="DA86" s="264" t="s">
        <v>49</v>
      </c>
      <c r="DB86" s="265" t="s">
        <v>311</v>
      </c>
      <c r="DC86" s="264" t="s">
        <v>310</v>
      </c>
      <c r="DD86" s="264" t="s">
        <v>309</v>
      </c>
      <c r="DE86" s="263" t="s">
        <v>308</v>
      </c>
      <c r="DH86" s="266" t="s">
        <v>20</v>
      </c>
      <c r="DI86" s="264" t="s">
        <v>49</v>
      </c>
      <c r="DJ86" s="265" t="s">
        <v>311</v>
      </c>
      <c r="DK86" s="264" t="s">
        <v>310</v>
      </c>
      <c r="DL86" s="264" t="s">
        <v>309</v>
      </c>
      <c r="DM86" s="263" t="s">
        <v>308</v>
      </c>
      <c r="DP86" s="266" t="s">
        <v>20</v>
      </c>
      <c r="DQ86" s="264" t="s">
        <v>49</v>
      </c>
      <c r="DR86" s="263" t="s">
        <v>311</v>
      </c>
      <c r="DU86" s="266" t="s">
        <v>20</v>
      </c>
      <c r="DV86" s="264" t="s">
        <v>49</v>
      </c>
      <c r="DW86" s="265" t="s">
        <v>311</v>
      </c>
      <c r="DX86" s="264" t="s">
        <v>310</v>
      </c>
      <c r="DY86" s="264" t="s">
        <v>309</v>
      </c>
      <c r="DZ86" s="263" t="s">
        <v>308</v>
      </c>
      <c r="EA86" s="266" t="s">
        <v>20</v>
      </c>
      <c r="EB86" s="264" t="s">
        <v>49</v>
      </c>
      <c r="EC86" s="265" t="s">
        <v>311</v>
      </c>
      <c r="ED86" s="264" t="s">
        <v>310</v>
      </c>
      <c r="EE86" s="264" t="s">
        <v>309</v>
      </c>
      <c r="EF86" s="263" t="s">
        <v>308</v>
      </c>
      <c r="EG86" s="266" t="s">
        <v>20</v>
      </c>
      <c r="EH86" s="264" t="s">
        <v>49</v>
      </c>
      <c r="EI86" s="265" t="s">
        <v>311</v>
      </c>
      <c r="EJ86" s="264" t="s">
        <v>310</v>
      </c>
      <c r="EK86" s="264" t="s">
        <v>309</v>
      </c>
      <c r="EL86" s="263" t="s">
        <v>308</v>
      </c>
      <c r="EM86" s="266" t="s">
        <v>20</v>
      </c>
      <c r="EN86" s="264" t="s">
        <v>49</v>
      </c>
      <c r="EO86" s="265" t="s">
        <v>311</v>
      </c>
      <c r="EP86" s="264" t="s">
        <v>310</v>
      </c>
      <c r="EQ86" s="264" t="s">
        <v>309</v>
      </c>
      <c r="ER86" s="263" t="s">
        <v>308</v>
      </c>
      <c r="ES86" s="266" t="s">
        <v>20</v>
      </c>
      <c r="ET86" s="264" t="s">
        <v>49</v>
      </c>
      <c r="EU86" s="265" t="s">
        <v>311</v>
      </c>
      <c r="EV86" s="264" t="s">
        <v>310</v>
      </c>
      <c r="EW86" s="264" t="s">
        <v>309</v>
      </c>
      <c r="EX86" s="263" t="s">
        <v>308</v>
      </c>
      <c r="EY86" s="266" t="s">
        <v>20</v>
      </c>
      <c r="EZ86" s="264" t="s">
        <v>49</v>
      </c>
      <c r="FA86" s="265" t="s">
        <v>311</v>
      </c>
      <c r="FB86" s="264" t="s">
        <v>310</v>
      </c>
      <c r="FC86" s="264" t="s">
        <v>309</v>
      </c>
      <c r="FD86" s="263" t="s">
        <v>308</v>
      </c>
      <c r="FE86" s="266" t="s">
        <v>20</v>
      </c>
      <c r="FF86" s="264" t="s">
        <v>49</v>
      </c>
      <c r="FG86" s="265" t="s">
        <v>311</v>
      </c>
      <c r="FH86" s="264" t="s">
        <v>310</v>
      </c>
      <c r="FI86" s="264" t="s">
        <v>309</v>
      </c>
      <c r="FJ86" s="263" t="s">
        <v>308</v>
      </c>
      <c r="FK86" s="266" t="s">
        <v>20</v>
      </c>
      <c r="FL86" s="264" t="s">
        <v>49</v>
      </c>
      <c r="FM86" s="265" t="s">
        <v>311</v>
      </c>
      <c r="FN86" s="264" t="s">
        <v>310</v>
      </c>
      <c r="FO86" s="264" t="s">
        <v>309</v>
      </c>
      <c r="FP86" s="263" t="s">
        <v>308</v>
      </c>
      <c r="IV86" s="41"/>
    </row>
    <row r="87" spans="1:256" s="25" customFormat="1" ht="13.5" customHeight="1" thickBot="1">
      <c r="A87" s="5729"/>
      <c r="C87" s="253">
        <f>('الصفحة 27'!$F$48)</f>
        <v>3</v>
      </c>
      <c r="D87" s="252">
        <f>'الصفحة 27'!$M$48</f>
        <v>3</v>
      </c>
      <c r="E87" s="252">
        <f>'الصفحة 27'!$N$48</f>
        <v>2</v>
      </c>
      <c r="F87" s="251">
        <f>(D87-E87)</f>
        <v>1</v>
      </c>
      <c r="G87" s="251">
        <f>('الصفحة 27'!$K$48)</f>
        <v>0</v>
      </c>
      <c r="H87" s="262">
        <f>('الصفحة 27'!$L$48)</f>
        <v>0</v>
      </c>
      <c r="I87" s="261">
        <f>(G87-H87)</f>
        <v>0</v>
      </c>
      <c r="J87" s="260">
        <f>((G87)/($D$63+0.00001))*100</f>
        <v>0</v>
      </c>
      <c r="K87" s="250">
        <f>((H87)/($E$63+0.00001))*100</f>
        <v>0</v>
      </c>
      <c r="L87" s="249">
        <f>((I87)/(F87+0.00001))*100</f>
        <v>0</v>
      </c>
      <c r="N87" s="253">
        <f>'الصفحة 27'!$K$15</f>
        <v>3</v>
      </c>
      <c r="O87" s="252">
        <f>'الصفحة 27'!$K$16</f>
        <v>2</v>
      </c>
      <c r="P87" s="258">
        <f>(N87-O87)</f>
        <v>1</v>
      </c>
      <c r="R87" s="253">
        <f>'الصفحة 27'!$F$15</f>
        <v>2</v>
      </c>
      <c r="S87" s="252">
        <f>'الصفحة 27'!$F$16</f>
        <v>2</v>
      </c>
      <c r="T87" s="252">
        <f>(R87-S87)</f>
        <v>0</v>
      </c>
      <c r="U87" s="257">
        <f>(R87/($N$63+0.00001))*100</f>
        <v>7.1428545918376454</v>
      </c>
      <c r="V87" s="257">
        <f>(S87/($O$63+0.00001))*100</f>
        <v>9.9999950000024995</v>
      </c>
      <c r="W87" s="256">
        <f>(T87/($P$63+0.00001))*100</f>
        <v>0</v>
      </c>
      <c r="Y87" s="253">
        <f>'الصفحة 27'!$G$15</f>
        <v>1</v>
      </c>
      <c r="Z87" s="252">
        <f>'الصفحة 27'!$G$16</f>
        <v>0</v>
      </c>
      <c r="AA87" s="252">
        <f>(Y87-Z87)</f>
        <v>1</v>
      </c>
      <c r="AB87" s="257">
        <f>(Y87/($N$63+0.00001))*100</f>
        <v>3.5714272959188227</v>
      </c>
      <c r="AC87" s="257">
        <f>(Z87/($O$63+0.00001))*100</f>
        <v>0</v>
      </c>
      <c r="AD87" s="256">
        <f>(AA87/($P$63+0.00001))*100</f>
        <v>12.499984375019531</v>
      </c>
      <c r="AF87" s="253">
        <f>'الصفحة 27'!$H$15</f>
        <v>0</v>
      </c>
      <c r="AG87" s="252">
        <f>'الصفحة 27'!$H$16</f>
        <v>0</v>
      </c>
      <c r="AH87" s="252">
        <f>(AF87-AG87)</f>
        <v>0</v>
      </c>
      <c r="AI87" s="257">
        <f>(AF87/($N$63+0.00001))*100</f>
        <v>0</v>
      </c>
      <c r="AJ87" s="257">
        <f>(AG87/($O$63+0.00001))*100</f>
        <v>0</v>
      </c>
      <c r="AK87" s="256">
        <f>(AH87/($P$63+0.00001))*100</f>
        <v>0</v>
      </c>
      <c r="AM87" s="253">
        <f>'الصفحة 27'!$I$15</f>
        <v>0</v>
      </c>
      <c r="AN87" s="252">
        <f>'الصفحة 27'!$I$16</f>
        <v>0</v>
      </c>
      <c r="AO87" s="252">
        <f>(AM87-AN87)</f>
        <v>0</v>
      </c>
      <c r="AP87" s="257">
        <f>(AM87/($N$63+0.00001))*100</f>
        <v>0</v>
      </c>
      <c r="AQ87" s="257">
        <f>(AN87/($O$63+0.00001))*100</f>
        <v>0</v>
      </c>
      <c r="AR87" s="256">
        <f>(AO87/($P$63+0.00001))*100</f>
        <v>0</v>
      </c>
      <c r="AT87" s="253">
        <f>'الصفحة 27'!$J$15</f>
        <v>0</v>
      </c>
      <c r="AU87" s="252">
        <f>'الصفحة 27'!$J$16</f>
        <v>0</v>
      </c>
      <c r="AV87" s="252">
        <f>(AT87-AU87)</f>
        <v>0</v>
      </c>
      <c r="AW87" s="257">
        <f>(AT87/($N$63+0.00001))*100</f>
        <v>0</v>
      </c>
      <c r="AX87" s="257">
        <f>(AU87/($O$63+0.00001))*100</f>
        <v>0</v>
      </c>
      <c r="AY87" s="256">
        <f>(AV87/($P$63+0.00001))*100</f>
        <v>0</v>
      </c>
      <c r="BA87" s="253" t="e">
        <f>'الصفحة 27'!#REF!</f>
        <v>#REF!</v>
      </c>
      <c r="BB87" s="252" t="e">
        <f>'الصفحة 27'!#REF!</f>
        <v>#REF!</v>
      </c>
      <c r="BC87" s="252" t="e">
        <f>(BA87-BB87)</f>
        <v>#REF!</v>
      </c>
      <c r="BD87" s="257" t="e">
        <f>(BA87/($N$63+0.00001))*100</f>
        <v>#REF!</v>
      </c>
      <c r="BE87" s="257" t="e">
        <f>(BB87/($O$63+0.00001))*100</f>
        <v>#REF!</v>
      </c>
      <c r="BF87" s="256" t="e">
        <f>(BC87/($P$63+0.00001))*100</f>
        <v>#REF!</v>
      </c>
      <c r="BG87" s="253" t="e">
        <f>'الصفحة 27'!#REF!</f>
        <v>#REF!</v>
      </c>
      <c r="BH87" s="252" t="e">
        <f>'الصفحة 27'!#REF!</f>
        <v>#REF!</v>
      </c>
      <c r="BI87" s="252" t="e">
        <f>(BG87-BH87)</f>
        <v>#REF!</v>
      </c>
      <c r="BJ87" s="257" t="e">
        <f>(BG87/($N$63+0.00001))*100</f>
        <v>#REF!</v>
      </c>
      <c r="BK87" s="257" t="e">
        <f>(BH87/($O$63+0.00001))*100</f>
        <v>#REF!</v>
      </c>
      <c r="BL87" s="256" t="e">
        <f>(BI87/($P$63+0.00001))*100</f>
        <v>#REF!</v>
      </c>
      <c r="BM87" s="253">
        <f>'الصفحة 30'!$O$31+'الصفحة 30'!$Q$12+'الصفحة 30'!$Q$31+'الصفحة 30'!$S$12+'الصفحة 30'!$S$31+'الصفحة 30'!$U$12+'الصفحة 30'!$U$31+'الصفحة 30'!$W$12+'الصفحة 30'!$W$31+'الصفحة 30'!$Y$12+'الصفحة 30'!$Y$31</f>
        <v>0</v>
      </c>
      <c r="BN87" s="252">
        <f>'الصفحة 30'!$P$31+'الصفحة 30'!$R$12+'الصفحة 30'!$R$31+'الصفحة 30'!$T$12+'الصفحة 30'!$T$31+'الصفحة 30'!$V$12+'الصفحة 30'!$V$31+'الصفحة 30'!$X$12+'الصفحة 30'!$X$31+'الصفحة 30'!$Z$12+'الصفحة 30'!$Z$31</f>
        <v>0</v>
      </c>
      <c r="BO87" s="252">
        <f>(BM87-BN87)</f>
        <v>0</v>
      </c>
      <c r="BP87" s="257">
        <f>(BM87/($N87+0.00001))*100</f>
        <v>0</v>
      </c>
      <c r="BQ87" s="257">
        <f>(BN87/($O87+0.00001))*100</f>
        <v>0</v>
      </c>
      <c r="BR87" s="256">
        <f>(BO87/($P87+0.00001))*100</f>
        <v>0</v>
      </c>
      <c r="BT87" s="253">
        <f>'الصفحة 31'!$H$15</f>
        <v>0</v>
      </c>
      <c r="BU87" s="252">
        <f>'الصفحة 31'!$H$16</f>
        <v>0</v>
      </c>
      <c r="BV87" s="251">
        <f>(BT87-BU87)</f>
        <v>0</v>
      </c>
      <c r="BW87" s="257">
        <f>(BT87/($N87+0.00001))*100</f>
        <v>0</v>
      </c>
      <c r="BX87" s="257">
        <f>(BU87/($O87+0.00001))*100</f>
        <v>0</v>
      </c>
      <c r="BY87" s="256">
        <f>(BV87/($P87+0.00001))*100</f>
        <v>0</v>
      </c>
      <c r="CB87" s="253">
        <f>'الصفحة 31'!$P$47</f>
        <v>0</v>
      </c>
      <c r="CC87" s="252">
        <f>'الصفحة 31'!$Q$47</f>
        <v>0</v>
      </c>
      <c r="CD87" s="251">
        <f>(CB87-CC87)</f>
        <v>0</v>
      </c>
      <c r="CE87" s="257">
        <f>(CB87/($N87+0.00001))*100</f>
        <v>0</v>
      </c>
      <c r="CF87" s="257">
        <f>(CC87/($O87+0.00001))*100</f>
        <v>0</v>
      </c>
      <c r="CG87" s="256">
        <f>(CD87/($P87+0.00001))*100</f>
        <v>0</v>
      </c>
      <c r="CJ87" s="253">
        <f>'الصفحة 31'!$Q$15</f>
        <v>0</v>
      </c>
      <c r="CK87" s="252">
        <f>'الصفحة 31'!$Q$16</f>
        <v>0</v>
      </c>
      <c r="CL87" s="251">
        <f>(CJ87-CK87)</f>
        <v>0</v>
      </c>
      <c r="CM87" s="257">
        <f>(CJ87/($N87+0.00001))*100</f>
        <v>0</v>
      </c>
      <c r="CN87" s="257">
        <f>(CK87/($O87+0.00001))*100</f>
        <v>0</v>
      </c>
      <c r="CO87" s="256">
        <f>(CL87/($P87+0.00001))*100</f>
        <v>0</v>
      </c>
      <c r="CR87" s="253" t="e">
        <f>'الصفحة 27'!#REF!</f>
        <v>#REF!</v>
      </c>
      <c r="CS87" s="252" t="e">
        <f>CV87-CR87</f>
        <v>#REF!</v>
      </c>
      <c r="CT87" s="255" t="e">
        <f>((CR87)/(CS87+0.00001))</f>
        <v>#REF!</v>
      </c>
      <c r="CU87" s="253" t="e">
        <f>CR87</f>
        <v>#REF!</v>
      </c>
      <c r="CV87" s="252" t="e">
        <f>'الصفحة 27'!#REF!</f>
        <v>#REF!</v>
      </c>
      <c r="CW87" s="249" t="e">
        <f>((CU87)/(CV87+0.00001))*100</f>
        <v>#REF!</v>
      </c>
      <c r="CZ87" s="253">
        <f>'الصفحة 27'!$F$15+'الصفحة 27'!$G$15+'الصفحة 27'!$H$15+'الصفحة 27'!$I$15</f>
        <v>3</v>
      </c>
      <c r="DA87" s="252">
        <f>'الصفحة 27'!$F$16+'الصفحة 27'!$G$16+'الصفحة 27'!$H$16+'الصفحة 27'!$I$16</f>
        <v>2</v>
      </c>
      <c r="DB87" s="251">
        <f>(CZ87-DA87)</f>
        <v>1</v>
      </c>
      <c r="DC87" s="250" t="e">
        <f>((CZ87)/(CV87+0.00001))*100</f>
        <v>#REF!</v>
      </c>
      <c r="DD87" s="250" t="e">
        <f>((DA87)/(CR87+0.00001))*100</f>
        <v>#REF!</v>
      </c>
      <c r="DE87" s="249" t="e">
        <f>((DB87)/(CV87-CR87+0.00001))*100</f>
        <v>#REF!</v>
      </c>
      <c r="DH87" s="253">
        <f>'الصفحة 27'!$N$15</f>
        <v>0</v>
      </c>
      <c r="DI87" s="252">
        <f>'الصفحة 27'!$N$16</f>
        <v>0</v>
      </c>
      <c r="DJ87" s="251">
        <f>(DH87-DI87)</f>
        <v>0</v>
      </c>
      <c r="DK87" s="250" t="e">
        <f>((DH87)/(CV87+0.00001))*100</f>
        <v>#REF!</v>
      </c>
      <c r="DL87" s="250" t="e">
        <f>((DI87)/(CR87+0.00001))*100</f>
        <v>#REF!</v>
      </c>
      <c r="DM87" s="249" t="e">
        <f>((DJ87)/(CV87-CR87+0.00001))*100</f>
        <v>#REF!</v>
      </c>
      <c r="DP87" s="253">
        <f>'الصفحة 32'!$H$46</f>
        <v>3</v>
      </c>
      <c r="DQ87" s="252">
        <f>'الصفحة 32'!$H$47</f>
        <v>2</v>
      </c>
      <c r="DR87" s="254">
        <f>(DP87-DQ87)</f>
        <v>1</v>
      </c>
      <c r="DU87" s="253">
        <f>'الصفحة 32'!$H$30</f>
        <v>0</v>
      </c>
      <c r="DV87" s="252">
        <f>'الصفحة 32'!$H$31</f>
        <v>0</v>
      </c>
      <c r="DW87" s="251">
        <f>(DU87-DV87)</f>
        <v>0</v>
      </c>
      <c r="DX87" s="250">
        <f>((DU87)/($DP$87+0.00001))*100</f>
        <v>0</v>
      </c>
      <c r="DY87" s="250">
        <f>((DV87)/($DQ$87+0.00001))*100</f>
        <v>0</v>
      </c>
      <c r="DZ87" s="249">
        <f>((DW87)/($DR$87+0.00001))*100</f>
        <v>0</v>
      </c>
      <c r="EA87" s="253">
        <f>'الصفحة 32'!$H$32</f>
        <v>3</v>
      </c>
      <c r="EB87" s="252">
        <f>'الصفحة 32'!$H$33</f>
        <v>2</v>
      </c>
      <c r="EC87" s="251">
        <f>(EA87-EB87)</f>
        <v>1</v>
      </c>
      <c r="ED87" s="250">
        <f>((EA87)/($DP$87+0.00001))*100</f>
        <v>99.999666667777774</v>
      </c>
      <c r="EE87" s="250">
        <f>((EB87)/($DQ$87+0.00001))*100</f>
        <v>99.999500002499985</v>
      </c>
      <c r="EF87" s="249">
        <f>((EC87)/($DR$87+0.00001))*100</f>
        <v>99.999000009999889</v>
      </c>
      <c r="EG87" s="253">
        <f>'الصفحة 32'!$H$34</f>
        <v>0</v>
      </c>
      <c r="EH87" s="252">
        <f>'الصفحة 32'!$H$35</f>
        <v>0</v>
      </c>
      <c r="EI87" s="251">
        <f>(EG87-EH87)</f>
        <v>0</v>
      </c>
      <c r="EJ87" s="250">
        <f>((EG87)/($DP$87+0.00001))*100</f>
        <v>0</v>
      </c>
      <c r="EK87" s="250">
        <f>((EH87)/($DQ$87+0.00001))*100</f>
        <v>0</v>
      </c>
      <c r="EL87" s="249">
        <f>((EI87)/($DR$87+0.00001))*100</f>
        <v>0</v>
      </c>
      <c r="EM87" s="253">
        <f>'الصفحة 32'!$H$36</f>
        <v>0</v>
      </c>
      <c r="EN87" s="252">
        <f>'الصفحة 32'!$H$37</f>
        <v>0</v>
      </c>
      <c r="EO87" s="251">
        <f>(EM87-EN87)</f>
        <v>0</v>
      </c>
      <c r="EP87" s="250">
        <f>((EM87)/($DP$87+0.00001))*100</f>
        <v>0</v>
      </c>
      <c r="EQ87" s="250">
        <f>((EN87)/($DQ$87+0.00001))*100</f>
        <v>0</v>
      </c>
      <c r="ER87" s="249">
        <f>((EO87)/($DR$87+0.00001))*100</f>
        <v>0</v>
      </c>
      <c r="ES87" s="253">
        <f>'الصفحة 32'!$H$38</f>
        <v>0</v>
      </c>
      <c r="ET87" s="252">
        <f>'الصفحة 32'!$H$39</f>
        <v>0</v>
      </c>
      <c r="EU87" s="251">
        <f>(ES87-ET87)</f>
        <v>0</v>
      </c>
      <c r="EV87" s="250">
        <f>((ES87)/($DP$87+0.00001))*100</f>
        <v>0</v>
      </c>
      <c r="EW87" s="250">
        <f>((ET87)/($DQ$87+0.00001))*100</f>
        <v>0</v>
      </c>
      <c r="EX87" s="249">
        <f>((EU87)/($DR$87+0.00001))*100</f>
        <v>0</v>
      </c>
      <c r="EY87" s="253">
        <f>'الصفحة 32'!$H$40</f>
        <v>0</v>
      </c>
      <c r="EZ87" s="252">
        <f>'الصفحة 32'!$H$41</f>
        <v>0</v>
      </c>
      <c r="FA87" s="251">
        <f>(EY87-EZ87)</f>
        <v>0</v>
      </c>
      <c r="FB87" s="250">
        <f>((EY87)/($DP$87+0.00001))*100</f>
        <v>0</v>
      </c>
      <c r="FC87" s="250">
        <f>((EZ87)/($DQ$87+0.00001))*100</f>
        <v>0</v>
      </c>
      <c r="FD87" s="249">
        <f>((FA87)/($DR$87+0.00001))*100</f>
        <v>0</v>
      </c>
      <c r="FE87" s="253">
        <f>'الصفحة 32'!$H$42</f>
        <v>0</v>
      </c>
      <c r="FF87" s="252">
        <f>'الصفحة 32'!$H$43</f>
        <v>0</v>
      </c>
      <c r="FG87" s="251">
        <f>(FE87-FF87)</f>
        <v>0</v>
      </c>
      <c r="FH87" s="250">
        <f>((FE87)/($DP$87+0.00001))*100</f>
        <v>0</v>
      </c>
      <c r="FI87" s="250">
        <f>((FF87)/($DQ$87+0.00001))*100</f>
        <v>0</v>
      </c>
      <c r="FJ87" s="249">
        <f>((FG87)/($DR$87+0.00001))*100</f>
        <v>0</v>
      </c>
      <c r="FK87" s="253">
        <f>'الصفحة 32'!$H$44</f>
        <v>0</v>
      </c>
      <c r="FL87" s="252">
        <f>'الصفحة 32'!$H$45</f>
        <v>0</v>
      </c>
      <c r="FM87" s="251">
        <f>(FK87-FL87)</f>
        <v>0</v>
      </c>
      <c r="FN87" s="250">
        <f>((FK87)/($DP$87+0.00001))*100</f>
        <v>0</v>
      </c>
      <c r="FO87" s="250">
        <f>((FL87)/($DQ$87+0.00001))*100</f>
        <v>0</v>
      </c>
      <c r="FP87" s="249">
        <f>((FM87)/($DR$87+0.00001))*100</f>
        <v>0</v>
      </c>
      <c r="IV87" s="41"/>
    </row>
    <row r="88" spans="1:256" s="25" customFormat="1" ht="6" customHeight="1">
      <c r="A88" s="248"/>
      <c r="HS88" s="106"/>
      <c r="HT88" s="106"/>
      <c r="HU88" s="106"/>
      <c r="HV88" s="106"/>
      <c r="HW88" s="106"/>
      <c r="HX88" s="203"/>
      <c r="HY88" s="106"/>
      <c r="HZ88" s="106"/>
      <c r="IA88" s="106"/>
      <c r="IB88" s="203"/>
      <c r="IC88" s="106"/>
      <c r="ID88" s="106"/>
      <c r="IE88" s="24"/>
      <c r="IF88" s="24"/>
      <c r="IG88" s="106"/>
      <c r="IH88" s="24"/>
      <c r="II88" s="24"/>
      <c r="IJ88" s="24"/>
      <c r="IK88" s="24"/>
      <c r="IL88" s="24"/>
      <c r="IM88" s="24"/>
      <c r="IN88" s="24"/>
      <c r="IO88" s="24"/>
      <c r="IP88" s="24"/>
      <c r="IQ88" s="24"/>
      <c r="IR88" s="24"/>
      <c r="IS88" s="24"/>
      <c r="IT88" s="24"/>
      <c r="IV88" s="41"/>
    </row>
    <row r="89" spans="1:256" s="25" customFormat="1" ht="6" customHeight="1">
      <c r="A89" s="248"/>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c r="GS89" s="21"/>
      <c r="GT89" s="21"/>
      <c r="GU89" s="21"/>
      <c r="GV89" s="21"/>
      <c r="GW89" s="21"/>
      <c r="GX89" s="21"/>
      <c r="GY89" s="21"/>
      <c r="GZ89" s="21"/>
      <c r="HA89" s="21"/>
      <c r="HB89" s="21"/>
      <c r="HC89" s="21"/>
      <c r="HD89" s="21"/>
      <c r="HE89" s="21"/>
      <c r="HF89" s="21"/>
      <c r="HG89" s="21"/>
      <c r="HH89" s="21"/>
      <c r="HI89" s="21"/>
      <c r="HJ89" s="21"/>
      <c r="HK89" s="21"/>
      <c r="HL89" s="21"/>
      <c r="HM89" s="21"/>
      <c r="HN89" s="21"/>
      <c r="HO89" s="21"/>
      <c r="HP89" s="21"/>
      <c r="HQ89" s="21"/>
      <c r="HR89" s="21"/>
      <c r="HS89" s="21"/>
      <c r="HT89" s="21"/>
      <c r="HU89" s="21"/>
      <c r="HV89" s="21"/>
      <c r="HW89" s="21"/>
      <c r="HX89" s="21"/>
      <c r="HY89" s="21"/>
      <c r="HZ89" s="21"/>
      <c r="IA89" s="21"/>
      <c r="IB89" s="21"/>
      <c r="IC89" s="21"/>
      <c r="ID89" s="21"/>
      <c r="IE89" s="21"/>
      <c r="IF89" s="21"/>
      <c r="IG89" s="21"/>
      <c r="IH89" s="21"/>
      <c r="II89" s="21"/>
      <c r="IJ89" s="21"/>
      <c r="IK89" s="21"/>
      <c r="IL89" s="21"/>
      <c r="IM89" s="21"/>
      <c r="IN89" s="21"/>
      <c r="IO89" s="21"/>
      <c r="IP89" s="21"/>
      <c r="IQ89" s="21"/>
      <c r="IR89" s="21"/>
      <c r="IS89" s="21"/>
      <c r="IT89" s="21"/>
      <c r="IV89" s="41"/>
    </row>
    <row r="90" spans="1:256" s="25" customFormat="1" ht="15.75" customHeight="1" thickBot="1">
      <c r="A90" s="5729">
        <v>12</v>
      </c>
      <c r="C90" s="305" t="s">
        <v>343</v>
      </c>
      <c r="N90" s="305" t="s">
        <v>338</v>
      </c>
      <c r="R90" s="305" t="s">
        <v>337</v>
      </c>
      <c r="Y90" s="305" t="s">
        <v>337</v>
      </c>
      <c r="AF90" s="305" t="s">
        <v>337</v>
      </c>
      <c r="AM90" s="305" t="s">
        <v>337</v>
      </c>
      <c r="AT90" s="305" t="s">
        <v>337</v>
      </c>
      <c r="BA90" s="305" t="s">
        <v>337</v>
      </c>
      <c r="BG90" s="305" t="s">
        <v>337</v>
      </c>
      <c r="BM90" s="305" t="s">
        <v>336</v>
      </c>
      <c r="BT90" s="307" t="s">
        <v>335</v>
      </c>
      <c r="BU90" s="306"/>
      <c r="BV90" s="306"/>
      <c r="BW90" s="306"/>
      <c r="BX90" s="306"/>
      <c r="BY90" s="306"/>
      <c r="CB90" s="305" t="s">
        <v>334</v>
      </c>
      <c r="CJ90" s="305" t="s">
        <v>333</v>
      </c>
      <c r="CR90" s="305" t="s">
        <v>332</v>
      </c>
      <c r="CZ90" s="305" t="s">
        <v>331</v>
      </c>
      <c r="DH90" s="305" t="s">
        <v>330</v>
      </c>
      <c r="DP90" s="305" t="s">
        <v>329</v>
      </c>
      <c r="DU90" s="304" t="s">
        <v>328</v>
      </c>
      <c r="EA90" s="304"/>
      <c r="EB90" s="303" t="str">
        <f>DP91</f>
        <v>اللغــة الفرنسية</v>
      </c>
      <c r="EG90" s="304" t="str">
        <f>$DU90</f>
        <v>توزيع اساتذة التعليم المتوسط حسب المؤهل العلمي  -</v>
      </c>
      <c r="EM90" s="303" t="str">
        <f>$EB90</f>
        <v>اللغــة الفرنسية</v>
      </c>
      <c r="ES90" s="304" t="str">
        <f>$DU90</f>
        <v>توزيع اساتذة التعليم المتوسط حسب المؤهل العلمي  -</v>
      </c>
      <c r="EY90" s="303" t="str">
        <f>$EB90</f>
        <v>اللغــة الفرنسية</v>
      </c>
      <c r="FE90" s="304" t="str">
        <f>$DU90</f>
        <v>توزيع اساتذة التعليم المتوسط حسب المؤهل العلمي  -</v>
      </c>
      <c r="FK90" s="303" t="str">
        <f>$EB90</f>
        <v>اللغــة الفرنسية</v>
      </c>
      <c r="IV90" s="41"/>
    </row>
    <row r="91" spans="1:256" s="25" customFormat="1" ht="12.75" customHeight="1">
      <c r="A91" s="5729"/>
      <c r="C91" s="302"/>
      <c r="D91" s="300"/>
      <c r="E91" s="300"/>
      <c r="F91" s="300"/>
      <c r="G91" s="301" t="s">
        <v>349</v>
      </c>
      <c r="H91" s="300"/>
      <c r="I91" s="300"/>
      <c r="J91" s="300"/>
      <c r="K91" s="300"/>
      <c r="L91" s="299"/>
      <c r="N91" s="318"/>
      <c r="O91" s="317"/>
      <c r="P91" s="316"/>
      <c r="R91" s="315"/>
      <c r="S91" s="314"/>
      <c r="T91" s="314" t="str">
        <f>O92</f>
        <v>اللغــة الفرنسية</v>
      </c>
      <c r="U91" s="300"/>
      <c r="V91" s="300"/>
      <c r="W91" s="299"/>
      <c r="Y91" s="315"/>
      <c r="Z91" s="314"/>
      <c r="AA91" s="314" t="str">
        <f>O92</f>
        <v>اللغــة الفرنسية</v>
      </c>
      <c r="AB91" s="300"/>
      <c r="AC91" s="300"/>
      <c r="AD91" s="299"/>
      <c r="AF91" s="315"/>
      <c r="AG91" s="314"/>
      <c r="AH91" s="314" t="str">
        <f>O92</f>
        <v>اللغــة الفرنسية</v>
      </c>
      <c r="AI91" s="300"/>
      <c r="AJ91" s="300"/>
      <c r="AK91" s="299"/>
      <c r="AM91" s="315"/>
      <c r="AN91" s="314"/>
      <c r="AO91" s="314" t="str">
        <f>O92</f>
        <v>اللغــة الفرنسية</v>
      </c>
      <c r="AP91" s="300"/>
      <c r="AQ91" s="300"/>
      <c r="AR91" s="299"/>
      <c r="AT91" s="315"/>
      <c r="AU91" s="314"/>
      <c r="AV91" s="314" t="str">
        <f>O92</f>
        <v>اللغــة الفرنسية</v>
      </c>
      <c r="AW91" s="300"/>
      <c r="AX91" s="300"/>
      <c r="AY91" s="299"/>
      <c r="BA91" s="315"/>
      <c r="BB91" s="314"/>
      <c r="BC91" s="314" t="str">
        <f>O92</f>
        <v>اللغــة الفرنسية</v>
      </c>
      <c r="BD91" s="300"/>
      <c r="BE91" s="300"/>
      <c r="BF91" s="299"/>
      <c r="BG91" s="315"/>
      <c r="BH91" s="314"/>
      <c r="BI91" s="314" t="str">
        <f>O92</f>
        <v>اللغــة الفرنسية</v>
      </c>
      <c r="BJ91" s="300"/>
      <c r="BK91" s="300"/>
      <c r="BL91" s="299"/>
      <c r="BM91" s="298"/>
      <c r="BN91" s="297"/>
      <c r="BO91" s="297"/>
      <c r="BP91" s="297"/>
      <c r="BQ91" s="297"/>
      <c r="BR91" s="296"/>
      <c r="BT91" s="5146" t="str">
        <f>O92</f>
        <v>اللغــة الفرنسية</v>
      </c>
      <c r="BU91" s="5147"/>
      <c r="BV91" s="5147"/>
      <c r="BW91" s="5147"/>
      <c r="BX91" s="5147"/>
      <c r="BY91" s="5148"/>
      <c r="CB91" s="5146" t="str">
        <f>O92</f>
        <v>اللغــة الفرنسية</v>
      </c>
      <c r="CC91" s="5147"/>
      <c r="CD91" s="5147"/>
      <c r="CE91" s="5147"/>
      <c r="CF91" s="5147"/>
      <c r="CG91" s="5148"/>
      <c r="CJ91" s="5146" t="str">
        <f>O92</f>
        <v>اللغــة الفرنسية</v>
      </c>
      <c r="CK91" s="5147"/>
      <c r="CL91" s="5147"/>
      <c r="CM91" s="5147"/>
      <c r="CN91" s="5147"/>
      <c r="CO91" s="5148"/>
      <c r="CR91" s="5146" t="str">
        <f>O92</f>
        <v>اللغــة الفرنسية</v>
      </c>
      <c r="CS91" s="5147"/>
      <c r="CT91" s="5147"/>
      <c r="CU91" s="5147"/>
      <c r="CV91" s="5147"/>
      <c r="CW91" s="5148"/>
      <c r="CZ91" s="5146" t="str">
        <f>O92</f>
        <v>اللغــة الفرنسية</v>
      </c>
      <c r="DA91" s="5147"/>
      <c r="DB91" s="5147"/>
      <c r="DC91" s="5147"/>
      <c r="DD91" s="5147"/>
      <c r="DE91" s="5148"/>
      <c r="DH91" s="5146" t="str">
        <f>O92</f>
        <v>اللغــة الفرنسية</v>
      </c>
      <c r="DI91" s="5147"/>
      <c r="DJ91" s="5147"/>
      <c r="DK91" s="5147"/>
      <c r="DL91" s="5147"/>
      <c r="DM91" s="5148"/>
      <c r="DP91" s="5146" t="str">
        <f>O92</f>
        <v>اللغــة الفرنسية</v>
      </c>
      <c r="DQ91" s="5147"/>
      <c r="DR91" s="5148"/>
      <c r="DU91" s="5758" t="s">
        <v>57</v>
      </c>
      <c r="DV91" s="5759"/>
      <c r="DW91" s="5759"/>
      <c r="DX91" s="5759"/>
      <c r="DY91" s="5759"/>
      <c r="DZ91" s="5760"/>
      <c r="EA91" s="5758" t="s">
        <v>56</v>
      </c>
      <c r="EB91" s="5759"/>
      <c r="EC91" s="5759"/>
      <c r="ED91" s="5759"/>
      <c r="EE91" s="5759"/>
      <c r="EF91" s="5760"/>
      <c r="EG91" s="5758" t="s">
        <v>55</v>
      </c>
      <c r="EH91" s="5759"/>
      <c r="EI91" s="5759"/>
      <c r="EJ91" s="5759"/>
      <c r="EK91" s="5759"/>
      <c r="EL91" s="5760"/>
      <c r="EM91" s="5758" t="s">
        <v>54</v>
      </c>
      <c r="EN91" s="5759"/>
      <c r="EO91" s="5759"/>
      <c r="EP91" s="5759"/>
      <c r="EQ91" s="5759"/>
      <c r="ER91" s="5760"/>
      <c r="ES91" s="5758" t="s">
        <v>53</v>
      </c>
      <c r="ET91" s="5759"/>
      <c r="EU91" s="5759"/>
      <c r="EV91" s="5759"/>
      <c r="EW91" s="5759"/>
      <c r="EX91" s="5760"/>
      <c r="EY91" s="5758" t="s">
        <v>52</v>
      </c>
      <c r="EZ91" s="5759"/>
      <c r="FA91" s="5759"/>
      <c r="FB91" s="5759"/>
      <c r="FC91" s="5759"/>
      <c r="FD91" s="5760"/>
      <c r="FE91" s="5758" t="s">
        <v>51</v>
      </c>
      <c r="FF91" s="5759"/>
      <c r="FG91" s="5759"/>
      <c r="FH91" s="5759"/>
      <c r="FI91" s="5759"/>
      <c r="FJ91" s="5760"/>
      <c r="FK91" s="5758" t="s">
        <v>50</v>
      </c>
      <c r="FL91" s="5759"/>
      <c r="FM91" s="5759"/>
      <c r="FN91" s="5759"/>
      <c r="FO91" s="5759"/>
      <c r="FP91" s="5760"/>
      <c r="IV91" s="41"/>
    </row>
    <row r="92" spans="1:256" s="25" customFormat="1" ht="12.75" customHeight="1" thickBot="1">
      <c r="A92" s="5729"/>
      <c r="C92" s="295"/>
      <c r="D92" s="293"/>
      <c r="E92" s="291" t="s">
        <v>326</v>
      </c>
      <c r="F92" s="294"/>
      <c r="G92" s="293"/>
      <c r="H92" s="291" t="s">
        <v>325</v>
      </c>
      <c r="I92" s="290"/>
      <c r="J92" s="292"/>
      <c r="K92" s="291" t="s">
        <v>324</v>
      </c>
      <c r="L92" s="290"/>
      <c r="N92" s="313"/>
      <c r="O92" s="312" t="s">
        <v>44</v>
      </c>
      <c r="P92" s="311"/>
      <c r="R92" s="5164" t="s">
        <v>645</v>
      </c>
      <c r="S92" s="5165"/>
      <c r="T92" s="5165"/>
      <c r="U92" s="5165"/>
      <c r="V92" s="5165"/>
      <c r="W92" s="5166"/>
      <c r="Y92" s="5164" t="s">
        <v>323</v>
      </c>
      <c r="Z92" s="5165"/>
      <c r="AA92" s="5165"/>
      <c r="AB92" s="5165"/>
      <c r="AC92" s="5165"/>
      <c r="AD92" s="5166"/>
      <c r="AF92" s="5164" t="s">
        <v>322</v>
      </c>
      <c r="AG92" s="5165"/>
      <c r="AH92" s="5165"/>
      <c r="AI92" s="5165"/>
      <c r="AJ92" s="5165"/>
      <c r="AK92" s="5166"/>
      <c r="AM92" s="5164" t="s">
        <v>321</v>
      </c>
      <c r="AN92" s="5165"/>
      <c r="AO92" s="5165"/>
      <c r="AP92" s="5165"/>
      <c r="AQ92" s="5165"/>
      <c r="AR92" s="5166"/>
      <c r="AT92" s="5164" t="s">
        <v>644</v>
      </c>
      <c r="AU92" s="5165"/>
      <c r="AV92" s="5165"/>
      <c r="AW92" s="5165"/>
      <c r="AX92" s="5165"/>
      <c r="AY92" s="5166"/>
      <c r="BA92" s="5164" t="s">
        <v>642</v>
      </c>
      <c r="BB92" s="5165"/>
      <c r="BC92" s="5165"/>
      <c r="BD92" s="5165"/>
      <c r="BE92" s="5165"/>
      <c r="BF92" s="5166"/>
      <c r="BG92" s="5164" t="s">
        <v>643</v>
      </c>
      <c r="BH92" s="5165"/>
      <c r="BI92" s="5165"/>
      <c r="BJ92" s="5165"/>
      <c r="BK92" s="5165"/>
      <c r="BL92" s="5166"/>
      <c r="BM92" s="289"/>
      <c r="BN92" s="286"/>
      <c r="BO92" s="288" t="str">
        <f>O92</f>
        <v>اللغــة الفرنسية</v>
      </c>
      <c r="BP92" s="287"/>
      <c r="BQ92" s="286"/>
      <c r="BR92" s="285"/>
      <c r="BT92" s="5149"/>
      <c r="BU92" s="5150"/>
      <c r="BV92" s="5150"/>
      <c r="BW92" s="5150"/>
      <c r="BX92" s="5150"/>
      <c r="BY92" s="5151"/>
      <c r="CB92" s="5149"/>
      <c r="CC92" s="5150"/>
      <c r="CD92" s="5150"/>
      <c r="CE92" s="5150"/>
      <c r="CF92" s="5150"/>
      <c r="CG92" s="5151"/>
      <c r="CJ92" s="5149"/>
      <c r="CK92" s="5150"/>
      <c r="CL92" s="5150"/>
      <c r="CM92" s="5150"/>
      <c r="CN92" s="5150"/>
      <c r="CO92" s="5151"/>
      <c r="CR92" s="5149"/>
      <c r="CS92" s="5150"/>
      <c r="CT92" s="5150"/>
      <c r="CU92" s="5150"/>
      <c r="CV92" s="5150"/>
      <c r="CW92" s="5151"/>
      <c r="CZ92" s="5149"/>
      <c r="DA92" s="5150"/>
      <c r="DB92" s="5150"/>
      <c r="DC92" s="5150"/>
      <c r="DD92" s="5150"/>
      <c r="DE92" s="5151"/>
      <c r="DH92" s="5149"/>
      <c r="DI92" s="5150"/>
      <c r="DJ92" s="5150"/>
      <c r="DK92" s="5150"/>
      <c r="DL92" s="5150"/>
      <c r="DM92" s="5151"/>
      <c r="DP92" s="5771"/>
      <c r="DQ92" s="5772"/>
      <c r="DR92" s="5773"/>
      <c r="DU92" s="5761"/>
      <c r="DV92" s="5762"/>
      <c r="DW92" s="5762"/>
      <c r="DX92" s="5762"/>
      <c r="DY92" s="5762"/>
      <c r="DZ92" s="5763"/>
      <c r="EA92" s="5761"/>
      <c r="EB92" s="5762"/>
      <c r="EC92" s="5762"/>
      <c r="ED92" s="5762"/>
      <c r="EE92" s="5762"/>
      <c r="EF92" s="5763"/>
      <c r="EG92" s="5761"/>
      <c r="EH92" s="5762"/>
      <c r="EI92" s="5762"/>
      <c r="EJ92" s="5762"/>
      <c r="EK92" s="5762"/>
      <c r="EL92" s="5763"/>
      <c r="EM92" s="5761"/>
      <c r="EN92" s="5762"/>
      <c r="EO92" s="5762"/>
      <c r="EP92" s="5762"/>
      <c r="EQ92" s="5762"/>
      <c r="ER92" s="5763"/>
      <c r="ES92" s="5761"/>
      <c r="ET92" s="5762"/>
      <c r="EU92" s="5762"/>
      <c r="EV92" s="5762"/>
      <c r="EW92" s="5762"/>
      <c r="EX92" s="5763"/>
      <c r="EY92" s="5761"/>
      <c r="EZ92" s="5762"/>
      <c r="FA92" s="5762"/>
      <c r="FB92" s="5762"/>
      <c r="FC92" s="5762"/>
      <c r="FD92" s="5763"/>
      <c r="FE92" s="5761"/>
      <c r="FF92" s="5762"/>
      <c r="FG92" s="5762"/>
      <c r="FH92" s="5762"/>
      <c r="FI92" s="5762"/>
      <c r="FJ92" s="5763"/>
      <c r="FK92" s="5761"/>
      <c r="FL92" s="5762"/>
      <c r="FM92" s="5762"/>
      <c r="FN92" s="5762"/>
      <c r="FO92" s="5762"/>
      <c r="FP92" s="5763"/>
      <c r="IV92" s="41"/>
    </row>
    <row r="93" spans="1:256" s="25" customFormat="1" ht="12.75" customHeight="1">
      <c r="A93" s="5729"/>
      <c r="C93" s="284"/>
      <c r="D93" s="282"/>
      <c r="E93" s="282"/>
      <c r="F93" s="282"/>
      <c r="G93" s="282"/>
      <c r="H93" s="282"/>
      <c r="I93" s="281"/>
      <c r="J93" s="283"/>
      <c r="K93" s="282"/>
      <c r="L93" s="281"/>
      <c r="N93" s="310"/>
      <c r="O93" s="309"/>
      <c r="P93" s="308"/>
      <c r="R93" s="5167"/>
      <c r="S93" s="5168"/>
      <c r="T93" s="5168"/>
      <c r="U93" s="5168"/>
      <c r="V93" s="5168"/>
      <c r="W93" s="5169"/>
      <c r="Y93" s="5167"/>
      <c r="Z93" s="5168"/>
      <c r="AA93" s="5168"/>
      <c r="AB93" s="5168"/>
      <c r="AC93" s="5168"/>
      <c r="AD93" s="5169"/>
      <c r="AF93" s="5167"/>
      <c r="AG93" s="5168"/>
      <c r="AH93" s="5168"/>
      <c r="AI93" s="5168"/>
      <c r="AJ93" s="5168"/>
      <c r="AK93" s="5169"/>
      <c r="AM93" s="5167"/>
      <c r="AN93" s="5168"/>
      <c r="AO93" s="5168"/>
      <c r="AP93" s="5168"/>
      <c r="AQ93" s="5168"/>
      <c r="AR93" s="5169"/>
      <c r="AT93" s="5167"/>
      <c r="AU93" s="5168"/>
      <c r="AV93" s="5168"/>
      <c r="AW93" s="5168"/>
      <c r="AX93" s="5168"/>
      <c r="AY93" s="5169"/>
      <c r="BA93" s="5167"/>
      <c r="BB93" s="5168"/>
      <c r="BC93" s="5168"/>
      <c r="BD93" s="5168"/>
      <c r="BE93" s="5168"/>
      <c r="BF93" s="5169"/>
      <c r="BG93" s="5167"/>
      <c r="BH93" s="5168"/>
      <c r="BI93" s="5168"/>
      <c r="BJ93" s="5168"/>
      <c r="BK93" s="5168"/>
      <c r="BL93" s="5169"/>
      <c r="BM93" s="280"/>
      <c r="BN93" s="279"/>
      <c r="BO93" s="279"/>
      <c r="BP93" s="279"/>
      <c r="BQ93" s="279"/>
      <c r="BR93" s="278"/>
      <c r="BT93" s="5130" t="s">
        <v>318</v>
      </c>
      <c r="BU93" s="5131"/>
      <c r="BV93" s="5132"/>
      <c r="BW93" s="5144" t="s">
        <v>317</v>
      </c>
      <c r="BX93" s="5131"/>
      <c r="BY93" s="5145"/>
      <c r="CB93" s="5130" t="s">
        <v>318</v>
      </c>
      <c r="CC93" s="5131"/>
      <c r="CD93" s="5132"/>
      <c r="CE93" s="5144" t="s">
        <v>317</v>
      </c>
      <c r="CF93" s="5131"/>
      <c r="CG93" s="5145"/>
      <c r="CJ93" s="5130" t="s">
        <v>318</v>
      </c>
      <c r="CK93" s="5131"/>
      <c r="CL93" s="5132"/>
      <c r="CM93" s="5144" t="s">
        <v>317</v>
      </c>
      <c r="CN93" s="5131"/>
      <c r="CO93" s="5145"/>
      <c r="CR93" s="5152" t="s">
        <v>320</v>
      </c>
      <c r="CS93" s="5153"/>
      <c r="CT93" s="5153"/>
      <c r="CU93" s="5152" t="s">
        <v>319</v>
      </c>
      <c r="CV93" s="5153"/>
      <c r="CW93" s="5154"/>
      <c r="CZ93" s="5130" t="s">
        <v>318</v>
      </c>
      <c r="DA93" s="5131"/>
      <c r="DB93" s="5132"/>
      <c r="DC93" s="5144" t="s">
        <v>317</v>
      </c>
      <c r="DD93" s="5131"/>
      <c r="DE93" s="5145"/>
      <c r="DH93" s="5130" t="s">
        <v>318</v>
      </c>
      <c r="DI93" s="5131"/>
      <c r="DJ93" s="5132"/>
      <c r="DK93" s="5144" t="s">
        <v>317</v>
      </c>
      <c r="DL93" s="5131"/>
      <c r="DM93" s="5145"/>
      <c r="DP93" s="5130" t="s">
        <v>318</v>
      </c>
      <c r="DQ93" s="5131"/>
      <c r="DR93" s="5145"/>
      <c r="DU93" s="277"/>
      <c r="DV93" s="274" t="s">
        <v>318</v>
      </c>
      <c r="DW93" s="276"/>
      <c r="DX93" s="275"/>
      <c r="DY93" s="274" t="s">
        <v>317</v>
      </c>
      <c r="DZ93" s="273"/>
      <c r="EA93" s="277"/>
      <c r="EB93" s="274" t="s">
        <v>318</v>
      </c>
      <c r="EC93" s="276"/>
      <c r="ED93" s="275"/>
      <c r="EE93" s="274" t="s">
        <v>317</v>
      </c>
      <c r="EF93" s="273"/>
      <c r="EG93" s="277"/>
      <c r="EH93" s="274" t="s">
        <v>318</v>
      </c>
      <c r="EI93" s="276"/>
      <c r="EJ93" s="275"/>
      <c r="EK93" s="274" t="s">
        <v>317</v>
      </c>
      <c r="EL93" s="273"/>
      <c r="EM93" s="277"/>
      <c r="EN93" s="274" t="s">
        <v>318</v>
      </c>
      <c r="EO93" s="276"/>
      <c r="EP93" s="275"/>
      <c r="EQ93" s="274" t="s">
        <v>317</v>
      </c>
      <c r="ER93" s="273"/>
      <c r="ES93" s="277"/>
      <c r="ET93" s="274" t="s">
        <v>318</v>
      </c>
      <c r="EU93" s="276"/>
      <c r="EV93" s="275"/>
      <c r="EW93" s="274" t="s">
        <v>317</v>
      </c>
      <c r="EX93" s="273"/>
      <c r="EY93" s="277"/>
      <c r="EZ93" s="274" t="s">
        <v>318</v>
      </c>
      <c r="FA93" s="276"/>
      <c r="FB93" s="275"/>
      <c r="FC93" s="274" t="s">
        <v>317</v>
      </c>
      <c r="FD93" s="273"/>
      <c r="FE93" s="277"/>
      <c r="FF93" s="274" t="s">
        <v>318</v>
      </c>
      <c r="FG93" s="276"/>
      <c r="FH93" s="275"/>
      <c r="FI93" s="274" t="s">
        <v>317</v>
      </c>
      <c r="FJ93" s="273"/>
      <c r="FK93" s="277"/>
      <c r="FL93" s="274" t="s">
        <v>318</v>
      </c>
      <c r="FM93" s="276"/>
      <c r="FN93" s="275"/>
      <c r="FO93" s="274" t="s">
        <v>317</v>
      </c>
      <c r="FP93" s="273"/>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c r="HH93" s="27"/>
      <c r="HI93" s="27"/>
      <c r="HJ93" s="27"/>
      <c r="HK93" s="27"/>
      <c r="HL93" s="27"/>
      <c r="HM93" s="27"/>
      <c r="HN93" s="27"/>
      <c r="HO93" s="27"/>
      <c r="HP93" s="27"/>
      <c r="HQ93" s="27"/>
      <c r="HR93" s="27"/>
      <c r="HS93" s="27"/>
      <c r="HT93" s="27"/>
      <c r="HU93" s="27"/>
      <c r="HV93" s="27"/>
      <c r="HW93" s="27"/>
      <c r="HX93" s="27"/>
      <c r="HY93" s="27"/>
      <c r="HZ93" s="27"/>
      <c r="IA93" s="27"/>
      <c r="IB93" s="27"/>
      <c r="IC93" s="27"/>
      <c r="ID93" s="27"/>
      <c r="IE93" s="27"/>
      <c r="IF93" s="27"/>
      <c r="IG93" s="27"/>
      <c r="IH93" s="27"/>
      <c r="II93" s="27"/>
      <c r="IJ93" s="27"/>
      <c r="IK93" s="27"/>
      <c r="IL93" s="27"/>
      <c r="IM93" s="27"/>
      <c r="IN93" s="27"/>
      <c r="IO93" s="27"/>
      <c r="IP93" s="27"/>
      <c r="IQ93" s="27"/>
      <c r="IR93" s="27"/>
      <c r="IS93" s="27"/>
      <c r="IT93" s="27"/>
      <c r="IV93" s="41"/>
    </row>
    <row r="94" spans="1:256" s="25" customFormat="1" ht="14.4">
      <c r="A94" s="5729"/>
      <c r="C94" s="272" t="s">
        <v>316</v>
      </c>
      <c r="D94" s="270" t="s">
        <v>20</v>
      </c>
      <c r="E94" s="270" t="s">
        <v>49</v>
      </c>
      <c r="F94" s="270" t="s">
        <v>311</v>
      </c>
      <c r="G94" s="270" t="s">
        <v>20</v>
      </c>
      <c r="H94" s="270" t="s">
        <v>49</v>
      </c>
      <c r="I94" s="269" t="s">
        <v>311</v>
      </c>
      <c r="J94" s="271" t="s">
        <v>20</v>
      </c>
      <c r="K94" s="270" t="s">
        <v>49</v>
      </c>
      <c r="L94" s="269" t="s">
        <v>311</v>
      </c>
      <c r="N94" s="266" t="s">
        <v>20</v>
      </c>
      <c r="O94" s="264" t="s">
        <v>49</v>
      </c>
      <c r="P94" s="263" t="s">
        <v>311</v>
      </c>
      <c r="R94" s="266" t="s">
        <v>20</v>
      </c>
      <c r="S94" s="264" t="s">
        <v>49</v>
      </c>
      <c r="T94" s="265" t="s">
        <v>311</v>
      </c>
      <c r="U94" s="264" t="s">
        <v>310</v>
      </c>
      <c r="V94" s="264" t="s">
        <v>309</v>
      </c>
      <c r="W94" s="263" t="s">
        <v>308</v>
      </c>
      <c r="Y94" s="266" t="s">
        <v>20</v>
      </c>
      <c r="Z94" s="264" t="s">
        <v>49</v>
      </c>
      <c r="AA94" s="265" t="s">
        <v>311</v>
      </c>
      <c r="AB94" s="264" t="s">
        <v>310</v>
      </c>
      <c r="AC94" s="264" t="s">
        <v>309</v>
      </c>
      <c r="AD94" s="263" t="s">
        <v>308</v>
      </c>
      <c r="AF94" s="266" t="s">
        <v>20</v>
      </c>
      <c r="AG94" s="264" t="s">
        <v>49</v>
      </c>
      <c r="AH94" s="265" t="s">
        <v>311</v>
      </c>
      <c r="AI94" s="264" t="s">
        <v>310</v>
      </c>
      <c r="AJ94" s="264" t="s">
        <v>309</v>
      </c>
      <c r="AK94" s="263" t="s">
        <v>308</v>
      </c>
      <c r="AM94" s="266" t="s">
        <v>20</v>
      </c>
      <c r="AN94" s="264" t="s">
        <v>49</v>
      </c>
      <c r="AO94" s="265" t="s">
        <v>311</v>
      </c>
      <c r="AP94" s="264" t="s">
        <v>310</v>
      </c>
      <c r="AQ94" s="264" t="s">
        <v>309</v>
      </c>
      <c r="AR94" s="263" t="s">
        <v>308</v>
      </c>
      <c r="AT94" s="266" t="s">
        <v>20</v>
      </c>
      <c r="AU94" s="264" t="s">
        <v>49</v>
      </c>
      <c r="AV94" s="265" t="s">
        <v>311</v>
      </c>
      <c r="AW94" s="264" t="s">
        <v>310</v>
      </c>
      <c r="AX94" s="264" t="s">
        <v>309</v>
      </c>
      <c r="AY94" s="263" t="s">
        <v>308</v>
      </c>
      <c r="BA94" s="266" t="s">
        <v>20</v>
      </c>
      <c r="BB94" s="264" t="s">
        <v>49</v>
      </c>
      <c r="BC94" s="265" t="s">
        <v>311</v>
      </c>
      <c r="BD94" s="264" t="s">
        <v>310</v>
      </c>
      <c r="BE94" s="264" t="s">
        <v>309</v>
      </c>
      <c r="BF94" s="263" t="s">
        <v>308</v>
      </c>
      <c r="BG94" s="266" t="s">
        <v>20</v>
      </c>
      <c r="BH94" s="264" t="s">
        <v>49</v>
      </c>
      <c r="BI94" s="265" t="s">
        <v>311</v>
      </c>
      <c r="BJ94" s="264" t="s">
        <v>310</v>
      </c>
      <c r="BK94" s="264" t="s">
        <v>309</v>
      </c>
      <c r="BL94" s="263" t="s">
        <v>308</v>
      </c>
      <c r="BM94" s="266" t="s">
        <v>20</v>
      </c>
      <c r="BN94" s="264" t="s">
        <v>49</v>
      </c>
      <c r="BO94" s="265" t="s">
        <v>311</v>
      </c>
      <c r="BP94" s="264" t="s">
        <v>310</v>
      </c>
      <c r="BQ94" s="264" t="s">
        <v>309</v>
      </c>
      <c r="BR94" s="263" t="s">
        <v>308</v>
      </c>
      <c r="BT94" s="266" t="s">
        <v>20</v>
      </c>
      <c r="BU94" s="264" t="s">
        <v>49</v>
      </c>
      <c r="BV94" s="265" t="s">
        <v>311</v>
      </c>
      <c r="BW94" s="264" t="s">
        <v>310</v>
      </c>
      <c r="BX94" s="264" t="s">
        <v>309</v>
      </c>
      <c r="BY94" s="263" t="s">
        <v>308</v>
      </c>
      <c r="CB94" s="266" t="s">
        <v>20</v>
      </c>
      <c r="CC94" s="264" t="s">
        <v>49</v>
      </c>
      <c r="CD94" s="265" t="s">
        <v>311</v>
      </c>
      <c r="CE94" s="264" t="s">
        <v>310</v>
      </c>
      <c r="CF94" s="264" t="s">
        <v>309</v>
      </c>
      <c r="CG94" s="263" t="s">
        <v>308</v>
      </c>
      <c r="CJ94" s="266" t="s">
        <v>20</v>
      </c>
      <c r="CK94" s="264" t="s">
        <v>49</v>
      </c>
      <c r="CL94" s="265" t="s">
        <v>311</v>
      </c>
      <c r="CM94" s="264" t="s">
        <v>310</v>
      </c>
      <c r="CN94" s="264" t="s">
        <v>309</v>
      </c>
      <c r="CO94" s="263" t="s">
        <v>308</v>
      </c>
      <c r="CR94" s="266" t="s">
        <v>313</v>
      </c>
      <c r="CS94" s="264" t="s">
        <v>315</v>
      </c>
      <c r="CT94" s="268" t="s">
        <v>314</v>
      </c>
      <c r="CU94" s="267" t="s">
        <v>313</v>
      </c>
      <c r="CV94" s="264" t="s">
        <v>28</v>
      </c>
      <c r="CW94" s="263" t="s">
        <v>312</v>
      </c>
      <c r="CZ94" s="266" t="s">
        <v>20</v>
      </c>
      <c r="DA94" s="264" t="s">
        <v>49</v>
      </c>
      <c r="DB94" s="265" t="s">
        <v>311</v>
      </c>
      <c r="DC94" s="264" t="s">
        <v>310</v>
      </c>
      <c r="DD94" s="264" t="s">
        <v>309</v>
      </c>
      <c r="DE94" s="263" t="s">
        <v>308</v>
      </c>
      <c r="DH94" s="266" t="s">
        <v>20</v>
      </c>
      <c r="DI94" s="264" t="s">
        <v>49</v>
      </c>
      <c r="DJ94" s="265" t="s">
        <v>311</v>
      </c>
      <c r="DK94" s="264" t="s">
        <v>310</v>
      </c>
      <c r="DL94" s="264" t="s">
        <v>309</v>
      </c>
      <c r="DM94" s="263" t="s">
        <v>308</v>
      </c>
      <c r="DP94" s="266" t="s">
        <v>20</v>
      </c>
      <c r="DQ94" s="264" t="s">
        <v>49</v>
      </c>
      <c r="DR94" s="263" t="s">
        <v>311</v>
      </c>
      <c r="DU94" s="266" t="s">
        <v>20</v>
      </c>
      <c r="DV94" s="264" t="s">
        <v>49</v>
      </c>
      <c r="DW94" s="265" t="s">
        <v>311</v>
      </c>
      <c r="DX94" s="264" t="s">
        <v>310</v>
      </c>
      <c r="DY94" s="264" t="s">
        <v>309</v>
      </c>
      <c r="DZ94" s="263" t="s">
        <v>308</v>
      </c>
      <c r="EA94" s="266" t="s">
        <v>20</v>
      </c>
      <c r="EB94" s="264" t="s">
        <v>49</v>
      </c>
      <c r="EC94" s="265" t="s">
        <v>311</v>
      </c>
      <c r="ED94" s="264" t="s">
        <v>310</v>
      </c>
      <c r="EE94" s="264" t="s">
        <v>309</v>
      </c>
      <c r="EF94" s="263" t="s">
        <v>308</v>
      </c>
      <c r="EG94" s="266" t="s">
        <v>20</v>
      </c>
      <c r="EH94" s="264" t="s">
        <v>49</v>
      </c>
      <c r="EI94" s="265" t="s">
        <v>311</v>
      </c>
      <c r="EJ94" s="264" t="s">
        <v>310</v>
      </c>
      <c r="EK94" s="264" t="s">
        <v>309</v>
      </c>
      <c r="EL94" s="263" t="s">
        <v>308</v>
      </c>
      <c r="EM94" s="266" t="s">
        <v>20</v>
      </c>
      <c r="EN94" s="264" t="s">
        <v>49</v>
      </c>
      <c r="EO94" s="265" t="s">
        <v>311</v>
      </c>
      <c r="EP94" s="264" t="s">
        <v>310</v>
      </c>
      <c r="EQ94" s="264" t="s">
        <v>309</v>
      </c>
      <c r="ER94" s="263" t="s">
        <v>308</v>
      </c>
      <c r="ES94" s="266" t="s">
        <v>20</v>
      </c>
      <c r="ET94" s="264" t="s">
        <v>49</v>
      </c>
      <c r="EU94" s="265" t="s">
        <v>311</v>
      </c>
      <c r="EV94" s="264" t="s">
        <v>310</v>
      </c>
      <c r="EW94" s="264" t="s">
        <v>309</v>
      </c>
      <c r="EX94" s="263" t="s">
        <v>308</v>
      </c>
      <c r="EY94" s="266" t="s">
        <v>20</v>
      </c>
      <c r="EZ94" s="264" t="s">
        <v>49</v>
      </c>
      <c r="FA94" s="265" t="s">
        <v>311</v>
      </c>
      <c r="FB94" s="264" t="s">
        <v>310</v>
      </c>
      <c r="FC94" s="264" t="s">
        <v>309</v>
      </c>
      <c r="FD94" s="263" t="s">
        <v>308</v>
      </c>
      <c r="FE94" s="266" t="s">
        <v>20</v>
      </c>
      <c r="FF94" s="264" t="s">
        <v>49</v>
      </c>
      <c r="FG94" s="265" t="s">
        <v>311</v>
      </c>
      <c r="FH94" s="264" t="s">
        <v>310</v>
      </c>
      <c r="FI94" s="264" t="s">
        <v>309</v>
      </c>
      <c r="FJ94" s="263" t="s">
        <v>308</v>
      </c>
      <c r="FK94" s="266" t="s">
        <v>20</v>
      </c>
      <c r="FL94" s="264" t="s">
        <v>49</v>
      </c>
      <c r="FM94" s="265" t="s">
        <v>311</v>
      </c>
      <c r="FN94" s="264" t="s">
        <v>310</v>
      </c>
      <c r="FO94" s="264" t="s">
        <v>309</v>
      </c>
      <c r="FP94" s="263" t="s">
        <v>308</v>
      </c>
      <c r="IV94" s="41"/>
    </row>
    <row r="95" spans="1:256" s="25" customFormat="1" ht="13.5" customHeight="1" thickBot="1">
      <c r="A95" s="5729"/>
      <c r="C95" s="253">
        <f>('الصفحة 27'!$F$49)</f>
        <v>6</v>
      </c>
      <c r="D95" s="252">
        <f>'الصفحة 27'!$M$49</f>
        <v>6</v>
      </c>
      <c r="E95" s="252">
        <f>'الصفحة 27'!$N$49</f>
        <v>6</v>
      </c>
      <c r="F95" s="251">
        <f>(D95-E95)</f>
        <v>0</v>
      </c>
      <c r="G95" s="251">
        <f>('الصفحة 27'!$K$49)</f>
        <v>2</v>
      </c>
      <c r="H95" s="262">
        <f>('الصفحة 27'!$L$49)</f>
        <v>2</v>
      </c>
      <c r="I95" s="261">
        <f>(G95-H95)</f>
        <v>0</v>
      </c>
      <c r="J95" s="260">
        <f>((G95)/($D$63+0.00001))*100</f>
        <v>5.8823512110731722</v>
      </c>
      <c r="K95" s="250">
        <f>((H95)/($E$63+0.00001))*100</f>
        <v>7.6923047337289479</v>
      </c>
      <c r="L95" s="249">
        <f>((I95)/(F95+0.00001))*100</f>
        <v>0</v>
      </c>
      <c r="N95" s="253">
        <f>'الصفحة 27'!$K$17</f>
        <v>4</v>
      </c>
      <c r="O95" s="252">
        <f>'الصفحة 27'!$K$18</f>
        <v>4</v>
      </c>
      <c r="P95" s="258">
        <f>(N95-O95)</f>
        <v>0</v>
      </c>
      <c r="R95" s="253">
        <f>'الصفحة 27'!$F$17</f>
        <v>2</v>
      </c>
      <c r="S95" s="252">
        <f>'الصفحة 27'!$F$18</f>
        <v>2</v>
      </c>
      <c r="T95" s="252">
        <f>(R95-S95)</f>
        <v>0</v>
      </c>
      <c r="U95" s="257">
        <f>(R95/($N$63+0.00001))*100</f>
        <v>7.1428545918376454</v>
      </c>
      <c r="V95" s="257">
        <f>(S95/($O$63+0.00001))*100</f>
        <v>9.9999950000024995</v>
      </c>
      <c r="W95" s="256">
        <f>(T95/($P$63+0.00001))*100</f>
        <v>0</v>
      </c>
      <c r="Y95" s="253">
        <f>'الصفحة 27'!$G$17</f>
        <v>1</v>
      </c>
      <c r="Z95" s="252">
        <f>'الصفحة 27'!$G$18</f>
        <v>1</v>
      </c>
      <c r="AA95" s="252">
        <f>(Y95-Z95)</f>
        <v>0</v>
      </c>
      <c r="AB95" s="257">
        <f>(Y95/($N$63+0.00001))*100</f>
        <v>3.5714272959188227</v>
      </c>
      <c r="AC95" s="257">
        <f>(Z95/($O$63+0.00001))*100</f>
        <v>4.9999975000012498</v>
      </c>
      <c r="AD95" s="256">
        <f>(AA95/($P$63+0.00001))*100</f>
        <v>0</v>
      </c>
      <c r="AF95" s="253">
        <f>'الصفحة 27'!$H$17</f>
        <v>0</v>
      </c>
      <c r="AG95" s="252">
        <f>'الصفحة 27'!$H$18</f>
        <v>0</v>
      </c>
      <c r="AH95" s="252">
        <f>(AF95-AG95)</f>
        <v>0</v>
      </c>
      <c r="AI95" s="257">
        <f>(AF95/($N$63+0.00001))*100</f>
        <v>0</v>
      </c>
      <c r="AJ95" s="257">
        <f>(AG95/($O$63+0.00001))*100</f>
        <v>0</v>
      </c>
      <c r="AK95" s="256">
        <f>(AH95/($P$63+0.00001))*100</f>
        <v>0</v>
      </c>
      <c r="AM95" s="253">
        <f>'الصفحة 27'!$I$17</f>
        <v>1</v>
      </c>
      <c r="AN95" s="252">
        <f>'الصفحة 27'!$I$18</f>
        <v>1</v>
      </c>
      <c r="AO95" s="252">
        <f>(AM95-AN95)</f>
        <v>0</v>
      </c>
      <c r="AP95" s="257">
        <f>(AM95/($N$63+0.00001))*100</f>
        <v>3.5714272959188227</v>
      </c>
      <c r="AQ95" s="257">
        <f>(AN95/($O$63+0.00001))*100</f>
        <v>4.9999975000012498</v>
      </c>
      <c r="AR95" s="256">
        <f>(AO95/($P$63+0.00001))*100</f>
        <v>0</v>
      </c>
      <c r="AT95" s="253">
        <f>'الصفحة 27'!$J$17</f>
        <v>0</v>
      </c>
      <c r="AU95" s="252">
        <f>'الصفحة 27'!$J$18</f>
        <v>0</v>
      </c>
      <c r="AV95" s="252">
        <f>(AT95-AU95)</f>
        <v>0</v>
      </c>
      <c r="AW95" s="257">
        <f>(AT95/($N$63+0.00001))*100</f>
        <v>0</v>
      </c>
      <c r="AX95" s="257">
        <f>(AU95/($O$63+0.00001))*100</f>
        <v>0</v>
      </c>
      <c r="AY95" s="256">
        <f>(AV95/($P$63+0.00001))*100</f>
        <v>0</v>
      </c>
      <c r="BA95" s="253" t="e">
        <f>'الصفحة 27'!#REF!</f>
        <v>#REF!</v>
      </c>
      <c r="BB95" s="252" t="e">
        <f>'الصفحة 27'!#REF!</f>
        <v>#REF!</v>
      </c>
      <c r="BC95" s="252" t="e">
        <f>(BA95-BB95)</f>
        <v>#REF!</v>
      </c>
      <c r="BD95" s="257" t="e">
        <f>(BA95/($N$63+0.00001))*100</f>
        <v>#REF!</v>
      </c>
      <c r="BE95" s="257" t="e">
        <f>(BB95/($O$63+0.00001))*100</f>
        <v>#REF!</v>
      </c>
      <c r="BF95" s="256" t="e">
        <f>(BC95/($P$63+0.00001))*100</f>
        <v>#REF!</v>
      </c>
      <c r="BG95" s="253" t="e">
        <f>'الصفحة 27'!#REF!</f>
        <v>#REF!</v>
      </c>
      <c r="BH95" s="252" t="e">
        <f>'الصفحة 27'!#REF!</f>
        <v>#REF!</v>
      </c>
      <c r="BI95" s="252" t="e">
        <f>(BG95-BH95)</f>
        <v>#REF!</v>
      </c>
      <c r="BJ95" s="257" t="e">
        <f>(BG95/($N$63+0.00001))*100</f>
        <v>#REF!</v>
      </c>
      <c r="BK95" s="257" t="e">
        <f>(BH95/($O$63+0.00001))*100</f>
        <v>#REF!</v>
      </c>
      <c r="BL95" s="256" t="e">
        <f>(BI95/($P$63+0.00001))*100</f>
        <v>#REF!</v>
      </c>
      <c r="BM95" s="253">
        <f>'الصفحة 30'!$O$32+'الصفحة 30'!$Q$13+'الصفحة 30'!$Q$32+'الصفحة 30'!$S$13+'الصفحة 30'!$S$32+'الصفحة 30'!$U$13+'الصفحة 30'!$U$32+'الصفحة 30'!$W$13+'الصفحة 30'!$W$32+'الصفحة 30'!$Y$13+'الصفحة 30'!$Y$32</f>
        <v>0</v>
      </c>
      <c r="BN95" s="252">
        <f>'الصفحة 30'!$P$32+'الصفحة 30'!$R$13+'الصفحة 30'!$R$32+'الصفحة 30'!$T$13+'الصفحة 30'!$T$32+'الصفحة 30'!$V$13+'الصفحة 30'!$V$32+'الصفحة 30'!$X$13+'الصفحة 30'!$X$32+'الصفحة 30'!$Z$13+'الصفحة 30'!$Z$32</f>
        <v>0</v>
      </c>
      <c r="BO95" s="252">
        <f>(BM95-BN95)</f>
        <v>0</v>
      </c>
      <c r="BP95" s="257">
        <f>(BM95/($N95+0.00001))*100</f>
        <v>0</v>
      </c>
      <c r="BQ95" s="257">
        <f>(BN95/($O95+0.00001))*100</f>
        <v>0</v>
      </c>
      <c r="BR95" s="256">
        <f>(BO95/($P95+0.00001))*100</f>
        <v>0</v>
      </c>
      <c r="BT95" s="253">
        <f>'الصفحة 31'!$I$17</f>
        <v>0</v>
      </c>
      <c r="BU95" s="252">
        <f>'الصفحة 31'!$I$18</f>
        <v>0</v>
      </c>
      <c r="BV95" s="251">
        <f>(BT95-BU95)</f>
        <v>0</v>
      </c>
      <c r="BW95" s="257">
        <f>(BT95/($N95+0.00001))*100</f>
        <v>0</v>
      </c>
      <c r="BX95" s="257">
        <f>(BU95/($O95+0.00001))*100</f>
        <v>0</v>
      </c>
      <c r="BY95" s="256">
        <f>(BV95/($P95+0.00001))*100</f>
        <v>0</v>
      </c>
      <c r="CB95" s="253">
        <f>'الصفحة 31'!$P$48</f>
        <v>0</v>
      </c>
      <c r="CC95" s="252">
        <f>'الصفحة 31'!$Q$48</f>
        <v>0</v>
      </c>
      <c r="CD95" s="251">
        <f>(CB95-CC95)</f>
        <v>0</v>
      </c>
      <c r="CE95" s="257">
        <f>(CB95/($N95+0.00001))*100</f>
        <v>0</v>
      </c>
      <c r="CF95" s="257">
        <f>(CC95/($O95+0.00001))*100</f>
        <v>0</v>
      </c>
      <c r="CG95" s="256">
        <f>(CD95/($P95+0.00001))*100</f>
        <v>0</v>
      </c>
      <c r="CJ95" s="253">
        <f>'الصفحة 31'!$Q$17</f>
        <v>0</v>
      </c>
      <c r="CK95" s="252">
        <f>'الصفحة 31'!$Q$18</f>
        <v>0</v>
      </c>
      <c r="CL95" s="251">
        <f>(CJ95-CK95)</f>
        <v>0</v>
      </c>
      <c r="CM95" s="257">
        <f>(CJ95/($N95+0.00001))*100</f>
        <v>0</v>
      </c>
      <c r="CN95" s="257">
        <f>(CK95/($O95+0.00001))*100</f>
        <v>0</v>
      </c>
      <c r="CO95" s="256">
        <f>(CL95/($P95+0.00001))*100</f>
        <v>0</v>
      </c>
      <c r="CR95" s="253" t="e">
        <f>'الصفحة 27'!#REF!</f>
        <v>#REF!</v>
      </c>
      <c r="CS95" s="252" t="e">
        <f>CV95-CR95</f>
        <v>#REF!</v>
      </c>
      <c r="CT95" s="255" t="e">
        <f>((CR95)/(CS95+0.00001))</f>
        <v>#REF!</v>
      </c>
      <c r="CU95" s="253" t="e">
        <f>CR95</f>
        <v>#REF!</v>
      </c>
      <c r="CV95" s="252" t="e">
        <f>'الصفحة 27'!#REF!</f>
        <v>#REF!</v>
      </c>
      <c r="CW95" s="249" t="e">
        <f>((CU95)/(CV95+0.00001))*100</f>
        <v>#REF!</v>
      </c>
      <c r="CZ95" s="253">
        <f>'الصفحة 27'!$F$17+'الصفحة 27'!$G$17+'الصفحة 27'!$H$17+'الصفحة 27'!$I$17</f>
        <v>4</v>
      </c>
      <c r="DA95" s="252">
        <f>'الصفحة 27'!$F$18+'الصفحة 27'!$G$18+'الصفحة 27'!$H$18+'الصفحة 27'!$I$18</f>
        <v>4</v>
      </c>
      <c r="DB95" s="251">
        <f>(CZ95-DA95)</f>
        <v>0</v>
      </c>
      <c r="DC95" s="250" t="e">
        <f>((CZ95)/(CV95+0.00001))*100</f>
        <v>#REF!</v>
      </c>
      <c r="DD95" s="250" t="e">
        <f>((DA95)/(CR95+0.00001))*100</f>
        <v>#REF!</v>
      </c>
      <c r="DE95" s="249" t="e">
        <f>((DB95)/(CV95-CR95+0.00001))*100</f>
        <v>#REF!</v>
      </c>
      <c r="DH95" s="253">
        <f>'الصفحة 27'!$N$17</f>
        <v>0</v>
      </c>
      <c r="DI95" s="252">
        <f>'الصفحة 27'!$N$18</f>
        <v>0</v>
      </c>
      <c r="DJ95" s="251">
        <f>(DH95-DI95)</f>
        <v>0</v>
      </c>
      <c r="DK95" s="250" t="e">
        <f>((DH95)/(CV95+0.00001))*100</f>
        <v>#REF!</v>
      </c>
      <c r="DL95" s="250" t="e">
        <f>((DI95)/(CR95+0.00001))*100</f>
        <v>#REF!</v>
      </c>
      <c r="DM95" s="249" t="e">
        <f>((DJ95)/(CV95-CR95+0.00001))*100</f>
        <v>#REF!</v>
      </c>
      <c r="DP95" s="253">
        <f>'الصفحة 32'!$I$46</f>
        <v>6</v>
      </c>
      <c r="DQ95" s="252">
        <f>'الصفحة 32'!$I$47</f>
        <v>6</v>
      </c>
      <c r="DR95" s="254">
        <f>(DP95-DQ95)</f>
        <v>0</v>
      </c>
      <c r="DU95" s="253">
        <f>'الصفحة 32'!$I$30</f>
        <v>1</v>
      </c>
      <c r="DV95" s="252">
        <f>'الصفحة 32'!$I$31</f>
        <v>1</v>
      </c>
      <c r="DW95" s="251">
        <f>(DU95-DV95)</f>
        <v>0</v>
      </c>
      <c r="DX95" s="250">
        <f>((DU95)/($DP$95+0.00001))*100</f>
        <v>16.666638888935186</v>
      </c>
      <c r="DY95" s="250">
        <f>((DV95)/($DQ$95+0.00001))*100</f>
        <v>16.666638888935186</v>
      </c>
      <c r="DZ95" s="249">
        <f>((DW95)/($DR$95+0.00001))*100</f>
        <v>0</v>
      </c>
      <c r="EA95" s="253">
        <f>'الصفحة 32'!$I$32</f>
        <v>5</v>
      </c>
      <c r="EB95" s="252">
        <f>'الصفحة 32'!$I$33</f>
        <v>5</v>
      </c>
      <c r="EC95" s="251">
        <f>(EA95-EB95)</f>
        <v>0</v>
      </c>
      <c r="ED95" s="250">
        <f>((EA95)/($DP$95+0.00001))*100</f>
        <v>83.333194444675925</v>
      </c>
      <c r="EE95" s="250">
        <f>((EB95)/($DQ$95+0.00001))*100</f>
        <v>83.333194444675925</v>
      </c>
      <c r="EF95" s="249">
        <f>((EC95)/($DR$95+0.00001))*100</f>
        <v>0</v>
      </c>
      <c r="EG95" s="253">
        <f>'الصفحة 32'!$I$39</f>
        <v>0</v>
      </c>
      <c r="EH95" s="252">
        <f>'الصفحة 32'!$I$35</f>
        <v>0</v>
      </c>
      <c r="EI95" s="251">
        <f>(EG95-EH95)</f>
        <v>0</v>
      </c>
      <c r="EJ95" s="250">
        <f>((EG95)/($DP$95+0.00001))*100</f>
        <v>0</v>
      </c>
      <c r="EK95" s="250">
        <f>((EH95)/($DQ$95+0.00001))*100</f>
        <v>0</v>
      </c>
      <c r="EL95" s="249">
        <f>((EI95)/($DR$95+0.00001))*100</f>
        <v>0</v>
      </c>
      <c r="EM95" s="253">
        <f>'الصفحة 32'!$I$36</f>
        <v>0</v>
      </c>
      <c r="EN95" s="252">
        <f>'الصفحة 32'!$I$37</f>
        <v>0</v>
      </c>
      <c r="EO95" s="251">
        <f>(EM95-EN95)</f>
        <v>0</v>
      </c>
      <c r="EP95" s="250">
        <f>((EM95)/($DP$95+0.00001))*100</f>
        <v>0</v>
      </c>
      <c r="EQ95" s="250">
        <f>((EN95)/($DQ$95+0.00001))*100</f>
        <v>0</v>
      </c>
      <c r="ER95" s="249">
        <f>((EO95)/($DR$95+0.00001))*100</f>
        <v>0</v>
      </c>
      <c r="ES95" s="253">
        <f>'الصفحة 32'!$I$38</f>
        <v>0</v>
      </c>
      <c r="ET95" s="252">
        <f>'الصفحة 32'!$I$39</f>
        <v>0</v>
      </c>
      <c r="EU95" s="251">
        <f>(ES95-ET95)</f>
        <v>0</v>
      </c>
      <c r="EV95" s="250">
        <f>((ES95)/($DP$95+0.00001))*100</f>
        <v>0</v>
      </c>
      <c r="EW95" s="250">
        <f>((ET95)/($DQ$95+0.00001))*100</f>
        <v>0</v>
      </c>
      <c r="EX95" s="249">
        <f>((EU95)/($DR$95+0.00001))*100</f>
        <v>0</v>
      </c>
      <c r="EY95" s="253">
        <f>'الصفحة 32'!$I$40</f>
        <v>0</v>
      </c>
      <c r="EZ95" s="252">
        <f>'الصفحة 32'!$I$41</f>
        <v>0</v>
      </c>
      <c r="FA95" s="251">
        <f>(EY95-EZ95)</f>
        <v>0</v>
      </c>
      <c r="FB95" s="250">
        <f>((EY95)/($DP$95+0.00001))*100</f>
        <v>0</v>
      </c>
      <c r="FC95" s="250">
        <f>((EZ95)/($DQ$95+0.00001))*100</f>
        <v>0</v>
      </c>
      <c r="FD95" s="249">
        <f>((FA95)/($DR$95+0.00001))*100</f>
        <v>0</v>
      </c>
      <c r="FE95" s="253">
        <f>'الصفحة 32'!$I$42</f>
        <v>0</v>
      </c>
      <c r="FF95" s="252">
        <f>'الصفحة 32'!$I$43</f>
        <v>0</v>
      </c>
      <c r="FG95" s="251">
        <f>(FE95-FF95)</f>
        <v>0</v>
      </c>
      <c r="FH95" s="250">
        <f>((FE95)/($DP$95+0.00001))*100</f>
        <v>0</v>
      </c>
      <c r="FI95" s="250">
        <f>((FF95)/($DQ$95+0.00001))*100</f>
        <v>0</v>
      </c>
      <c r="FJ95" s="249">
        <f>((FG95)/($DR$95+0.00001))*100</f>
        <v>0</v>
      </c>
      <c r="FK95" s="253">
        <f>'الصفحة 32'!$I$44</f>
        <v>0</v>
      </c>
      <c r="FL95" s="252">
        <f>'الصفحة 32'!$I$45</f>
        <v>0</v>
      </c>
      <c r="FM95" s="251">
        <f>(FK95-FL95)</f>
        <v>0</v>
      </c>
      <c r="FN95" s="250">
        <f>((FK95)/($DP$95+0.00001))*100</f>
        <v>0</v>
      </c>
      <c r="FO95" s="250">
        <f>((FL95)/($DQ$95+0.00001))*100</f>
        <v>0</v>
      </c>
      <c r="FP95" s="249">
        <f>((FM95)/($DR$95+0.00001))*100</f>
        <v>0</v>
      </c>
      <c r="IV95" s="41"/>
    </row>
    <row r="96" spans="1:256" s="25" customFormat="1" ht="6" customHeight="1">
      <c r="A96" s="248"/>
      <c r="HS96" s="106"/>
      <c r="HT96" s="106"/>
      <c r="HU96" s="106"/>
      <c r="HV96" s="106"/>
      <c r="HW96" s="106"/>
      <c r="HX96" s="203"/>
      <c r="HY96" s="106"/>
      <c r="HZ96" s="106"/>
      <c r="IA96" s="106"/>
      <c r="IB96" s="203"/>
      <c r="IC96" s="106"/>
      <c r="ID96" s="106"/>
      <c r="IE96" s="24"/>
      <c r="IF96" s="24"/>
      <c r="IG96" s="106"/>
      <c r="IH96" s="24"/>
      <c r="II96" s="24"/>
      <c r="IJ96" s="24"/>
      <c r="IK96" s="24"/>
      <c r="IL96" s="24"/>
      <c r="IM96" s="24"/>
      <c r="IN96" s="24"/>
      <c r="IO96" s="24"/>
      <c r="IP96" s="24"/>
      <c r="IQ96" s="24"/>
      <c r="IR96" s="24"/>
      <c r="IS96" s="24"/>
      <c r="IT96" s="24"/>
      <c r="IV96" s="41"/>
    </row>
    <row r="97" spans="1:256" s="25" customFormat="1" ht="6" customHeight="1">
      <c r="A97" s="248"/>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c r="GS97" s="21"/>
      <c r="GT97" s="21"/>
      <c r="GU97" s="21"/>
      <c r="GV97" s="21"/>
      <c r="GW97" s="21"/>
      <c r="GX97" s="21"/>
      <c r="GY97" s="21"/>
      <c r="GZ97" s="21"/>
      <c r="HA97" s="21"/>
      <c r="HB97" s="21"/>
      <c r="HC97" s="21"/>
      <c r="HD97" s="21"/>
      <c r="HE97" s="21"/>
      <c r="HF97" s="21"/>
      <c r="HG97" s="21"/>
      <c r="HH97" s="21"/>
      <c r="HI97" s="21"/>
      <c r="HJ97" s="21"/>
      <c r="HK97" s="21"/>
      <c r="HL97" s="21"/>
      <c r="HM97" s="21"/>
      <c r="HN97" s="21"/>
      <c r="HO97" s="21"/>
      <c r="HP97" s="21"/>
      <c r="HQ97" s="21"/>
      <c r="HR97" s="21"/>
      <c r="HS97" s="21"/>
      <c r="HT97" s="21"/>
      <c r="HU97" s="21"/>
      <c r="HV97" s="21"/>
      <c r="HW97" s="21"/>
      <c r="HX97" s="21"/>
      <c r="HY97" s="21"/>
      <c r="HZ97" s="21"/>
      <c r="IA97" s="21"/>
      <c r="IB97" s="21"/>
      <c r="IC97" s="21"/>
      <c r="ID97" s="21"/>
      <c r="IE97" s="21"/>
      <c r="IF97" s="21"/>
      <c r="IG97" s="21"/>
      <c r="IH97" s="21"/>
      <c r="II97" s="21"/>
      <c r="IJ97" s="21"/>
      <c r="IK97" s="21"/>
      <c r="IL97" s="21"/>
      <c r="IM97" s="21"/>
      <c r="IN97" s="21"/>
      <c r="IO97" s="21"/>
      <c r="IP97" s="21"/>
      <c r="IQ97" s="21"/>
      <c r="IR97" s="21"/>
      <c r="IS97" s="21"/>
      <c r="IT97" s="21"/>
      <c r="IV97" s="41"/>
    </row>
    <row r="98" spans="1:256" s="25" customFormat="1" ht="15.75" customHeight="1" thickBot="1">
      <c r="A98" s="5729">
        <v>13</v>
      </c>
      <c r="C98" s="305" t="s">
        <v>343</v>
      </c>
      <c r="N98" s="305" t="s">
        <v>338</v>
      </c>
      <c r="R98" s="305" t="s">
        <v>337</v>
      </c>
      <c r="Y98" s="305" t="s">
        <v>337</v>
      </c>
      <c r="AF98" s="305" t="s">
        <v>337</v>
      </c>
      <c r="AM98" s="305" t="s">
        <v>337</v>
      </c>
      <c r="AT98" s="305" t="s">
        <v>337</v>
      </c>
      <c r="BA98" s="305" t="s">
        <v>337</v>
      </c>
      <c r="BG98" s="305" t="s">
        <v>337</v>
      </c>
      <c r="BM98" s="305" t="s">
        <v>336</v>
      </c>
      <c r="BT98" s="307" t="s">
        <v>335</v>
      </c>
      <c r="BU98" s="306"/>
      <c r="BV98" s="306"/>
      <c r="BW98" s="306"/>
      <c r="BX98" s="306"/>
      <c r="BY98" s="306"/>
      <c r="CB98" s="305" t="s">
        <v>334</v>
      </c>
      <c r="CJ98" s="305" t="s">
        <v>333</v>
      </c>
      <c r="CR98" s="305" t="s">
        <v>332</v>
      </c>
      <c r="CZ98" s="305" t="s">
        <v>331</v>
      </c>
      <c r="DH98" s="305" t="s">
        <v>330</v>
      </c>
      <c r="DP98" s="305" t="s">
        <v>329</v>
      </c>
      <c r="DU98" s="304" t="s">
        <v>328</v>
      </c>
      <c r="EA98" s="304"/>
      <c r="EB98" s="303" t="str">
        <f>DP99</f>
        <v xml:space="preserve"> اللغــة الأنجليزية</v>
      </c>
      <c r="EG98" s="304" t="str">
        <f>$DU98</f>
        <v>توزيع اساتذة التعليم المتوسط حسب المؤهل العلمي  -</v>
      </c>
      <c r="EM98" s="303" t="str">
        <f>$EB98</f>
        <v xml:space="preserve"> اللغــة الأنجليزية</v>
      </c>
      <c r="ES98" s="304" t="str">
        <f>$DU98</f>
        <v>توزيع اساتذة التعليم المتوسط حسب المؤهل العلمي  -</v>
      </c>
      <c r="EY98" s="303" t="str">
        <f>$EB98</f>
        <v xml:space="preserve"> اللغــة الأنجليزية</v>
      </c>
      <c r="FE98" s="304" t="str">
        <f>$DU98</f>
        <v>توزيع اساتذة التعليم المتوسط حسب المؤهل العلمي  -</v>
      </c>
      <c r="FK98" s="303" t="str">
        <f>$EB98</f>
        <v xml:space="preserve"> اللغــة الأنجليزية</v>
      </c>
      <c r="IV98" s="41"/>
    </row>
    <row r="99" spans="1:256" s="25" customFormat="1" ht="12.75" customHeight="1">
      <c r="A99" s="5729"/>
      <c r="C99" s="302"/>
      <c r="D99" s="300"/>
      <c r="E99" s="300"/>
      <c r="F99" s="300"/>
      <c r="G99" s="301" t="s">
        <v>348</v>
      </c>
      <c r="H99" s="300"/>
      <c r="I99" s="300"/>
      <c r="J99" s="300"/>
      <c r="K99" s="300"/>
      <c r="L99" s="299"/>
      <c r="N99" s="318"/>
      <c r="O99" s="317"/>
      <c r="P99" s="316"/>
      <c r="R99" s="315"/>
      <c r="S99" s="314"/>
      <c r="T99" s="314" t="str">
        <f>O100</f>
        <v xml:space="preserve"> اللغــة الأنجليزية</v>
      </c>
      <c r="U99" s="300"/>
      <c r="V99" s="300"/>
      <c r="W99" s="299"/>
      <c r="Y99" s="315"/>
      <c r="Z99" s="314"/>
      <c r="AA99" s="314" t="str">
        <f>O100</f>
        <v xml:space="preserve"> اللغــة الأنجليزية</v>
      </c>
      <c r="AB99" s="300"/>
      <c r="AC99" s="300"/>
      <c r="AD99" s="299"/>
      <c r="AF99" s="315"/>
      <c r="AG99" s="314"/>
      <c r="AH99" s="314" t="str">
        <f>O100</f>
        <v xml:space="preserve"> اللغــة الأنجليزية</v>
      </c>
      <c r="AI99" s="300"/>
      <c r="AJ99" s="300"/>
      <c r="AK99" s="299"/>
      <c r="AM99" s="315"/>
      <c r="AN99" s="314"/>
      <c r="AO99" s="314" t="str">
        <f>O100</f>
        <v xml:space="preserve"> اللغــة الأنجليزية</v>
      </c>
      <c r="AP99" s="300"/>
      <c r="AQ99" s="300"/>
      <c r="AR99" s="299"/>
      <c r="AT99" s="315"/>
      <c r="AU99" s="314"/>
      <c r="AV99" s="314" t="str">
        <f>O100</f>
        <v xml:space="preserve"> اللغــة الأنجليزية</v>
      </c>
      <c r="AW99" s="300"/>
      <c r="AX99" s="300"/>
      <c r="AY99" s="299"/>
      <c r="BA99" s="315"/>
      <c r="BB99" s="314"/>
      <c r="BC99" s="314" t="str">
        <f>O100</f>
        <v xml:space="preserve"> اللغــة الأنجليزية</v>
      </c>
      <c r="BD99" s="300"/>
      <c r="BE99" s="300"/>
      <c r="BF99" s="299"/>
      <c r="BG99" s="315"/>
      <c r="BH99" s="314"/>
      <c r="BI99" s="314" t="str">
        <f>O100</f>
        <v xml:space="preserve"> اللغــة الأنجليزية</v>
      </c>
      <c r="BJ99" s="300"/>
      <c r="BK99" s="300"/>
      <c r="BL99" s="299"/>
      <c r="BM99" s="298"/>
      <c r="BN99" s="297"/>
      <c r="BO99" s="297"/>
      <c r="BP99" s="297"/>
      <c r="BQ99" s="297"/>
      <c r="BR99" s="296"/>
      <c r="BT99" s="5146" t="str">
        <f>O100</f>
        <v xml:space="preserve"> اللغــة الأنجليزية</v>
      </c>
      <c r="BU99" s="5147"/>
      <c r="BV99" s="5147"/>
      <c r="BW99" s="5147"/>
      <c r="BX99" s="5147"/>
      <c r="BY99" s="5148"/>
      <c r="CB99" s="5146" t="str">
        <f>O100</f>
        <v xml:space="preserve"> اللغــة الأنجليزية</v>
      </c>
      <c r="CC99" s="5147"/>
      <c r="CD99" s="5147"/>
      <c r="CE99" s="5147"/>
      <c r="CF99" s="5147"/>
      <c r="CG99" s="5148"/>
      <c r="CJ99" s="5146" t="str">
        <f>O100</f>
        <v xml:space="preserve"> اللغــة الأنجليزية</v>
      </c>
      <c r="CK99" s="5147"/>
      <c r="CL99" s="5147"/>
      <c r="CM99" s="5147"/>
      <c r="CN99" s="5147"/>
      <c r="CO99" s="5148"/>
      <c r="CR99" s="5146" t="str">
        <f>O100</f>
        <v xml:space="preserve"> اللغــة الأنجليزية</v>
      </c>
      <c r="CS99" s="5147"/>
      <c r="CT99" s="5147"/>
      <c r="CU99" s="5147"/>
      <c r="CV99" s="5147"/>
      <c r="CW99" s="5148"/>
      <c r="CZ99" s="5146" t="str">
        <f>O100</f>
        <v xml:space="preserve"> اللغــة الأنجليزية</v>
      </c>
      <c r="DA99" s="5147"/>
      <c r="DB99" s="5147"/>
      <c r="DC99" s="5147"/>
      <c r="DD99" s="5147"/>
      <c r="DE99" s="5148"/>
      <c r="DH99" s="5146" t="str">
        <f>O100</f>
        <v xml:space="preserve"> اللغــة الأنجليزية</v>
      </c>
      <c r="DI99" s="5147"/>
      <c r="DJ99" s="5147"/>
      <c r="DK99" s="5147"/>
      <c r="DL99" s="5147"/>
      <c r="DM99" s="5148"/>
      <c r="DP99" s="5146" t="str">
        <f>O100</f>
        <v xml:space="preserve"> اللغــة الأنجليزية</v>
      </c>
      <c r="DQ99" s="5147"/>
      <c r="DR99" s="5148"/>
      <c r="DU99" s="5758" t="s">
        <v>57</v>
      </c>
      <c r="DV99" s="5759"/>
      <c r="DW99" s="5759"/>
      <c r="DX99" s="5759"/>
      <c r="DY99" s="5759"/>
      <c r="DZ99" s="5760"/>
      <c r="EA99" s="5758" t="s">
        <v>56</v>
      </c>
      <c r="EB99" s="5759"/>
      <c r="EC99" s="5759"/>
      <c r="ED99" s="5759"/>
      <c r="EE99" s="5759"/>
      <c r="EF99" s="5760"/>
      <c r="EG99" s="5758" t="s">
        <v>55</v>
      </c>
      <c r="EH99" s="5759"/>
      <c r="EI99" s="5759"/>
      <c r="EJ99" s="5759"/>
      <c r="EK99" s="5759"/>
      <c r="EL99" s="5760"/>
      <c r="EM99" s="5758" t="s">
        <v>54</v>
      </c>
      <c r="EN99" s="5759"/>
      <c r="EO99" s="5759"/>
      <c r="EP99" s="5759"/>
      <c r="EQ99" s="5759"/>
      <c r="ER99" s="5760"/>
      <c r="ES99" s="5758" t="s">
        <v>53</v>
      </c>
      <c r="ET99" s="5759"/>
      <c r="EU99" s="5759"/>
      <c r="EV99" s="5759"/>
      <c r="EW99" s="5759"/>
      <c r="EX99" s="5760"/>
      <c r="EY99" s="5758" t="s">
        <v>52</v>
      </c>
      <c r="EZ99" s="5759"/>
      <c r="FA99" s="5759"/>
      <c r="FB99" s="5759"/>
      <c r="FC99" s="5759"/>
      <c r="FD99" s="5760"/>
      <c r="FE99" s="5758" t="s">
        <v>51</v>
      </c>
      <c r="FF99" s="5759"/>
      <c r="FG99" s="5759"/>
      <c r="FH99" s="5759"/>
      <c r="FI99" s="5759"/>
      <c r="FJ99" s="5760"/>
      <c r="FK99" s="5758" t="s">
        <v>50</v>
      </c>
      <c r="FL99" s="5759"/>
      <c r="FM99" s="5759"/>
      <c r="FN99" s="5759"/>
      <c r="FO99" s="5759"/>
      <c r="FP99" s="5760"/>
      <c r="IV99" s="41"/>
    </row>
    <row r="100" spans="1:256" s="25" customFormat="1" ht="12.75" customHeight="1" thickBot="1">
      <c r="A100" s="5729"/>
      <c r="C100" s="295"/>
      <c r="D100" s="293"/>
      <c r="E100" s="291" t="s">
        <v>326</v>
      </c>
      <c r="F100" s="294"/>
      <c r="G100" s="293"/>
      <c r="H100" s="291" t="s">
        <v>325</v>
      </c>
      <c r="I100" s="290"/>
      <c r="J100" s="292"/>
      <c r="K100" s="291" t="s">
        <v>324</v>
      </c>
      <c r="L100" s="290"/>
      <c r="N100" s="313"/>
      <c r="O100" s="312" t="s">
        <v>347</v>
      </c>
      <c r="P100" s="311"/>
      <c r="R100" s="5164" t="s">
        <v>645</v>
      </c>
      <c r="S100" s="5165"/>
      <c r="T100" s="5165"/>
      <c r="U100" s="5165"/>
      <c r="V100" s="5165"/>
      <c r="W100" s="5166"/>
      <c r="Y100" s="5164" t="s">
        <v>323</v>
      </c>
      <c r="Z100" s="5165"/>
      <c r="AA100" s="5165"/>
      <c r="AB100" s="5165"/>
      <c r="AC100" s="5165"/>
      <c r="AD100" s="5166"/>
      <c r="AF100" s="5164" t="s">
        <v>322</v>
      </c>
      <c r="AG100" s="5165"/>
      <c r="AH100" s="5165"/>
      <c r="AI100" s="5165"/>
      <c r="AJ100" s="5165"/>
      <c r="AK100" s="5166"/>
      <c r="AM100" s="5164" t="s">
        <v>321</v>
      </c>
      <c r="AN100" s="5165"/>
      <c r="AO100" s="5165"/>
      <c r="AP100" s="5165"/>
      <c r="AQ100" s="5165"/>
      <c r="AR100" s="5166"/>
      <c r="AT100" s="5164" t="s">
        <v>644</v>
      </c>
      <c r="AU100" s="5165"/>
      <c r="AV100" s="5165"/>
      <c r="AW100" s="5165"/>
      <c r="AX100" s="5165"/>
      <c r="AY100" s="5166"/>
      <c r="BA100" s="5164" t="s">
        <v>642</v>
      </c>
      <c r="BB100" s="5165"/>
      <c r="BC100" s="5165"/>
      <c r="BD100" s="5165"/>
      <c r="BE100" s="5165"/>
      <c r="BF100" s="5166"/>
      <c r="BG100" s="5164" t="s">
        <v>643</v>
      </c>
      <c r="BH100" s="5165"/>
      <c r="BI100" s="5165"/>
      <c r="BJ100" s="5165"/>
      <c r="BK100" s="5165"/>
      <c r="BL100" s="5166"/>
      <c r="BM100" s="289"/>
      <c r="BN100" s="286"/>
      <c r="BO100" s="288" t="str">
        <f>O100</f>
        <v xml:space="preserve"> اللغــة الأنجليزية</v>
      </c>
      <c r="BP100" s="287"/>
      <c r="BQ100" s="286"/>
      <c r="BR100" s="285"/>
      <c r="BT100" s="5149"/>
      <c r="BU100" s="5150"/>
      <c r="BV100" s="5150"/>
      <c r="BW100" s="5150"/>
      <c r="BX100" s="5150"/>
      <c r="BY100" s="5151"/>
      <c r="CB100" s="5149"/>
      <c r="CC100" s="5150"/>
      <c r="CD100" s="5150"/>
      <c r="CE100" s="5150"/>
      <c r="CF100" s="5150"/>
      <c r="CG100" s="5151"/>
      <c r="CJ100" s="5149"/>
      <c r="CK100" s="5150"/>
      <c r="CL100" s="5150"/>
      <c r="CM100" s="5150"/>
      <c r="CN100" s="5150"/>
      <c r="CO100" s="5151"/>
      <c r="CR100" s="5149"/>
      <c r="CS100" s="5150"/>
      <c r="CT100" s="5150"/>
      <c r="CU100" s="5150"/>
      <c r="CV100" s="5150"/>
      <c r="CW100" s="5151"/>
      <c r="CZ100" s="5149"/>
      <c r="DA100" s="5150"/>
      <c r="DB100" s="5150"/>
      <c r="DC100" s="5150"/>
      <c r="DD100" s="5150"/>
      <c r="DE100" s="5151"/>
      <c r="DH100" s="5149"/>
      <c r="DI100" s="5150"/>
      <c r="DJ100" s="5150"/>
      <c r="DK100" s="5150"/>
      <c r="DL100" s="5150"/>
      <c r="DM100" s="5151"/>
      <c r="DP100" s="5771"/>
      <c r="DQ100" s="5772"/>
      <c r="DR100" s="5773"/>
      <c r="DU100" s="5761"/>
      <c r="DV100" s="5762"/>
      <c r="DW100" s="5762"/>
      <c r="DX100" s="5762"/>
      <c r="DY100" s="5762"/>
      <c r="DZ100" s="5763"/>
      <c r="EA100" s="5761"/>
      <c r="EB100" s="5762"/>
      <c r="EC100" s="5762"/>
      <c r="ED100" s="5762"/>
      <c r="EE100" s="5762"/>
      <c r="EF100" s="5763"/>
      <c r="EG100" s="5761"/>
      <c r="EH100" s="5762"/>
      <c r="EI100" s="5762"/>
      <c r="EJ100" s="5762"/>
      <c r="EK100" s="5762"/>
      <c r="EL100" s="5763"/>
      <c r="EM100" s="5761"/>
      <c r="EN100" s="5762"/>
      <c r="EO100" s="5762"/>
      <c r="EP100" s="5762"/>
      <c r="EQ100" s="5762"/>
      <c r="ER100" s="5763"/>
      <c r="ES100" s="5761"/>
      <c r="ET100" s="5762"/>
      <c r="EU100" s="5762"/>
      <c r="EV100" s="5762"/>
      <c r="EW100" s="5762"/>
      <c r="EX100" s="5763"/>
      <c r="EY100" s="5761"/>
      <c r="EZ100" s="5762"/>
      <c r="FA100" s="5762"/>
      <c r="FB100" s="5762"/>
      <c r="FC100" s="5762"/>
      <c r="FD100" s="5763"/>
      <c r="FE100" s="5761"/>
      <c r="FF100" s="5762"/>
      <c r="FG100" s="5762"/>
      <c r="FH100" s="5762"/>
      <c r="FI100" s="5762"/>
      <c r="FJ100" s="5763"/>
      <c r="FK100" s="5761"/>
      <c r="FL100" s="5762"/>
      <c r="FM100" s="5762"/>
      <c r="FN100" s="5762"/>
      <c r="FO100" s="5762"/>
      <c r="FP100" s="5763"/>
      <c r="IV100" s="41"/>
    </row>
    <row r="101" spans="1:256" s="25" customFormat="1" ht="12.75" customHeight="1">
      <c r="A101" s="5729"/>
      <c r="C101" s="284"/>
      <c r="D101" s="282"/>
      <c r="E101" s="282"/>
      <c r="F101" s="282"/>
      <c r="G101" s="282"/>
      <c r="H101" s="282"/>
      <c r="I101" s="281"/>
      <c r="J101" s="283"/>
      <c r="K101" s="282"/>
      <c r="L101" s="281"/>
      <c r="N101" s="310"/>
      <c r="O101" s="309"/>
      <c r="P101" s="308"/>
      <c r="R101" s="5167"/>
      <c r="S101" s="5168"/>
      <c r="T101" s="5168"/>
      <c r="U101" s="5168"/>
      <c r="V101" s="5168"/>
      <c r="W101" s="5169"/>
      <c r="Y101" s="5167"/>
      <c r="Z101" s="5168"/>
      <c r="AA101" s="5168"/>
      <c r="AB101" s="5168"/>
      <c r="AC101" s="5168"/>
      <c r="AD101" s="5169"/>
      <c r="AF101" s="5167"/>
      <c r="AG101" s="5168"/>
      <c r="AH101" s="5168"/>
      <c r="AI101" s="5168"/>
      <c r="AJ101" s="5168"/>
      <c r="AK101" s="5169"/>
      <c r="AM101" s="5167"/>
      <c r="AN101" s="5168"/>
      <c r="AO101" s="5168"/>
      <c r="AP101" s="5168"/>
      <c r="AQ101" s="5168"/>
      <c r="AR101" s="5169"/>
      <c r="AT101" s="5167"/>
      <c r="AU101" s="5168"/>
      <c r="AV101" s="5168"/>
      <c r="AW101" s="5168"/>
      <c r="AX101" s="5168"/>
      <c r="AY101" s="5169"/>
      <c r="BA101" s="5167"/>
      <c r="BB101" s="5168"/>
      <c r="BC101" s="5168"/>
      <c r="BD101" s="5168"/>
      <c r="BE101" s="5168"/>
      <c r="BF101" s="5169"/>
      <c r="BG101" s="5167"/>
      <c r="BH101" s="5168"/>
      <c r="BI101" s="5168"/>
      <c r="BJ101" s="5168"/>
      <c r="BK101" s="5168"/>
      <c r="BL101" s="5169"/>
      <c r="BM101" s="280"/>
      <c r="BN101" s="279"/>
      <c r="BO101" s="279"/>
      <c r="BP101" s="279"/>
      <c r="BQ101" s="279"/>
      <c r="BR101" s="278"/>
      <c r="BT101" s="5130" t="s">
        <v>318</v>
      </c>
      <c r="BU101" s="5131"/>
      <c r="BV101" s="5132"/>
      <c r="BW101" s="5144" t="s">
        <v>317</v>
      </c>
      <c r="BX101" s="5131"/>
      <c r="BY101" s="5145"/>
      <c r="CB101" s="5130" t="s">
        <v>318</v>
      </c>
      <c r="CC101" s="5131"/>
      <c r="CD101" s="5132"/>
      <c r="CE101" s="5144" t="s">
        <v>317</v>
      </c>
      <c r="CF101" s="5131"/>
      <c r="CG101" s="5145"/>
      <c r="CJ101" s="5130" t="s">
        <v>318</v>
      </c>
      <c r="CK101" s="5131"/>
      <c r="CL101" s="5132"/>
      <c r="CM101" s="5144" t="s">
        <v>317</v>
      </c>
      <c r="CN101" s="5131"/>
      <c r="CO101" s="5145"/>
      <c r="CR101" s="5152" t="s">
        <v>320</v>
      </c>
      <c r="CS101" s="5153"/>
      <c r="CT101" s="5153"/>
      <c r="CU101" s="5152" t="s">
        <v>319</v>
      </c>
      <c r="CV101" s="5153"/>
      <c r="CW101" s="5154"/>
      <c r="CZ101" s="5130" t="s">
        <v>318</v>
      </c>
      <c r="DA101" s="5131"/>
      <c r="DB101" s="5132"/>
      <c r="DC101" s="5144" t="s">
        <v>317</v>
      </c>
      <c r="DD101" s="5131"/>
      <c r="DE101" s="5145"/>
      <c r="DH101" s="5130" t="s">
        <v>318</v>
      </c>
      <c r="DI101" s="5131"/>
      <c r="DJ101" s="5132"/>
      <c r="DK101" s="5144" t="s">
        <v>317</v>
      </c>
      <c r="DL101" s="5131"/>
      <c r="DM101" s="5145"/>
      <c r="DP101" s="5130" t="s">
        <v>318</v>
      </c>
      <c r="DQ101" s="5131"/>
      <c r="DR101" s="5145"/>
      <c r="DU101" s="277"/>
      <c r="DV101" s="274" t="s">
        <v>318</v>
      </c>
      <c r="DW101" s="276"/>
      <c r="DX101" s="275"/>
      <c r="DY101" s="274" t="s">
        <v>317</v>
      </c>
      <c r="DZ101" s="273"/>
      <c r="EA101" s="277"/>
      <c r="EB101" s="274" t="s">
        <v>318</v>
      </c>
      <c r="EC101" s="276"/>
      <c r="ED101" s="275"/>
      <c r="EE101" s="274" t="s">
        <v>317</v>
      </c>
      <c r="EF101" s="273"/>
      <c r="EG101" s="277"/>
      <c r="EH101" s="274" t="s">
        <v>318</v>
      </c>
      <c r="EI101" s="276"/>
      <c r="EJ101" s="275"/>
      <c r="EK101" s="274" t="s">
        <v>317</v>
      </c>
      <c r="EL101" s="273"/>
      <c r="EM101" s="277"/>
      <c r="EN101" s="274" t="s">
        <v>318</v>
      </c>
      <c r="EO101" s="276"/>
      <c r="EP101" s="275"/>
      <c r="EQ101" s="274" t="s">
        <v>317</v>
      </c>
      <c r="ER101" s="273"/>
      <c r="ES101" s="277"/>
      <c r="ET101" s="274" t="s">
        <v>318</v>
      </c>
      <c r="EU101" s="276"/>
      <c r="EV101" s="275"/>
      <c r="EW101" s="274" t="s">
        <v>317</v>
      </c>
      <c r="EX101" s="273"/>
      <c r="EY101" s="277"/>
      <c r="EZ101" s="274" t="s">
        <v>318</v>
      </c>
      <c r="FA101" s="276"/>
      <c r="FB101" s="275"/>
      <c r="FC101" s="274" t="s">
        <v>317</v>
      </c>
      <c r="FD101" s="273"/>
      <c r="FE101" s="277"/>
      <c r="FF101" s="274" t="s">
        <v>318</v>
      </c>
      <c r="FG101" s="276"/>
      <c r="FH101" s="275"/>
      <c r="FI101" s="274" t="s">
        <v>317</v>
      </c>
      <c r="FJ101" s="273"/>
      <c r="FK101" s="277"/>
      <c r="FL101" s="274" t="s">
        <v>318</v>
      </c>
      <c r="FM101" s="276"/>
      <c r="FN101" s="275"/>
      <c r="FO101" s="274" t="s">
        <v>317</v>
      </c>
      <c r="FP101" s="273"/>
      <c r="FR101" s="27"/>
      <c r="FS101" s="27"/>
      <c r="FT101" s="27"/>
      <c r="FU101" s="27"/>
      <c r="FV101" s="27"/>
      <c r="FW101" s="27"/>
      <c r="FX101" s="27"/>
      <c r="FY101" s="27"/>
      <c r="FZ101" s="27"/>
      <c r="GA101" s="27"/>
      <c r="GB101" s="27"/>
      <c r="GC101" s="27"/>
      <c r="GD101" s="27"/>
      <c r="GE101" s="27"/>
      <c r="GF101" s="27"/>
      <c r="GG101" s="27"/>
      <c r="GH101" s="27"/>
      <c r="GI101" s="27"/>
      <c r="GJ101" s="27"/>
      <c r="GK101" s="27"/>
      <c r="GL101" s="27"/>
      <c r="GM101" s="27"/>
      <c r="GN101" s="27"/>
      <c r="GO101" s="27"/>
      <c r="GP101" s="27"/>
      <c r="GQ101" s="27"/>
      <c r="GR101" s="27"/>
      <c r="GS101" s="27"/>
      <c r="GT101" s="27"/>
      <c r="GU101" s="27"/>
      <c r="GV101" s="27"/>
      <c r="GW101" s="27"/>
      <c r="GX101" s="27"/>
      <c r="GY101" s="27"/>
      <c r="GZ101" s="27"/>
      <c r="HA101" s="27"/>
      <c r="HB101" s="27"/>
      <c r="HC101" s="27"/>
      <c r="HD101" s="27"/>
      <c r="HE101" s="27"/>
      <c r="HF101" s="27"/>
      <c r="HG101" s="27"/>
      <c r="HH101" s="27"/>
      <c r="HI101" s="27"/>
      <c r="HJ101" s="27"/>
      <c r="HK101" s="27"/>
      <c r="HL101" s="27"/>
      <c r="HM101" s="27"/>
      <c r="HN101" s="27"/>
      <c r="HO101" s="27"/>
      <c r="HP101" s="27"/>
      <c r="HQ101" s="27"/>
      <c r="HR101" s="27"/>
      <c r="HS101" s="27"/>
      <c r="HT101" s="27"/>
      <c r="HU101" s="27"/>
      <c r="HV101" s="27"/>
      <c r="HW101" s="27"/>
      <c r="HX101" s="27"/>
      <c r="HY101" s="27"/>
      <c r="HZ101" s="27"/>
      <c r="IA101" s="27"/>
      <c r="IB101" s="27"/>
      <c r="IC101" s="27"/>
      <c r="ID101" s="27"/>
      <c r="IE101" s="27"/>
      <c r="IF101" s="27"/>
      <c r="IG101" s="27"/>
      <c r="IH101" s="27"/>
      <c r="II101" s="27"/>
      <c r="IJ101" s="27"/>
      <c r="IK101" s="27"/>
      <c r="IL101" s="27"/>
      <c r="IM101" s="27"/>
      <c r="IN101" s="27"/>
      <c r="IO101" s="27"/>
      <c r="IP101" s="27"/>
      <c r="IQ101" s="27"/>
      <c r="IR101" s="27"/>
      <c r="IS101" s="27"/>
      <c r="IT101" s="27"/>
      <c r="IV101" s="41"/>
    </row>
    <row r="102" spans="1:256" s="25" customFormat="1" ht="14.4">
      <c r="A102" s="5729"/>
      <c r="C102" s="272" t="s">
        <v>316</v>
      </c>
      <c r="D102" s="270" t="s">
        <v>20</v>
      </c>
      <c r="E102" s="270" t="s">
        <v>49</v>
      </c>
      <c r="F102" s="270" t="s">
        <v>311</v>
      </c>
      <c r="G102" s="270" t="s">
        <v>20</v>
      </c>
      <c r="H102" s="270" t="s">
        <v>49</v>
      </c>
      <c r="I102" s="269" t="s">
        <v>311</v>
      </c>
      <c r="J102" s="271" t="s">
        <v>20</v>
      </c>
      <c r="K102" s="270" t="s">
        <v>49</v>
      </c>
      <c r="L102" s="269" t="s">
        <v>311</v>
      </c>
      <c r="N102" s="266" t="s">
        <v>20</v>
      </c>
      <c r="O102" s="264" t="s">
        <v>49</v>
      </c>
      <c r="P102" s="263" t="s">
        <v>311</v>
      </c>
      <c r="R102" s="266" t="s">
        <v>20</v>
      </c>
      <c r="S102" s="264" t="s">
        <v>49</v>
      </c>
      <c r="T102" s="265" t="s">
        <v>311</v>
      </c>
      <c r="U102" s="264" t="s">
        <v>310</v>
      </c>
      <c r="V102" s="264" t="s">
        <v>309</v>
      </c>
      <c r="W102" s="263" t="s">
        <v>308</v>
      </c>
      <c r="Y102" s="266" t="s">
        <v>20</v>
      </c>
      <c r="Z102" s="264" t="s">
        <v>49</v>
      </c>
      <c r="AA102" s="265" t="s">
        <v>311</v>
      </c>
      <c r="AB102" s="264" t="s">
        <v>310</v>
      </c>
      <c r="AC102" s="264" t="s">
        <v>309</v>
      </c>
      <c r="AD102" s="263" t="s">
        <v>308</v>
      </c>
      <c r="AF102" s="266" t="s">
        <v>20</v>
      </c>
      <c r="AG102" s="264" t="s">
        <v>49</v>
      </c>
      <c r="AH102" s="265" t="s">
        <v>311</v>
      </c>
      <c r="AI102" s="264" t="s">
        <v>310</v>
      </c>
      <c r="AJ102" s="264" t="s">
        <v>309</v>
      </c>
      <c r="AK102" s="263" t="s">
        <v>308</v>
      </c>
      <c r="AM102" s="266" t="s">
        <v>20</v>
      </c>
      <c r="AN102" s="264" t="s">
        <v>49</v>
      </c>
      <c r="AO102" s="265" t="s">
        <v>311</v>
      </c>
      <c r="AP102" s="264" t="s">
        <v>310</v>
      </c>
      <c r="AQ102" s="264" t="s">
        <v>309</v>
      </c>
      <c r="AR102" s="263" t="s">
        <v>308</v>
      </c>
      <c r="AT102" s="266" t="s">
        <v>20</v>
      </c>
      <c r="AU102" s="264" t="s">
        <v>49</v>
      </c>
      <c r="AV102" s="265" t="s">
        <v>311</v>
      </c>
      <c r="AW102" s="264" t="s">
        <v>310</v>
      </c>
      <c r="AX102" s="264" t="s">
        <v>309</v>
      </c>
      <c r="AY102" s="263" t="s">
        <v>308</v>
      </c>
      <c r="BA102" s="266" t="s">
        <v>20</v>
      </c>
      <c r="BB102" s="264" t="s">
        <v>49</v>
      </c>
      <c r="BC102" s="265" t="s">
        <v>311</v>
      </c>
      <c r="BD102" s="264" t="s">
        <v>310</v>
      </c>
      <c r="BE102" s="264" t="s">
        <v>309</v>
      </c>
      <c r="BF102" s="263" t="s">
        <v>308</v>
      </c>
      <c r="BG102" s="266" t="s">
        <v>20</v>
      </c>
      <c r="BH102" s="264" t="s">
        <v>49</v>
      </c>
      <c r="BI102" s="265" t="s">
        <v>311</v>
      </c>
      <c r="BJ102" s="264" t="s">
        <v>310</v>
      </c>
      <c r="BK102" s="264" t="s">
        <v>309</v>
      </c>
      <c r="BL102" s="263" t="s">
        <v>308</v>
      </c>
      <c r="BM102" s="266" t="s">
        <v>20</v>
      </c>
      <c r="BN102" s="264" t="s">
        <v>49</v>
      </c>
      <c r="BO102" s="265" t="s">
        <v>311</v>
      </c>
      <c r="BP102" s="264" t="s">
        <v>310</v>
      </c>
      <c r="BQ102" s="264" t="s">
        <v>309</v>
      </c>
      <c r="BR102" s="263" t="s">
        <v>308</v>
      </c>
      <c r="BT102" s="266" t="s">
        <v>20</v>
      </c>
      <c r="BU102" s="264" t="s">
        <v>49</v>
      </c>
      <c r="BV102" s="265" t="s">
        <v>311</v>
      </c>
      <c r="BW102" s="264" t="s">
        <v>310</v>
      </c>
      <c r="BX102" s="264" t="s">
        <v>309</v>
      </c>
      <c r="BY102" s="263" t="s">
        <v>308</v>
      </c>
      <c r="CB102" s="266" t="s">
        <v>20</v>
      </c>
      <c r="CC102" s="264" t="s">
        <v>49</v>
      </c>
      <c r="CD102" s="265" t="s">
        <v>311</v>
      </c>
      <c r="CE102" s="264" t="s">
        <v>310</v>
      </c>
      <c r="CF102" s="264" t="s">
        <v>309</v>
      </c>
      <c r="CG102" s="263" t="s">
        <v>308</v>
      </c>
      <c r="CJ102" s="266" t="s">
        <v>20</v>
      </c>
      <c r="CK102" s="264" t="s">
        <v>49</v>
      </c>
      <c r="CL102" s="265" t="s">
        <v>311</v>
      </c>
      <c r="CM102" s="264" t="s">
        <v>310</v>
      </c>
      <c r="CN102" s="264" t="s">
        <v>309</v>
      </c>
      <c r="CO102" s="263" t="s">
        <v>308</v>
      </c>
      <c r="CR102" s="266" t="s">
        <v>313</v>
      </c>
      <c r="CS102" s="264" t="s">
        <v>315</v>
      </c>
      <c r="CT102" s="268" t="s">
        <v>314</v>
      </c>
      <c r="CU102" s="267" t="s">
        <v>313</v>
      </c>
      <c r="CV102" s="264" t="s">
        <v>28</v>
      </c>
      <c r="CW102" s="263" t="s">
        <v>312</v>
      </c>
      <c r="CZ102" s="266" t="s">
        <v>20</v>
      </c>
      <c r="DA102" s="264" t="s">
        <v>49</v>
      </c>
      <c r="DB102" s="265" t="s">
        <v>311</v>
      </c>
      <c r="DC102" s="264" t="s">
        <v>310</v>
      </c>
      <c r="DD102" s="264" t="s">
        <v>309</v>
      </c>
      <c r="DE102" s="263" t="s">
        <v>308</v>
      </c>
      <c r="DH102" s="266" t="s">
        <v>20</v>
      </c>
      <c r="DI102" s="264" t="s">
        <v>49</v>
      </c>
      <c r="DJ102" s="265" t="s">
        <v>311</v>
      </c>
      <c r="DK102" s="264" t="s">
        <v>310</v>
      </c>
      <c r="DL102" s="264" t="s">
        <v>309</v>
      </c>
      <c r="DM102" s="263" t="s">
        <v>308</v>
      </c>
      <c r="DP102" s="266" t="s">
        <v>20</v>
      </c>
      <c r="DQ102" s="264" t="s">
        <v>49</v>
      </c>
      <c r="DR102" s="263" t="s">
        <v>311</v>
      </c>
      <c r="DU102" s="266" t="s">
        <v>20</v>
      </c>
      <c r="DV102" s="264" t="s">
        <v>49</v>
      </c>
      <c r="DW102" s="265" t="s">
        <v>311</v>
      </c>
      <c r="DX102" s="264" t="s">
        <v>310</v>
      </c>
      <c r="DY102" s="264" t="s">
        <v>309</v>
      </c>
      <c r="DZ102" s="263" t="s">
        <v>308</v>
      </c>
      <c r="EA102" s="266" t="s">
        <v>20</v>
      </c>
      <c r="EB102" s="264" t="s">
        <v>49</v>
      </c>
      <c r="EC102" s="265" t="s">
        <v>311</v>
      </c>
      <c r="ED102" s="264" t="s">
        <v>310</v>
      </c>
      <c r="EE102" s="264" t="s">
        <v>309</v>
      </c>
      <c r="EF102" s="263" t="s">
        <v>308</v>
      </c>
      <c r="EG102" s="266" t="s">
        <v>20</v>
      </c>
      <c r="EH102" s="264" t="s">
        <v>49</v>
      </c>
      <c r="EI102" s="265" t="s">
        <v>311</v>
      </c>
      <c r="EJ102" s="264" t="s">
        <v>310</v>
      </c>
      <c r="EK102" s="264" t="s">
        <v>309</v>
      </c>
      <c r="EL102" s="263" t="s">
        <v>308</v>
      </c>
      <c r="EM102" s="266" t="s">
        <v>20</v>
      </c>
      <c r="EN102" s="264" t="s">
        <v>49</v>
      </c>
      <c r="EO102" s="265" t="s">
        <v>311</v>
      </c>
      <c r="EP102" s="264" t="s">
        <v>310</v>
      </c>
      <c r="EQ102" s="264" t="s">
        <v>309</v>
      </c>
      <c r="ER102" s="263" t="s">
        <v>308</v>
      </c>
      <c r="ES102" s="266" t="s">
        <v>20</v>
      </c>
      <c r="ET102" s="264" t="s">
        <v>49</v>
      </c>
      <c r="EU102" s="265" t="s">
        <v>311</v>
      </c>
      <c r="EV102" s="264" t="s">
        <v>310</v>
      </c>
      <c r="EW102" s="264" t="s">
        <v>309</v>
      </c>
      <c r="EX102" s="263" t="s">
        <v>308</v>
      </c>
      <c r="EY102" s="266" t="s">
        <v>20</v>
      </c>
      <c r="EZ102" s="264" t="s">
        <v>49</v>
      </c>
      <c r="FA102" s="265" t="s">
        <v>311</v>
      </c>
      <c r="FB102" s="264" t="s">
        <v>310</v>
      </c>
      <c r="FC102" s="264" t="s">
        <v>309</v>
      </c>
      <c r="FD102" s="263" t="s">
        <v>308</v>
      </c>
      <c r="FE102" s="266" t="s">
        <v>20</v>
      </c>
      <c r="FF102" s="264" t="s">
        <v>49</v>
      </c>
      <c r="FG102" s="265" t="s">
        <v>311</v>
      </c>
      <c r="FH102" s="264" t="s">
        <v>310</v>
      </c>
      <c r="FI102" s="264" t="s">
        <v>309</v>
      </c>
      <c r="FJ102" s="263" t="s">
        <v>308</v>
      </c>
      <c r="FK102" s="266" t="s">
        <v>20</v>
      </c>
      <c r="FL102" s="264" t="s">
        <v>49</v>
      </c>
      <c r="FM102" s="265" t="s">
        <v>311</v>
      </c>
      <c r="FN102" s="264" t="s">
        <v>310</v>
      </c>
      <c r="FO102" s="264" t="s">
        <v>309</v>
      </c>
      <c r="FP102" s="263" t="s">
        <v>308</v>
      </c>
      <c r="IV102" s="41"/>
    </row>
    <row r="103" spans="1:256" s="25" customFormat="1" ht="13.5" customHeight="1" thickBot="1">
      <c r="A103" s="5729"/>
      <c r="C103" s="253">
        <f>('الصفحة 27'!$F$50)</f>
        <v>4</v>
      </c>
      <c r="D103" s="252">
        <f>'الصفحة 27'!$M$50</f>
        <v>4</v>
      </c>
      <c r="E103" s="252">
        <f>'الصفحة 27'!$N$50</f>
        <v>3</v>
      </c>
      <c r="F103" s="251">
        <f>(D103-E103)</f>
        <v>1</v>
      </c>
      <c r="G103" s="251">
        <f>('الصفحة 27'!$K$50)</f>
        <v>1</v>
      </c>
      <c r="H103" s="262">
        <f>('الصفحة 27'!$L$50)</f>
        <v>1</v>
      </c>
      <c r="I103" s="261">
        <f>(G103-H103)</f>
        <v>0</v>
      </c>
      <c r="J103" s="260">
        <f>((G103)/($D$63+0.00001))*100</f>
        <v>2.9411756055365861</v>
      </c>
      <c r="K103" s="250">
        <f>((H103)/($E$63+0.00001))*100</f>
        <v>3.8461523668644739</v>
      </c>
      <c r="L103" s="249">
        <f>((I103)/(F103+0.00001))*100</f>
        <v>0</v>
      </c>
      <c r="N103" s="253">
        <f>'الصفحة 27'!$K$19</f>
        <v>3</v>
      </c>
      <c r="O103" s="252">
        <f>'الصفحة 27'!$K$20</f>
        <v>2</v>
      </c>
      <c r="P103" s="258">
        <f>(N103-O103)</f>
        <v>1</v>
      </c>
      <c r="R103" s="253">
        <f>'الصفحة 27'!$F$19</f>
        <v>0</v>
      </c>
      <c r="S103" s="252">
        <f>'الصفحة 27'!$F$20</f>
        <v>0</v>
      </c>
      <c r="T103" s="252">
        <f>(R103-S103)</f>
        <v>0</v>
      </c>
      <c r="U103" s="257">
        <f>(R103/($N$63+0.00001))*100</f>
        <v>0</v>
      </c>
      <c r="V103" s="257">
        <f>(S103/($O$63+0.00001))*100</f>
        <v>0</v>
      </c>
      <c r="W103" s="256">
        <f>(T103/($P$63+0.00001))*100</f>
        <v>0</v>
      </c>
      <c r="Y103" s="253">
        <f>'الصفحة 27'!$G$19</f>
        <v>0</v>
      </c>
      <c r="Z103" s="252">
        <f>'الصفحة 27'!$G$20</f>
        <v>0</v>
      </c>
      <c r="AA103" s="252">
        <f>(Y103-Z103)</f>
        <v>0</v>
      </c>
      <c r="AB103" s="257">
        <f>(Y103/($N$63+0.00001))*100</f>
        <v>0</v>
      </c>
      <c r="AC103" s="257">
        <f>(Z103/($O$63+0.00001))*100</f>
        <v>0</v>
      </c>
      <c r="AD103" s="256">
        <f>(AA103/($P$63+0.00001))*100</f>
        <v>0</v>
      </c>
      <c r="AF103" s="253">
        <f>'الصفحة 27'!$H$19</f>
        <v>0</v>
      </c>
      <c r="AG103" s="252">
        <f>'الصفحة 27'!$H$20</f>
        <v>0</v>
      </c>
      <c r="AH103" s="252">
        <f>(AF103-AG103)</f>
        <v>0</v>
      </c>
      <c r="AI103" s="257">
        <f>(AF103/($N$63+0.00001))*100</f>
        <v>0</v>
      </c>
      <c r="AJ103" s="257">
        <f>(AG103/($O$63+0.00001))*100</f>
        <v>0</v>
      </c>
      <c r="AK103" s="256">
        <f>(AH103/($P$63+0.00001))*100</f>
        <v>0</v>
      </c>
      <c r="AM103" s="253">
        <f>'الصفحة 27'!$I$19</f>
        <v>3</v>
      </c>
      <c r="AN103" s="252">
        <f>'الصفحة 27'!$I$20</f>
        <v>2</v>
      </c>
      <c r="AO103" s="252">
        <f>(AM103-AN103)</f>
        <v>1</v>
      </c>
      <c r="AP103" s="257">
        <f>(AM103/($N$63+0.00001))*100</f>
        <v>10.714281887756469</v>
      </c>
      <c r="AQ103" s="257">
        <f>(AN103/($O$63+0.00001))*100</f>
        <v>9.9999950000024995</v>
      </c>
      <c r="AR103" s="256">
        <f>(AO103/($P$63+0.00001))*100</f>
        <v>12.499984375019531</v>
      </c>
      <c r="AT103" s="253">
        <f>'الصفحة 27'!$J$19</f>
        <v>0</v>
      </c>
      <c r="AU103" s="252">
        <f>'الصفحة 27'!$J$20</f>
        <v>0</v>
      </c>
      <c r="AV103" s="252">
        <f>(AT103-AU103)</f>
        <v>0</v>
      </c>
      <c r="AW103" s="257">
        <f>(AT103/($N$63+0.00001))*100</f>
        <v>0</v>
      </c>
      <c r="AX103" s="257">
        <f>(AU103/($O$63+0.00001))*100</f>
        <v>0</v>
      </c>
      <c r="AY103" s="256">
        <f>(AV103/($P$63+0.00001))*100</f>
        <v>0</v>
      </c>
      <c r="BA103" s="253" t="e">
        <f>'الصفحة 27'!#REF!</f>
        <v>#REF!</v>
      </c>
      <c r="BB103" s="252" t="e">
        <f>'الصفحة 27'!#REF!</f>
        <v>#REF!</v>
      </c>
      <c r="BC103" s="252" t="e">
        <f>(BA103-BB103)</f>
        <v>#REF!</v>
      </c>
      <c r="BD103" s="257" t="e">
        <f>(BA103/($N$63+0.00001))*100</f>
        <v>#REF!</v>
      </c>
      <c r="BE103" s="257" t="e">
        <f>(BB103/($O$63+0.00001))*100</f>
        <v>#REF!</v>
      </c>
      <c r="BF103" s="256" t="e">
        <f>(BC103/($P$63+0.00001))*100</f>
        <v>#REF!</v>
      </c>
      <c r="BG103" s="253" t="e">
        <f>'الصفحة 27'!#REF!</f>
        <v>#REF!</v>
      </c>
      <c r="BH103" s="252" t="e">
        <f>'الصفحة 27'!#REF!</f>
        <v>#REF!</v>
      </c>
      <c r="BI103" s="252" t="e">
        <f>(BG103-BH103)</f>
        <v>#REF!</v>
      </c>
      <c r="BJ103" s="257" t="e">
        <f>(BG103/($N$63+0.00001))*100</f>
        <v>#REF!</v>
      </c>
      <c r="BK103" s="257" t="e">
        <f>(BH103/($O$63+0.00001))*100</f>
        <v>#REF!</v>
      </c>
      <c r="BL103" s="256" t="e">
        <f>(BI103/($P$63+0.00001))*100</f>
        <v>#REF!</v>
      </c>
      <c r="BM103" s="253">
        <f>'الصفحة 30'!$O$33+'الصفحة 30'!$Q$14+'الصفحة 30'!$Q$33+'الصفحة 30'!$S$14+'الصفحة 30'!$S$33+'الصفحة 30'!$U$14+'الصفحة 30'!$U$33+'الصفحة 30'!$W$14+'الصفحة 30'!$W$33+'الصفحة 30'!$Y$14+'الصفحة 30'!$Y$33</f>
        <v>0</v>
      </c>
      <c r="BN103" s="252">
        <f>'الصفحة 30'!$P$33+'الصفحة 30'!$R$14+'الصفحة 30'!$R$33+'الصفحة 30'!$T$14+'الصفحة 30'!$T$33+'الصفحة 30'!$V$14+'الصفحة 30'!$V$33+'الصفحة 30'!$X$14+'الصفحة 30'!$X$33+'الصفحة 30'!$Z$14+'الصفحة 30'!$Z$33</f>
        <v>0</v>
      </c>
      <c r="BO103" s="252">
        <f>(BM103-BN103)</f>
        <v>0</v>
      </c>
      <c r="BP103" s="257">
        <f>(BM103/($N103+0.00001))*100</f>
        <v>0</v>
      </c>
      <c r="BQ103" s="257">
        <f>(BN103/($O103+0.00001))*100</f>
        <v>0</v>
      </c>
      <c r="BR103" s="256">
        <f>(BO103/($P103+0.00001))*100</f>
        <v>0</v>
      </c>
      <c r="BT103" s="253">
        <f>'الصفحة 31'!$J$19</f>
        <v>0</v>
      </c>
      <c r="BU103" s="252">
        <f>'الصفحة 31'!$J$20</f>
        <v>0</v>
      </c>
      <c r="BV103" s="251">
        <f>(BT103-BU103)</f>
        <v>0</v>
      </c>
      <c r="BW103" s="257">
        <f>(BT103/($N103+0.00001))*100</f>
        <v>0</v>
      </c>
      <c r="BX103" s="257">
        <f>(BU103/($O103+0.00001))*100</f>
        <v>0</v>
      </c>
      <c r="BY103" s="256">
        <f>(BV103/($P103+0.00001))*100</f>
        <v>0</v>
      </c>
      <c r="CB103" s="253">
        <f>'الصفحة 31'!$P$49</f>
        <v>0</v>
      </c>
      <c r="CC103" s="252">
        <f>'الصفحة 31'!$Q$49</f>
        <v>0</v>
      </c>
      <c r="CD103" s="251">
        <f>(CB103-CC103)</f>
        <v>0</v>
      </c>
      <c r="CE103" s="257">
        <f>(CB103/($N103+0.00001))*100</f>
        <v>0</v>
      </c>
      <c r="CF103" s="257">
        <f>(CC103/($O103+0.00001))*100</f>
        <v>0</v>
      </c>
      <c r="CG103" s="256">
        <f>(CD103/($P103+0.00001))*100</f>
        <v>0</v>
      </c>
      <c r="CJ103" s="253">
        <f>'الصفحة 31'!$Q$19</f>
        <v>0</v>
      </c>
      <c r="CK103" s="252">
        <f>'الصفحة 31'!$Q$20</f>
        <v>0</v>
      </c>
      <c r="CL103" s="251">
        <f>(CJ103-CK103)</f>
        <v>0</v>
      </c>
      <c r="CM103" s="257">
        <f>(CJ103/($N103+0.00001))*100</f>
        <v>0</v>
      </c>
      <c r="CN103" s="257">
        <f>(CK103/($O103+0.00001))*100</f>
        <v>0</v>
      </c>
      <c r="CO103" s="256">
        <f>(CL103/($P103+0.00001))*100</f>
        <v>0</v>
      </c>
      <c r="CR103" s="253" t="e">
        <f>'الصفحة 27'!#REF!</f>
        <v>#REF!</v>
      </c>
      <c r="CS103" s="252" t="e">
        <f>CV103-CR103</f>
        <v>#REF!</v>
      </c>
      <c r="CT103" s="255" t="e">
        <f>((CR103)/(CS103+0.00001))</f>
        <v>#REF!</v>
      </c>
      <c r="CU103" s="253" t="e">
        <f>CR103</f>
        <v>#REF!</v>
      </c>
      <c r="CV103" s="252" t="e">
        <f>'الصفحة 27'!#REF!</f>
        <v>#REF!</v>
      </c>
      <c r="CW103" s="249" t="e">
        <f>((CU103)/(CV103+0.00001))*100</f>
        <v>#REF!</v>
      </c>
      <c r="CZ103" s="253">
        <f>'الصفحة 27'!$F$19+'الصفحة 27'!$G$19+'الصفحة 27'!$H$19+'الصفحة 27'!$I$19</f>
        <v>3</v>
      </c>
      <c r="DA103" s="252">
        <f>'الصفحة 27'!$F$20+'الصفحة 27'!$G$20+'الصفحة 27'!$H$20+'الصفحة 27'!$I$20</f>
        <v>2</v>
      </c>
      <c r="DB103" s="251">
        <f>(CZ103-DA103)</f>
        <v>1</v>
      </c>
      <c r="DC103" s="250" t="e">
        <f>((CZ103)/(CV103+0.00001))*100</f>
        <v>#REF!</v>
      </c>
      <c r="DD103" s="250" t="e">
        <f>((DA103)/(CR103+0.00001))*100</f>
        <v>#REF!</v>
      </c>
      <c r="DE103" s="249" t="e">
        <f>((DB103)/(CV103-CR103+0.00001))*100</f>
        <v>#REF!</v>
      </c>
      <c r="DH103" s="253">
        <f>'الصفحة 27'!$N$19</f>
        <v>0</v>
      </c>
      <c r="DI103" s="252">
        <f>'الصفحة 27'!$N$20</f>
        <v>0</v>
      </c>
      <c r="DJ103" s="251">
        <f>(DH103-DI103)</f>
        <v>0</v>
      </c>
      <c r="DK103" s="250" t="e">
        <f>((DH103)/(CV103+0.00001))*100</f>
        <v>#REF!</v>
      </c>
      <c r="DL103" s="250" t="e">
        <f>((DI103)/(CR103+0.00001))*100</f>
        <v>#REF!</v>
      </c>
      <c r="DM103" s="249" t="e">
        <f>((DJ103)/(CV103-CR103+0.00001))*100</f>
        <v>#REF!</v>
      </c>
      <c r="DP103" s="253">
        <f>'الصفحة 32'!$J$46</f>
        <v>4</v>
      </c>
      <c r="DQ103" s="252">
        <f>'الصفحة 32'!$J$47</f>
        <v>3</v>
      </c>
      <c r="DR103" s="254">
        <f>(DP103-DQ103)</f>
        <v>1</v>
      </c>
      <c r="DU103" s="253">
        <f>'الصفحة 32'!$J$30</f>
        <v>0</v>
      </c>
      <c r="DV103" s="252">
        <f>'الصفحة 32'!$J$31</f>
        <v>0</v>
      </c>
      <c r="DW103" s="251">
        <f>(DU103-DV103)</f>
        <v>0</v>
      </c>
      <c r="DX103" s="250">
        <f>((DU103)/($DP$103+0.00001))*100</f>
        <v>0</v>
      </c>
      <c r="DY103" s="250">
        <f>((DV103)/($DQ$103+0.00001))*100</f>
        <v>0</v>
      </c>
      <c r="DZ103" s="249">
        <f>((DW103)/($DR$103+0.00001))*100</f>
        <v>0</v>
      </c>
      <c r="EA103" s="253">
        <f>'الصفحة 32'!$J$32</f>
        <v>2</v>
      </c>
      <c r="EB103" s="252">
        <f>'الصفحة 32'!$J$33</f>
        <v>2</v>
      </c>
      <c r="EC103" s="251">
        <f>(EA103-EB103)</f>
        <v>0</v>
      </c>
      <c r="ED103" s="250">
        <f>((EA103)/($DP$103+0.00001))*100</f>
        <v>49.999875000312507</v>
      </c>
      <c r="EE103" s="250">
        <f>((EB103)/($DQ$103+0.00001))*100</f>
        <v>66.666444445185178</v>
      </c>
      <c r="EF103" s="249">
        <f>((EC103)/($DR$103+0.00001))*100</f>
        <v>0</v>
      </c>
      <c r="EG103" s="253">
        <f>'الصفحة 32'!$J$39</f>
        <v>0</v>
      </c>
      <c r="EH103" s="252">
        <f>'الصفحة 32'!$J$35</f>
        <v>0</v>
      </c>
      <c r="EI103" s="251">
        <f>(EG103-EH103)</f>
        <v>0</v>
      </c>
      <c r="EJ103" s="250">
        <f>((EG103)/($DP$103+0.00001))*100</f>
        <v>0</v>
      </c>
      <c r="EK103" s="250">
        <f>((EH103)/($DQ$103+0.00001))*100</f>
        <v>0</v>
      </c>
      <c r="EL103" s="249">
        <f>((EI103)/($DR$103+0.00001))*100</f>
        <v>0</v>
      </c>
      <c r="EM103" s="253">
        <f>'الصفحة 32'!$J$36</f>
        <v>2</v>
      </c>
      <c r="EN103" s="252">
        <f>'الصفحة 32'!$J$37</f>
        <v>1</v>
      </c>
      <c r="EO103" s="251">
        <f>(EM103-EN103)</f>
        <v>1</v>
      </c>
      <c r="EP103" s="250">
        <f>((EM103)/($DP$103+0.00001))*100</f>
        <v>49.999875000312507</v>
      </c>
      <c r="EQ103" s="250">
        <f>((EN103)/($DQ$103+0.00001))*100</f>
        <v>33.333222222592589</v>
      </c>
      <c r="ER103" s="249">
        <f>((EO103)/($DR$103+0.00001))*100</f>
        <v>99.999000009999889</v>
      </c>
      <c r="ES103" s="253">
        <f>'الصفحة 32'!$J$38</f>
        <v>0</v>
      </c>
      <c r="ET103" s="252">
        <f>'الصفحة 32'!$J$39</f>
        <v>0</v>
      </c>
      <c r="EU103" s="251">
        <f>(ES103-ET103)</f>
        <v>0</v>
      </c>
      <c r="EV103" s="250">
        <f>((ES103)/($DP$103+0.00001))*100</f>
        <v>0</v>
      </c>
      <c r="EW103" s="250">
        <f>((ET103)/($DQ$103+0.00001))*100</f>
        <v>0</v>
      </c>
      <c r="EX103" s="249">
        <f>((EU103)/($DR$103+0.00001))*100</f>
        <v>0</v>
      </c>
      <c r="EY103" s="253">
        <f>'الصفحة 32'!$J$40</f>
        <v>0</v>
      </c>
      <c r="EZ103" s="252">
        <f>'الصفحة 32'!$J$41</f>
        <v>0</v>
      </c>
      <c r="FA103" s="251">
        <f>(EY103-EZ103)</f>
        <v>0</v>
      </c>
      <c r="FB103" s="250">
        <f>((EY103)/($DP$103+0.00001))*100</f>
        <v>0</v>
      </c>
      <c r="FC103" s="250">
        <f>((EZ103)/($DQ$103+0.00001))*100</f>
        <v>0</v>
      </c>
      <c r="FD103" s="249">
        <f>((FA103)/($DR$103+0.00001))*100</f>
        <v>0</v>
      </c>
      <c r="FE103" s="253">
        <f>'الصفحة 32'!$J$42</f>
        <v>0</v>
      </c>
      <c r="FF103" s="252">
        <f>'الصفحة 32'!$J$43</f>
        <v>0</v>
      </c>
      <c r="FG103" s="251">
        <f>(FE103-FF103)</f>
        <v>0</v>
      </c>
      <c r="FH103" s="250">
        <f>((FE103)/($DP$103+0.00001))*100</f>
        <v>0</v>
      </c>
      <c r="FI103" s="250">
        <f>((FF103)/($DQ$103+0.00001))*100</f>
        <v>0</v>
      </c>
      <c r="FJ103" s="249">
        <f>((FG103)/($DR$103+0.00001))*100</f>
        <v>0</v>
      </c>
      <c r="FK103" s="253">
        <f>'الصفحة 32'!$J$44</f>
        <v>0</v>
      </c>
      <c r="FL103" s="252">
        <f>'الصفحة 32'!$J$45</f>
        <v>0</v>
      </c>
      <c r="FM103" s="251">
        <f>(FK103-FL103)</f>
        <v>0</v>
      </c>
      <c r="FN103" s="250">
        <f>((FK103)/($DP$103+0.00001))*100</f>
        <v>0</v>
      </c>
      <c r="FO103" s="250">
        <f>((FL103)/($DQ$103+0.00001))*100</f>
        <v>0</v>
      </c>
      <c r="FP103" s="249">
        <f>((FM103)/($DR$103+0.00001))*100</f>
        <v>0</v>
      </c>
      <c r="IV103" s="41"/>
    </row>
    <row r="104" spans="1:256" s="25" customFormat="1" ht="6" customHeight="1">
      <c r="A104" s="248"/>
      <c r="HS104" s="106"/>
      <c r="HT104" s="106"/>
      <c r="HU104" s="106"/>
      <c r="HV104" s="106"/>
      <c r="HW104" s="106"/>
      <c r="HX104" s="203"/>
      <c r="HY104" s="106"/>
      <c r="HZ104" s="106"/>
      <c r="IA104" s="106"/>
      <c r="IB104" s="203"/>
      <c r="IC104" s="106"/>
      <c r="ID104" s="106"/>
      <c r="IE104" s="24"/>
      <c r="IF104" s="24"/>
      <c r="IG104" s="106"/>
      <c r="IH104" s="24"/>
      <c r="II104" s="24"/>
      <c r="IJ104" s="24"/>
      <c r="IK104" s="24"/>
      <c r="IL104" s="24"/>
      <c r="IM104" s="24"/>
      <c r="IN104" s="24"/>
      <c r="IO104" s="24"/>
      <c r="IP104" s="24"/>
      <c r="IQ104" s="24"/>
      <c r="IR104" s="24"/>
      <c r="IS104" s="24"/>
      <c r="IT104" s="24"/>
      <c r="IV104" s="41"/>
    </row>
    <row r="105" spans="1:256" s="25" customFormat="1" ht="6" customHeight="1">
      <c r="A105" s="248"/>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c r="HR105" s="21"/>
      <c r="HS105" s="21"/>
      <c r="HT105" s="21"/>
      <c r="HU105" s="21"/>
      <c r="HV105" s="21"/>
      <c r="HW105" s="21"/>
      <c r="HX105" s="21"/>
      <c r="HY105" s="21"/>
      <c r="HZ105" s="21"/>
      <c r="IA105" s="21"/>
      <c r="IB105" s="21"/>
      <c r="IC105" s="21"/>
      <c r="ID105" s="21"/>
      <c r="IE105" s="21"/>
      <c r="IF105" s="21"/>
      <c r="IG105" s="21"/>
      <c r="IH105" s="21"/>
      <c r="II105" s="21"/>
      <c r="IJ105" s="21"/>
      <c r="IK105" s="21"/>
      <c r="IL105" s="21"/>
      <c r="IM105" s="21"/>
      <c r="IN105" s="21"/>
      <c r="IO105" s="21"/>
      <c r="IP105" s="21"/>
      <c r="IQ105" s="21"/>
      <c r="IR105" s="21"/>
      <c r="IS105" s="21"/>
      <c r="IT105" s="21"/>
      <c r="IV105" s="41"/>
    </row>
    <row r="106" spans="1:256" s="25" customFormat="1" ht="15.75" customHeight="1" thickBot="1">
      <c r="A106" s="5729">
        <v>14</v>
      </c>
      <c r="C106" s="305" t="s">
        <v>343</v>
      </c>
      <c r="N106" s="305" t="s">
        <v>338</v>
      </c>
      <c r="R106" s="305" t="s">
        <v>337</v>
      </c>
      <c r="Y106" s="305" t="s">
        <v>337</v>
      </c>
      <c r="AF106" s="305" t="s">
        <v>337</v>
      </c>
      <c r="AM106" s="305" t="s">
        <v>337</v>
      </c>
      <c r="AT106" s="305" t="s">
        <v>337</v>
      </c>
      <c r="BA106" s="305" t="s">
        <v>337</v>
      </c>
      <c r="BG106" s="305" t="s">
        <v>337</v>
      </c>
      <c r="BM106" s="305" t="s">
        <v>336</v>
      </c>
      <c r="BT106" s="307" t="s">
        <v>335</v>
      </c>
      <c r="BU106" s="306"/>
      <c r="BV106" s="306"/>
      <c r="BW106" s="306"/>
      <c r="BX106" s="306"/>
      <c r="BY106" s="306"/>
      <c r="CB106" s="305" t="s">
        <v>334</v>
      </c>
      <c r="CJ106" s="305" t="s">
        <v>333</v>
      </c>
      <c r="CR106" s="305" t="s">
        <v>332</v>
      </c>
      <c r="CZ106" s="305" t="s">
        <v>331</v>
      </c>
      <c r="DH106" s="305" t="s">
        <v>330</v>
      </c>
      <c r="DP106" s="305" t="s">
        <v>329</v>
      </c>
      <c r="DU106" s="304" t="s">
        <v>328</v>
      </c>
      <c r="EA106" s="304"/>
      <c r="EB106" s="303" t="str">
        <f>DP107</f>
        <v>الرياضيـات</v>
      </c>
      <c r="EG106" s="304" t="str">
        <f>$DU106</f>
        <v>توزيع اساتذة التعليم المتوسط حسب المؤهل العلمي  -</v>
      </c>
      <c r="EM106" s="303" t="str">
        <f>$EB106</f>
        <v>الرياضيـات</v>
      </c>
      <c r="ES106" s="304" t="str">
        <f>$DU106</f>
        <v>توزيع اساتذة التعليم المتوسط حسب المؤهل العلمي  -</v>
      </c>
      <c r="EY106" s="303" t="str">
        <f>$EB106</f>
        <v>الرياضيـات</v>
      </c>
      <c r="FE106" s="304" t="str">
        <f>$DU106</f>
        <v>توزيع اساتذة التعليم المتوسط حسب المؤهل العلمي  -</v>
      </c>
      <c r="FK106" s="303" t="str">
        <f>$EB106</f>
        <v>الرياضيـات</v>
      </c>
      <c r="IV106" s="41"/>
    </row>
    <row r="107" spans="1:256" s="25" customFormat="1" ht="12.75" customHeight="1">
      <c r="A107" s="5729"/>
      <c r="C107" s="302"/>
      <c r="D107" s="300"/>
      <c r="E107" s="300"/>
      <c r="F107" s="300"/>
      <c r="G107" s="301" t="s">
        <v>346</v>
      </c>
      <c r="H107" s="300"/>
      <c r="I107" s="300"/>
      <c r="J107" s="300"/>
      <c r="K107" s="300"/>
      <c r="L107" s="299"/>
      <c r="N107" s="318"/>
      <c r="O107" s="317"/>
      <c r="P107" s="316"/>
      <c r="R107" s="315"/>
      <c r="S107" s="314"/>
      <c r="T107" s="314" t="str">
        <f>O108</f>
        <v>الرياضيـات</v>
      </c>
      <c r="U107" s="300"/>
      <c r="V107" s="300"/>
      <c r="W107" s="299"/>
      <c r="Y107" s="315"/>
      <c r="Z107" s="314"/>
      <c r="AA107" s="314" t="str">
        <f>O108</f>
        <v>الرياضيـات</v>
      </c>
      <c r="AB107" s="300"/>
      <c r="AC107" s="300"/>
      <c r="AD107" s="299"/>
      <c r="AF107" s="315"/>
      <c r="AG107" s="314"/>
      <c r="AH107" s="314" t="str">
        <f>O108</f>
        <v>الرياضيـات</v>
      </c>
      <c r="AI107" s="300"/>
      <c r="AJ107" s="300"/>
      <c r="AK107" s="299"/>
      <c r="AM107" s="315"/>
      <c r="AN107" s="314"/>
      <c r="AO107" s="314" t="str">
        <f>O108</f>
        <v>الرياضيـات</v>
      </c>
      <c r="AP107" s="300"/>
      <c r="AQ107" s="300"/>
      <c r="AR107" s="299"/>
      <c r="AT107" s="315"/>
      <c r="AU107" s="314"/>
      <c r="AV107" s="314" t="str">
        <f>O108</f>
        <v>الرياضيـات</v>
      </c>
      <c r="AW107" s="300"/>
      <c r="AX107" s="300"/>
      <c r="AY107" s="299"/>
      <c r="BA107" s="315"/>
      <c r="BB107" s="314"/>
      <c r="BC107" s="314" t="str">
        <f>O108</f>
        <v>الرياضيـات</v>
      </c>
      <c r="BD107" s="300"/>
      <c r="BE107" s="300"/>
      <c r="BF107" s="299"/>
      <c r="BG107" s="315"/>
      <c r="BH107" s="314"/>
      <c r="BI107" s="314" t="str">
        <f>O108</f>
        <v>الرياضيـات</v>
      </c>
      <c r="BJ107" s="300"/>
      <c r="BK107" s="300"/>
      <c r="BL107" s="299"/>
      <c r="BM107" s="298"/>
      <c r="BN107" s="297"/>
      <c r="BO107" s="297"/>
      <c r="BP107" s="297"/>
      <c r="BQ107" s="297"/>
      <c r="BR107" s="296"/>
      <c r="BT107" s="5146" t="str">
        <f>O108</f>
        <v>الرياضيـات</v>
      </c>
      <c r="BU107" s="5147"/>
      <c r="BV107" s="5147"/>
      <c r="BW107" s="5147"/>
      <c r="BX107" s="5147"/>
      <c r="BY107" s="5148"/>
      <c r="CB107" s="5146" t="str">
        <f>O108</f>
        <v>الرياضيـات</v>
      </c>
      <c r="CC107" s="5147"/>
      <c r="CD107" s="5147"/>
      <c r="CE107" s="5147"/>
      <c r="CF107" s="5147"/>
      <c r="CG107" s="5148"/>
      <c r="CJ107" s="5146" t="str">
        <f>O108</f>
        <v>الرياضيـات</v>
      </c>
      <c r="CK107" s="5147"/>
      <c r="CL107" s="5147"/>
      <c r="CM107" s="5147"/>
      <c r="CN107" s="5147"/>
      <c r="CO107" s="5148"/>
      <c r="CR107" s="5146" t="str">
        <f>O108</f>
        <v>الرياضيـات</v>
      </c>
      <c r="CS107" s="5147"/>
      <c r="CT107" s="5147"/>
      <c r="CU107" s="5147"/>
      <c r="CV107" s="5147"/>
      <c r="CW107" s="5148"/>
      <c r="CZ107" s="5146" t="str">
        <f>O108</f>
        <v>الرياضيـات</v>
      </c>
      <c r="DA107" s="5147"/>
      <c r="DB107" s="5147"/>
      <c r="DC107" s="5147"/>
      <c r="DD107" s="5147"/>
      <c r="DE107" s="5148"/>
      <c r="DH107" s="5146" t="str">
        <f>O108</f>
        <v>الرياضيـات</v>
      </c>
      <c r="DI107" s="5147"/>
      <c r="DJ107" s="5147"/>
      <c r="DK107" s="5147"/>
      <c r="DL107" s="5147"/>
      <c r="DM107" s="5148"/>
      <c r="DP107" s="5146" t="str">
        <f>O108</f>
        <v>الرياضيـات</v>
      </c>
      <c r="DQ107" s="5147"/>
      <c r="DR107" s="5148"/>
      <c r="DU107" s="5758" t="s">
        <v>57</v>
      </c>
      <c r="DV107" s="5759"/>
      <c r="DW107" s="5759"/>
      <c r="DX107" s="5759"/>
      <c r="DY107" s="5759"/>
      <c r="DZ107" s="5760"/>
      <c r="EA107" s="5758" t="s">
        <v>56</v>
      </c>
      <c r="EB107" s="5759"/>
      <c r="EC107" s="5759"/>
      <c r="ED107" s="5759"/>
      <c r="EE107" s="5759"/>
      <c r="EF107" s="5760"/>
      <c r="EG107" s="5758" t="s">
        <v>55</v>
      </c>
      <c r="EH107" s="5759"/>
      <c r="EI107" s="5759"/>
      <c r="EJ107" s="5759"/>
      <c r="EK107" s="5759"/>
      <c r="EL107" s="5760"/>
      <c r="EM107" s="5758" t="s">
        <v>54</v>
      </c>
      <c r="EN107" s="5759"/>
      <c r="EO107" s="5759"/>
      <c r="EP107" s="5759"/>
      <c r="EQ107" s="5759"/>
      <c r="ER107" s="5760"/>
      <c r="ES107" s="5758" t="s">
        <v>53</v>
      </c>
      <c r="ET107" s="5759"/>
      <c r="EU107" s="5759"/>
      <c r="EV107" s="5759"/>
      <c r="EW107" s="5759"/>
      <c r="EX107" s="5760"/>
      <c r="EY107" s="5758" t="s">
        <v>52</v>
      </c>
      <c r="EZ107" s="5759"/>
      <c r="FA107" s="5759"/>
      <c r="FB107" s="5759"/>
      <c r="FC107" s="5759"/>
      <c r="FD107" s="5760"/>
      <c r="FE107" s="5758" t="s">
        <v>51</v>
      </c>
      <c r="FF107" s="5759"/>
      <c r="FG107" s="5759"/>
      <c r="FH107" s="5759"/>
      <c r="FI107" s="5759"/>
      <c r="FJ107" s="5760"/>
      <c r="FK107" s="5758" t="s">
        <v>50</v>
      </c>
      <c r="FL107" s="5759"/>
      <c r="FM107" s="5759"/>
      <c r="FN107" s="5759"/>
      <c r="FO107" s="5759"/>
      <c r="FP107" s="5760"/>
      <c r="IV107" s="41"/>
    </row>
    <row r="108" spans="1:256" s="25" customFormat="1" ht="12.75" customHeight="1" thickBot="1">
      <c r="A108" s="5729"/>
      <c r="C108" s="295"/>
      <c r="D108" s="293"/>
      <c r="E108" s="291" t="s">
        <v>326</v>
      </c>
      <c r="F108" s="294"/>
      <c r="G108" s="293"/>
      <c r="H108" s="291" t="s">
        <v>325</v>
      </c>
      <c r="I108" s="290"/>
      <c r="J108" s="292"/>
      <c r="K108" s="291" t="s">
        <v>324</v>
      </c>
      <c r="L108" s="290"/>
      <c r="N108" s="313"/>
      <c r="O108" s="312" t="s">
        <v>42</v>
      </c>
      <c r="P108" s="311"/>
      <c r="R108" s="5164" t="s">
        <v>645</v>
      </c>
      <c r="S108" s="5165"/>
      <c r="T108" s="5165"/>
      <c r="U108" s="5165"/>
      <c r="V108" s="5165"/>
      <c r="W108" s="5166"/>
      <c r="Y108" s="5164" t="s">
        <v>323</v>
      </c>
      <c r="Z108" s="5165"/>
      <c r="AA108" s="5165"/>
      <c r="AB108" s="5165"/>
      <c r="AC108" s="5165"/>
      <c r="AD108" s="5166"/>
      <c r="AF108" s="5164" t="s">
        <v>322</v>
      </c>
      <c r="AG108" s="5165"/>
      <c r="AH108" s="5165"/>
      <c r="AI108" s="5165"/>
      <c r="AJ108" s="5165"/>
      <c r="AK108" s="5166"/>
      <c r="AM108" s="5164" t="s">
        <v>321</v>
      </c>
      <c r="AN108" s="5165"/>
      <c r="AO108" s="5165"/>
      <c r="AP108" s="5165"/>
      <c r="AQ108" s="5165"/>
      <c r="AR108" s="5166"/>
      <c r="AT108" s="5164" t="s">
        <v>644</v>
      </c>
      <c r="AU108" s="5165"/>
      <c r="AV108" s="5165"/>
      <c r="AW108" s="5165"/>
      <c r="AX108" s="5165"/>
      <c r="AY108" s="5166"/>
      <c r="BA108" s="5164" t="s">
        <v>642</v>
      </c>
      <c r="BB108" s="5165"/>
      <c r="BC108" s="5165"/>
      <c r="BD108" s="5165"/>
      <c r="BE108" s="5165"/>
      <c r="BF108" s="5166"/>
      <c r="BG108" s="5164" t="s">
        <v>643</v>
      </c>
      <c r="BH108" s="5165"/>
      <c r="BI108" s="5165"/>
      <c r="BJ108" s="5165"/>
      <c r="BK108" s="5165"/>
      <c r="BL108" s="5166"/>
      <c r="BM108" s="289"/>
      <c r="BN108" s="286"/>
      <c r="BO108" s="288" t="str">
        <f>O108</f>
        <v>الرياضيـات</v>
      </c>
      <c r="BP108" s="287"/>
      <c r="BQ108" s="286"/>
      <c r="BR108" s="285"/>
      <c r="BT108" s="5149"/>
      <c r="BU108" s="5150"/>
      <c r="BV108" s="5150"/>
      <c r="BW108" s="5150"/>
      <c r="BX108" s="5150"/>
      <c r="BY108" s="5151"/>
      <c r="CB108" s="5149"/>
      <c r="CC108" s="5150"/>
      <c r="CD108" s="5150"/>
      <c r="CE108" s="5150"/>
      <c r="CF108" s="5150"/>
      <c r="CG108" s="5151"/>
      <c r="CJ108" s="5149"/>
      <c r="CK108" s="5150"/>
      <c r="CL108" s="5150"/>
      <c r="CM108" s="5150"/>
      <c r="CN108" s="5150"/>
      <c r="CO108" s="5151"/>
      <c r="CR108" s="5149"/>
      <c r="CS108" s="5150"/>
      <c r="CT108" s="5150"/>
      <c r="CU108" s="5150"/>
      <c r="CV108" s="5150"/>
      <c r="CW108" s="5151"/>
      <c r="CZ108" s="5149"/>
      <c r="DA108" s="5150"/>
      <c r="DB108" s="5150"/>
      <c r="DC108" s="5150"/>
      <c r="DD108" s="5150"/>
      <c r="DE108" s="5151"/>
      <c r="DH108" s="5149"/>
      <c r="DI108" s="5150"/>
      <c r="DJ108" s="5150"/>
      <c r="DK108" s="5150"/>
      <c r="DL108" s="5150"/>
      <c r="DM108" s="5151"/>
      <c r="DP108" s="5771"/>
      <c r="DQ108" s="5772"/>
      <c r="DR108" s="5773"/>
      <c r="DU108" s="5761"/>
      <c r="DV108" s="5762"/>
      <c r="DW108" s="5762"/>
      <c r="DX108" s="5762"/>
      <c r="DY108" s="5762"/>
      <c r="DZ108" s="5763"/>
      <c r="EA108" s="5761"/>
      <c r="EB108" s="5762"/>
      <c r="EC108" s="5762"/>
      <c r="ED108" s="5762"/>
      <c r="EE108" s="5762"/>
      <c r="EF108" s="5763"/>
      <c r="EG108" s="5761"/>
      <c r="EH108" s="5762"/>
      <c r="EI108" s="5762"/>
      <c r="EJ108" s="5762"/>
      <c r="EK108" s="5762"/>
      <c r="EL108" s="5763"/>
      <c r="EM108" s="5761"/>
      <c r="EN108" s="5762"/>
      <c r="EO108" s="5762"/>
      <c r="EP108" s="5762"/>
      <c r="EQ108" s="5762"/>
      <c r="ER108" s="5763"/>
      <c r="ES108" s="5761"/>
      <c r="ET108" s="5762"/>
      <c r="EU108" s="5762"/>
      <c r="EV108" s="5762"/>
      <c r="EW108" s="5762"/>
      <c r="EX108" s="5763"/>
      <c r="EY108" s="5761"/>
      <c r="EZ108" s="5762"/>
      <c r="FA108" s="5762"/>
      <c r="FB108" s="5762"/>
      <c r="FC108" s="5762"/>
      <c r="FD108" s="5763"/>
      <c r="FE108" s="5761"/>
      <c r="FF108" s="5762"/>
      <c r="FG108" s="5762"/>
      <c r="FH108" s="5762"/>
      <c r="FI108" s="5762"/>
      <c r="FJ108" s="5763"/>
      <c r="FK108" s="5761"/>
      <c r="FL108" s="5762"/>
      <c r="FM108" s="5762"/>
      <c r="FN108" s="5762"/>
      <c r="FO108" s="5762"/>
      <c r="FP108" s="5763"/>
      <c r="IV108" s="41"/>
    </row>
    <row r="109" spans="1:256" s="25" customFormat="1" ht="12.75" customHeight="1">
      <c r="A109" s="5729"/>
      <c r="C109" s="284"/>
      <c r="D109" s="282"/>
      <c r="E109" s="282"/>
      <c r="F109" s="282"/>
      <c r="G109" s="282"/>
      <c r="H109" s="282"/>
      <c r="I109" s="281"/>
      <c r="J109" s="283"/>
      <c r="K109" s="282"/>
      <c r="L109" s="281"/>
      <c r="N109" s="310"/>
      <c r="O109" s="309"/>
      <c r="P109" s="308"/>
      <c r="R109" s="5167"/>
      <c r="S109" s="5168"/>
      <c r="T109" s="5168"/>
      <c r="U109" s="5168"/>
      <c r="V109" s="5168"/>
      <c r="W109" s="5169"/>
      <c r="Y109" s="5167"/>
      <c r="Z109" s="5168"/>
      <c r="AA109" s="5168"/>
      <c r="AB109" s="5168"/>
      <c r="AC109" s="5168"/>
      <c r="AD109" s="5169"/>
      <c r="AF109" s="5167"/>
      <c r="AG109" s="5168"/>
      <c r="AH109" s="5168"/>
      <c r="AI109" s="5168"/>
      <c r="AJ109" s="5168"/>
      <c r="AK109" s="5169"/>
      <c r="AM109" s="5167"/>
      <c r="AN109" s="5168"/>
      <c r="AO109" s="5168"/>
      <c r="AP109" s="5168"/>
      <c r="AQ109" s="5168"/>
      <c r="AR109" s="5169"/>
      <c r="AT109" s="5167"/>
      <c r="AU109" s="5168"/>
      <c r="AV109" s="5168"/>
      <c r="AW109" s="5168"/>
      <c r="AX109" s="5168"/>
      <c r="AY109" s="5169"/>
      <c r="BA109" s="5167"/>
      <c r="BB109" s="5168"/>
      <c r="BC109" s="5168"/>
      <c r="BD109" s="5168"/>
      <c r="BE109" s="5168"/>
      <c r="BF109" s="5169"/>
      <c r="BG109" s="5167"/>
      <c r="BH109" s="5168"/>
      <c r="BI109" s="5168"/>
      <c r="BJ109" s="5168"/>
      <c r="BK109" s="5168"/>
      <c r="BL109" s="5169"/>
      <c r="BM109" s="280"/>
      <c r="BN109" s="279"/>
      <c r="BO109" s="279"/>
      <c r="BP109" s="279"/>
      <c r="BQ109" s="279"/>
      <c r="BR109" s="278"/>
      <c r="BT109" s="5130" t="s">
        <v>318</v>
      </c>
      <c r="BU109" s="5131"/>
      <c r="BV109" s="5132"/>
      <c r="BW109" s="5144" t="s">
        <v>317</v>
      </c>
      <c r="BX109" s="5131"/>
      <c r="BY109" s="5145"/>
      <c r="CB109" s="5130" t="s">
        <v>318</v>
      </c>
      <c r="CC109" s="5131"/>
      <c r="CD109" s="5132"/>
      <c r="CE109" s="5144" t="s">
        <v>317</v>
      </c>
      <c r="CF109" s="5131"/>
      <c r="CG109" s="5145"/>
      <c r="CJ109" s="5130" t="s">
        <v>318</v>
      </c>
      <c r="CK109" s="5131"/>
      <c r="CL109" s="5132"/>
      <c r="CM109" s="5144" t="s">
        <v>317</v>
      </c>
      <c r="CN109" s="5131"/>
      <c r="CO109" s="5145"/>
      <c r="CR109" s="5152" t="s">
        <v>320</v>
      </c>
      <c r="CS109" s="5153"/>
      <c r="CT109" s="5153"/>
      <c r="CU109" s="5152" t="s">
        <v>319</v>
      </c>
      <c r="CV109" s="5153"/>
      <c r="CW109" s="5154"/>
      <c r="CZ109" s="5130" t="s">
        <v>318</v>
      </c>
      <c r="DA109" s="5131"/>
      <c r="DB109" s="5132"/>
      <c r="DC109" s="5144" t="s">
        <v>317</v>
      </c>
      <c r="DD109" s="5131"/>
      <c r="DE109" s="5145"/>
      <c r="DH109" s="5130" t="s">
        <v>318</v>
      </c>
      <c r="DI109" s="5131"/>
      <c r="DJ109" s="5132"/>
      <c r="DK109" s="5144" t="s">
        <v>317</v>
      </c>
      <c r="DL109" s="5131"/>
      <c r="DM109" s="5145"/>
      <c r="DP109" s="5130" t="s">
        <v>318</v>
      </c>
      <c r="DQ109" s="5131"/>
      <c r="DR109" s="5145"/>
      <c r="DU109" s="277"/>
      <c r="DV109" s="274" t="s">
        <v>318</v>
      </c>
      <c r="DW109" s="276"/>
      <c r="DX109" s="275"/>
      <c r="DY109" s="274" t="s">
        <v>317</v>
      </c>
      <c r="DZ109" s="273"/>
      <c r="EA109" s="277"/>
      <c r="EB109" s="274" t="s">
        <v>318</v>
      </c>
      <c r="EC109" s="276"/>
      <c r="ED109" s="275"/>
      <c r="EE109" s="274" t="s">
        <v>317</v>
      </c>
      <c r="EF109" s="273"/>
      <c r="EG109" s="277"/>
      <c r="EH109" s="274" t="s">
        <v>318</v>
      </c>
      <c r="EI109" s="276"/>
      <c r="EJ109" s="275"/>
      <c r="EK109" s="274" t="s">
        <v>317</v>
      </c>
      <c r="EL109" s="273"/>
      <c r="EM109" s="277"/>
      <c r="EN109" s="274" t="s">
        <v>318</v>
      </c>
      <c r="EO109" s="276"/>
      <c r="EP109" s="275"/>
      <c r="EQ109" s="274" t="s">
        <v>317</v>
      </c>
      <c r="ER109" s="273"/>
      <c r="ES109" s="277"/>
      <c r="ET109" s="274" t="s">
        <v>318</v>
      </c>
      <c r="EU109" s="276"/>
      <c r="EV109" s="275"/>
      <c r="EW109" s="274" t="s">
        <v>317</v>
      </c>
      <c r="EX109" s="273"/>
      <c r="EY109" s="277"/>
      <c r="EZ109" s="274" t="s">
        <v>318</v>
      </c>
      <c r="FA109" s="276"/>
      <c r="FB109" s="275"/>
      <c r="FC109" s="274" t="s">
        <v>317</v>
      </c>
      <c r="FD109" s="273"/>
      <c r="FE109" s="277"/>
      <c r="FF109" s="274" t="s">
        <v>318</v>
      </c>
      <c r="FG109" s="276"/>
      <c r="FH109" s="275"/>
      <c r="FI109" s="274" t="s">
        <v>317</v>
      </c>
      <c r="FJ109" s="273"/>
      <c r="FK109" s="277"/>
      <c r="FL109" s="274" t="s">
        <v>318</v>
      </c>
      <c r="FM109" s="276"/>
      <c r="FN109" s="275"/>
      <c r="FO109" s="274" t="s">
        <v>317</v>
      </c>
      <c r="FP109" s="273"/>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c r="HL109" s="27"/>
      <c r="HM109" s="27"/>
      <c r="HN109" s="27"/>
      <c r="HO109" s="27"/>
      <c r="HP109" s="27"/>
      <c r="HQ109" s="27"/>
      <c r="HR109" s="27"/>
      <c r="HS109" s="27"/>
      <c r="HT109" s="27"/>
      <c r="HU109" s="27"/>
      <c r="HV109" s="27"/>
      <c r="HW109" s="27"/>
      <c r="HX109" s="27"/>
      <c r="HY109" s="27"/>
      <c r="HZ109" s="27"/>
      <c r="IA109" s="27"/>
      <c r="IB109" s="27"/>
      <c r="IC109" s="27"/>
      <c r="ID109" s="27"/>
      <c r="IE109" s="27"/>
      <c r="IF109" s="27"/>
      <c r="IG109" s="27"/>
      <c r="IH109" s="27"/>
      <c r="II109" s="27"/>
      <c r="IJ109" s="27"/>
      <c r="IK109" s="27"/>
      <c r="IL109" s="27"/>
      <c r="IM109" s="27"/>
      <c r="IN109" s="27"/>
      <c r="IO109" s="27"/>
      <c r="IP109" s="27"/>
      <c r="IQ109" s="27"/>
      <c r="IR109" s="27"/>
      <c r="IS109" s="27"/>
      <c r="IT109" s="27"/>
      <c r="IV109" s="41"/>
    </row>
    <row r="110" spans="1:256" s="25" customFormat="1" ht="14.4">
      <c r="A110" s="5729"/>
      <c r="C110" s="272" t="s">
        <v>316</v>
      </c>
      <c r="D110" s="270" t="s">
        <v>20</v>
      </c>
      <c r="E110" s="270" t="s">
        <v>49</v>
      </c>
      <c r="F110" s="270" t="s">
        <v>311</v>
      </c>
      <c r="G110" s="270" t="s">
        <v>20</v>
      </c>
      <c r="H110" s="270" t="s">
        <v>49</v>
      </c>
      <c r="I110" s="269" t="s">
        <v>311</v>
      </c>
      <c r="J110" s="271" t="s">
        <v>20</v>
      </c>
      <c r="K110" s="270" t="s">
        <v>49</v>
      </c>
      <c r="L110" s="269" t="s">
        <v>311</v>
      </c>
      <c r="N110" s="266" t="s">
        <v>20</v>
      </c>
      <c r="O110" s="264" t="s">
        <v>49</v>
      </c>
      <c r="P110" s="263" t="s">
        <v>311</v>
      </c>
      <c r="R110" s="266" t="s">
        <v>20</v>
      </c>
      <c r="S110" s="264" t="s">
        <v>49</v>
      </c>
      <c r="T110" s="265" t="s">
        <v>311</v>
      </c>
      <c r="U110" s="264" t="s">
        <v>310</v>
      </c>
      <c r="V110" s="264" t="s">
        <v>309</v>
      </c>
      <c r="W110" s="263" t="s">
        <v>308</v>
      </c>
      <c r="Y110" s="266" t="s">
        <v>20</v>
      </c>
      <c r="Z110" s="264" t="s">
        <v>49</v>
      </c>
      <c r="AA110" s="265" t="s">
        <v>311</v>
      </c>
      <c r="AB110" s="264" t="s">
        <v>310</v>
      </c>
      <c r="AC110" s="264" t="s">
        <v>309</v>
      </c>
      <c r="AD110" s="263" t="s">
        <v>308</v>
      </c>
      <c r="AF110" s="266" t="s">
        <v>20</v>
      </c>
      <c r="AG110" s="264" t="s">
        <v>49</v>
      </c>
      <c r="AH110" s="265" t="s">
        <v>311</v>
      </c>
      <c r="AI110" s="264" t="s">
        <v>310</v>
      </c>
      <c r="AJ110" s="264" t="s">
        <v>309</v>
      </c>
      <c r="AK110" s="263" t="s">
        <v>308</v>
      </c>
      <c r="AM110" s="266" t="s">
        <v>20</v>
      </c>
      <c r="AN110" s="264" t="s">
        <v>49</v>
      </c>
      <c r="AO110" s="265" t="s">
        <v>311</v>
      </c>
      <c r="AP110" s="264" t="s">
        <v>310</v>
      </c>
      <c r="AQ110" s="264" t="s">
        <v>309</v>
      </c>
      <c r="AR110" s="263" t="s">
        <v>308</v>
      </c>
      <c r="AT110" s="266" t="s">
        <v>20</v>
      </c>
      <c r="AU110" s="264" t="s">
        <v>49</v>
      </c>
      <c r="AV110" s="265" t="s">
        <v>311</v>
      </c>
      <c r="AW110" s="264" t="s">
        <v>310</v>
      </c>
      <c r="AX110" s="264" t="s">
        <v>309</v>
      </c>
      <c r="AY110" s="263" t="s">
        <v>308</v>
      </c>
      <c r="BA110" s="266" t="s">
        <v>20</v>
      </c>
      <c r="BB110" s="264" t="s">
        <v>49</v>
      </c>
      <c r="BC110" s="265" t="s">
        <v>311</v>
      </c>
      <c r="BD110" s="264" t="s">
        <v>310</v>
      </c>
      <c r="BE110" s="264" t="s">
        <v>309</v>
      </c>
      <c r="BF110" s="263" t="s">
        <v>308</v>
      </c>
      <c r="BG110" s="266" t="s">
        <v>20</v>
      </c>
      <c r="BH110" s="264" t="s">
        <v>49</v>
      </c>
      <c r="BI110" s="265" t="s">
        <v>311</v>
      </c>
      <c r="BJ110" s="264" t="s">
        <v>310</v>
      </c>
      <c r="BK110" s="264" t="s">
        <v>309</v>
      </c>
      <c r="BL110" s="263" t="s">
        <v>308</v>
      </c>
      <c r="BM110" s="266" t="s">
        <v>20</v>
      </c>
      <c r="BN110" s="264" t="s">
        <v>49</v>
      </c>
      <c r="BO110" s="265" t="s">
        <v>311</v>
      </c>
      <c r="BP110" s="264" t="s">
        <v>310</v>
      </c>
      <c r="BQ110" s="264" t="s">
        <v>309</v>
      </c>
      <c r="BR110" s="263" t="s">
        <v>308</v>
      </c>
      <c r="BT110" s="266" t="s">
        <v>20</v>
      </c>
      <c r="BU110" s="264" t="s">
        <v>49</v>
      </c>
      <c r="BV110" s="265" t="s">
        <v>311</v>
      </c>
      <c r="BW110" s="264" t="s">
        <v>310</v>
      </c>
      <c r="BX110" s="264" t="s">
        <v>309</v>
      </c>
      <c r="BY110" s="263" t="s">
        <v>308</v>
      </c>
      <c r="CB110" s="266" t="s">
        <v>20</v>
      </c>
      <c r="CC110" s="264" t="s">
        <v>49</v>
      </c>
      <c r="CD110" s="265" t="s">
        <v>311</v>
      </c>
      <c r="CE110" s="264" t="s">
        <v>310</v>
      </c>
      <c r="CF110" s="264" t="s">
        <v>309</v>
      </c>
      <c r="CG110" s="263" t="s">
        <v>308</v>
      </c>
      <c r="CJ110" s="266" t="s">
        <v>20</v>
      </c>
      <c r="CK110" s="264" t="s">
        <v>49</v>
      </c>
      <c r="CL110" s="265" t="s">
        <v>311</v>
      </c>
      <c r="CM110" s="264" t="s">
        <v>310</v>
      </c>
      <c r="CN110" s="264" t="s">
        <v>309</v>
      </c>
      <c r="CO110" s="263" t="s">
        <v>308</v>
      </c>
      <c r="CR110" s="266" t="s">
        <v>313</v>
      </c>
      <c r="CS110" s="264" t="s">
        <v>315</v>
      </c>
      <c r="CT110" s="268" t="s">
        <v>314</v>
      </c>
      <c r="CU110" s="267" t="s">
        <v>313</v>
      </c>
      <c r="CV110" s="264" t="s">
        <v>28</v>
      </c>
      <c r="CW110" s="263" t="s">
        <v>312</v>
      </c>
      <c r="CZ110" s="266" t="s">
        <v>20</v>
      </c>
      <c r="DA110" s="264" t="s">
        <v>49</v>
      </c>
      <c r="DB110" s="265" t="s">
        <v>311</v>
      </c>
      <c r="DC110" s="264" t="s">
        <v>310</v>
      </c>
      <c r="DD110" s="264" t="s">
        <v>309</v>
      </c>
      <c r="DE110" s="263" t="s">
        <v>308</v>
      </c>
      <c r="DH110" s="266" t="s">
        <v>20</v>
      </c>
      <c r="DI110" s="264" t="s">
        <v>49</v>
      </c>
      <c r="DJ110" s="265" t="s">
        <v>311</v>
      </c>
      <c r="DK110" s="264" t="s">
        <v>310</v>
      </c>
      <c r="DL110" s="264" t="s">
        <v>309</v>
      </c>
      <c r="DM110" s="263" t="s">
        <v>308</v>
      </c>
      <c r="DP110" s="266" t="s">
        <v>20</v>
      </c>
      <c r="DQ110" s="264" t="s">
        <v>49</v>
      </c>
      <c r="DR110" s="263" t="s">
        <v>311</v>
      </c>
      <c r="DU110" s="266" t="s">
        <v>20</v>
      </c>
      <c r="DV110" s="264" t="s">
        <v>49</v>
      </c>
      <c r="DW110" s="265" t="s">
        <v>311</v>
      </c>
      <c r="DX110" s="264" t="s">
        <v>310</v>
      </c>
      <c r="DY110" s="264" t="s">
        <v>309</v>
      </c>
      <c r="DZ110" s="263" t="s">
        <v>308</v>
      </c>
      <c r="EA110" s="266" t="s">
        <v>20</v>
      </c>
      <c r="EB110" s="264" t="s">
        <v>49</v>
      </c>
      <c r="EC110" s="265" t="s">
        <v>311</v>
      </c>
      <c r="ED110" s="264" t="s">
        <v>310</v>
      </c>
      <c r="EE110" s="264" t="s">
        <v>309</v>
      </c>
      <c r="EF110" s="263" t="s">
        <v>308</v>
      </c>
      <c r="EG110" s="266" t="s">
        <v>20</v>
      </c>
      <c r="EH110" s="264" t="s">
        <v>49</v>
      </c>
      <c r="EI110" s="265" t="s">
        <v>311</v>
      </c>
      <c r="EJ110" s="264" t="s">
        <v>310</v>
      </c>
      <c r="EK110" s="264" t="s">
        <v>309</v>
      </c>
      <c r="EL110" s="263" t="s">
        <v>308</v>
      </c>
      <c r="EM110" s="266" t="s">
        <v>20</v>
      </c>
      <c r="EN110" s="264" t="s">
        <v>49</v>
      </c>
      <c r="EO110" s="265" t="s">
        <v>311</v>
      </c>
      <c r="EP110" s="264" t="s">
        <v>310</v>
      </c>
      <c r="EQ110" s="264" t="s">
        <v>309</v>
      </c>
      <c r="ER110" s="263" t="s">
        <v>308</v>
      </c>
      <c r="ES110" s="266" t="s">
        <v>20</v>
      </c>
      <c r="ET110" s="264" t="s">
        <v>49</v>
      </c>
      <c r="EU110" s="265" t="s">
        <v>311</v>
      </c>
      <c r="EV110" s="264" t="s">
        <v>310</v>
      </c>
      <c r="EW110" s="264" t="s">
        <v>309</v>
      </c>
      <c r="EX110" s="263" t="s">
        <v>308</v>
      </c>
      <c r="EY110" s="266" t="s">
        <v>20</v>
      </c>
      <c r="EZ110" s="264" t="s">
        <v>49</v>
      </c>
      <c r="FA110" s="265" t="s">
        <v>311</v>
      </c>
      <c r="FB110" s="264" t="s">
        <v>310</v>
      </c>
      <c r="FC110" s="264" t="s">
        <v>309</v>
      </c>
      <c r="FD110" s="263" t="s">
        <v>308</v>
      </c>
      <c r="FE110" s="266" t="s">
        <v>20</v>
      </c>
      <c r="FF110" s="264" t="s">
        <v>49</v>
      </c>
      <c r="FG110" s="265" t="s">
        <v>311</v>
      </c>
      <c r="FH110" s="264" t="s">
        <v>310</v>
      </c>
      <c r="FI110" s="264" t="s">
        <v>309</v>
      </c>
      <c r="FJ110" s="263" t="s">
        <v>308</v>
      </c>
      <c r="FK110" s="266" t="s">
        <v>20</v>
      </c>
      <c r="FL110" s="264" t="s">
        <v>49</v>
      </c>
      <c r="FM110" s="265" t="s">
        <v>311</v>
      </c>
      <c r="FN110" s="264" t="s">
        <v>310</v>
      </c>
      <c r="FO110" s="264" t="s">
        <v>309</v>
      </c>
      <c r="FP110" s="263" t="s">
        <v>308</v>
      </c>
      <c r="IV110" s="41"/>
    </row>
    <row r="111" spans="1:256" s="25" customFormat="1" ht="13.5" customHeight="1" thickBot="1">
      <c r="A111" s="5729"/>
      <c r="C111" s="253">
        <f>('الصفحة 27'!$F$51)</f>
        <v>6</v>
      </c>
      <c r="D111" s="252">
        <f>'الصفحة 27'!$M$51</f>
        <v>6</v>
      </c>
      <c r="E111" s="252">
        <f>'الصفحة 27'!$N$51</f>
        <v>4</v>
      </c>
      <c r="F111" s="251">
        <f>(D111-E111)</f>
        <v>2</v>
      </c>
      <c r="G111" s="251">
        <f>('الصفحة 27'!$K$51)</f>
        <v>1</v>
      </c>
      <c r="H111" s="262">
        <f>('الصفحة 27'!$L$51)</f>
        <v>1</v>
      </c>
      <c r="I111" s="261">
        <f>(G111-H111)</f>
        <v>0</v>
      </c>
      <c r="J111" s="260">
        <f>((G111)/($D$63+0.00001))*100</f>
        <v>2.9411756055365861</v>
      </c>
      <c r="K111" s="250">
        <f>((H111)/($E$63+0.00001))*100</f>
        <v>3.8461523668644739</v>
      </c>
      <c r="L111" s="249">
        <f>((I111)/(F111+0.00001))*100</f>
        <v>0</v>
      </c>
      <c r="N111" s="253">
        <f>'الصفحة 27'!$K$21</f>
        <v>5</v>
      </c>
      <c r="O111" s="252">
        <f>'الصفحة 27'!$K$22</f>
        <v>3</v>
      </c>
      <c r="P111" s="258">
        <f>(N111-O111)</f>
        <v>2</v>
      </c>
      <c r="R111" s="253">
        <f>'الصفحة 27'!$F$21</f>
        <v>2</v>
      </c>
      <c r="S111" s="252">
        <f>'الصفحة 27'!$F$22</f>
        <v>0</v>
      </c>
      <c r="T111" s="252">
        <f>(R111-S111)</f>
        <v>2</v>
      </c>
      <c r="U111" s="257">
        <f>(R111/($N$63+0.00001))*100</f>
        <v>7.1428545918376454</v>
      </c>
      <c r="V111" s="257">
        <f>(S111/($O$63+0.00001))*100</f>
        <v>0</v>
      </c>
      <c r="W111" s="256">
        <f>(T111/($P$63+0.00001))*100</f>
        <v>24.999968750039063</v>
      </c>
      <c r="Y111" s="253">
        <f>'الصفحة 27'!$G$21</f>
        <v>0</v>
      </c>
      <c r="Z111" s="252">
        <f>'الصفحة 27'!$G$22</f>
        <v>0</v>
      </c>
      <c r="AA111" s="252">
        <f>(Y111-Z111)</f>
        <v>0</v>
      </c>
      <c r="AB111" s="257">
        <f>(Y111/($N$63+0.00001))*100</f>
        <v>0</v>
      </c>
      <c r="AC111" s="257">
        <f>(Z111/($O$63+0.00001))*100</f>
        <v>0</v>
      </c>
      <c r="AD111" s="256">
        <f>(AA111/($P$63+0.00001))*100</f>
        <v>0</v>
      </c>
      <c r="AF111" s="253">
        <f>'الصفحة 27'!$H$21</f>
        <v>0</v>
      </c>
      <c r="AG111" s="252">
        <f>'الصفحة 27'!$H$22</f>
        <v>0</v>
      </c>
      <c r="AH111" s="252">
        <f>(AF111-AG111)</f>
        <v>0</v>
      </c>
      <c r="AI111" s="257">
        <f>(AF111/($N$63+0.00001))*100</f>
        <v>0</v>
      </c>
      <c r="AJ111" s="257">
        <f>(AG111/($O$63+0.00001))*100</f>
        <v>0</v>
      </c>
      <c r="AK111" s="256">
        <f>(AH111/($P$63+0.00001))*100</f>
        <v>0</v>
      </c>
      <c r="AM111" s="253">
        <f>'الصفحة 27'!$I$21</f>
        <v>3</v>
      </c>
      <c r="AN111" s="252">
        <f>'الصفحة 27'!$I$22</f>
        <v>3</v>
      </c>
      <c r="AO111" s="252">
        <f>(AM111-AN111)</f>
        <v>0</v>
      </c>
      <c r="AP111" s="257">
        <f>(AM111/($N$63+0.00001))*100</f>
        <v>10.714281887756469</v>
      </c>
      <c r="AQ111" s="257">
        <f>(AN111/($O$63+0.00001))*100</f>
        <v>14.999992500003751</v>
      </c>
      <c r="AR111" s="256">
        <f>(AO111/($P$63+0.00001))*100</f>
        <v>0</v>
      </c>
      <c r="AT111" s="253">
        <f>'الصفحة 27'!$J$21</f>
        <v>0</v>
      </c>
      <c r="AU111" s="252">
        <f>'الصفحة 27'!$J$22</f>
        <v>0</v>
      </c>
      <c r="AV111" s="252">
        <f>(AT111-AU111)</f>
        <v>0</v>
      </c>
      <c r="AW111" s="257">
        <f>(AT111/($N$63+0.00001))*100</f>
        <v>0</v>
      </c>
      <c r="AX111" s="257">
        <f>(AU111/($O$63+0.00001))*100</f>
        <v>0</v>
      </c>
      <c r="AY111" s="256">
        <f>(AV111/($P$63+0.00001))*100</f>
        <v>0</v>
      </c>
      <c r="BA111" s="253" t="e">
        <f>'الصفحة 27'!#REF!</f>
        <v>#REF!</v>
      </c>
      <c r="BB111" s="252" t="e">
        <f>'الصفحة 27'!#REF!</f>
        <v>#REF!</v>
      </c>
      <c r="BC111" s="252" t="e">
        <f>(BA111-BB111)</f>
        <v>#REF!</v>
      </c>
      <c r="BD111" s="257" t="e">
        <f>(BA111/($N$63+0.00001))*100</f>
        <v>#REF!</v>
      </c>
      <c r="BE111" s="257" t="e">
        <f>(BB111/($O$63+0.00001))*100</f>
        <v>#REF!</v>
      </c>
      <c r="BF111" s="256" t="e">
        <f>(BC111/($P$63+0.00001))*100</f>
        <v>#REF!</v>
      </c>
      <c r="BG111" s="253" t="e">
        <f>'الصفحة 27'!#REF!</f>
        <v>#REF!</v>
      </c>
      <c r="BH111" s="252" t="e">
        <f>'الصفحة 27'!#REF!</f>
        <v>#REF!</v>
      </c>
      <c r="BI111" s="252" t="e">
        <f>(BG111-BH111)</f>
        <v>#REF!</v>
      </c>
      <c r="BJ111" s="257" t="e">
        <f>(BG111/($N$63+0.00001))*100</f>
        <v>#REF!</v>
      </c>
      <c r="BK111" s="257" t="e">
        <f>(BH111/($O$63+0.00001))*100</f>
        <v>#REF!</v>
      </c>
      <c r="BL111" s="256" t="e">
        <f>(BI111/($P$63+0.00001))*100</f>
        <v>#REF!</v>
      </c>
      <c r="BM111" s="253">
        <f>'الصفحة 30'!$O$39+'الصفحة 30'!$Q$15+'الصفحة 30'!$Q$39+'الصفحة 30'!$S$15+'الصفحة 30'!$S$39+'الصفحة 30'!$U$15+'الصفحة 30'!$U$39+'الصفحة 30'!$W$15+'الصفحة 30'!$W$39+'الصفحة 30'!$Y$15+'الصفحة 30'!$Y$39</f>
        <v>1</v>
      </c>
      <c r="BN111" s="252">
        <f>'الصفحة 30'!$P$39+'الصفحة 30'!$R$15+'الصفحة 30'!$R$39+'الصفحة 30'!$T$15+'الصفحة 30'!$T$39+'الصفحة 30'!$V$15+'الصفحة 30'!$V$39+'الصفحة 30'!$X$15+'الصفحة 30'!$X$39+'الصفحة 30'!$Z$15+'الصفحة 30'!$Z$39</f>
        <v>0</v>
      </c>
      <c r="BO111" s="252">
        <f>(BM111-BN111)</f>
        <v>1</v>
      </c>
      <c r="BP111" s="257">
        <f>(BM111/($N111+0.00001))*100</f>
        <v>19.999960000080002</v>
      </c>
      <c r="BQ111" s="257">
        <f>(BN111/($O111+0.00001))*100</f>
        <v>0</v>
      </c>
      <c r="BR111" s="256">
        <f>(BO111/($P111+0.00001))*100</f>
        <v>49.999750001249993</v>
      </c>
      <c r="BT111" s="253">
        <f>'الصفحة 31'!$K$21</f>
        <v>0</v>
      </c>
      <c r="BU111" s="252">
        <f>'الصفحة 31'!$K$22</f>
        <v>0</v>
      </c>
      <c r="BV111" s="251">
        <f>(BT111-BU111)</f>
        <v>0</v>
      </c>
      <c r="BW111" s="257">
        <f>(BT111/($N111+0.00001))*100</f>
        <v>0</v>
      </c>
      <c r="BX111" s="257">
        <f>(BU111/($O111+0.00001))*100</f>
        <v>0</v>
      </c>
      <c r="BY111" s="256">
        <f>(BV111/($P111+0.00001))*100</f>
        <v>0</v>
      </c>
      <c r="CB111" s="253">
        <f>'الصفحة 31'!$P$50</f>
        <v>0</v>
      </c>
      <c r="CC111" s="252">
        <f>'الصفحة 31'!$Q$50</f>
        <v>0</v>
      </c>
      <c r="CD111" s="251">
        <f>(CB111-CC111)</f>
        <v>0</v>
      </c>
      <c r="CE111" s="257">
        <f>(CB111/($N111+0.00001))*100</f>
        <v>0</v>
      </c>
      <c r="CF111" s="257">
        <f>(CC111/($O111+0.00001))*100</f>
        <v>0</v>
      </c>
      <c r="CG111" s="256">
        <f>(CD111/($P111+0.00001))*100</f>
        <v>0</v>
      </c>
      <c r="CJ111" s="253">
        <f>'الصفحة 31'!$Q$21</f>
        <v>0</v>
      </c>
      <c r="CK111" s="252">
        <f>'الصفحة 31'!$Q$22</f>
        <v>0</v>
      </c>
      <c r="CL111" s="251">
        <f>(CJ111-CK111)</f>
        <v>0</v>
      </c>
      <c r="CM111" s="257">
        <f>(CJ111/($N111+0.00001))*100</f>
        <v>0</v>
      </c>
      <c r="CN111" s="257">
        <f>(CK111/($O111+0.00001))*100</f>
        <v>0</v>
      </c>
      <c r="CO111" s="256">
        <f>(CL111/($P111+0.00001))*100</f>
        <v>0</v>
      </c>
      <c r="CR111" s="253" t="e">
        <f>'الصفحة 27'!#REF!</f>
        <v>#REF!</v>
      </c>
      <c r="CS111" s="252" t="e">
        <f>CV111-CR111</f>
        <v>#REF!</v>
      </c>
      <c r="CT111" s="255" t="e">
        <f>((CR111)/(CS111+0.00001))</f>
        <v>#REF!</v>
      </c>
      <c r="CU111" s="253" t="e">
        <f>CR111</f>
        <v>#REF!</v>
      </c>
      <c r="CV111" s="252" t="e">
        <f>'الصفحة 27'!#REF!</f>
        <v>#REF!</v>
      </c>
      <c r="CW111" s="249" t="e">
        <f>((CU111)/(CV111+0.00001))*100</f>
        <v>#REF!</v>
      </c>
      <c r="CZ111" s="253">
        <f>'الصفحة 27'!$F$21+'الصفحة 27'!$G$21+'الصفحة 27'!$H$21+'الصفحة 27'!$I$21</f>
        <v>5</v>
      </c>
      <c r="DA111" s="252">
        <f>'الصفحة 27'!$F$22+'الصفحة 27'!$G$22+'الصفحة 27'!$H$22+'الصفحة 27'!$I$22</f>
        <v>3</v>
      </c>
      <c r="DB111" s="251">
        <f>(CZ111-DA111)</f>
        <v>2</v>
      </c>
      <c r="DC111" s="250" t="e">
        <f>((CZ111)/(CV111+0.00001))*100</f>
        <v>#REF!</v>
      </c>
      <c r="DD111" s="250" t="e">
        <f>((DA111)/(CR111+0.00001))*100</f>
        <v>#REF!</v>
      </c>
      <c r="DE111" s="249" t="e">
        <f>((DB111)/(CV111-CR111+0.00001))*100</f>
        <v>#REF!</v>
      </c>
      <c r="DH111" s="253">
        <f>'الصفحة 27'!$N$21</f>
        <v>0</v>
      </c>
      <c r="DI111" s="252">
        <f>'الصفحة 27'!$N$22</f>
        <v>0</v>
      </c>
      <c r="DJ111" s="251">
        <f>(DH111-DI111)</f>
        <v>0</v>
      </c>
      <c r="DK111" s="250" t="e">
        <f>((DH111)/(CV111+0.00001))*100</f>
        <v>#REF!</v>
      </c>
      <c r="DL111" s="250" t="e">
        <f>((DI111)/(CR111+0.00001))*100</f>
        <v>#REF!</v>
      </c>
      <c r="DM111" s="249" t="e">
        <f>((DJ111)/(CV111-CR111+0.00001))*100</f>
        <v>#REF!</v>
      </c>
      <c r="DP111" s="253">
        <f>'الصفحة 32'!$K$46</f>
        <v>6</v>
      </c>
      <c r="DQ111" s="252">
        <f>'الصفحة 32'!$K$47</f>
        <v>4</v>
      </c>
      <c r="DR111" s="254">
        <f>(DP111-DQ111)</f>
        <v>2</v>
      </c>
      <c r="DU111" s="253">
        <f>'الصفحة 32'!$K$30</f>
        <v>1</v>
      </c>
      <c r="DV111" s="252">
        <f>'الصفحة 32'!$K$31</f>
        <v>1</v>
      </c>
      <c r="DW111" s="251">
        <f>(DU111-DV111)</f>
        <v>0</v>
      </c>
      <c r="DX111" s="250">
        <f>((DU111)/($DP$111+0.00001))*100</f>
        <v>16.666638888935186</v>
      </c>
      <c r="DY111" s="250">
        <f>((DV111)/($DQ$111+0.00001))*100</f>
        <v>24.999937500156253</v>
      </c>
      <c r="DZ111" s="249">
        <f>((DW111)/($DR$111+0.00001))*100</f>
        <v>0</v>
      </c>
      <c r="EA111" s="253">
        <f>'الصفحة 32'!$K$32</f>
        <v>5</v>
      </c>
      <c r="EB111" s="252">
        <f>'الصفحة 32'!$K$33</f>
        <v>3</v>
      </c>
      <c r="EC111" s="251">
        <f>(EA111-EB111)</f>
        <v>2</v>
      </c>
      <c r="ED111" s="250">
        <f>((EA111)/($DP$111+0.00001))*100</f>
        <v>83.333194444675925</v>
      </c>
      <c r="EE111" s="250">
        <f>((EB111)/($DQ$111+0.00001))*100</f>
        <v>74.999812500468749</v>
      </c>
      <c r="EF111" s="249">
        <f>((EC111)/($DR$111+0.00001))*100</f>
        <v>99.999500002499985</v>
      </c>
      <c r="EG111" s="253">
        <f>'الصفحة 32'!$K$39</f>
        <v>0</v>
      </c>
      <c r="EH111" s="252">
        <f>'الصفحة 32'!$K$35</f>
        <v>0</v>
      </c>
      <c r="EI111" s="251">
        <f>(EG111-EH111)</f>
        <v>0</v>
      </c>
      <c r="EJ111" s="250">
        <f>((EG111)/($DP$111+0.00001))*100</f>
        <v>0</v>
      </c>
      <c r="EK111" s="250">
        <f>((EH111)/($DQ$111+0.00001))*100</f>
        <v>0</v>
      </c>
      <c r="EL111" s="249">
        <f>((EI111)/($DR$111+0.00001))*100</f>
        <v>0</v>
      </c>
      <c r="EM111" s="253">
        <f>'الصفحة 32'!$K$36</f>
        <v>0</v>
      </c>
      <c r="EN111" s="252">
        <f>'الصفحة 32'!$K$37</f>
        <v>0</v>
      </c>
      <c r="EO111" s="251">
        <f>(EM111-EN111)</f>
        <v>0</v>
      </c>
      <c r="EP111" s="250">
        <f>((EM111)/($DP$111+0.00001))*100</f>
        <v>0</v>
      </c>
      <c r="EQ111" s="250">
        <f>((EN111)/($DQ$111+0.00001))*100</f>
        <v>0</v>
      </c>
      <c r="ER111" s="249">
        <f>((EO111)/($DR$111+0.00001))*100</f>
        <v>0</v>
      </c>
      <c r="ES111" s="253">
        <f>'الصفحة 32'!$K$38</f>
        <v>0</v>
      </c>
      <c r="ET111" s="252">
        <f>'الصفحة 32'!$K$39</f>
        <v>0</v>
      </c>
      <c r="EU111" s="251">
        <f>(ES111-ET111)</f>
        <v>0</v>
      </c>
      <c r="EV111" s="250">
        <f>((ES111)/($DP$111+0.00001))*100</f>
        <v>0</v>
      </c>
      <c r="EW111" s="250">
        <f>((ET111)/($DQ$111+0.00001))*100</f>
        <v>0</v>
      </c>
      <c r="EX111" s="249">
        <f>((EU111)/($DR$111+0.00001))*100</f>
        <v>0</v>
      </c>
      <c r="EY111" s="253">
        <f>'الصفحة 32'!$K$40</f>
        <v>0</v>
      </c>
      <c r="EZ111" s="252">
        <f>'الصفحة 32'!$K$41</f>
        <v>0</v>
      </c>
      <c r="FA111" s="251">
        <f>(EY111-EZ111)</f>
        <v>0</v>
      </c>
      <c r="FB111" s="250">
        <f>((EY111)/($DP$111+0.00001))*100</f>
        <v>0</v>
      </c>
      <c r="FC111" s="250">
        <f>((EZ111)/($DQ$111+0.00001))*100</f>
        <v>0</v>
      </c>
      <c r="FD111" s="249">
        <f>((FA111)/($DR$111+0.00001))*100</f>
        <v>0</v>
      </c>
      <c r="FE111" s="253">
        <f>'الصفحة 32'!$K$42</f>
        <v>0</v>
      </c>
      <c r="FF111" s="252">
        <f>'الصفحة 32'!$K$43</f>
        <v>0</v>
      </c>
      <c r="FG111" s="251">
        <f>(FE111-FF111)</f>
        <v>0</v>
      </c>
      <c r="FH111" s="250">
        <f>((FE111)/($DP$111+0.00001))*100</f>
        <v>0</v>
      </c>
      <c r="FI111" s="250">
        <f>((FF111)/($DQ$111+0.00001))*100</f>
        <v>0</v>
      </c>
      <c r="FJ111" s="249">
        <f>((FG111)/($DR$111+0.00001))*100</f>
        <v>0</v>
      </c>
      <c r="FK111" s="253">
        <f>'الصفحة 32'!$K$44</f>
        <v>0</v>
      </c>
      <c r="FL111" s="252">
        <f>'الصفحة 32'!$K$45</f>
        <v>0</v>
      </c>
      <c r="FM111" s="251">
        <f>(FK111-FL111)</f>
        <v>0</v>
      </c>
      <c r="FN111" s="250">
        <f>((FK111)/($DP$111+0.00001))*100</f>
        <v>0</v>
      </c>
      <c r="FO111" s="250">
        <f>((FL111)/($DQ$111+0.00001))*100</f>
        <v>0</v>
      </c>
      <c r="FP111" s="249">
        <f>((FM111)/($DR$111+0.00001))*100</f>
        <v>0</v>
      </c>
      <c r="IV111" s="41"/>
    </row>
    <row r="112" spans="1:256" s="25" customFormat="1" ht="6" customHeight="1">
      <c r="A112" s="248"/>
      <c r="IV112" s="41"/>
    </row>
    <row r="113" spans="1:256" s="25" customFormat="1" ht="6" customHeight="1">
      <c r="A113" s="248"/>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c r="IG113" s="21"/>
      <c r="IH113" s="21"/>
      <c r="II113" s="21"/>
      <c r="IJ113" s="21"/>
      <c r="IK113" s="21"/>
      <c r="IL113" s="21"/>
      <c r="IM113" s="21"/>
      <c r="IN113" s="21"/>
      <c r="IO113" s="21"/>
      <c r="IP113" s="21"/>
      <c r="IQ113" s="21"/>
      <c r="IR113" s="21"/>
      <c r="IS113" s="21"/>
      <c r="IT113" s="21"/>
      <c r="IV113" s="41"/>
    </row>
    <row r="114" spans="1:256" s="25" customFormat="1" ht="15.75" customHeight="1" thickBot="1">
      <c r="A114" s="5729">
        <v>15</v>
      </c>
      <c r="C114" s="305" t="s">
        <v>343</v>
      </c>
      <c r="N114" s="305" t="s">
        <v>338</v>
      </c>
      <c r="R114" s="305" t="s">
        <v>337</v>
      </c>
      <c r="Y114" s="305" t="s">
        <v>337</v>
      </c>
      <c r="AF114" s="305" t="s">
        <v>337</v>
      </c>
      <c r="AM114" s="305" t="s">
        <v>337</v>
      </c>
      <c r="AT114" s="305" t="s">
        <v>337</v>
      </c>
      <c r="BA114" s="305" t="s">
        <v>337</v>
      </c>
      <c r="BG114" s="305" t="s">
        <v>337</v>
      </c>
      <c r="BM114" s="305" t="s">
        <v>336</v>
      </c>
      <c r="BT114" s="307" t="s">
        <v>335</v>
      </c>
      <c r="BU114" s="306"/>
      <c r="BV114" s="306"/>
      <c r="BW114" s="306"/>
      <c r="BX114" s="306"/>
      <c r="BY114" s="306"/>
      <c r="CB114" s="305" t="s">
        <v>334</v>
      </c>
      <c r="CJ114" s="305" t="s">
        <v>333</v>
      </c>
      <c r="CR114" s="305" t="s">
        <v>332</v>
      </c>
      <c r="CZ114" s="305" t="s">
        <v>331</v>
      </c>
      <c r="DH114" s="305" t="s">
        <v>330</v>
      </c>
      <c r="DP114" s="305" t="s">
        <v>329</v>
      </c>
      <c r="DU114" s="304" t="s">
        <v>328</v>
      </c>
      <c r="EA114" s="304"/>
      <c r="EB114" s="303" t="str">
        <f>DP115</f>
        <v>العلوم الفيزيائية والتكنولوجية</v>
      </c>
      <c r="EG114" s="304" t="str">
        <f>$DU114</f>
        <v>توزيع اساتذة التعليم المتوسط حسب المؤهل العلمي  -</v>
      </c>
      <c r="EM114" s="303" t="str">
        <f>$EB114</f>
        <v>العلوم الفيزيائية والتكنولوجية</v>
      </c>
      <c r="ES114" s="304" t="str">
        <f>$DU114</f>
        <v>توزيع اساتذة التعليم المتوسط حسب المؤهل العلمي  -</v>
      </c>
      <c r="EY114" s="303" t="str">
        <f>$EB114</f>
        <v>العلوم الفيزيائية والتكنولوجية</v>
      </c>
      <c r="FE114" s="304" t="str">
        <f>$DU114</f>
        <v>توزيع اساتذة التعليم المتوسط حسب المؤهل العلمي  -</v>
      </c>
      <c r="FK114" s="303" t="str">
        <f>$EB114</f>
        <v>العلوم الفيزيائية والتكنولوجية</v>
      </c>
      <c r="IV114" s="41"/>
    </row>
    <row r="115" spans="1:256" s="25" customFormat="1" ht="12.75" customHeight="1">
      <c r="A115" s="5729"/>
      <c r="C115" s="302"/>
      <c r="D115" s="300"/>
      <c r="E115" s="300"/>
      <c r="F115" s="301" t="s">
        <v>345</v>
      </c>
      <c r="G115" s="300"/>
      <c r="H115" s="300"/>
      <c r="I115" s="300"/>
      <c r="J115" s="300"/>
      <c r="K115" s="300"/>
      <c r="L115" s="299"/>
      <c r="N115" s="5743" t="s">
        <v>41</v>
      </c>
      <c r="O115" s="5744"/>
      <c r="P115" s="5745"/>
      <c r="R115" s="315"/>
      <c r="S115" s="314" t="s">
        <v>41</v>
      </c>
      <c r="T115" s="314"/>
      <c r="U115" s="300"/>
      <c r="V115" s="300"/>
      <c r="W115" s="299"/>
      <c r="Y115" s="315"/>
      <c r="Z115" s="314" t="str">
        <f>$S$115</f>
        <v>العلوم الفيزيائية والتكنولوجية</v>
      </c>
      <c r="AA115" s="314"/>
      <c r="AB115" s="300"/>
      <c r="AC115" s="300"/>
      <c r="AD115" s="299"/>
      <c r="AF115" s="315"/>
      <c r="AG115" s="314" t="str">
        <f>$S$115</f>
        <v>العلوم الفيزيائية والتكنولوجية</v>
      </c>
      <c r="AH115" s="314"/>
      <c r="AI115" s="300"/>
      <c r="AJ115" s="300"/>
      <c r="AK115" s="299"/>
      <c r="AM115" s="315"/>
      <c r="AN115" s="314" t="str">
        <f>$S$115</f>
        <v>العلوم الفيزيائية والتكنولوجية</v>
      </c>
      <c r="AO115" s="314"/>
      <c r="AP115" s="300"/>
      <c r="AQ115" s="300"/>
      <c r="AR115" s="299"/>
      <c r="AT115" s="315"/>
      <c r="AU115" s="314" t="str">
        <f>$S$115</f>
        <v>العلوم الفيزيائية والتكنولوجية</v>
      </c>
      <c r="AV115" s="314"/>
      <c r="AW115" s="300"/>
      <c r="AX115" s="300"/>
      <c r="AY115" s="299"/>
      <c r="BA115" s="315"/>
      <c r="BB115" s="314" t="str">
        <f>$S$115</f>
        <v>العلوم الفيزيائية والتكنولوجية</v>
      </c>
      <c r="BC115" s="314"/>
      <c r="BD115" s="300"/>
      <c r="BE115" s="300"/>
      <c r="BF115" s="299"/>
      <c r="BG115" s="315"/>
      <c r="BH115" s="314" t="str">
        <f>$S$115</f>
        <v>العلوم الفيزيائية والتكنولوجية</v>
      </c>
      <c r="BI115" s="314"/>
      <c r="BJ115" s="300"/>
      <c r="BK115" s="300"/>
      <c r="BL115" s="299"/>
      <c r="BM115" s="298"/>
      <c r="BN115" s="297"/>
      <c r="BO115" s="297"/>
      <c r="BP115" s="297"/>
      <c r="BQ115" s="297"/>
      <c r="BR115" s="296"/>
      <c r="BT115" s="5146" t="str">
        <f>$S$115</f>
        <v>العلوم الفيزيائية والتكنولوجية</v>
      </c>
      <c r="BU115" s="5147"/>
      <c r="BV115" s="5147"/>
      <c r="BW115" s="5147"/>
      <c r="BX115" s="5147"/>
      <c r="BY115" s="5148"/>
      <c r="CB115" s="5146" t="str">
        <f>$S$115</f>
        <v>العلوم الفيزيائية والتكنولوجية</v>
      </c>
      <c r="CC115" s="5147"/>
      <c r="CD115" s="5147"/>
      <c r="CE115" s="5147"/>
      <c r="CF115" s="5147"/>
      <c r="CG115" s="5148"/>
      <c r="CJ115" s="5146" t="str">
        <f>$S$115</f>
        <v>العلوم الفيزيائية والتكنولوجية</v>
      </c>
      <c r="CK115" s="5147"/>
      <c r="CL115" s="5147"/>
      <c r="CM115" s="5147"/>
      <c r="CN115" s="5147"/>
      <c r="CO115" s="5148"/>
      <c r="CR115" s="5146" t="str">
        <f>$S$115</f>
        <v>العلوم الفيزيائية والتكنولوجية</v>
      </c>
      <c r="CS115" s="5147"/>
      <c r="CT115" s="5147"/>
      <c r="CU115" s="5147"/>
      <c r="CV115" s="5147"/>
      <c r="CW115" s="5148"/>
      <c r="CZ115" s="5146" t="str">
        <f>$S$115</f>
        <v>العلوم الفيزيائية والتكنولوجية</v>
      </c>
      <c r="DA115" s="5147"/>
      <c r="DB115" s="5147"/>
      <c r="DC115" s="5147"/>
      <c r="DD115" s="5147"/>
      <c r="DE115" s="5148"/>
      <c r="DH115" s="5146" t="str">
        <f>$S$115</f>
        <v>العلوم الفيزيائية والتكنولوجية</v>
      </c>
      <c r="DI115" s="5147"/>
      <c r="DJ115" s="5147"/>
      <c r="DK115" s="5147"/>
      <c r="DL115" s="5147"/>
      <c r="DM115" s="5148"/>
      <c r="DP115" s="5146" t="s">
        <v>41</v>
      </c>
      <c r="DQ115" s="5147"/>
      <c r="DR115" s="5148"/>
      <c r="DU115" s="5758" t="s">
        <v>57</v>
      </c>
      <c r="DV115" s="5759"/>
      <c r="DW115" s="5759"/>
      <c r="DX115" s="5759"/>
      <c r="DY115" s="5759"/>
      <c r="DZ115" s="5760"/>
      <c r="EA115" s="5758" t="s">
        <v>56</v>
      </c>
      <c r="EB115" s="5759"/>
      <c r="EC115" s="5759"/>
      <c r="ED115" s="5759"/>
      <c r="EE115" s="5759"/>
      <c r="EF115" s="5760"/>
      <c r="EG115" s="5758" t="s">
        <v>55</v>
      </c>
      <c r="EH115" s="5759"/>
      <c r="EI115" s="5759"/>
      <c r="EJ115" s="5759"/>
      <c r="EK115" s="5759"/>
      <c r="EL115" s="5760"/>
      <c r="EM115" s="5758" t="s">
        <v>54</v>
      </c>
      <c r="EN115" s="5759"/>
      <c r="EO115" s="5759"/>
      <c r="EP115" s="5759"/>
      <c r="EQ115" s="5759"/>
      <c r="ER115" s="5760"/>
      <c r="ES115" s="5758" t="s">
        <v>53</v>
      </c>
      <c r="ET115" s="5759"/>
      <c r="EU115" s="5759"/>
      <c r="EV115" s="5759"/>
      <c r="EW115" s="5759"/>
      <c r="EX115" s="5760"/>
      <c r="EY115" s="5758" t="s">
        <v>52</v>
      </c>
      <c r="EZ115" s="5759"/>
      <c r="FA115" s="5759"/>
      <c r="FB115" s="5759"/>
      <c r="FC115" s="5759"/>
      <c r="FD115" s="5760"/>
      <c r="FE115" s="5758" t="s">
        <v>51</v>
      </c>
      <c r="FF115" s="5759"/>
      <c r="FG115" s="5759"/>
      <c r="FH115" s="5759"/>
      <c r="FI115" s="5759"/>
      <c r="FJ115" s="5760"/>
      <c r="FK115" s="5758" t="s">
        <v>50</v>
      </c>
      <c r="FL115" s="5759"/>
      <c r="FM115" s="5759"/>
      <c r="FN115" s="5759"/>
      <c r="FO115" s="5759"/>
      <c r="FP115" s="5760"/>
      <c r="IV115" s="41"/>
    </row>
    <row r="116" spans="1:256" s="25" customFormat="1" ht="12.75" customHeight="1" thickBot="1">
      <c r="A116" s="5729"/>
      <c r="C116" s="295"/>
      <c r="D116" s="293"/>
      <c r="E116" s="291" t="s">
        <v>326</v>
      </c>
      <c r="F116" s="294"/>
      <c r="G116" s="293"/>
      <c r="H116" s="291" t="s">
        <v>325</v>
      </c>
      <c r="I116" s="290"/>
      <c r="J116" s="292"/>
      <c r="K116" s="291" t="s">
        <v>324</v>
      </c>
      <c r="L116" s="290"/>
      <c r="N116" s="5746"/>
      <c r="O116" s="5747"/>
      <c r="P116" s="5748"/>
      <c r="R116" s="5164" t="s">
        <v>645</v>
      </c>
      <c r="S116" s="5165"/>
      <c r="T116" s="5165"/>
      <c r="U116" s="5165"/>
      <c r="V116" s="5165"/>
      <c r="W116" s="5166"/>
      <c r="Y116" s="5164" t="s">
        <v>323</v>
      </c>
      <c r="Z116" s="5165"/>
      <c r="AA116" s="5165"/>
      <c r="AB116" s="5165"/>
      <c r="AC116" s="5165"/>
      <c r="AD116" s="5166"/>
      <c r="AF116" s="5164" t="s">
        <v>322</v>
      </c>
      <c r="AG116" s="5165"/>
      <c r="AH116" s="5165"/>
      <c r="AI116" s="5165"/>
      <c r="AJ116" s="5165"/>
      <c r="AK116" s="5166"/>
      <c r="AM116" s="5164" t="s">
        <v>321</v>
      </c>
      <c r="AN116" s="5165"/>
      <c r="AO116" s="5165"/>
      <c r="AP116" s="5165"/>
      <c r="AQ116" s="5165"/>
      <c r="AR116" s="5166"/>
      <c r="AT116" s="5164" t="s">
        <v>644</v>
      </c>
      <c r="AU116" s="5165"/>
      <c r="AV116" s="5165"/>
      <c r="AW116" s="5165"/>
      <c r="AX116" s="5165"/>
      <c r="AY116" s="5166"/>
      <c r="BA116" s="5164" t="s">
        <v>642</v>
      </c>
      <c r="BB116" s="5165"/>
      <c r="BC116" s="5165"/>
      <c r="BD116" s="5165"/>
      <c r="BE116" s="5165"/>
      <c r="BF116" s="5166"/>
      <c r="BG116" s="5164" t="s">
        <v>643</v>
      </c>
      <c r="BH116" s="5165"/>
      <c r="BI116" s="5165"/>
      <c r="BJ116" s="5165"/>
      <c r="BK116" s="5165"/>
      <c r="BL116" s="5166"/>
      <c r="BM116" s="289"/>
      <c r="BN116" s="288" t="str">
        <f>$S$115</f>
        <v>العلوم الفيزيائية والتكنولوجية</v>
      </c>
      <c r="BO116" s="288"/>
      <c r="BP116" s="287"/>
      <c r="BQ116" s="286"/>
      <c r="BR116" s="285"/>
      <c r="BT116" s="5149"/>
      <c r="BU116" s="5150"/>
      <c r="BV116" s="5150"/>
      <c r="BW116" s="5150"/>
      <c r="BX116" s="5150"/>
      <c r="BY116" s="5151"/>
      <c r="CB116" s="5149"/>
      <c r="CC116" s="5150"/>
      <c r="CD116" s="5150"/>
      <c r="CE116" s="5150"/>
      <c r="CF116" s="5150"/>
      <c r="CG116" s="5151"/>
      <c r="CJ116" s="5149"/>
      <c r="CK116" s="5150"/>
      <c r="CL116" s="5150"/>
      <c r="CM116" s="5150"/>
      <c r="CN116" s="5150"/>
      <c r="CO116" s="5151"/>
      <c r="CR116" s="5149"/>
      <c r="CS116" s="5150"/>
      <c r="CT116" s="5150"/>
      <c r="CU116" s="5150"/>
      <c r="CV116" s="5150"/>
      <c r="CW116" s="5151"/>
      <c r="CZ116" s="5149"/>
      <c r="DA116" s="5150"/>
      <c r="DB116" s="5150"/>
      <c r="DC116" s="5150"/>
      <c r="DD116" s="5150"/>
      <c r="DE116" s="5151"/>
      <c r="DH116" s="5149"/>
      <c r="DI116" s="5150"/>
      <c r="DJ116" s="5150"/>
      <c r="DK116" s="5150"/>
      <c r="DL116" s="5150"/>
      <c r="DM116" s="5151"/>
      <c r="DP116" s="5771"/>
      <c r="DQ116" s="5772"/>
      <c r="DR116" s="5773"/>
      <c r="DU116" s="5761"/>
      <c r="DV116" s="5762"/>
      <c r="DW116" s="5762"/>
      <c r="DX116" s="5762"/>
      <c r="DY116" s="5762"/>
      <c r="DZ116" s="5763"/>
      <c r="EA116" s="5761"/>
      <c r="EB116" s="5762"/>
      <c r="EC116" s="5762"/>
      <c r="ED116" s="5762"/>
      <c r="EE116" s="5762"/>
      <c r="EF116" s="5763"/>
      <c r="EG116" s="5761"/>
      <c r="EH116" s="5762"/>
      <c r="EI116" s="5762"/>
      <c r="EJ116" s="5762"/>
      <c r="EK116" s="5762"/>
      <c r="EL116" s="5763"/>
      <c r="EM116" s="5761"/>
      <c r="EN116" s="5762"/>
      <c r="EO116" s="5762"/>
      <c r="EP116" s="5762"/>
      <c r="EQ116" s="5762"/>
      <c r="ER116" s="5763"/>
      <c r="ES116" s="5761"/>
      <c r="ET116" s="5762"/>
      <c r="EU116" s="5762"/>
      <c r="EV116" s="5762"/>
      <c r="EW116" s="5762"/>
      <c r="EX116" s="5763"/>
      <c r="EY116" s="5761"/>
      <c r="EZ116" s="5762"/>
      <c r="FA116" s="5762"/>
      <c r="FB116" s="5762"/>
      <c r="FC116" s="5762"/>
      <c r="FD116" s="5763"/>
      <c r="FE116" s="5761"/>
      <c r="FF116" s="5762"/>
      <c r="FG116" s="5762"/>
      <c r="FH116" s="5762"/>
      <c r="FI116" s="5762"/>
      <c r="FJ116" s="5763"/>
      <c r="FK116" s="5761"/>
      <c r="FL116" s="5762"/>
      <c r="FM116" s="5762"/>
      <c r="FN116" s="5762"/>
      <c r="FO116" s="5762"/>
      <c r="FP116" s="5763"/>
      <c r="IV116" s="41"/>
    </row>
    <row r="117" spans="1:256" s="25" customFormat="1" ht="12.75" customHeight="1">
      <c r="A117" s="5729"/>
      <c r="C117" s="284"/>
      <c r="D117" s="282"/>
      <c r="E117" s="282"/>
      <c r="F117" s="282"/>
      <c r="G117" s="282"/>
      <c r="H117" s="282"/>
      <c r="I117" s="281"/>
      <c r="J117" s="283"/>
      <c r="K117" s="282"/>
      <c r="L117" s="281"/>
      <c r="N117" s="5749"/>
      <c r="O117" s="5750"/>
      <c r="P117" s="5751"/>
      <c r="R117" s="5167"/>
      <c r="S117" s="5168"/>
      <c r="T117" s="5168"/>
      <c r="U117" s="5168"/>
      <c r="V117" s="5168"/>
      <c r="W117" s="5169"/>
      <c r="Y117" s="5167"/>
      <c r="Z117" s="5168"/>
      <c r="AA117" s="5168"/>
      <c r="AB117" s="5168"/>
      <c r="AC117" s="5168"/>
      <c r="AD117" s="5169"/>
      <c r="AF117" s="5167"/>
      <c r="AG117" s="5168"/>
      <c r="AH117" s="5168"/>
      <c r="AI117" s="5168"/>
      <c r="AJ117" s="5168"/>
      <c r="AK117" s="5169"/>
      <c r="AM117" s="5167"/>
      <c r="AN117" s="5168"/>
      <c r="AO117" s="5168"/>
      <c r="AP117" s="5168"/>
      <c r="AQ117" s="5168"/>
      <c r="AR117" s="5169"/>
      <c r="AT117" s="5167"/>
      <c r="AU117" s="5168"/>
      <c r="AV117" s="5168"/>
      <c r="AW117" s="5168"/>
      <c r="AX117" s="5168"/>
      <c r="AY117" s="5169"/>
      <c r="BA117" s="5167"/>
      <c r="BB117" s="5168"/>
      <c r="BC117" s="5168"/>
      <c r="BD117" s="5168"/>
      <c r="BE117" s="5168"/>
      <c r="BF117" s="5169"/>
      <c r="BG117" s="5167"/>
      <c r="BH117" s="5168"/>
      <c r="BI117" s="5168"/>
      <c r="BJ117" s="5168"/>
      <c r="BK117" s="5168"/>
      <c r="BL117" s="5169"/>
      <c r="BM117" s="280"/>
      <c r="BN117" s="279"/>
      <c r="BO117" s="279"/>
      <c r="BP117" s="279"/>
      <c r="BQ117" s="279"/>
      <c r="BR117" s="278"/>
      <c r="BT117" s="5130" t="s">
        <v>318</v>
      </c>
      <c r="BU117" s="5131"/>
      <c r="BV117" s="5132"/>
      <c r="BW117" s="5144" t="s">
        <v>317</v>
      </c>
      <c r="BX117" s="5131"/>
      <c r="BY117" s="5145"/>
      <c r="CB117" s="5130" t="s">
        <v>318</v>
      </c>
      <c r="CC117" s="5131"/>
      <c r="CD117" s="5132"/>
      <c r="CE117" s="5144" t="s">
        <v>317</v>
      </c>
      <c r="CF117" s="5131"/>
      <c r="CG117" s="5145"/>
      <c r="CJ117" s="5130" t="s">
        <v>318</v>
      </c>
      <c r="CK117" s="5131"/>
      <c r="CL117" s="5132"/>
      <c r="CM117" s="5144" t="s">
        <v>317</v>
      </c>
      <c r="CN117" s="5131"/>
      <c r="CO117" s="5145"/>
      <c r="CR117" s="5152" t="s">
        <v>320</v>
      </c>
      <c r="CS117" s="5153"/>
      <c r="CT117" s="5153"/>
      <c r="CU117" s="5152" t="s">
        <v>319</v>
      </c>
      <c r="CV117" s="5153"/>
      <c r="CW117" s="5154"/>
      <c r="CZ117" s="5130" t="s">
        <v>318</v>
      </c>
      <c r="DA117" s="5131"/>
      <c r="DB117" s="5132"/>
      <c r="DC117" s="5144" t="s">
        <v>317</v>
      </c>
      <c r="DD117" s="5131"/>
      <c r="DE117" s="5145"/>
      <c r="DH117" s="5130" t="s">
        <v>318</v>
      </c>
      <c r="DI117" s="5131"/>
      <c r="DJ117" s="5132"/>
      <c r="DK117" s="5144" t="s">
        <v>317</v>
      </c>
      <c r="DL117" s="5131"/>
      <c r="DM117" s="5145"/>
      <c r="DP117" s="5130" t="s">
        <v>318</v>
      </c>
      <c r="DQ117" s="5131"/>
      <c r="DR117" s="5145"/>
      <c r="DU117" s="277"/>
      <c r="DV117" s="274" t="s">
        <v>318</v>
      </c>
      <c r="DW117" s="276"/>
      <c r="DX117" s="275"/>
      <c r="DY117" s="274" t="s">
        <v>317</v>
      </c>
      <c r="DZ117" s="273"/>
      <c r="EA117" s="277"/>
      <c r="EB117" s="274" t="s">
        <v>318</v>
      </c>
      <c r="EC117" s="276"/>
      <c r="ED117" s="275"/>
      <c r="EE117" s="274" t="s">
        <v>317</v>
      </c>
      <c r="EF117" s="273"/>
      <c r="EG117" s="277"/>
      <c r="EH117" s="274" t="s">
        <v>318</v>
      </c>
      <c r="EI117" s="276"/>
      <c r="EJ117" s="275"/>
      <c r="EK117" s="274" t="s">
        <v>317</v>
      </c>
      <c r="EL117" s="273"/>
      <c r="EM117" s="277"/>
      <c r="EN117" s="274" t="s">
        <v>318</v>
      </c>
      <c r="EO117" s="276"/>
      <c r="EP117" s="275"/>
      <c r="EQ117" s="274" t="s">
        <v>317</v>
      </c>
      <c r="ER117" s="273"/>
      <c r="ES117" s="277"/>
      <c r="ET117" s="274" t="s">
        <v>318</v>
      </c>
      <c r="EU117" s="276"/>
      <c r="EV117" s="275"/>
      <c r="EW117" s="274" t="s">
        <v>317</v>
      </c>
      <c r="EX117" s="273"/>
      <c r="EY117" s="277"/>
      <c r="EZ117" s="274" t="s">
        <v>318</v>
      </c>
      <c r="FA117" s="276"/>
      <c r="FB117" s="275"/>
      <c r="FC117" s="274" t="s">
        <v>317</v>
      </c>
      <c r="FD117" s="273"/>
      <c r="FE117" s="277"/>
      <c r="FF117" s="274" t="s">
        <v>318</v>
      </c>
      <c r="FG117" s="276"/>
      <c r="FH117" s="275"/>
      <c r="FI117" s="274" t="s">
        <v>317</v>
      </c>
      <c r="FJ117" s="273"/>
      <c r="FK117" s="277"/>
      <c r="FL117" s="274" t="s">
        <v>318</v>
      </c>
      <c r="FM117" s="276"/>
      <c r="FN117" s="275"/>
      <c r="FO117" s="274" t="s">
        <v>317</v>
      </c>
      <c r="FP117" s="273"/>
      <c r="FR117" s="27"/>
      <c r="FS117" s="27"/>
      <c r="FT117" s="27"/>
      <c r="FU117" s="27"/>
      <c r="FV117" s="27"/>
      <c r="FW117" s="27"/>
      <c r="FX117" s="27"/>
      <c r="FY117" s="27"/>
      <c r="FZ117" s="27"/>
      <c r="GA117" s="27"/>
      <c r="GB117" s="27"/>
      <c r="GC117" s="27"/>
      <c r="GD117" s="27"/>
      <c r="GE117" s="27"/>
      <c r="GF117" s="27"/>
      <c r="GG117" s="27"/>
      <c r="GH117" s="27"/>
      <c r="GI117" s="27"/>
      <c r="GJ117" s="27"/>
      <c r="GK117" s="27"/>
      <c r="GL117" s="27"/>
      <c r="GM117" s="27"/>
      <c r="GN117" s="27"/>
      <c r="GO117" s="27"/>
      <c r="GP117" s="27"/>
      <c r="GQ117" s="27"/>
      <c r="GR117" s="27"/>
      <c r="GS117" s="27"/>
      <c r="GT117" s="27"/>
      <c r="GU117" s="27"/>
      <c r="GV117" s="27"/>
      <c r="GW117" s="27"/>
      <c r="GX117" s="27"/>
      <c r="GY117" s="27"/>
      <c r="GZ117" s="27"/>
      <c r="HA117" s="27"/>
      <c r="HB117" s="27"/>
      <c r="HC117" s="27"/>
      <c r="HD117" s="27"/>
      <c r="HE117" s="27"/>
      <c r="HF117" s="27"/>
      <c r="HG117" s="27"/>
      <c r="HH117" s="27"/>
      <c r="HI117" s="27"/>
      <c r="HJ117" s="27"/>
      <c r="HK117" s="27"/>
      <c r="HL117" s="27"/>
      <c r="HM117" s="27"/>
      <c r="HN117" s="27"/>
      <c r="HO117" s="27"/>
      <c r="HP117" s="27"/>
      <c r="HQ117" s="27"/>
      <c r="HR117" s="27"/>
      <c r="HS117" s="27"/>
      <c r="HT117" s="27"/>
      <c r="HU117" s="27"/>
      <c r="HV117" s="27"/>
      <c r="HW117" s="27"/>
      <c r="HX117" s="27"/>
      <c r="HY117" s="27"/>
      <c r="HZ117" s="27"/>
      <c r="IA117" s="27"/>
      <c r="IB117" s="27"/>
      <c r="IC117" s="27"/>
      <c r="ID117" s="27"/>
      <c r="IE117" s="27"/>
      <c r="IF117" s="27"/>
      <c r="IG117" s="27"/>
      <c r="IH117" s="27"/>
      <c r="II117" s="27"/>
      <c r="IJ117" s="27"/>
      <c r="IK117" s="27"/>
      <c r="IL117" s="27"/>
      <c r="IM117" s="27"/>
      <c r="IN117" s="27"/>
      <c r="IO117" s="27"/>
      <c r="IP117" s="27"/>
      <c r="IQ117" s="27"/>
      <c r="IR117" s="27"/>
      <c r="IS117" s="27"/>
      <c r="IT117" s="27"/>
      <c r="IV117" s="41"/>
    </row>
    <row r="118" spans="1:256" s="25" customFormat="1" ht="14.4">
      <c r="A118" s="5729"/>
      <c r="C118" s="272" t="s">
        <v>316</v>
      </c>
      <c r="D118" s="270" t="s">
        <v>20</v>
      </c>
      <c r="E118" s="270" t="s">
        <v>49</v>
      </c>
      <c r="F118" s="270" t="s">
        <v>311</v>
      </c>
      <c r="G118" s="270" t="s">
        <v>20</v>
      </c>
      <c r="H118" s="270" t="s">
        <v>49</v>
      </c>
      <c r="I118" s="269" t="s">
        <v>311</v>
      </c>
      <c r="J118" s="271" t="s">
        <v>20</v>
      </c>
      <c r="K118" s="270" t="s">
        <v>49</v>
      </c>
      <c r="L118" s="269" t="s">
        <v>311</v>
      </c>
      <c r="N118" s="266" t="s">
        <v>20</v>
      </c>
      <c r="O118" s="264" t="s">
        <v>49</v>
      </c>
      <c r="P118" s="263" t="s">
        <v>311</v>
      </c>
      <c r="R118" s="266" t="s">
        <v>20</v>
      </c>
      <c r="S118" s="264" t="s">
        <v>49</v>
      </c>
      <c r="T118" s="265" t="s">
        <v>311</v>
      </c>
      <c r="U118" s="264" t="s">
        <v>310</v>
      </c>
      <c r="V118" s="264" t="s">
        <v>309</v>
      </c>
      <c r="W118" s="263" t="s">
        <v>308</v>
      </c>
      <c r="Y118" s="266" t="s">
        <v>20</v>
      </c>
      <c r="Z118" s="264" t="s">
        <v>49</v>
      </c>
      <c r="AA118" s="265" t="s">
        <v>311</v>
      </c>
      <c r="AB118" s="264" t="s">
        <v>310</v>
      </c>
      <c r="AC118" s="264" t="s">
        <v>309</v>
      </c>
      <c r="AD118" s="263" t="s">
        <v>308</v>
      </c>
      <c r="AF118" s="266" t="s">
        <v>20</v>
      </c>
      <c r="AG118" s="264" t="s">
        <v>49</v>
      </c>
      <c r="AH118" s="265" t="s">
        <v>311</v>
      </c>
      <c r="AI118" s="264" t="s">
        <v>310</v>
      </c>
      <c r="AJ118" s="264" t="s">
        <v>309</v>
      </c>
      <c r="AK118" s="263" t="s">
        <v>308</v>
      </c>
      <c r="AM118" s="266" t="s">
        <v>20</v>
      </c>
      <c r="AN118" s="264" t="s">
        <v>49</v>
      </c>
      <c r="AO118" s="265" t="s">
        <v>311</v>
      </c>
      <c r="AP118" s="264" t="s">
        <v>310</v>
      </c>
      <c r="AQ118" s="264" t="s">
        <v>309</v>
      </c>
      <c r="AR118" s="263" t="s">
        <v>308</v>
      </c>
      <c r="AT118" s="266" t="s">
        <v>20</v>
      </c>
      <c r="AU118" s="264" t="s">
        <v>49</v>
      </c>
      <c r="AV118" s="265" t="s">
        <v>311</v>
      </c>
      <c r="AW118" s="264" t="s">
        <v>310</v>
      </c>
      <c r="AX118" s="264" t="s">
        <v>309</v>
      </c>
      <c r="AY118" s="263" t="s">
        <v>308</v>
      </c>
      <c r="BA118" s="266" t="s">
        <v>20</v>
      </c>
      <c r="BB118" s="264" t="s">
        <v>49</v>
      </c>
      <c r="BC118" s="265" t="s">
        <v>311</v>
      </c>
      <c r="BD118" s="264" t="s">
        <v>310</v>
      </c>
      <c r="BE118" s="264" t="s">
        <v>309</v>
      </c>
      <c r="BF118" s="263" t="s">
        <v>308</v>
      </c>
      <c r="BG118" s="266" t="s">
        <v>20</v>
      </c>
      <c r="BH118" s="264" t="s">
        <v>49</v>
      </c>
      <c r="BI118" s="265" t="s">
        <v>311</v>
      </c>
      <c r="BJ118" s="264" t="s">
        <v>310</v>
      </c>
      <c r="BK118" s="264" t="s">
        <v>309</v>
      </c>
      <c r="BL118" s="263" t="s">
        <v>308</v>
      </c>
      <c r="BM118" s="266" t="s">
        <v>20</v>
      </c>
      <c r="BN118" s="264" t="s">
        <v>49</v>
      </c>
      <c r="BO118" s="265" t="s">
        <v>311</v>
      </c>
      <c r="BP118" s="264" t="s">
        <v>310</v>
      </c>
      <c r="BQ118" s="264" t="s">
        <v>309</v>
      </c>
      <c r="BR118" s="263" t="s">
        <v>308</v>
      </c>
      <c r="BT118" s="266" t="s">
        <v>20</v>
      </c>
      <c r="BU118" s="264" t="s">
        <v>49</v>
      </c>
      <c r="BV118" s="265" t="s">
        <v>311</v>
      </c>
      <c r="BW118" s="264" t="s">
        <v>310</v>
      </c>
      <c r="BX118" s="264" t="s">
        <v>309</v>
      </c>
      <c r="BY118" s="263" t="s">
        <v>308</v>
      </c>
      <c r="CB118" s="266" t="s">
        <v>20</v>
      </c>
      <c r="CC118" s="264" t="s">
        <v>49</v>
      </c>
      <c r="CD118" s="265" t="s">
        <v>311</v>
      </c>
      <c r="CE118" s="264" t="s">
        <v>310</v>
      </c>
      <c r="CF118" s="264" t="s">
        <v>309</v>
      </c>
      <c r="CG118" s="263" t="s">
        <v>308</v>
      </c>
      <c r="CJ118" s="266" t="s">
        <v>20</v>
      </c>
      <c r="CK118" s="264" t="s">
        <v>49</v>
      </c>
      <c r="CL118" s="265" t="s">
        <v>311</v>
      </c>
      <c r="CM118" s="264" t="s">
        <v>310</v>
      </c>
      <c r="CN118" s="264" t="s">
        <v>309</v>
      </c>
      <c r="CO118" s="263" t="s">
        <v>308</v>
      </c>
      <c r="CR118" s="266" t="s">
        <v>313</v>
      </c>
      <c r="CS118" s="264" t="s">
        <v>315</v>
      </c>
      <c r="CT118" s="268" t="s">
        <v>314</v>
      </c>
      <c r="CU118" s="267" t="s">
        <v>313</v>
      </c>
      <c r="CV118" s="264" t="s">
        <v>28</v>
      </c>
      <c r="CW118" s="263" t="s">
        <v>312</v>
      </c>
      <c r="CZ118" s="266" t="s">
        <v>20</v>
      </c>
      <c r="DA118" s="264" t="s">
        <v>49</v>
      </c>
      <c r="DB118" s="265" t="s">
        <v>311</v>
      </c>
      <c r="DC118" s="264" t="s">
        <v>310</v>
      </c>
      <c r="DD118" s="264" t="s">
        <v>309</v>
      </c>
      <c r="DE118" s="263" t="s">
        <v>308</v>
      </c>
      <c r="DH118" s="266" t="s">
        <v>20</v>
      </c>
      <c r="DI118" s="264" t="s">
        <v>49</v>
      </c>
      <c r="DJ118" s="265" t="s">
        <v>311</v>
      </c>
      <c r="DK118" s="264" t="s">
        <v>310</v>
      </c>
      <c r="DL118" s="264" t="s">
        <v>309</v>
      </c>
      <c r="DM118" s="263" t="s">
        <v>308</v>
      </c>
      <c r="DP118" s="266" t="s">
        <v>20</v>
      </c>
      <c r="DQ118" s="264" t="s">
        <v>49</v>
      </c>
      <c r="DR118" s="263" t="s">
        <v>311</v>
      </c>
      <c r="DU118" s="266" t="s">
        <v>20</v>
      </c>
      <c r="DV118" s="264" t="s">
        <v>49</v>
      </c>
      <c r="DW118" s="265" t="s">
        <v>311</v>
      </c>
      <c r="DX118" s="264" t="s">
        <v>310</v>
      </c>
      <c r="DY118" s="264" t="s">
        <v>309</v>
      </c>
      <c r="DZ118" s="263" t="s">
        <v>308</v>
      </c>
      <c r="EA118" s="266" t="s">
        <v>20</v>
      </c>
      <c r="EB118" s="264" t="s">
        <v>49</v>
      </c>
      <c r="EC118" s="265" t="s">
        <v>311</v>
      </c>
      <c r="ED118" s="264" t="s">
        <v>310</v>
      </c>
      <c r="EE118" s="264" t="s">
        <v>309</v>
      </c>
      <c r="EF118" s="263" t="s">
        <v>308</v>
      </c>
      <c r="EG118" s="266" t="s">
        <v>20</v>
      </c>
      <c r="EH118" s="264" t="s">
        <v>49</v>
      </c>
      <c r="EI118" s="265" t="s">
        <v>311</v>
      </c>
      <c r="EJ118" s="264" t="s">
        <v>310</v>
      </c>
      <c r="EK118" s="264" t="s">
        <v>309</v>
      </c>
      <c r="EL118" s="263" t="s">
        <v>308</v>
      </c>
      <c r="EM118" s="266" t="s">
        <v>20</v>
      </c>
      <c r="EN118" s="264" t="s">
        <v>49</v>
      </c>
      <c r="EO118" s="265" t="s">
        <v>311</v>
      </c>
      <c r="EP118" s="264" t="s">
        <v>310</v>
      </c>
      <c r="EQ118" s="264" t="s">
        <v>309</v>
      </c>
      <c r="ER118" s="263" t="s">
        <v>308</v>
      </c>
      <c r="ES118" s="266" t="s">
        <v>20</v>
      </c>
      <c r="ET118" s="264" t="s">
        <v>49</v>
      </c>
      <c r="EU118" s="265" t="s">
        <v>311</v>
      </c>
      <c r="EV118" s="264" t="s">
        <v>310</v>
      </c>
      <c r="EW118" s="264" t="s">
        <v>309</v>
      </c>
      <c r="EX118" s="263" t="s">
        <v>308</v>
      </c>
      <c r="EY118" s="266" t="s">
        <v>20</v>
      </c>
      <c r="EZ118" s="264" t="s">
        <v>49</v>
      </c>
      <c r="FA118" s="265" t="s">
        <v>311</v>
      </c>
      <c r="FB118" s="264" t="s">
        <v>310</v>
      </c>
      <c r="FC118" s="264" t="s">
        <v>309</v>
      </c>
      <c r="FD118" s="263" t="s">
        <v>308</v>
      </c>
      <c r="FE118" s="266" t="s">
        <v>20</v>
      </c>
      <c r="FF118" s="264" t="s">
        <v>49</v>
      </c>
      <c r="FG118" s="265" t="s">
        <v>311</v>
      </c>
      <c r="FH118" s="264" t="s">
        <v>310</v>
      </c>
      <c r="FI118" s="264" t="s">
        <v>309</v>
      </c>
      <c r="FJ118" s="263" t="s">
        <v>308</v>
      </c>
      <c r="FK118" s="266" t="s">
        <v>20</v>
      </c>
      <c r="FL118" s="264" t="s">
        <v>49</v>
      </c>
      <c r="FM118" s="265" t="s">
        <v>311</v>
      </c>
      <c r="FN118" s="264" t="s">
        <v>310</v>
      </c>
      <c r="FO118" s="264" t="s">
        <v>309</v>
      </c>
      <c r="FP118" s="263" t="s">
        <v>308</v>
      </c>
      <c r="IV118" s="41"/>
    </row>
    <row r="119" spans="1:256" s="25" customFormat="1" ht="13.5" customHeight="1" thickBot="1">
      <c r="A119" s="5729"/>
      <c r="C119" s="253">
        <f>('الصفحة 27'!$F$52)</f>
        <v>3</v>
      </c>
      <c r="D119" s="252">
        <f>'الصفحة 27'!$M$52</f>
        <v>3</v>
      </c>
      <c r="E119" s="252">
        <f>'الصفحة 27'!$N$52</f>
        <v>2</v>
      </c>
      <c r="F119" s="251">
        <f>(D119-E119)</f>
        <v>1</v>
      </c>
      <c r="G119" s="251">
        <f>('الصفحة 27'!$K$52)</f>
        <v>0</v>
      </c>
      <c r="H119" s="262">
        <f>('الصفحة 27'!$L$52)</f>
        <v>0</v>
      </c>
      <c r="I119" s="261">
        <f>(G119-H119)</f>
        <v>0</v>
      </c>
      <c r="J119" s="260">
        <f>((G119)/($D$63+0.00001))*100</f>
        <v>0</v>
      </c>
      <c r="K119" s="250">
        <f>((H119)/($E$63+0.00001))*100</f>
        <v>0</v>
      </c>
      <c r="L119" s="249">
        <f>((I119)/(F119+0.00001))*100</f>
        <v>0</v>
      </c>
      <c r="N119" s="253">
        <f>'الصفحة 27'!$K$23</f>
        <v>3</v>
      </c>
      <c r="O119" s="252">
        <f>'الصفحة 27'!$K$24</f>
        <v>2</v>
      </c>
      <c r="P119" s="258">
        <f>(N119-O119)</f>
        <v>1</v>
      </c>
      <c r="R119" s="253">
        <f>'الصفحة 27'!$F$23</f>
        <v>1</v>
      </c>
      <c r="S119" s="252">
        <f>'الصفحة 27'!$F$24</f>
        <v>1</v>
      </c>
      <c r="T119" s="252">
        <f>(R119-S119)</f>
        <v>0</v>
      </c>
      <c r="U119" s="257">
        <f>(R119/($N$63+0.00001))*100</f>
        <v>3.5714272959188227</v>
      </c>
      <c r="V119" s="257">
        <f>(S119/($O$63+0.00001))*100</f>
        <v>4.9999975000012498</v>
      </c>
      <c r="W119" s="256">
        <f>(T119/($P$63+0.00001))*100</f>
        <v>0</v>
      </c>
      <c r="Y119" s="253">
        <f>'الصفحة 27'!$G$23</f>
        <v>2</v>
      </c>
      <c r="Z119" s="252">
        <f>'الصفحة 27'!$G$24</f>
        <v>1</v>
      </c>
      <c r="AA119" s="252">
        <f>(Y119-Z119)</f>
        <v>1</v>
      </c>
      <c r="AB119" s="257">
        <f>(Y119/($N$63+0.00001))*100</f>
        <v>7.1428545918376454</v>
      </c>
      <c r="AC119" s="257">
        <f>(Z119/($O$63+0.00001))*100</f>
        <v>4.9999975000012498</v>
      </c>
      <c r="AD119" s="256">
        <f>(AA119/($P$63+0.00001))*100</f>
        <v>12.499984375019531</v>
      </c>
      <c r="AF119" s="253">
        <f>'الصفحة 27'!$H$23</f>
        <v>0</v>
      </c>
      <c r="AG119" s="252">
        <f>'الصفحة 27'!$H$24</f>
        <v>0</v>
      </c>
      <c r="AH119" s="252">
        <f>(AF119-AG119)</f>
        <v>0</v>
      </c>
      <c r="AI119" s="257">
        <f>(AF119/($N$63+0.00001))*100</f>
        <v>0</v>
      </c>
      <c r="AJ119" s="257">
        <f>(AG119/($O$63+0.00001))*100</f>
        <v>0</v>
      </c>
      <c r="AK119" s="256">
        <f>(AH119/($P$63+0.00001))*100</f>
        <v>0</v>
      </c>
      <c r="AM119" s="253">
        <f>'الصفحة 27'!$I$23</f>
        <v>0</v>
      </c>
      <c r="AN119" s="252">
        <f>'الصفحة 27'!$I$24</f>
        <v>0</v>
      </c>
      <c r="AO119" s="252">
        <f>(AM119-AN119)</f>
        <v>0</v>
      </c>
      <c r="AP119" s="257">
        <f>(AM119/($N$63+0.00001))*100</f>
        <v>0</v>
      </c>
      <c r="AQ119" s="257">
        <f>(AN119/($O$63+0.00001))*100</f>
        <v>0</v>
      </c>
      <c r="AR119" s="256">
        <f>(AO119/($P$63+0.00001))*100</f>
        <v>0</v>
      </c>
      <c r="AT119" s="253">
        <f>'الصفحة 27'!$J$23</f>
        <v>0</v>
      </c>
      <c r="AU119" s="252">
        <f>'الصفحة 27'!$J$24</f>
        <v>0</v>
      </c>
      <c r="AV119" s="252">
        <f>(AT119-AU119)</f>
        <v>0</v>
      </c>
      <c r="AW119" s="257">
        <f>(AT119/($N$63+0.00001))*100</f>
        <v>0</v>
      </c>
      <c r="AX119" s="257">
        <f>(AU119/($O$63+0.00001))*100</f>
        <v>0</v>
      </c>
      <c r="AY119" s="256">
        <f>(AV119/($P$63+0.00001))*100</f>
        <v>0</v>
      </c>
      <c r="BA119" s="253" t="e">
        <f>'الصفحة 27'!#REF!</f>
        <v>#REF!</v>
      </c>
      <c r="BB119" s="252" t="e">
        <f>'الصفحة 27'!#REF!</f>
        <v>#REF!</v>
      </c>
      <c r="BC119" s="252" t="e">
        <f>(BA119-BB119)</f>
        <v>#REF!</v>
      </c>
      <c r="BD119" s="257" t="e">
        <f>(BA119/($N$63+0.00001))*100</f>
        <v>#REF!</v>
      </c>
      <c r="BE119" s="257" t="e">
        <f>(BB119/($O$63+0.00001))*100</f>
        <v>#REF!</v>
      </c>
      <c r="BF119" s="256" t="e">
        <f>(BC119/($P$63+0.00001))*100</f>
        <v>#REF!</v>
      </c>
      <c r="BG119" s="253" t="e">
        <f>'الصفحة 27'!#REF!</f>
        <v>#REF!</v>
      </c>
      <c r="BH119" s="252" t="e">
        <f>'الصفحة 27'!#REF!</f>
        <v>#REF!</v>
      </c>
      <c r="BI119" s="252" t="e">
        <f>(BG119-BH119)</f>
        <v>#REF!</v>
      </c>
      <c r="BJ119" s="257" t="e">
        <f>(BG119/($N$63+0.00001))*100</f>
        <v>#REF!</v>
      </c>
      <c r="BK119" s="257" t="e">
        <f>(BH119/($O$63+0.00001))*100</f>
        <v>#REF!</v>
      </c>
      <c r="BL119" s="256" t="e">
        <f>(BI119/($P$63+0.00001))*100</f>
        <v>#REF!</v>
      </c>
      <c r="BM119" s="253">
        <f>'الصفحة 30'!$O$35+'الصفحة 30'!$Q$16+'الصفحة 30'!$Q$35+'الصفحة 30'!$S$16+'الصفحة 30'!$S$35+'الصفحة 30'!$U$16+'الصفحة 30'!$U$35+'الصفحة 30'!$W$16+'الصفحة 30'!$W$35+'الصفحة 30'!$Y$16+'الصفحة 30'!$Y$35</f>
        <v>0</v>
      </c>
      <c r="BN119" s="252">
        <f>'الصفحة 30'!$P$35+'الصفحة 30'!$R$16+'الصفحة 30'!$R$35+'الصفحة 30'!$T$16+'الصفحة 30'!$T$35+'الصفحة 30'!$V$16+'الصفحة 30'!$V$35+'الصفحة 30'!$X$16+'الصفحة 30'!$X$35+'الصفحة 30'!$Z$16+'الصفحة 30'!$Z$35</f>
        <v>0</v>
      </c>
      <c r="BO119" s="252">
        <f>(BM119-BN119)</f>
        <v>0</v>
      </c>
      <c r="BP119" s="257">
        <f>(BM119/($N119+0.00001))*100</f>
        <v>0</v>
      </c>
      <c r="BQ119" s="257">
        <f>(BN119/($O119+0.00001))*100</f>
        <v>0</v>
      </c>
      <c r="BR119" s="256">
        <f>(BO119/($P119+0.00001))*100</f>
        <v>0</v>
      </c>
      <c r="BT119" s="253">
        <f>'الصفحة 31'!$L$23</f>
        <v>0</v>
      </c>
      <c r="BU119" s="252">
        <f>'الصفحة 31'!$L$24</f>
        <v>0</v>
      </c>
      <c r="BV119" s="251">
        <f>(BT119-BU119)</f>
        <v>0</v>
      </c>
      <c r="BW119" s="257">
        <f>(BT119/($N119+0.00001))*100</f>
        <v>0</v>
      </c>
      <c r="BX119" s="257">
        <f>(BU119/($O119+0.00001))*100</f>
        <v>0</v>
      </c>
      <c r="BY119" s="256">
        <f>(BV119/($P119+0.00001))*100</f>
        <v>0</v>
      </c>
      <c r="CB119" s="253">
        <f>'الصفحة 31'!$P$51</f>
        <v>0</v>
      </c>
      <c r="CC119" s="252">
        <f>'الصفحة 31'!$Q$51</f>
        <v>0</v>
      </c>
      <c r="CD119" s="251">
        <f>(CB119-CC119)</f>
        <v>0</v>
      </c>
      <c r="CE119" s="257">
        <f>(CB119/($N119+0.00001))*100</f>
        <v>0</v>
      </c>
      <c r="CF119" s="257">
        <f>(CC119/($O119+0.00001))*100</f>
        <v>0</v>
      </c>
      <c r="CG119" s="256">
        <f>(CD119/($P119+0.00001))*100</f>
        <v>0</v>
      </c>
      <c r="CJ119" s="253">
        <f>'الصفحة 31'!$Q$23</f>
        <v>0</v>
      </c>
      <c r="CK119" s="252">
        <f>'الصفحة 31'!$Q$24</f>
        <v>0</v>
      </c>
      <c r="CL119" s="251">
        <f>(CJ119-CK119)</f>
        <v>0</v>
      </c>
      <c r="CM119" s="257">
        <f>(CJ119/($N119+0.00001))*100</f>
        <v>0</v>
      </c>
      <c r="CN119" s="257">
        <f>(CK119/($O119+0.00001))*100</f>
        <v>0</v>
      </c>
      <c r="CO119" s="256">
        <f>(CL119/($P119+0.00001))*100</f>
        <v>0</v>
      </c>
      <c r="CR119" s="253" t="e">
        <f>'الصفحة 27'!#REF!</f>
        <v>#REF!</v>
      </c>
      <c r="CS119" s="252" t="e">
        <f>CV119-CR119</f>
        <v>#REF!</v>
      </c>
      <c r="CT119" s="255" t="e">
        <f>((CR119)/(CS119+0.00001))</f>
        <v>#REF!</v>
      </c>
      <c r="CU119" s="253" t="e">
        <f>CR119</f>
        <v>#REF!</v>
      </c>
      <c r="CV119" s="252" t="e">
        <f>'الصفحة 27'!#REF!</f>
        <v>#REF!</v>
      </c>
      <c r="CW119" s="249" t="e">
        <f>((CU119)/(CV119+0.00001))*100</f>
        <v>#REF!</v>
      </c>
      <c r="CZ119" s="253">
        <f>'الصفحة 27'!$F$23+'الصفحة 27'!$G$23+'الصفحة 27'!$H$23+'الصفحة 27'!$I$23</f>
        <v>3</v>
      </c>
      <c r="DA119" s="252">
        <f>'الصفحة 27'!$F$24+'الصفحة 27'!$G$24+'الصفحة 27'!$H$24+'الصفحة 27'!$I$24</f>
        <v>2</v>
      </c>
      <c r="DB119" s="251">
        <f>(CZ119-DA119)</f>
        <v>1</v>
      </c>
      <c r="DC119" s="250" t="e">
        <f>((CZ119)/(CV119+0.00001))*100</f>
        <v>#REF!</v>
      </c>
      <c r="DD119" s="250" t="e">
        <f>((DA119)/(CR119+0.00001))*100</f>
        <v>#REF!</v>
      </c>
      <c r="DE119" s="249" t="e">
        <f>((DB119)/(CV119-CR119+0.00001))*100</f>
        <v>#REF!</v>
      </c>
      <c r="DH119" s="253">
        <f>'الصفحة 27'!$N$23</f>
        <v>0</v>
      </c>
      <c r="DI119" s="252">
        <f>'الصفحة 27'!$N$24</f>
        <v>0</v>
      </c>
      <c r="DJ119" s="251">
        <f>(DH119-DI119)</f>
        <v>0</v>
      </c>
      <c r="DK119" s="250" t="e">
        <f>((DH119)/(CV119+0.00001))*100</f>
        <v>#REF!</v>
      </c>
      <c r="DL119" s="250" t="e">
        <f>((DI119)/(CR119+0.00001))*100</f>
        <v>#REF!</v>
      </c>
      <c r="DM119" s="249" t="e">
        <f>((DJ119)/(CV119-CR119+0.00001))*100</f>
        <v>#REF!</v>
      </c>
      <c r="DP119" s="253">
        <f>'الصفحة 32'!$L$46</f>
        <v>3</v>
      </c>
      <c r="DQ119" s="252">
        <f>'الصفحة 32'!$L$47</f>
        <v>2</v>
      </c>
      <c r="DR119" s="254">
        <f>(DP119-DQ119)</f>
        <v>1</v>
      </c>
      <c r="DU119" s="253">
        <f>'الصفحة 32'!$L$30</f>
        <v>2</v>
      </c>
      <c r="DV119" s="252">
        <f>'الصفحة 32'!$L$31</f>
        <v>2</v>
      </c>
      <c r="DW119" s="251">
        <f>(DU119-DV119)</f>
        <v>0</v>
      </c>
      <c r="DX119" s="250">
        <f>((DU119)/($DP$119+0.00001))*100</f>
        <v>66.666444445185178</v>
      </c>
      <c r="DY119" s="250">
        <f>((DV119)/($DQ$119+0.00001))*100</f>
        <v>99.999500002499985</v>
      </c>
      <c r="DZ119" s="249">
        <f>((DW119)/($DR$119+0.00001))*100</f>
        <v>0</v>
      </c>
      <c r="EA119" s="253">
        <f>'الصفحة 32'!$L$32</f>
        <v>0</v>
      </c>
      <c r="EB119" s="252">
        <f>'الصفحة 32'!$L$33</f>
        <v>0</v>
      </c>
      <c r="EC119" s="251">
        <f>(EA119-EB119)</f>
        <v>0</v>
      </c>
      <c r="ED119" s="250">
        <f>((EA119)/($DP$119+0.00001))*100</f>
        <v>0</v>
      </c>
      <c r="EE119" s="250">
        <f>((EB119)/($DQ$119+0.00001))*100</f>
        <v>0</v>
      </c>
      <c r="EF119" s="249">
        <f>((EC119)/($DR$119+0.00001))*100</f>
        <v>0</v>
      </c>
      <c r="EG119" s="253">
        <f>'الصفحة 32'!$L$39</f>
        <v>0</v>
      </c>
      <c r="EH119" s="252">
        <f>'الصفحة 32'!$L$35</f>
        <v>0</v>
      </c>
      <c r="EI119" s="251">
        <f>(EG119-EH119)</f>
        <v>0</v>
      </c>
      <c r="EJ119" s="250">
        <f>((EG119)/($DP$119+0.00001))*100</f>
        <v>0</v>
      </c>
      <c r="EK119" s="250">
        <f>((EH119)/($DQ$119+0.00001))*100</f>
        <v>0</v>
      </c>
      <c r="EL119" s="249">
        <f>((EI119)/($DR$119+0.00001))*100</f>
        <v>0</v>
      </c>
      <c r="EM119" s="253">
        <f>'الصفحة 32'!$L$36</f>
        <v>1</v>
      </c>
      <c r="EN119" s="252">
        <f>'الصفحة 32'!$L$37</f>
        <v>0</v>
      </c>
      <c r="EO119" s="251">
        <f>(EM119-EN119)</f>
        <v>1</v>
      </c>
      <c r="EP119" s="250">
        <f>((EM119)/($DP$119+0.00001))*100</f>
        <v>33.333222222592589</v>
      </c>
      <c r="EQ119" s="250">
        <f>((EN119)/($DQ$119+0.00001))*100</f>
        <v>0</v>
      </c>
      <c r="ER119" s="249">
        <f>((EO119)/($DR$119+0.00001))*100</f>
        <v>99.999000009999889</v>
      </c>
      <c r="ES119" s="253">
        <f>'الصفحة 32'!$L$38</f>
        <v>0</v>
      </c>
      <c r="ET119" s="252">
        <f>'الصفحة 32'!$L$39</f>
        <v>0</v>
      </c>
      <c r="EU119" s="251">
        <f>(ES119-ET119)</f>
        <v>0</v>
      </c>
      <c r="EV119" s="250">
        <f>((ES119)/($DP$119+0.00001))*100</f>
        <v>0</v>
      </c>
      <c r="EW119" s="250">
        <f>((ET119)/($DQ$119+0.00001))*100</f>
        <v>0</v>
      </c>
      <c r="EX119" s="249">
        <f>((EU119)/($DR$119+0.00001))*100</f>
        <v>0</v>
      </c>
      <c r="EY119" s="253">
        <f>'الصفحة 32'!$L$40</f>
        <v>0</v>
      </c>
      <c r="EZ119" s="252">
        <f>'الصفحة 32'!$L$41</f>
        <v>0</v>
      </c>
      <c r="FA119" s="251">
        <f>(EY119-EZ119)</f>
        <v>0</v>
      </c>
      <c r="FB119" s="250">
        <f>((EY119)/($DP$119+0.00001))*100</f>
        <v>0</v>
      </c>
      <c r="FC119" s="250">
        <f>((EZ119)/($DQ$119+0.00001))*100</f>
        <v>0</v>
      </c>
      <c r="FD119" s="249">
        <f>((FA119)/($DR$119+0.00001))*100</f>
        <v>0</v>
      </c>
      <c r="FE119" s="253">
        <f>'الصفحة 32'!$L$42</f>
        <v>0</v>
      </c>
      <c r="FF119" s="252">
        <f>'الصفحة 32'!$L$43</f>
        <v>0</v>
      </c>
      <c r="FG119" s="251">
        <f>(FE119-FF119)</f>
        <v>0</v>
      </c>
      <c r="FH119" s="250">
        <f>((FE119)/($DP$119+0.00001))*100</f>
        <v>0</v>
      </c>
      <c r="FI119" s="250">
        <f>((FF119)/($DQ$119+0.00001))*100</f>
        <v>0</v>
      </c>
      <c r="FJ119" s="249">
        <f>((FG119)/($DR$119+0.00001))*100</f>
        <v>0</v>
      </c>
      <c r="FK119" s="253">
        <f>'الصفحة 32'!$L$44</f>
        <v>0</v>
      </c>
      <c r="FL119" s="252">
        <f>'الصفحة 32'!$L$45</f>
        <v>0</v>
      </c>
      <c r="FM119" s="251">
        <f>(FK119-FL119)</f>
        <v>0</v>
      </c>
      <c r="FN119" s="250">
        <f>((FK119)/($DP$119+0.00001))*100</f>
        <v>0</v>
      </c>
      <c r="FO119" s="250">
        <f>((FL119)/($DQ$119+0.00001))*100</f>
        <v>0</v>
      </c>
      <c r="FP119" s="249">
        <f>((FM119)/($DR$119+0.00001))*100</f>
        <v>0</v>
      </c>
      <c r="IV119" s="41"/>
    </row>
    <row r="120" spans="1:256" s="25" customFormat="1" ht="6" customHeight="1">
      <c r="A120" s="248"/>
      <c r="C120" s="247"/>
      <c r="D120" s="247"/>
      <c r="E120" s="247"/>
      <c r="F120" s="245"/>
      <c r="G120" s="245"/>
      <c r="H120" s="246"/>
      <c r="I120" s="245"/>
      <c r="J120" s="244"/>
      <c r="K120" s="244"/>
      <c r="Z120" s="247"/>
      <c r="AA120" s="247"/>
      <c r="AB120" s="247"/>
      <c r="AC120" s="245"/>
      <c r="AD120" s="245"/>
      <c r="AE120" s="246"/>
      <c r="AF120" s="245"/>
      <c r="AG120" s="244"/>
      <c r="AH120" s="244"/>
      <c r="AI120" s="244"/>
      <c r="AJ120" s="245"/>
      <c r="AK120" s="244"/>
      <c r="AM120" s="247"/>
      <c r="AN120" s="247"/>
      <c r="AO120" s="247"/>
      <c r="AP120" s="245"/>
      <c r="AQ120" s="245"/>
      <c r="AR120" s="246"/>
      <c r="AS120" s="245"/>
      <c r="AT120" s="244"/>
      <c r="AU120" s="244"/>
      <c r="AV120" s="244"/>
      <c r="AW120" s="245"/>
      <c r="AX120" s="244"/>
      <c r="AZ120" s="247"/>
      <c r="BA120" s="247"/>
      <c r="BB120" s="247"/>
      <c r="BC120" s="245"/>
      <c r="BD120" s="245"/>
      <c r="BE120" s="246"/>
      <c r="BF120" s="245"/>
      <c r="BG120" s="247"/>
      <c r="BH120" s="247"/>
      <c r="BI120" s="245"/>
      <c r="BJ120" s="245"/>
      <c r="BK120" s="246"/>
      <c r="BL120" s="245"/>
      <c r="BM120" s="244"/>
      <c r="BN120" s="245"/>
      <c r="BO120" s="245"/>
      <c r="BP120" s="245"/>
      <c r="BQ120" s="245"/>
      <c r="BR120" s="245"/>
      <c r="BS120" s="245"/>
      <c r="BT120" s="245"/>
      <c r="BU120" s="245"/>
      <c r="BV120" s="245"/>
      <c r="BW120" s="245"/>
      <c r="BX120" s="245"/>
      <c r="BY120" s="245"/>
      <c r="BZ120" s="245"/>
      <c r="CA120" s="245"/>
      <c r="CB120" s="245"/>
      <c r="CC120" s="245"/>
      <c r="CD120" s="245"/>
      <c r="CE120" s="245"/>
      <c r="CF120" s="245"/>
      <c r="CG120" s="245"/>
      <c r="CH120" s="245"/>
      <c r="CI120" s="245"/>
      <c r="CR120" s="245"/>
      <c r="CS120" s="245"/>
      <c r="CT120" s="245"/>
      <c r="CU120" s="245"/>
      <c r="CV120" s="245"/>
      <c r="CW120" s="245"/>
      <c r="CX120" s="245"/>
      <c r="CY120" s="245"/>
      <c r="CZ120" s="245"/>
      <c r="DA120" s="245"/>
      <c r="DB120" s="245"/>
      <c r="DC120" s="245"/>
      <c r="DD120" s="245"/>
      <c r="DE120" s="245"/>
      <c r="DF120" s="245"/>
      <c r="DG120" s="245"/>
      <c r="DH120" s="245"/>
      <c r="DI120" s="245"/>
      <c r="DJ120" s="245"/>
      <c r="DK120" s="245"/>
      <c r="DL120" s="245"/>
      <c r="DM120" s="245"/>
      <c r="DN120" s="245"/>
      <c r="DO120" s="245"/>
      <c r="DU120" s="245"/>
      <c r="DV120" s="245"/>
      <c r="DW120" s="245"/>
      <c r="DX120" s="245"/>
      <c r="DY120" s="245"/>
      <c r="DZ120" s="245"/>
      <c r="EA120" s="245"/>
      <c r="EB120" s="245"/>
      <c r="EC120" s="245"/>
      <c r="ED120" s="245"/>
      <c r="EE120" s="245"/>
      <c r="EF120" s="245"/>
      <c r="EG120" s="245"/>
      <c r="EH120" s="245"/>
      <c r="EI120" s="245"/>
      <c r="EJ120" s="245"/>
      <c r="EK120" s="245"/>
      <c r="EL120" s="245"/>
      <c r="EM120" s="245"/>
      <c r="EN120" s="245"/>
      <c r="EO120" s="245"/>
      <c r="EP120" s="245"/>
      <c r="EQ120" s="245"/>
      <c r="ER120" s="245"/>
      <c r="ES120" s="245"/>
      <c r="ET120" s="245"/>
      <c r="EU120" s="245"/>
      <c r="EV120" s="245"/>
      <c r="EW120" s="245"/>
      <c r="EX120" s="245"/>
      <c r="EY120" s="245"/>
      <c r="EZ120" s="245"/>
      <c r="FA120" s="245"/>
      <c r="FB120" s="245"/>
      <c r="FC120" s="245"/>
      <c r="FD120" s="245"/>
      <c r="FE120" s="245"/>
      <c r="FF120" s="245"/>
      <c r="FG120" s="245"/>
      <c r="FH120" s="245"/>
      <c r="FI120" s="245"/>
      <c r="FJ120" s="245"/>
      <c r="FK120" s="245"/>
      <c r="FL120" s="245"/>
      <c r="FM120" s="245"/>
      <c r="FN120" s="245"/>
      <c r="FO120" s="245"/>
      <c r="FP120" s="245"/>
      <c r="FQ120" s="245"/>
      <c r="FR120" s="245"/>
      <c r="FS120" s="245"/>
      <c r="FT120" s="245"/>
      <c r="FU120" s="245"/>
      <c r="FV120" s="245"/>
      <c r="FW120" s="245"/>
      <c r="FX120" s="245"/>
      <c r="FY120" s="245"/>
      <c r="FZ120" s="245"/>
      <c r="GA120" s="245"/>
      <c r="GB120" s="245"/>
      <c r="GC120" s="245"/>
      <c r="GD120" s="245"/>
      <c r="GE120" s="245"/>
      <c r="GF120" s="245"/>
      <c r="GG120" s="245"/>
      <c r="GH120" s="245"/>
      <c r="GI120" s="245"/>
      <c r="GJ120" s="245"/>
      <c r="GK120" s="245"/>
      <c r="GL120" s="245"/>
      <c r="GM120" s="245"/>
      <c r="GN120" s="245"/>
      <c r="GO120" s="245"/>
      <c r="GP120" s="245"/>
      <c r="GQ120" s="245"/>
      <c r="GR120" s="245"/>
      <c r="GS120" s="245"/>
      <c r="GT120" s="245"/>
      <c r="GU120" s="245"/>
      <c r="GV120" s="245"/>
      <c r="GW120" s="245"/>
      <c r="GX120" s="245"/>
      <c r="GY120" s="245"/>
      <c r="GZ120" s="245"/>
      <c r="HA120" s="245"/>
      <c r="HB120" s="245"/>
      <c r="HC120" s="245"/>
      <c r="HD120" s="245"/>
      <c r="HE120" s="245"/>
      <c r="HF120" s="245"/>
      <c r="HG120" s="245"/>
      <c r="HH120" s="245"/>
      <c r="HI120" s="245"/>
      <c r="HJ120" s="245"/>
      <c r="HK120" s="245"/>
      <c r="HL120" s="245"/>
      <c r="HM120" s="245"/>
      <c r="HN120" s="245"/>
      <c r="HO120" s="245"/>
      <c r="HP120" s="245"/>
      <c r="HQ120" s="245"/>
      <c r="HR120" s="245"/>
      <c r="HS120" s="245"/>
      <c r="HT120" s="245"/>
      <c r="HU120" s="245"/>
      <c r="HV120" s="245"/>
      <c r="HW120" s="245"/>
      <c r="HX120" s="245"/>
      <c r="HY120" s="245"/>
      <c r="HZ120" s="245"/>
      <c r="IA120" s="245"/>
      <c r="IB120" s="245"/>
      <c r="IC120" s="245"/>
      <c r="ID120" s="245"/>
      <c r="IE120" s="245"/>
      <c r="IF120" s="245"/>
      <c r="IG120" s="245"/>
      <c r="IH120" s="245"/>
      <c r="II120" s="245"/>
      <c r="IJ120" s="245"/>
      <c r="IK120" s="245"/>
      <c r="IL120" s="245"/>
      <c r="IM120" s="245"/>
      <c r="IN120" s="245"/>
      <c r="IO120" s="245"/>
      <c r="IP120" s="245"/>
      <c r="IQ120" s="245"/>
      <c r="IR120" s="245"/>
      <c r="IS120" s="245"/>
      <c r="IT120" s="245"/>
      <c r="IV120" s="41"/>
    </row>
    <row r="121" spans="1:256" s="25" customFormat="1" ht="6" customHeight="1">
      <c r="A121" s="248"/>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c r="GS121" s="21"/>
      <c r="GT121" s="21"/>
      <c r="GU121" s="21"/>
      <c r="GV121" s="21"/>
      <c r="GW121" s="21"/>
      <c r="GX121" s="21"/>
      <c r="GY121" s="21"/>
      <c r="GZ121" s="21"/>
      <c r="HA121" s="21"/>
      <c r="HB121" s="21"/>
      <c r="HC121" s="21"/>
      <c r="HD121" s="21"/>
      <c r="HE121" s="21"/>
      <c r="HF121" s="21"/>
      <c r="HG121" s="21"/>
      <c r="HH121" s="21"/>
      <c r="HI121" s="21"/>
      <c r="HJ121" s="21"/>
      <c r="HK121" s="21"/>
      <c r="HL121" s="21"/>
      <c r="HM121" s="21"/>
      <c r="HN121" s="21"/>
      <c r="HO121" s="21"/>
      <c r="HP121" s="21"/>
      <c r="HQ121" s="21"/>
      <c r="HR121" s="21"/>
      <c r="HS121" s="21"/>
      <c r="HT121" s="21"/>
      <c r="HU121" s="21"/>
      <c r="HV121" s="21"/>
      <c r="HW121" s="21"/>
      <c r="HX121" s="21"/>
      <c r="HY121" s="21"/>
      <c r="HZ121" s="21"/>
      <c r="IA121" s="21"/>
      <c r="IB121" s="21"/>
      <c r="IC121" s="21"/>
      <c r="ID121" s="21"/>
      <c r="IE121" s="21"/>
      <c r="IF121" s="21"/>
      <c r="IG121" s="21"/>
      <c r="IH121" s="21"/>
      <c r="II121" s="21"/>
      <c r="IJ121" s="21"/>
      <c r="IK121" s="21"/>
      <c r="IL121" s="21"/>
      <c r="IM121" s="21"/>
      <c r="IN121" s="21"/>
      <c r="IO121" s="21"/>
      <c r="IP121" s="21"/>
      <c r="IQ121" s="21"/>
      <c r="IR121" s="21"/>
      <c r="IS121" s="21"/>
      <c r="IT121" s="21"/>
      <c r="IV121" s="41"/>
    </row>
    <row r="122" spans="1:256" s="25" customFormat="1" ht="15.75" customHeight="1" thickBot="1">
      <c r="A122" s="5729">
        <v>16</v>
      </c>
      <c r="C122" s="305" t="s">
        <v>343</v>
      </c>
      <c r="N122" s="305" t="s">
        <v>338</v>
      </c>
      <c r="R122" s="305" t="s">
        <v>337</v>
      </c>
      <c r="Y122" s="305" t="s">
        <v>337</v>
      </c>
      <c r="AF122" s="305" t="s">
        <v>337</v>
      </c>
      <c r="AM122" s="305" t="s">
        <v>337</v>
      </c>
      <c r="AT122" s="305" t="s">
        <v>337</v>
      </c>
      <c r="BA122" s="305" t="s">
        <v>337</v>
      </c>
      <c r="BG122" s="305" t="s">
        <v>337</v>
      </c>
      <c r="BM122" s="305" t="s">
        <v>336</v>
      </c>
      <c r="BT122" s="307" t="s">
        <v>335</v>
      </c>
      <c r="BU122" s="306"/>
      <c r="BV122" s="306"/>
      <c r="BW122" s="306"/>
      <c r="BX122" s="306"/>
      <c r="BY122" s="306"/>
      <c r="CB122" s="305" t="s">
        <v>334</v>
      </c>
      <c r="CJ122" s="305" t="s">
        <v>333</v>
      </c>
      <c r="CR122" s="305" t="s">
        <v>332</v>
      </c>
      <c r="CZ122" s="305" t="s">
        <v>331</v>
      </c>
      <c r="DH122" s="305" t="s">
        <v>330</v>
      </c>
      <c r="DP122" s="305" t="s">
        <v>329</v>
      </c>
      <c r="DU122" s="304" t="s">
        <v>328</v>
      </c>
      <c r="EA122" s="304"/>
      <c r="EB122" s="303" t="str">
        <f>DP123</f>
        <v>علوم الطبيعة والحياة</v>
      </c>
      <c r="EG122" s="304" t="str">
        <f>$DU122</f>
        <v>توزيع اساتذة التعليم المتوسط حسب المؤهل العلمي  -</v>
      </c>
      <c r="EM122" s="303" t="str">
        <f>$EB122</f>
        <v>علوم الطبيعة والحياة</v>
      </c>
      <c r="ES122" s="304" t="str">
        <f>$DU122</f>
        <v>توزيع اساتذة التعليم المتوسط حسب المؤهل العلمي  -</v>
      </c>
      <c r="EY122" s="303" t="str">
        <f>$EB122</f>
        <v>علوم الطبيعة والحياة</v>
      </c>
      <c r="FE122" s="304" t="str">
        <f>$DU122</f>
        <v>توزيع اساتذة التعليم المتوسط حسب المؤهل العلمي  -</v>
      </c>
      <c r="FK122" s="303" t="str">
        <f>$EB122</f>
        <v>علوم الطبيعة والحياة</v>
      </c>
      <c r="IV122" s="41"/>
    </row>
    <row r="123" spans="1:256" s="25" customFormat="1" ht="12.75" customHeight="1">
      <c r="A123" s="5729"/>
      <c r="C123" s="302"/>
      <c r="D123" s="300"/>
      <c r="E123" s="300"/>
      <c r="F123" s="301" t="s">
        <v>344</v>
      </c>
      <c r="G123" s="300"/>
      <c r="H123" s="300"/>
      <c r="I123" s="300"/>
      <c r="J123" s="300"/>
      <c r="K123" s="300"/>
      <c r="L123" s="299"/>
      <c r="N123" s="5743" t="s">
        <v>40</v>
      </c>
      <c r="O123" s="5744"/>
      <c r="P123" s="5745"/>
      <c r="R123" s="315"/>
      <c r="S123" s="314" t="s">
        <v>40</v>
      </c>
      <c r="T123" s="314"/>
      <c r="U123" s="300"/>
      <c r="V123" s="300"/>
      <c r="W123" s="299"/>
      <c r="Y123" s="315"/>
      <c r="Z123" s="314" t="str">
        <f>$S$123</f>
        <v>علوم الطبيعة والحياة</v>
      </c>
      <c r="AA123" s="314"/>
      <c r="AB123" s="300"/>
      <c r="AC123" s="300"/>
      <c r="AD123" s="299"/>
      <c r="AF123" s="315"/>
      <c r="AG123" s="314" t="str">
        <f>$S$123</f>
        <v>علوم الطبيعة والحياة</v>
      </c>
      <c r="AH123" s="314"/>
      <c r="AI123" s="300"/>
      <c r="AJ123" s="300"/>
      <c r="AK123" s="299"/>
      <c r="AM123" s="315"/>
      <c r="AN123" s="314" t="str">
        <f>$S$123</f>
        <v>علوم الطبيعة والحياة</v>
      </c>
      <c r="AO123" s="314"/>
      <c r="AP123" s="300"/>
      <c r="AQ123" s="300"/>
      <c r="AR123" s="299"/>
      <c r="AT123" s="315"/>
      <c r="AU123" s="314" t="str">
        <f>$S$123</f>
        <v>علوم الطبيعة والحياة</v>
      </c>
      <c r="AV123" s="314"/>
      <c r="AW123" s="300"/>
      <c r="AX123" s="300"/>
      <c r="AY123" s="299"/>
      <c r="BA123" s="315"/>
      <c r="BB123" s="314" t="str">
        <f>$S$123</f>
        <v>علوم الطبيعة والحياة</v>
      </c>
      <c r="BC123" s="314"/>
      <c r="BD123" s="300"/>
      <c r="BE123" s="300"/>
      <c r="BF123" s="299"/>
      <c r="BG123" s="315"/>
      <c r="BH123" s="314" t="str">
        <f>$S$123</f>
        <v>علوم الطبيعة والحياة</v>
      </c>
      <c r="BI123" s="314"/>
      <c r="BJ123" s="300"/>
      <c r="BK123" s="300"/>
      <c r="BL123" s="299"/>
      <c r="BM123" s="298"/>
      <c r="BN123" s="297"/>
      <c r="BO123" s="297"/>
      <c r="BP123" s="297"/>
      <c r="BQ123" s="297"/>
      <c r="BR123" s="296"/>
      <c r="BT123" s="5146" t="s">
        <v>40</v>
      </c>
      <c r="BU123" s="5147"/>
      <c r="BV123" s="5147"/>
      <c r="BW123" s="5147"/>
      <c r="BX123" s="5147"/>
      <c r="BY123" s="5148"/>
      <c r="CB123" s="5146" t="s">
        <v>40</v>
      </c>
      <c r="CC123" s="5147"/>
      <c r="CD123" s="5147"/>
      <c r="CE123" s="5147"/>
      <c r="CF123" s="5147"/>
      <c r="CG123" s="5148"/>
      <c r="CJ123" s="5146" t="s">
        <v>40</v>
      </c>
      <c r="CK123" s="5147"/>
      <c r="CL123" s="5147"/>
      <c r="CM123" s="5147"/>
      <c r="CN123" s="5147"/>
      <c r="CO123" s="5148"/>
      <c r="CR123" s="5146" t="s">
        <v>40</v>
      </c>
      <c r="CS123" s="5147"/>
      <c r="CT123" s="5147"/>
      <c r="CU123" s="5147"/>
      <c r="CV123" s="5147"/>
      <c r="CW123" s="5148"/>
      <c r="CZ123" s="5146" t="s">
        <v>40</v>
      </c>
      <c r="DA123" s="5147"/>
      <c r="DB123" s="5147"/>
      <c r="DC123" s="5147"/>
      <c r="DD123" s="5147"/>
      <c r="DE123" s="5148"/>
      <c r="DH123" s="5146" t="s">
        <v>40</v>
      </c>
      <c r="DI123" s="5147"/>
      <c r="DJ123" s="5147"/>
      <c r="DK123" s="5147"/>
      <c r="DL123" s="5147"/>
      <c r="DM123" s="5148"/>
      <c r="DP123" s="5146" t="s">
        <v>40</v>
      </c>
      <c r="DQ123" s="5147"/>
      <c r="DR123" s="5148"/>
      <c r="DU123" s="5758" t="s">
        <v>57</v>
      </c>
      <c r="DV123" s="5759"/>
      <c r="DW123" s="5759"/>
      <c r="DX123" s="5759"/>
      <c r="DY123" s="5759"/>
      <c r="DZ123" s="5760"/>
      <c r="EA123" s="5758" t="s">
        <v>56</v>
      </c>
      <c r="EB123" s="5759"/>
      <c r="EC123" s="5759"/>
      <c r="ED123" s="5759"/>
      <c r="EE123" s="5759"/>
      <c r="EF123" s="5760"/>
      <c r="EG123" s="5758" t="s">
        <v>55</v>
      </c>
      <c r="EH123" s="5759"/>
      <c r="EI123" s="5759"/>
      <c r="EJ123" s="5759"/>
      <c r="EK123" s="5759"/>
      <c r="EL123" s="5760"/>
      <c r="EM123" s="5758" t="s">
        <v>54</v>
      </c>
      <c r="EN123" s="5759"/>
      <c r="EO123" s="5759"/>
      <c r="EP123" s="5759"/>
      <c r="EQ123" s="5759"/>
      <c r="ER123" s="5760"/>
      <c r="ES123" s="5758" t="s">
        <v>53</v>
      </c>
      <c r="ET123" s="5759"/>
      <c r="EU123" s="5759"/>
      <c r="EV123" s="5759"/>
      <c r="EW123" s="5759"/>
      <c r="EX123" s="5760"/>
      <c r="EY123" s="5758" t="s">
        <v>52</v>
      </c>
      <c r="EZ123" s="5759"/>
      <c r="FA123" s="5759"/>
      <c r="FB123" s="5759"/>
      <c r="FC123" s="5759"/>
      <c r="FD123" s="5760"/>
      <c r="FE123" s="5758" t="s">
        <v>51</v>
      </c>
      <c r="FF123" s="5759"/>
      <c r="FG123" s="5759"/>
      <c r="FH123" s="5759"/>
      <c r="FI123" s="5759"/>
      <c r="FJ123" s="5760"/>
      <c r="FK123" s="5758" t="s">
        <v>50</v>
      </c>
      <c r="FL123" s="5759"/>
      <c r="FM123" s="5759"/>
      <c r="FN123" s="5759"/>
      <c r="FO123" s="5759"/>
      <c r="FP123" s="5760"/>
      <c r="IV123" s="41"/>
    </row>
    <row r="124" spans="1:256" s="25" customFormat="1" ht="12.75" customHeight="1" thickBot="1">
      <c r="A124" s="5729"/>
      <c r="C124" s="295"/>
      <c r="D124" s="293"/>
      <c r="E124" s="291" t="s">
        <v>326</v>
      </c>
      <c r="F124" s="294"/>
      <c r="G124" s="293"/>
      <c r="H124" s="291" t="s">
        <v>325</v>
      </c>
      <c r="I124" s="290"/>
      <c r="J124" s="292"/>
      <c r="K124" s="291" t="s">
        <v>324</v>
      </c>
      <c r="L124" s="290"/>
      <c r="N124" s="5746"/>
      <c r="O124" s="5747"/>
      <c r="P124" s="5748"/>
      <c r="R124" s="5164" t="s">
        <v>645</v>
      </c>
      <c r="S124" s="5165"/>
      <c r="T124" s="5165"/>
      <c r="U124" s="5165"/>
      <c r="V124" s="5165"/>
      <c r="W124" s="5166"/>
      <c r="Y124" s="5164" t="s">
        <v>323</v>
      </c>
      <c r="Z124" s="5165"/>
      <c r="AA124" s="5165"/>
      <c r="AB124" s="5165"/>
      <c r="AC124" s="5165"/>
      <c r="AD124" s="5166"/>
      <c r="AF124" s="5164" t="s">
        <v>322</v>
      </c>
      <c r="AG124" s="5165"/>
      <c r="AH124" s="5165"/>
      <c r="AI124" s="5165"/>
      <c r="AJ124" s="5165"/>
      <c r="AK124" s="5166"/>
      <c r="AM124" s="5164" t="s">
        <v>321</v>
      </c>
      <c r="AN124" s="5165"/>
      <c r="AO124" s="5165"/>
      <c r="AP124" s="5165"/>
      <c r="AQ124" s="5165"/>
      <c r="AR124" s="5166"/>
      <c r="AT124" s="5164" t="s">
        <v>644</v>
      </c>
      <c r="AU124" s="5165"/>
      <c r="AV124" s="5165"/>
      <c r="AW124" s="5165"/>
      <c r="AX124" s="5165"/>
      <c r="AY124" s="5166"/>
      <c r="BA124" s="5164" t="s">
        <v>642</v>
      </c>
      <c r="BB124" s="5165"/>
      <c r="BC124" s="5165"/>
      <c r="BD124" s="5165"/>
      <c r="BE124" s="5165"/>
      <c r="BF124" s="5166"/>
      <c r="BG124" s="5164" t="s">
        <v>643</v>
      </c>
      <c r="BH124" s="5165"/>
      <c r="BI124" s="5165"/>
      <c r="BJ124" s="5165"/>
      <c r="BK124" s="5165"/>
      <c r="BL124" s="5166"/>
      <c r="BM124" s="289"/>
      <c r="BN124" s="286"/>
      <c r="BO124" s="288" t="str">
        <f>S123</f>
        <v>علوم الطبيعة والحياة</v>
      </c>
      <c r="BP124" s="287"/>
      <c r="BQ124" s="286"/>
      <c r="BR124" s="285"/>
      <c r="BT124" s="5149"/>
      <c r="BU124" s="5150"/>
      <c r="BV124" s="5150"/>
      <c r="BW124" s="5150"/>
      <c r="BX124" s="5150"/>
      <c r="BY124" s="5151"/>
      <c r="CB124" s="5149"/>
      <c r="CC124" s="5150"/>
      <c r="CD124" s="5150"/>
      <c r="CE124" s="5150"/>
      <c r="CF124" s="5150"/>
      <c r="CG124" s="5151"/>
      <c r="CJ124" s="5149"/>
      <c r="CK124" s="5150"/>
      <c r="CL124" s="5150"/>
      <c r="CM124" s="5150"/>
      <c r="CN124" s="5150"/>
      <c r="CO124" s="5151"/>
      <c r="CR124" s="5149"/>
      <c r="CS124" s="5150"/>
      <c r="CT124" s="5150"/>
      <c r="CU124" s="5150"/>
      <c r="CV124" s="5150"/>
      <c r="CW124" s="5151"/>
      <c r="CZ124" s="5149"/>
      <c r="DA124" s="5150"/>
      <c r="DB124" s="5150"/>
      <c r="DC124" s="5150"/>
      <c r="DD124" s="5150"/>
      <c r="DE124" s="5151"/>
      <c r="DH124" s="5149"/>
      <c r="DI124" s="5150"/>
      <c r="DJ124" s="5150"/>
      <c r="DK124" s="5150"/>
      <c r="DL124" s="5150"/>
      <c r="DM124" s="5151"/>
      <c r="DP124" s="5771"/>
      <c r="DQ124" s="5772"/>
      <c r="DR124" s="5773"/>
      <c r="DU124" s="5761"/>
      <c r="DV124" s="5762"/>
      <c r="DW124" s="5762"/>
      <c r="DX124" s="5762"/>
      <c r="DY124" s="5762"/>
      <c r="DZ124" s="5763"/>
      <c r="EA124" s="5761"/>
      <c r="EB124" s="5762"/>
      <c r="EC124" s="5762"/>
      <c r="ED124" s="5762"/>
      <c r="EE124" s="5762"/>
      <c r="EF124" s="5763"/>
      <c r="EG124" s="5761"/>
      <c r="EH124" s="5762"/>
      <c r="EI124" s="5762"/>
      <c r="EJ124" s="5762"/>
      <c r="EK124" s="5762"/>
      <c r="EL124" s="5763"/>
      <c r="EM124" s="5761"/>
      <c r="EN124" s="5762"/>
      <c r="EO124" s="5762"/>
      <c r="EP124" s="5762"/>
      <c r="EQ124" s="5762"/>
      <c r="ER124" s="5763"/>
      <c r="ES124" s="5761"/>
      <c r="ET124" s="5762"/>
      <c r="EU124" s="5762"/>
      <c r="EV124" s="5762"/>
      <c r="EW124" s="5762"/>
      <c r="EX124" s="5763"/>
      <c r="EY124" s="5761"/>
      <c r="EZ124" s="5762"/>
      <c r="FA124" s="5762"/>
      <c r="FB124" s="5762"/>
      <c r="FC124" s="5762"/>
      <c r="FD124" s="5763"/>
      <c r="FE124" s="5761"/>
      <c r="FF124" s="5762"/>
      <c r="FG124" s="5762"/>
      <c r="FH124" s="5762"/>
      <c r="FI124" s="5762"/>
      <c r="FJ124" s="5763"/>
      <c r="FK124" s="5761"/>
      <c r="FL124" s="5762"/>
      <c r="FM124" s="5762"/>
      <c r="FN124" s="5762"/>
      <c r="FO124" s="5762"/>
      <c r="FP124" s="5763"/>
      <c r="IV124" s="41"/>
    </row>
    <row r="125" spans="1:256" s="25" customFormat="1" ht="12.75" customHeight="1">
      <c r="A125" s="5729"/>
      <c r="C125" s="284"/>
      <c r="D125" s="282"/>
      <c r="E125" s="282"/>
      <c r="F125" s="282"/>
      <c r="G125" s="282"/>
      <c r="H125" s="282"/>
      <c r="I125" s="281"/>
      <c r="J125" s="283"/>
      <c r="K125" s="282"/>
      <c r="L125" s="281"/>
      <c r="N125" s="5749"/>
      <c r="O125" s="5750"/>
      <c r="P125" s="5751"/>
      <c r="R125" s="5167"/>
      <c r="S125" s="5168"/>
      <c r="T125" s="5168"/>
      <c r="U125" s="5168"/>
      <c r="V125" s="5168"/>
      <c r="W125" s="5169"/>
      <c r="Y125" s="5167"/>
      <c r="Z125" s="5168"/>
      <c r="AA125" s="5168"/>
      <c r="AB125" s="5168"/>
      <c r="AC125" s="5168"/>
      <c r="AD125" s="5169"/>
      <c r="AF125" s="5167"/>
      <c r="AG125" s="5168"/>
      <c r="AH125" s="5168"/>
      <c r="AI125" s="5168"/>
      <c r="AJ125" s="5168"/>
      <c r="AK125" s="5169"/>
      <c r="AM125" s="5167"/>
      <c r="AN125" s="5168"/>
      <c r="AO125" s="5168"/>
      <c r="AP125" s="5168"/>
      <c r="AQ125" s="5168"/>
      <c r="AR125" s="5169"/>
      <c r="AT125" s="5167"/>
      <c r="AU125" s="5168"/>
      <c r="AV125" s="5168"/>
      <c r="AW125" s="5168"/>
      <c r="AX125" s="5168"/>
      <c r="AY125" s="5169"/>
      <c r="BA125" s="5167"/>
      <c r="BB125" s="5168"/>
      <c r="BC125" s="5168"/>
      <c r="BD125" s="5168"/>
      <c r="BE125" s="5168"/>
      <c r="BF125" s="5169"/>
      <c r="BG125" s="5167"/>
      <c r="BH125" s="5168"/>
      <c r="BI125" s="5168"/>
      <c r="BJ125" s="5168"/>
      <c r="BK125" s="5168"/>
      <c r="BL125" s="5169"/>
      <c r="BM125" s="280"/>
      <c r="BN125" s="279"/>
      <c r="BO125" s="279"/>
      <c r="BP125" s="279"/>
      <c r="BQ125" s="279"/>
      <c r="BR125" s="278"/>
      <c r="BT125" s="5130" t="s">
        <v>318</v>
      </c>
      <c r="BU125" s="5131"/>
      <c r="BV125" s="5132"/>
      <c r="BW125" s="5144" t="s">
        <v>317</v>
      </c>
      <c r="BX125" s="5131"/>
      <c r="BY125" s="5145"/>
      <c r="CB125" s="5130" t="s">
        <v>318</v>
      </c>
      <c r="CC125" s="5131"/>
      <c r="CD125" s="5132"/>
      <c r="CE125" s="5144" t="s">
        <v>317</v>
      </c>
      <c r="CF125" s="5131"/>
      <c r="CG125" s="5145"/>
      <c r="CJ125" s="5130" t="s">
        <v>318</v>
      </c>
      <c r="CK125" s="5131"/>
      <c r="CL125" s="5132"/>
      <c r="CM125" s="5144" t="s">
        <v>317</v>
      </c>
      <c r="CN125" s="5131"/>
      <c r="CO125" s="5145"/>
      <c r="CR125" s="5152" t="s">
        <v>320</v>
      </c>
      <c r="CS125" s="5153"/>
      <c r="CT125" s="5153"/>
      <c r="CU125" s="5152" t="s">
        <v>319</v>
      </c>
      <c r="CV125" s="5153"/>
      <c r="CW125" s="5154"/>
      <c r="CZ125" s="5130" t="s">
        <v>318</v>
      </c>
      <c r="DA125" s="5131"/>
      <c r="DB125" s="5132"/>
      <c r="DC125" s="5144" t="s">
        <v>317</v>
      </c>
      <c r="DD125" s="5131"/>
      <c r="DE125" s="5145"/>
      <c r="DH125" s="5130" t="s">
        <v>318</v>
      </c>
      <c r="DI125" s="5131"/>
      <c r="DJ125" s="5132"/>
      <c r="DK125" s="5144" t="s">
        <v>317</v>
      </c>
      <c r="DL125" s="5131"/>
      <c r="DM125" s="5145"/>
      <c r="DP125" s="5130" t="s">
        <v>318</v>
      </c>
      <c r="DQ125" s="5131"/>
      <c r="DR125" s="5145"/>
      <c r="DU125" s="277"/>
      <c r="DV125" s="274" t="s">
        <v>318</v>
      </c>
      <c r="DW125" s="276"/>
      <c r="DX125" s="275"/>
      <c r="DY125" s="274" t="s">
        <v>317</v>
      </c>
      <c r="DZ125" s="273"/>
      <c r="EA125" s="277"/>
      <c r="EB125" s="274" t="s">
        <v>318</v>
      </c>
      <c r="EC125" s="276"/>
      <c r="ED125" s="275"/>
      <c r="EE125" s="274" t="s">
        <v>317</v>
      </c>
      <c r="EF125" s="273"/>
      <c r="EG125" s="277"/>
      <c r="EH125" s="274" t="s">
        <v>318</v>
      </c>
      <c r="EI125" s="276"/>
      <c r="EJ125" s="275"/>
      <c r="EK125" s="274" t="s">
        <v>317</v>
      </c>
      <c r="EL125" s="273"/>
      <c r="EM125" s="277"/>
      <c r="EN125" s="274" t="s">
        <v>318</v>
      </c>
      <c r="EO125" s="276"/>
      <c r="EP125" s="275"/>
      <c r="EQ125" s="274" t="s">
        <v>317</v>
      </c>
      <c r="ER125" s="273"/>
      <c r="ES125" s="277"/>
      <c r="ET125" s="274" t="s">
        <v>318</v>
      </c>
      <c r="EU125" s="276"/>
      <c r="EV125" s="275"/>
      <c r="EW125" s="274" t="s">
        <v>317</v>
      </c>
      <c r="EX125" s="273"/>
      <c r="EY125" s="277"/>
      <c r="EZ125" s="274" t="s">
        <v>318</v>
      </c>
      <c r="FA125" s="276"/>
      <c r="FB125" s="275"/>
      <c r="FC125" s="274" t="s">
        <v>317</v>
      </c>
      <c r="FD125" s="273"/>
      <c r="FE125" s="277"/>
      <c r="FF125" s="274" t="s">
        <v>318</v>
      </c>
      <c r="FG125" s="276"/>
      <c r="FH125" s="275"/>
      <c r="FI125" s="274" t="s">
        <v>317</v>
      </c>
      <c r="FJ125" s="273"/>
      <c r="FK125" s="277"/>
      <c r="FL125" s="274" t="s">
        <v>318</v>
      </c>
      <c r="FM125" s="276"/>
      <c r="FN125" s="275"/>
      <c r="FO125" s="274" t="s">
        <v>317</v>
      </c>
      <c r="FP125" s="273"/>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c r="HH125" s="27"/>
      <c r="HI125" s="27"/>
      <c r="HJ125" s="27"/>
      <c r="HK125" s="27"/>
      <c r="HL125" s="27"/>
      <c r="HM125" s="27"/>
      <c r="HN125" s="27"/>
      <c r="HO125" s="27"/>
      <c r="HP125" s="27"/>
      <c r="HQ125" s="27"/>
      <c r="HR125" s="27"/>
      <c r="HS125" s="27"/>
      <c r="HT125" s="27"/>
      <c r="HU125" s="27"/>
      <c r="HV125" s="27"/>
      <c r="HW125" s="27"/>
      <c r="HX125" s="27"/>
      <c r="HY125" s="27"/>
      <c r="HZ125" s="27"/>
      <c r="IA125" s="27"/>
      <c r="IB125" s="27"/>
      <c r="IC125" s="27"/>
      <c r="ID125" s="27"/>
      <c r="IE125" s="27"/>
      <c r="IF125" s="27"/>
      <c r="IG125" s="27"/>
      <c r="IH125" s="27"/>
      <c r="II125" s="27"/>
      <c r="IJ125" s="27"/>
      <c r="IK125" s="27"/>
      <c r="IL125" s="27"/>
      <c r="IM125" s="27"/>
      <c r="IN125" s="27"/>
      <c r="IO125" s="27"/>
      <c r="IP125" s="27"/>
      <c r="IQ125" s="27"/>
      <c r="IR125" s="27"/>
      <c r="IS125" s="27"/>
      <c r="IT125" s="27"/>
      <c r="IV125" s="41"/>
    </row>
    <row r="126" spans="1:256" s="25" customFormat="1" ht="14.4">
      <c r="A126" s="5729"/>
      <c r="C126" s="272" t="s">
        <v>316</v>
      </c>
      <c r="D126" s="270" t="s">
        <v>20</v>
      </c>
      <c r="E126" s="270" t="s">
        <v>49</v>
      </c>
      <c r="F126" s="270" t="s">
        <v>311</v>
      </c>
      <c r="G126" s="270" t="s">
        <v>20</v>
      </c>
      <c r="H126" s="270" t="s">
        <v>49</v>
      </c>
      <c r="I126" s="269" t="s">
        <v>311</v>
      </c>
      <c r="J126" s="271" t="s">
        <v>20</v>
      </c>
      <c r="K126" s="270" t="s">
        <v>49</v>
      </c>
      <c r="L126" s="269" t="s">
        <v>311</v>
      </c>
      <c r="N126" s="266" t="s">
        <v>20</v>
      </c>
      <c r="O126" s="264" t="s">
        <v>49</v>
      </c>
      <c r="P126" s="263" t="s">
        <v>311</v>
      </c>
      <c r="R126" s="266" t="s">
        <v>20</v>
      </c>
      <c r="S126" s="264" t="s">
        <v>49</v>
      </c>
      <c r="T126" s="265" t="s">
        <v>311</v>
      </c>
      <c r="U126" s="264" t="s">
        <v>310</v>
      </c>
      <c r="V126" s="264" t="s">
        <v>309</v>
      </c>
      <c r="W126" s="263" t="s">
        <v>308</v>
      </c>
      <c r="Y126" s="266" t="s">
        <v>20</v>
      </c>
      <c r="Z126" s="264" t="s">
        <v>49</v>
      </c>
      <c r="AA126" s="265" t="s">
        <v>311</v>
      </c>
      <c r="AB126" s="264" t="s">
        <v>310</v>
      </c>
      <c r="AC126" s="264" t="s">
        <v>309</v>
      </c>
      <c r="AD126" s="263" t="s">
        <v>308</v>
      </c>
      <c r="AF126" s="266" t="s">
        <v>20</v>
      </c>
      <c r="AG126" s="264" t="s">
        <v>49</v>
      </c>
      <c r="AH126" s="265" t="s">
        <v>311</v>
      </c>
      <c r="AI126" s="264" t="s">
        <v>310</v>
      </c>
      <c r="AJ126" s="264" t="s">
        <v>309</v>
      </c>
      <c r="AK126" s="263" t="s">
        <v>308</v>
      </c>
      <c r="AM126" s="266" t="s">
        <v>20</v>
      </c>
      <c r="AN126" s="264" t="s">
        <v>49</v>
      </c>
      <c r="AO126" s="265" t="s">
        <v>311</v>
      </c>
      <c r="AP126" s="264" t="s">
        <v>310</v>
      </c>
      <c r="AQ126" s="264" t="s">
        <v>309</v>
      </c>
      <c r="AR126" s="263" t="s">
        <v>308</v>
      </c>
      <c r="AT126" s="266" t="s">
        <v>20</v>
      </c>
      <c r="AU126" s="264" t="s">
        <v>49</v>
      </c>
      <c r="AV126" s="265" t="s">
        <v>311</v>
      </c>
      <c r="AW126" s="264" t="s">
        <v>310</v>
      </c>
      <c r="AX126" s="264" t="s">
        <v>309</v>
      </c>
      <c r="AY126" s="263" t="s">
        <v>308</v>
      </c>
      <c r="BA126" s="266" t="s">
        <v>20</v>
      </c>
      <c r="BB126" s="264" t="s">
        <v>49</v>
      </c>
      <c r="BC126" s="265" t="s">
        <v>311</v>
      </c>
      <c r="BD126" s="264" t="s">
        <v>310</v>
      </c>
      <c r="BE126" s="264" t="s">
        <v>309</v>
      </c>
      <c r="BF126" s="263" t="s">
        <v>308</v>
      </c>
      <c r="BG126" s="266" t="s">
        <v>20</v>
      </c>
      <c r="BH126" s="264" t="s">
        <v>49</v>
      </c>
      <c r="BI126" s="265" t="s">
        <v>311</v>
      </c>
      <c r="BJ126" s="264" t="s">
        <v>310</v>
      </c>
      <c r="BK126" s="264" t="s">
        <v>309</v>
      </c>
      <c r="BL126" s="263" t="s">
        <v>308</v>
      </c>
      <c r="BM126" s="266" t="s">
        <v>20</v>
      </c>
      <c r="BN126" s="264" t="s">
        <v>49</v>
      </c>
      <c r="BO126" s="265" t="s">
        <v>311</v>
      </c>
      <c r="BP126" s="264" t="s">
        <v>310</v>
      </c>
      <c r="BQ126" s="264" t="s">
        <v>309</v>
      </c>
      <c r="BR126" s="263" t="s">
        <v>308</v>
      </c>
      <c r="BT126" s="266" t="s">
        <v>20</v>
      </c>
      <c r="BU126" s="264" t="s">
        <v>49</v>
      </c>
      <c r="BV126" s="265" t="s">
        <v>311</v>
      </c>
      <c r="BW126" s="264" t="s">
        <v>310</v>
      </c>
      <c r="BX126" s="264" t="s">
        <v>309</v>
      </c>
      <c r="BY126" s="263" t="s">
        <v>308</v>
      </c>
      <c r="CB126" s="266" t="s">
        <v>20</v>
      </c>
      <c r="CC126" s="264" t="s">
        <v>49</v>
      </c>
      <c r="CD126" s="265" t="s">
        <v>311</v>
      </c>
      <c r="CE126" s="264" t="s">
        <v>310</v>
      </c>
      <c r="CF126" s="264" t="s">
        <v>309</v>
      </c>
      <c r="CG126" s="263" t="s">
        <v>308</v>
      </c>
      <c r="CJ126" s="266" t="s">
        <v>20</v>
      </c>
      <c r="CK126" s="264" t="s">
        <v>49</v>
      </c>
      <c r="CL126" s="265" t="s">
        <v>311</v>
      </c>
      <c r="CM126" s="264" t="s">
        <v>310</v>
      </c>
      <c r="CN126" s="264" t="s">
        <v>309</v>
      </c>
      <c r="CO126" s="263" t="s">
        <v>308</v>
      </c>
      <c r="CR126" s="266" t="s">
        <v>313</v>
      </c>
      <c r="CS126" s="264" t="s">
        <v>315</v>
      </c>
      <c r="CT126" s="268" t="s">
        <v>314</v>
      </c>
      <c r="CU126" s="267" t="s">
        <v>313</v>
      </c>
      <c r="CV126" s="264" t="s">
        <v>28</v>
      </c>
      <c r="CW126" s="263" t="s">
        <v>312</v>
      </c>
      <c r="CZ126" s="266" t="s">
        <v>20</v>
      </c>
      <c r="DA126" s="264" t="s">
        <v>49</v>
      </c>
      <c r="DB126" s="265" t="s">
        <v>311</v>
      </c>
      <c r="DC126" s="264" t="s">
        <v>310</v>
      </c>
      <c r="DD126" s="264" t="s">
        <v>309</v>
      </c>
      <c r="DE126" s="263" t="s">
        <v>308</v>
      </c>
      <c r="DH126" s="266" t="s">
        <v>20</v>
      </c>
      <c r="DI126" s="264" t="s">
        <v>49</v>
      </c>
      <c r="DJ126" s="265" t="s">
        <v>311</v>
      </c>
      <c r="DK126" s="264" t="s">
        <v>310</v>
      </c>
      <c r="DL126" s="264" t="s">
        <v>309</v>
      </c>
      <c r="DM126" s="263" t="s">
        <v>308</v>
      </c>
      <c r="DP126" s="266" t="s">
        <v>20</v>
      </c>
      <c r="DQ126" s="264" t="s">
        <v>49</v>
      </c>
      <c r="DR126" s="263" t="s">
        <v>311</v>
      </c>
      <c r="DU126" s="266" t="s">
        <v>20</v>
      </c>
      <c r="DV126" s="264" t="s">
        <v>49</v>
      </c>
      <c r="DW126" s="265" t="s">
        <v>311</v>
      </c>
      <c r="DX126" s="264" t="s">
        <v>310</v>
      </c>
      <c r="DY126" s="264" t="s">
        <v>309</v>
      </c>
      <c r="DZ126" s="263" t="s">
        <v>308</v>
      </c>
      <c r="EA126" s="266" t="s">
        <v>20</v>
      </c>
      <c r="EB126" s="264" t="s">
        <v>49</v>
      </c>
      <c r="EC126" s="265" t="s">
        <v>311</v>
      </c>
      <c r="ED126" s="264" t="s">
        <v>310</v>
      </c>
      <c r="EE126" s="264" t="s">
        <v>309</v>
      </c>
      <c r="EF126" s="263" t="s">
        <v>308</v>
      </c>
      <c r="EG126" s="266" t="s">
        <v>20</v>
      </c>
      <c r="EH126" s="264" t="s">
        <v>49</v>
      </c>
      <c r="EI126" s="265" t="s">
        <v>311</v>
      </c>
      <c r="EJ126" s="264" t="s">
        <v>310</v>
      </c>
      <c r="EK126" s="264" t="s">
        <v>309</v>
      </c>
      <c r="EL126" s="263" t="s">
        <v>308</v>
      </c>
      <c r="EM126" s="266" t="s">
        <v>20</v>
      </c>
      <c r="EN126" s="264" t="s">
        <v>49</v>
      </c>
      <c r="EO126" s="265" t="s">
        <v>311</v>
      </c>
      <c r="EP126" s="264" t="s">
        <v>310</v>
      </c>
      <c r="EQ126" s="264" t="s">
        <v>309</v>
      </c>
      <c r="ER126" s="263" t="s">
        <v>308</v>
      </c>
      <c r="ES126" s="266" t="s">
        <v>20</v>
      </c>
      <c r="ET126" s="264" t="s">
        <v>49</v>
      </c>
      <c r="EU126" s="265" t="s">
        <v>311</v>
      </c>
      <c r="EV126" s="264" t="s">
        <v>310</v>
      </c>
      <c r="EW126" s="264" t="s">
        <v>309</v>
      </c>
      <c r="EX126" s="263" t="s">
        <v>308</v>
      </c>
      <c r="EY126" s="266" t="s">
        <v>20</v>
      </c>
      <c r="EZ126" s="264" t="s">
        <v>49</v>
      </c>
      <c r="FA126" s="265" t="s">
        <v>311</v>
      </c>
      <c r="FB126" s="264" t="s">
        <v>310</v>
      </c>
      <c r="FC126" s="264" t="s">
        <v>309</v>
      </c>
      <c r="FD126" s="263" t="s">
        <v>308</v>
      </c>
      <c r="FE126" s="266" t="s">
        <v>20</v>
      </c>
      <c r="FF126" s="264" t="s">
        <v>49</v>
      </c>
      <c r="FG126" s="265" t="s">
        <v>311</v>
      </c>
      <c r="FH126" s="264" t="s">
        <v>310</v>
      </c>
      <c r="FI126" s="264" t="s">
        <v>309</v>
      </c>
      <c r="FJ126" s="263" t="s">
        <v>308</v>
      </c>
      <c r="FK126" s="266" t="s">
        <v>20</v>
      </c>
      <c r="FL126" s="264" t="s">
        <v>49</v>
      </c>
      <c r="FM126" s="265" t="s">
        <v>311</v>
      </c>
      <c r="FN126" s="264" t="s">
        <v>310</v>
      </c>
      <c r="FO126" s="264" t="s">
        <v>309</v>
      </c>
      <c r="FP126" s="263" t="s">
        <v>308</v>
      </c>
      <c r="IV126" s="41"/>
    </row>
    <row r="127" spans="1:256" s="25" customFormat="1" ht="13.5" customHeight="1" thickBot="1">
      <c r="A127" s="5729"/>
      <c r="C127" s="253">
        <f>('الصفحة 27'!$F$53)</f>
        <v>3</v>
      </c>
      <c r="D127" s="252">
        <f>'الصفحة 27'!$M$53</f>
        <v>3</v>
      </c>
      <c r="E127" s="252">
        <f>'الصفحة 27'!$N$53</f>
        <v>3</v>
      </c>
      <c r="F127" s="251">
        <f>(D127-E127)</f>
        <v>0</v>
      </c>
      <c r="G127" s="251">
        <f>('الصفحة 27'!$K$53)</f>
        <v>0</v>
      </c>
      <c r="H127" s="262">
        <f>('الصفحة 27'!$L$53)</f>
        <v>0</v>
      </c>
      <c r="I127" s="261">
        <f>(G127-H127)</f>
        <v>0</v>
      </c>
      <c r="J127" s="260">
        <f>((G127)/($D$63+0.00001))*100</f>
        <v>0</v>
      </c>
      <c r="K127" s="250">
        <f>((H127)/($E$63+0.00001))*100</f>
        <v>0</v>
      </c>
      <c r="L127" s="249">
        <f>((I127)/(F127+0.00001))*100</f>
        <v>0</v>
      </c>
      <c r="N127" s="253">
        <f>'الصفحة 27'!$K$25</f>
        <v>3</v>
      </c>
      <c r="O127" s="252">
        <f>'الصفحة 27'!$K$26</f>
        <v>3</v>
      </c>
      <c r="P127" s="258">
        <f>(N127-O127)</f>
        <v>0</v>
      </c>
      <c r="R127" s="253">
        <f>'الصفحة 27'!$F$25</f>
        <v>3</v>
      </c>
      <c r="S127" s="252">
        <f>'الصفحة 27'!$F$26</f>
        <v>3</v>
      </c>
      <c r="T127" s="252">
        <f>(R127-S127)</f>
        <v>0</v>
      </c>
      <c r="U127" s="257">
        <f>(R127/($N$63+0.00001))*100</f>
        <v>10.714281887756469</v>
      </c>
      <c r="V127" s="257">
        <f>(S127/($O$63+0.00001))*100</f>
        <v>14.999992500003751</v>
      </c>
      <c r="W127" s="256">
        <f>(T127/($P$63+0.00001))*100</f>
        <v>0</v>
      </c>
      <c r="Y127" s="253">
        <f>'الصفحة 27'!$G$25</f>
        <v>0</v>
      </c>
      <c r="Z127" s="252">
        <f>'الصفحة 27'!$G$26</f>
        <v>0</v>
      </c>
      <c r="AA127" s="252">
        <f>(Y127-Z127)</f>
        <v>0</v>
      </c>
      <c r="AB127" s="257">
        <f>(Y127/($N$63+0.00001))*100</f>
        <v>0</v>
      </c>
      <c r="AC127" s="257">
        <f>(Z127/($O$63+0.00001))*100</f>
        <v>0</v>
      </c>
      <c r="AD127" s="256">
        <f>(AA127/($P$63+0.00001))*100</f>
        <v>0</v>
      </c>
      <c r="AF127" s="253">
        <f>'الصفحة 27'!$H$25</f>
        <v>0</v>
      </c>
      <c r="AG127" s="252">
        <f>'الصفحة 27'!$H$26</f>
        <v>0</v>
      </c>
      <c r="AH127" s="252">
        <f>(AF127-AG127)</f>
        <v>0</v>
      </c>
      <c r="AI127" s="257">
        <f>(AF127/($N$63+0.00001))*100</f>
        <v>0</v>
      </c>
      <c r="AJ127" s="257">
        <f>(AG127/($O$63+0.00001))*100</f>
        <v>0</v>
      </c>
      <c r="AK127" s="256">
        <f>(AH127/($P$63+0.00001))*100</f>
        <v>0</v>
      </c>
      <c r="AM127" s="253">
        <f>'الصفحة 27'!$I$25</f>
        <v>0</v>
      </c>
      <c r="AN127" s="252">
        <f>'الصفحة 27'!$I$26</f>
        <v>0</v>
      </c>
      <c r="AO127" s="252">
        <f>(AM127-AN127)</f>
        <v>0</v>
      </c>
      <c r="AP127" s="257">
        <f>(AM127/($N$63+0.00001))*100</f>
        <v>0</v>
      </c>
      <c r="AQ127" s="257">
        <f>(AN127/($O$63+0.00001))*100</f>
        <v>0</v>
      </c>
      <c r="AR127" s="256">
        <f>(AO127/($P$63+0.00001))*100</f>
        <v>0</v>
      </c>
      <c r="AT127" s="253">
        <f>'الصفحة 27'!$J$25</f>
        <v>0</v>
      </c>
      <c r="AU127" s="252">
        <f>'الصفحة 27'!$J$26</f>
        <v>0</v>
      </c>
      <c r="AV127" s="252">
        <f>(AT127-AU127)</f>
        <v>0</v>
      </c>
      <c r="AW127" s="257">
        <f>(AT127/($N$63+0.00001))*100</f>
        <v>0</v>
      </c>
      <c r="AX127" s="257">
        <f>(AU127/($O$63+0.00001))*100</f>
        <v>0</v>
      </c>
      <c r="AY127" s="256">
        <f>(AV127/($P$63+0.00001))*100</f>
        <v>0</v>
      </c>
      <c r="BA127" s="253" t="e">
        <f>'الصفحة 27'!#REF!</f>
        <v>#REF!</v>
      </c>
      <c r="BB127" s="252" t="e">
        <f>'الصفحة 27'!#REF!</f>
        <v>#REF!</v>
      </c>
      <c r="BC127" s="252" t="e">
        <f>(BA127-BB127)</f>
        <v>#REF!</v>
      </c>
      <c r="BD127" s="257" t="e">
        <f>(BA127/($N$63+0.00001))*100</f>
        <v>#REF!</v>
      </c>
      <c r="BE127" s="257" t="e">
        <f>(BB127/($O$63+0.00001))*100</f>
        <v>#REF!</v>
      </c>
      <c r="BF127" s="256" t="e">
        <f>(BC127/($P$63+0.00001))*100</f>
        <v>#REF!</v>
      </c>
      <c r="BG127" s="253" t="e">
        <f>'الصفحة 27'!#REF!</f>
        <v>#REF!</v>
      </c>
      <c r="BH127" s="252" t="e">
        <f>'الصفحة 27'!#REF!</f>
        <v>#REF!</v>
      </c>
      <c r="BI127" s="252" t="e">
        <f>(BG127-BH127)</f>
        <v>#REF!</v>
      </c>
      <c r="BJ127" s="257" t="e">
        <f>(BG127/($N$63+0.00001))*100</f>
        <v>#REF!</v>
      </c>
      <c r="BK127" s="257" t="e">
        <f>(BH127/($O$63+0.00001))*100</f>
        <v>#REF!</v>
      </c>
      <c r="BL127" s="256" t="e">
        <f>(BI127/($P$63+0.00001))*100</f>
        <v>#REF!</v>
      </c>
      <c r="BM127" s="253">
        <f>'الصفحة 30'!$O$36+'الصفحة 30'!$Q$17+'الصفحة 30'!$Q$36+'الصفحة 30'!$S$17+'الصفحة 30'!$S$36+'الصفحة 30'!$U$17+'الصفحة 30'!$U$36+'الصفحة 30'!$W$17+'الصفحة 30'!$W$36+'الصفحة 30'!$Y$17+'الصفحة 30'!$Y$36</f>
        <v>2</v>
      </c>
      <c r="BN127" s="252">
        <f>'الصفحة 30'!$P$36+'الصفحة 30'!$R$17+'الصفحة 30'!$R$36+'الصفحة 30'!$T$17+'الصفحة 30'!$T$36+'الصفحة 30'!$V$17+'الصفحة 30'!$V$36+'الصفحة 30'!$X$17+'الصفحة 30'!$X$36+'الصفحة 30'!$Z$17+'الصفحة 30'!$Z$36</f>
        <v>2</v>
      </c>
      <c r="BO127" s="252">
        <f>(BM127-BN127)</f>
        <v>0</v>
      </c>
      <c r="BP127" s="257">
        <f>(BM127/($N127+0.00001))*100</f>
        <v>66.666444445185178</v>
      </c>
      <c r="BQ127" s="257">
        <f>(BN127/($O127+0.00001))*100</f>
        <v>66.666444445185178</v>
      </c>
      <c r="BR127" s="256">
        <f>(BO127/($P127+0.00001))*100</f>
        <v>0</v>
      </c>
      <c r="BT127" s="253">
        <f>'الصفحة 31'!$M$25</f>
        <v>0</v>
      </c>
      <c r="BU127" s="252">
        <f>'الصفحة 31'!$M$26</f>
        <v>0</v>
      </c>
      <c r="BV127" s="251">
        <f>(BT127-BU127)</f>
        <v>0</v>
      </c>
      <c r="BW127" s="257">
        <f>(BT127/($N127+0.00001))*100</f>
        <v>0</v>
      </c>
      <c r="BX127" s="257">
        <f>(BU127/($O127+0.00001))*100</f>
        <v>0</v>
      </c>
      <c r="BY127" s="256">
        <f>(BV127/($P127+0.00001))*100</f>
        <v>0</v>
      </c>
      <c r="CB127" s="253">
        <f>'الصفحة 31'!$P$52</f>
        <v>0</v>
      </c>
      <c r="CC127" s="252">
        <f>'الصفحة 31'!$Q$52</f>
        <v>0</v>
      </c>
      <c r="CD127" s="251">
        <f>(CB127-CC127)</f>
        <v>0</v>
      </c>
      <c r="CE127" s="257">
        <f>(CB127/($N127+0.00001))*100</f>
        <v>0</v>
      </c>
      <c r="CF127" s="257">
        <f>(CC127/($O127+0.00001))*100</f>
        <v>0</v>
      </c>
      <c r="CG127" s="256">
        <f>(CD127/($P127+0.00001))*100</f>
        <v>0</v>
      </c>
      <c r="CJ127" s="253">
        <f>'الصفحة 31'!$Q$25</f>
        <v>0</v>
      </c>
      <c r="CK127" s="252">
        <f>'الصفحة 31'!$Q$26</f>
        <v>0</v>
      </c>
      <c r="CL127" s="251">
        <f>(CJ127-CK127)</f>
        <v>0</v>
      </c>
      <c r="CM127" s="257">
        <f>(CJ127/($N127+0.00001))*100</f>
        <v>0</v>
      </c>
      <c r="CN127" s="257">
        <f>(CK127/($O127+0.00001))*100</f>
        <v>0</v>
      </c>
      <c r="CO127" s="256">
        <f>(CL127/($P127+0.00001))*100</f>
        <v>0</v>
      </c>
      <c r="CR127" s="253" t="e">
        <f>'الصفحة 27'!#REF!</f>
        <v>#REF!</v>
      </c>
      <c r="CS127" s="252" t="e">
        <f>CV127-CR127</f>
        <v>#REF!</v>
      </c>
      <c r="CT127" s="255" t="e">
        <f>((CR127)/(CS127+0.00001))</f>
        <v>#REF!</v>
      </c>
      <c r="CU127" s="253" t="e">
        <f>CR127</f>
        <v>#REF!</v>
      </c>
      <c r="CV127" s="252" t="e">
        <f>'الصفحة 27'!#REF!</f>
        <v>#REF!</v>
      </c>
      <c r="CW127" s="249" t="e">
        <f>((CU127)/(CV127+0.00001))*100</f>
        <v>#REF!</v>
      </c>
      <c r="CZ127" s="253">
        <f>'الصفحة 27'!$F$25+'الصفحة 27'!$G$25+'الصفحة 27'!$H$25+'الصفحة 27'!$I$25</f>
        <v>3</v>
      </c>
      <c r="DA127" s="252">
        <f>'الصفحة 27'!$F$26+'الصفحة 27'!$G$26+'الصفحة 27'!$H$26+'الصفحة 27'!$I$26</f>
        <v>3</v>
      </c>
      <c r="DB127" s="251">
        <f>(CZ127-DA127)</f>
        <v>0</v>
      </c>
      <c r="DC127" s="250" t="e">
        <f>((CZ127)/(CV127+0.00001))*100</f>
        <v>#REF!</v>
      </c>
      <c r="DD127" s="250" t="e">
        <f>((DA127)/(CR127+0.00001))*100</f>
        <v>#REF!</v>
      </c>
      <c r="DE127" s="249" t="e">
        <f>((DB127)/(CV127-CR127+0.00001))*100</f>
        <v>#REF!</v>
      </c>
      <c r="DH127" s="253">
        <f>'الصفحة 27'!$N$25</f>
        <v>0</v>
      </c>
      <c r="DI127" s="252">
        <f>'الصفحة 27'!$N$26</f>
        <v>0</v>
      </c>
      <c r="DJ127" s="251">
        <f>(DH127-DI127)</f>
        <v>0</v>
      </c>
      <c r="DK127" s="250" t="e">
        <f>((DH127)/(CV127+0.00001))*100</f>
        <v>#REF!</v>
      </c>
      <c r="DL127" s="250" t="e">
        <f>((DI127)/(CR127+0.00001))*100</f>
        <v>#REF!</v>
      </c>
      <c r="DM127" s="249" t="e">
        <f>((DJ127)/(CV127-CR127+0.00001))*100</f>
        <v>#REF!</v>
      </c>
      <c r="DP127" s="253">
        <f>'الصفحة 32'!$M$46</f>
        <v>3</v>
      </c>
      <c r="DQ127" s="252">
        <f>'الصفحة 32'!$M$47</f>
        <v>3</v>
      </c>
      <c r="DR127" s="254">
        <f>(DP127-DQ127)</f>
        <v>0</v>
      </c>
      <c r="DU127" s="253">
        <f>'الصفحة 32'!$M$30</f>
        <v>0</v>
      </c>
      <c r="DV127" s="252">
        <f>'الصفحة 32'!$M$31</f>
        <v>0</v>
      </c>
      <c r="DW127" s="251">
        <f>(DU127-DV127)</f>
        <v>0</v>
      </c>
      <c r="DX127" s="250">
        <f>((DU127)/($DP$127+0.00001))*100</f>
        <v>0</v>
      </c>
      <c r="DY127" s="250">
        <f>((DV127)/($DQ$127+0.00001))*100</f>
        <v>0</v>
      </c>
      <c r="DZ127" s="249">
        <f>((DW127)/($DR$127+0.00001))*100</f>
        <v>0</v>
      </c>
      <c r="EA127" s="253">
        <f>'الصفحة 32'!$M$32</f>
        <v>3</v>
      </c>
      <c r="EB127" s="252">
        <f>'الصفحة 32'!$M$33</f>
        <v>3</v>
      </c>
      <c r="EC127" s="251">
        <f>(EA127-EB127)</f>
        <v>0</v>
      </c>
      <c r="ED127" s="250">
        <f>((EA127)/($DP$127+0.00001))*100</f>
        <v>99.999666667777774</v>
      </c>
      <c r="EE127" s="250">
        <f>((EB127)/($DQ$127+0.00001))*100</f>
        <v>99.999666667777774</v>
      </c>
      <c r="EF127" s="249">
        <f>((EC127)/($DR$127+0.00001))*100</f>
        <v>0</v>
      </c>
      <c r="EG127" s="253">
        <f>'الصفحة 32'!$M$39</f>
        <v>0</v>
      </c>
      <c r="EH127" s="252">
        <f>'الصفحة 32'!$M$35</f>
        <v>0</v>
      </c>
      <c r="EI127" s="251">
        <f>(EG127-EH127)</f>
        <v>0</v>
      </c>
      <c r="EJ127" s="250">
        <f>((EG127)/($DP$127+0.00001))*100</f>
        <v>0</v>
      </c>
      <c r="EK127" s="250">
        <f>((EH127)/($DQ$127+0.00001))*100</f>
        <v>0</v>
      </c>
      <c r="EL127" s="249">
        <f>((EI127)/($DR$127+0.00001))*100</f>
        <v>0</v>
      </c>
      <c r="EM127" s="253">
        <f>'الصفحة 32'!$M$36</f>
        <v>0</v>
      </c>
      <c r="EN127" s="252">
        <f>'الصفحة 32'!$M$37</f>
        <v>0</v>
      </c>
      <c r="EO127" s="251">
        <f>(EM127-EN127)</f>
        <v>0</v>
      </c>
      <c r="EP127" s="250">
        <f>((EM127)/($DP$127+0.00001))*100</f>
        <v>0</v>
      </c>
      <c r="EQ127" s="250">
        <f>((EN127)/($DQ$127+0.00001))*100</f>
        <v>0</v>
      </c>
      <c r="ER127" s="249">
        <f>((EO127)/($DR$127+0.00001))*100</f>
        <v>0</v>
      </c>
      <c r="ES127" s="253">
        <f>'الصفحة 32'!$M$38</f>
        <v>0</v>
      </c>
      <c r="ET127" s="252">
        <f>'الصفحة 32'!$M$39</f>
        <v>0</v>
      </c>
      <c r="EU127" s="251">
        <f>(ES127-ET127)</f>
        <v>0</v>
      </c>
      <c r="EV127" s="250">
        <f>((ES127)/($DP$127+0.00001))*100</f>
        <v>0</v>
      </c>
      <c r="EW127" s="250">
        <f>((ET127)/($DQ$127+0.00001))*100</f>
        <v>0</v>
      </c>
      <c r="EX127" s="249">
        <f>((EU127)/($DR$127+0.00001))*100</f>
        <v>0</v>
      </c>
      <c r="EY127" s="253">
        <f>'الصفحة 32'!$M$40</f>
        <v>0</v>
      </c>
      <c r="EZ127" s="252">
        <f>'الصفحة 32'!$M$41</f>
        <v>0</v>
      </c>
      <c r="FA127" s="251">
        <f>(EY127-EZ127)</f>
        <v>0</v>
      </c>
      <c r="FB127" s="250">
        <f>((EY127)/($DP$127+0.00001))*100</f>
        <v>0</v>
      </c>
      <c r="FC127" s="250">
        <f>((EZ127)/($DQ$127+0.00001))*100</f>
        <v>0</v>
      </c>
      <c r="FD127" s="249">
        <f>((FA127)/($DR$127+0.00001))*100</f>
        <v>0</v>
      </c>
      <c r="FE127" s="253">
        <f>'الصفحة 32'!$M$42</f>
        <v>0</v>
      </c>
      <c r="FF127" s="252">
        <f>'الصفحة 32'!$M$43</f>
        <v>0</v>
      </c>
      <c r="FG127" s="251">
        <f>(FE127-FF127)</f>
        <v>0</v>
      </c>
      <c r="FH127" s="250">
        <f>((FE127)/($DP$127+0.00001))*100</f>
        <v>0</v>
      </c>
      <c r="FI127" s="250">
        <f>((FF127)/($DQ$127+0.00001))*100</f>
        <v>0</v>
      </c>
      <c r="FJ127" s="249">
        <f>((FG127)/($DR$127+0.00001))*100</f>
        <v>0</v>
      </c>
      <c r="FK127" s="253">
        <f>'الصفحة 32'!$M$44</f>
        <v>0</v>
      </c>
      <c r="FL127" s="252">
        <f>'الصفحة 32'!$M$45</f>
        <v>0</v>
      </c>
      <c r="FM127" s="251">
        <f>(FK127-FL127)</f>
        <v>0</v>
      </c>
      <c r="FN127" s="250">
        <f>((FK127)/($DP$127+0.00001))*100</f>
        <v>0</v>
      </c>
      <c r="FO127" s="250">
        <f>((FL127)/($DQ$127+0.00001))*100</f>
        <v>0</v>
      </c>
      <c r="FP127" s="249">
        <f>((FM127)/($DR$127+0.00001))*100</f>
        <v>0</v>
      </c>
      <c r="IV127" s="41"/>
    </row>
    <row r="128" spans="1:256" s="25" customFormat="1" ht="6" customHeight="1">
      <c r="A128" s="248"/>
      <c r="C128" s="247"/>
      <c r="D128" s="247"/>
      <c r="E128" s="247"/>
      <c r="F128" s="245"/>
      <c r="G128" s="245"/>
      <c r="H128" s="246"/>
      <c r="I128" s="245"/>
      <c r="J128" s="244"/>
      <c r="K128" s="244"/>
      <c r="HS128" s="106"/>
      <c r="HT128" s="106"/>
      <c r="HU128" s="106"/>
      <c r="HV128" s="106"/>
      <c r="HW128" s="106"/>
      <c r="HX128" s="203"/>
      <c r="HY128" s="106"/>
      <c r="HZ128" s="106"/>
      <c r="IA128" s="106"/>
      <c r="IB128" s="203"/>
      <c r="IC128" s="106"/>
      <c r="ID128" s="106"/>
      <c r="IE128" s="24"/>
      <c r="IF128" s="24"/>
      <c r="IG128" s="106"/>
      <c r="IH128" s="24"/>
      <c r="II128" s="24"/>
      <c r="IJ128" s="24"/>
      <c r="IK128" s="24"/>
      <c r="IL128" s="24"/>
      <c r="IM128" s="24"/>
      <c r="IN128" s="24"/>
      <c r="IO128" s="24"/>
      <c r="IP128" s="24"/>
      <c r="IQ128" s="24"/>
      <c r="IR128" s="24"/>
      <c r="IS128" s="24"/>
      <c r="IT128" s="24"/>
      <c r="IV128" s="41"/>
    </row>
    <row r="129" spans="1:256" s="25" customFormat="1" ht="6" customHeight="1">
      <c r="A129" s="248"/>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c r="GS129" s="21"/>
      <c r="GT129" s="21"/>
      <c r="GU129" s="21"/>
      <c r="GV129" s="21"/>
      <c r="GW129" s="21"/>
      <c r="GX129" s="21"/>
      <c r="GY129" s="21"/>
      <c r="GZ129" s="21"/>
      <c r="HA129" s="21"/>
      <c r="HB129" s="21"/>
      <c r="HC129" s="21"/>
      <c r="HD129" s="21"/>
      <c r="HE129" s="21"/>
      <c r="HF129" s="21"/>
      <c r="HG129" s="21"/>
      <c r="HH129" s="21"/>
      <c r="HI129" s="21"/>
      <c r="HJ129" s="21"/>
      <c r="HK129" s="21"/>
      <c r="HL129" s="21"/>
      <c r="HM129" s="21"/>
      <c r="HN129" s="21"/>
      <c r="HO129" s="21"/>
      <c r="HP129" s="21"/>
      <c r="HQ129" s="21"/>
      <c r="HR129" s="21"/>
      <c r="HS129" s="21"/>
      <c r="HT129" s="21"/>
      <c r="HU129" s="21"/>
      <c r="HV129" s="21"/>
      <c r="HW129" s="21"/>
      <c r="HX129" s="21"/>
      <c r="HY129" s="21"/>
      <c r="HZ129" s="21"/>
      <c r="IA129" s="21"/>
      <c r="IB129" s="21"/>
      <c r="IC129" s="21"/>
      <c r="ID129" s="21"/>
      <c r="IE129" s="21"/>
      <c r="IF129" s="21"/>
      <c r="IG129" s="21"/>
      <c r="IH129" s="21"/>
      <c r="II129" s="21"/>
      <c r="IJ129" s="21"/>
      <c r="IK129" s="21"/>
      <c r="IL129" s="21"/>
      <c r="IM129" s="21"/>
      <c r="IN129" s="21"/>
      <c r="IO129" s="21"/>
      <c r="IP129" s="21"/>
      <c r="IQ129" s="21"/>
      <c r="IR129" s="21"/>
      <c r="IS129" s="21"/>
      <c r="IT129" s="21"/>
      <c r="IV129" s="41"/>
    </row>
    <row r="130" spans="1:256" s="25" customFormat="1" ht="15.75" customHeight="1" thickBot="1">
      <c r="A130" s="5729">
        <v>17</v>
      </c>
      <c r="C130" s="305" t="s">
        <v>343</v>
      </c>
      <c r="N130" s="305" t="s">
        <v>338</v>
      </c>
      <c r="R130" s="305" t="s">
        <v>337</v>
      </c>
      <c r="Y130" s="305" t="s">
        <v>337</v>
      </c>
      <c r="AF130" s="305" t="s">
        <v>337</v>
      </c>
      <c r="AM130" s="305" t="s">
        <v>337</v>
      </c>
      <c r="AT130" s="305" t="s">
        <v>337</v>
      </c>
      <c r="BA130" s="305" t="s">
        <v>337</v>
      </c>
      <c r="BG130" s="305" t="s">
        <v>337</v>
      </c>
      <c r="BM130" s="305" t="s">
        <v>336</v>
      </c>
      <c r="BT130" s="307" t="s">
        <v>335</v>
      </c>
      <c r="BU130" s="306"/>
      <c r="BV130" s="306"/>
      <c r="BW130" s="306"/>
      <c r="BX130" s="306"/>
      <c r="BY130" s="306"/>
      <c r="CB130" s="305" t="s">
        <v>334</v>
      </c>
      <c r="CJ130" s="305" t="s">
        <v>333</v>
      </c>
      <c r="CR130" s="305" t="s">
        <v>332</v>
      </c>
      <c r="CZ130" s="305" t="s">
        <v>331</v>
      </c>
      <c r="DH130" s="305" t="s">
        <v>330</v>
      </c>
      <c r="DP130" s="305" t="s">
        <v>329</v>
      </c>
      <c r="DU130" s="304" t="s">
        <v>328</v>
      </c>
      <c r="EA130" s="304"/>
      <c r="EB130" s="303" t="str">
        <f>DP131</f>
        <v>التربية الموسيقية</v>
      </c>
      <c r="EG130" s="304" t="str">
        <f>$DU130</f>
        <v>توزيع اساتذة التعليم المتوسط حسب المؤهل العلمي  -</v>
      </c>
      <c r="EM130" s="303" t="str">
        <f>$EB130</f>
        <v>التربية الموسيقية</v>
      </c>
      <c r="ES130" s="304" t="str">
        <f>$DU130</f>
        <v>توزيع اساتذة التعليم المتوسط حسب المؤهل العلمي  -</v>
      </c>
      <c r="EY130" s="303" t="str">
        <f>$EB130</f>
        <v>التربية الموسيقية</v>
      </c>
      <c r="FE130" s="304" t="str">
        <f>$DU130</f>
        <v>توزيع اساتذة التعليم المتوسط حسب المؤهل العلمي  -</v>
      </c>
      <c r="FK130" s="303" t="str">
        <f>$EB130</f>
        <v>التربية الموسيقية</v>
      </c>
      <c r="IV130" s="41"/>
    </row>
    <row r="131" spans="1:256" s="25" customFormat="1" ht="12.75" customHeight="1">
      <c r="A131" s="5729"/>
      <c r="C131" s="302"/>
      <c r="D131" s="300"/>
      <c r="E131" s="300"/>
      <c r="F131" s="301" t="s">
        <v>342</v>
      </c>
      <c r="G131" s="300"/>
      <c r="H131" s="300"/>
      <c r="I131" s="300"/>
      <c r="J131" s="300"/>
      <c r="K131" s="300"/>
      <c r="L131" s="299"/>
      <c r="N131" s="318"/>
      <c r="O131" s="317"/>
      <c r="P131" s="316"/>
      <c r="R131" s="315"/>
      <c r="S131" s="314"/>
      <c r="T131" s="314" t="str">
        <f>O132</f>
        <v>التربية الموسيقية</v>
      </c>
      <c r="U131" s="300"/>
      <c r="V131" s="300"/>
      <c r="W131" s="299"/>
      <c r="Y131" s="315"/>
      <c r="Z131" s="314"/>
      <c r="AA131" s="314" t="str">
        <f>O132</f>
        <v>التربية الموسيقية</v>
      </c>
      <c r="AB131" s="300"/>
      <c r="AC131" s="300"/>
      <c r="AD131" s="299"/>
      <c r="AF131" s="315"/>
      <c r="AG131" s="314"/>
      <c r="AH131" s="314" t="str">
        <f>O132</f>
        <v>التربية الموسيقية</v>
      </c>
      <c r="AI131" s="300"/>
      <c r="AJ131" s="300"/>
      <c r="AK131" s="299"/>
      <c r="AM131" s="315"/>
      <c r="AN131" s="314"/>
      <c r="AO131" s="314" t="str">
        <f>O132</f>
        <v>التربية الموسيقية</v>
      </c>
      <c r="AP131" s="300"/>
      <c r="AQ131" s="300"/>
      <c r="AR131" s="299"/>
      <c r="AT131" s="315"/>
      <c r="AU131" s="314"/>
      <c r="AV131" s="314" t="str">
        <f>O132</f>
        <v>التربية الموسيقية</v>
      </c>
      <c r="AW131" s="300"/>
      <c r="AX131" s="300"/>
      <c r="AY131" s="299"/>
      <c r="BA131" s="315"/>
      <c r="BB131" s="314"/>
      <c r="BC131" s="314" t="str">
        <f>O132</f>
        <v>التربية الموسيقية</v>
      </c>
      <c r="BD131" s="300"/>
      <c r="BE131" s="300"/>
      <c r="BF131" s="299"/>
      <c r="BG131" s="315"/>
      <c r="BH131" s="314"/>
      <c r="BI131" s="314" t="str">
        <f>O132</f>
        <v>التربية الموسيقية</v>
      </c>
      <c r="BJ131" s="300"/>
      <c r="BK131" s="300"/>
      <c r="BL131" s="299"/>
      <c r="BM131" s="298"/>
      <c r="BN131" s="297"/>
      <c r="BO131" s="297"/>
      <c r="BP131" s="297"/>
      <c r="BQ131" s="297"/>
      <c r="BR131" s="296"/>
      <c r="BT131" s="5146" t="str">
        <f>O132</f>
        <v>التربية الموسيقية</v>
      </c>
      <c r="BU131" s="5147"/>
      <c r="BV131" s="5147"/>
      <c r="BW131" s="5147"/>
      <c r="BX131" s="5147"/>
      <c r="BY131" s="5148"/>
      <c r="CB131" s="5146" t="str">
        <f>O132</f>
        <v>التربية الموسيقية</v>
      </c>
      <c r="CC131" s="5147"/>
      <c r="CD131" s="5147"/>
      <c r="CE131" s="5147"/>
      <c r="CF131" s="5147"/>
      <c r="CG131" s="5148"/>
      <c r="CJ131" s="5146" t="str">
        <f>O132</f>
        <v>التربية الموسيقية</v>
      </c>
      <c r="CK131" s="5147"/>
      <c r="CL131" s="5147"/>
      <c r="CM131" s="5147"/>
      <c r="CN131" s="5147"/>
      <c r="CO131" s="5148"/>
      <c r="CR131" s="5146" t="str">
        <f>O132</f>
        <v>التربية الموسيقية</v>
      </c>
      <c r="CS131" s="5147"/>
      <c r="CT131" s="5147"/>
      <c r="CU131" s="5147"/>
      <c r="CV131" s="5147"/>
      <c r="CW131" s="5148"/>
      <c r="CZ131" s="5146" t="str">
        <f>O132</f>
        <v>التربية الموسيقية</v>
      </c>
      <c r="DA131" s="5147"/>
      <c r="DB131" s="5147"/>
      <c r="DC131" s="5147"/>
      <c r="DD131" s="5147"/>
      <c r="DE131" s="5148"/>
      <c r="DH131" s="5146" t="str">
        <f>O132</f>
        <v>التربية الموسيقية</v>
      </c>
      <c r="DI131" s="5147"/>
      <c r="DJ131" s="5147"/>
      <c r="DK131" s="5147"/>
      <c r="DL131" s="5147"/>
      <c r="DM131" s="5148"/>
      <c r="DP131" s="5146" t="str">
        <f>O132</f>
        <v>التربية الموسيقية</v>
      </c>
      <c r="DQ131" s="5147"/>
      <c r="DR131" s="5148"/>
      <c r="DU131" s="5758" t="s">
        <v>57</v>
      </c>
      <c r="DV131" s="5759"/>
      <c r="DW131" s="5759"/>
      <c r="DX131" s="5759"/>
      <c r="DY131" s="5759"/>
      <c r="DZ131" s="5760"/>
      <c r="EA131" s="5758" t="s">
        <v>56</v>
      </c>
      <c r="EB131" s="5759"/>
      <c r="EC131" s="5759"/>
      <c r="ED131" s="5759"/>
      <c r="EE131" s="5759"/>
      <c r="EF131" s="5760"/>
      <c r="EG131" s="5758" t="s">
        <v>55</v>
      </c>
      <c r="EH131" s="5759"/>
      <c r="EI131" s="5759"/>
      <c r="EJ131" s="5759"/>
      <c r="EK131" s="5759"/>
      <c r="EL131" s="5760"/>
      <c r="EM131" s="5758" t="s">
        <v>54</v>
      </c>
      <c r="EN131" s="5759"/>
      <c r="EO131" s="5759"/>
      <c r="EP131" s="5759"/>
      <c r="EQ131" s="5759"/>
      <c r="ER131" s="5760"/>
      <c r="ES131" s="5758" t="s">
        <v>53</v>
      </c>
      <c r="ET131" s="5759"/>
      <c r="EU131" s="5759"/>
      <c r="EV131" s="5759"/>
      <c r="EW131" s="5759"/>
      <c r="EX131" s="5760"/>
      <c r="EY131" s="5758" t="s">
        <v>52</v>
      </c>
      <c r="EZ131" s="5759"/>
      <c r="FA131" s="5759"/>
      <c r="FB131" s="5759"/>
      <c r="FC131" s="5759"/>
      <c r="FD131" s="5760"/>
      <c r="FE131" s="5758" t="s">
        <v>51</v>
      </c>
      <c r="FF131" s="5759"/>
      <c r="FG131" s="5759"/>
      <c r="FH131" s="5759"/>
      <c r="FI131" s="5759"/>
      <c r="FJ131" s="5760"/>
      <c r="FK131" s="5758" t="s">
        <v>50</v>
      </c>
      <c r="FL131" s="5759"/>
      <c r="FM131" s="5759"/>
      <c r="FN131" s="5759"/>
      <c r="FO131" s="5759"/>
      <c r="FP131" s="5760"/>
      <c r="IV131" s="41"/>
    </row>
    <row r="132" spans="1:256" s="25" customFormat="1" ht="12.75" customHeight="1" thickBot="1">
      <c r="A132" s="5729"/>
      <c r="C132" s="295"/>
      <c r="D132" s="293"/>
      <c r="E132" s="291" t="s">
        <v>326</v>
      </c>
      <c r="F132" s="294"/>
      <c r="G132" s="293"/>
      <c r="H132" s="291" t="s">
        <v>325</v>
      </c>
      <c r="I132" s="290"/>
      <c r="J132" s="292"/>
      <c r="K132" s="291" t="s">
        <v>324</v>
      </c>
      <c r="L132" s="290"/>
      <c r="N132" s="313"/>
      <c r="O132" s="312" t="s">
        <v>39</v>
      </c>
      <c r="P132" s="311"/>
      <c r="R132" s="5164" t="s">
        <v>645</v>
      </c>
      <c r="S132" s="5165"/>
      <c r="T132" s="5165"/>
      <c r="U132" s="5165"/>
      <c r="V132" s="5165"/>
      <c r="W132" s="5166"/>
      <c r="Y132" s="5164" t="s">
        <v>323</v>
      </c>
      <c r="Z132" s="5165"/>
      <c r="AA132" s="5165"/>
      <c r="AB132" s="5165"/>
      <c r="AC132" s="5165"/>
      <c r="AD132" s="5166"/>
      <c r="AF132" s="5164" t="s">
        <v>322</v>
      </c>
      <c r="AG132" s="5165"/>
      <c r="AH132" s="5165"/>
      <c r="AI132" s="5165"/>
      <c r="AJ132" s="5165"/>
      <c r="AK132" s="5166"/>
      <c r="AM132" s="5164" t="s">
        <v>321</v>
      </c>
      <c r="AN132" s="5165"/>
      <c r="AO132" s="5165"/>
      <c r="AP132" s="5165"/>
      <c r="AQ132" s="5165"/>
      <c r="AR132" s="5166"/>
      <c r="AT132" s="5164" t="s">
        <v>644</v>
      </c>
      <c r="AU132" s="5165"/>
      <c r="AV132" s="5165"/>
      <c r="AW132" s="5165"/>
      <c r="AX132" s="5165"/>
      <c r="AY132" s="5166"/>
      <c r="BA132" s="5164" t="s">
        <v>642</v>
      </c>
      <c r="BB132" s="5165"/>
      <c r="BC132" s="5165"/>
      <c r="BD132" s="5165"/>
      <c r="BE132" s="5165"/>
      <c r="BF132" s="5166"/>
      <c r="BG132" s="5164" t="s">
        <v>643</v>
      </c>
      <c r="BH132" s="5165"/>
      <c r="BI132" s="5165"/>
      <c r="BJ132" s="5165"/>
      <c r="BK132" s="5165"/>
      <c r="BL132" s="5166"/>
      <c r="BM132" s="289"/>
      <c r="BN132" s="286"/>
      <c r="BO132" s="288" t="str">
        <f>O132</f>
        <v>التربية الموسيقية</v>
      </c>
      <c r="BP132" s="287"/>
      <c r="BQ132" s="286"/>
      <c r="BR132" s="285"/>
      <c r="BT132" s="5149"/>
      <c r="BU132" s="5150"/>
      <c r="BV132" s="5150"/>
      <c r="BW132" s="5150"/>
      <c r="BX132" s="5150"/>
      <c r="BY132" s="5151"/>
      <c r="CB132" s="5149"/>
      <c r="CC132" s="5150"/>
      <c r="CD132" s="5150"/>
      <c r="CE132" s="5150"/>
      <c r="CF132" s="5150"/>
      <c r="CG132" s="5151"/>
      <c r="CJ132" s="5149"/>
      <c r="CK132" s="5150"/>
      <c r="CL132" s="5150"/>
      <c r="CM132" s="5150"/>
      <c r="CN132" s="5150"/>
      <c r="CO132" s="5151"/>
      <c r="CR132" s="5149"/>
      <c r="CS132" s="5150"/>
      <c r="CT132" s="5150"/>
      <c r="CU132" s="5150"/>
      <c r="CV132" s="5150"/>
      <c r="CW132" s="5151"/>
      <c r="CZ132" s="5149"/>
      <c r="DA132" s="5150"/>
      <c r="DB132" s="5150"/>
      <c r="DC132" s="5150"/>
      <c r="DD132" s="5150"/>
      <c r="DE132" s="5151"/>
      <c r="DH132" s="5149"/>
      <c r="DI132" s="5150"/>
      <c r="DJ132" s="5150"/>
      <c r="DK132" s="5150"/>
      <c r="DL132" s="5150"/>
      <c r="DM132" s="5151"/>
      <c r="DP132" s="5771"/>
      <c r="DQ132" s="5772"/>
      <c r="DR132" s="5773"/>
      <c r="DU132" s="5761"/>
      <c r="DV132" s="5762"/>
      <c r="DW132" s="5762"/>
      <c r="DX132" s="5762"/>
      <c r="DY132" s="5762"/>
      <c r="DZ132" s="5763"/>
      <c r="EA132" s="5761"/>
      <c r="EB132" s="5762"/>
      <c r="EC132" s="5762"/>
      <c r="ED132" s="5762"/>
      <c r="EE132" s="5762"/>
      <c r="EF132" s="5763"/>
      <c r="EG132" s="5761"/>
      <c r="EH132" s="5762"/>
      <c r="EI132" s="5762"/>
      <c r="EJ132" s="5762"/>
      <c r="EK132" s="5762"/>
      <c r="EL132" s="5763"/>
      <c r="EM132" s="5761"/>
      <c r="EN132" s="5762"/>
      <c r="EO132" s="5762"/>
      <c r="EP132" s="5762"/>
      <c r="EQ132" s="5762"/>
      <c r="ER132" s="5763"/>
      <c r="ES132" s="5761"/>
      <c r="ET132" s="5762"/>
      <c r="EU132" s="5762"/>
      <c r="EV132" s="5762"/>
      <c r="EW132" s="5762"/>
      <c r="EX132" s="5763"/>
      <c r="EY132" s="5761"/>
      <c r="EZ132" s="5762"/>
      <c r="FA132" s="5762"/>
      <c r="FB132" s="5762"/>
      <c r="FC132" s="5762"/>
      <c r="FD132" s="5763"/>
      <c r="FE132" s="5761"/>
      <c r="FF132" s="5762"/>
      <c r="FG132" s="5762"/>
      <c r="FH132" s="5762"/>
      <c r="FI132" s="5762"/>
      <c r="FJ132" s="5763"/>
      <c r="FK132" s="5761"/>
      <c r="FL132" s="5762"/>
      <c r="FM132" s="5762"/>
      <c r="FN132" s="5762"/>
      <c r="FO132" s="5762"/>
      <c r="FP132" s="5763"/>
      <c r="IV132" s="41"/>
    </row>
    <row r="133" spans="1:256" s="25" customFormat="1" ht="12.75" customHeight="1">
      <c r="A133" s="5729"/>
      <c r="C133" s="284"/>
      <c r="D133" s="282"/>
      <c r="E133" s="282"/>
      <c r="F133" s="282"/>
      <c r="G133" s="282"/>
      <c r="H133" s="282"/>
      <c r="I133" s="281"/>
      <c r="J133" s="283"/>
      <c r="K133" s="282"/>
      <c r="L133" s="281"/>
      <c r="N133" s="310"/>
      <c r="O133" s="309"/>
      <c r="P133" s="308"/>
      <c r="R133" s="5167"/>
      <c r="S133" s="5168"/>
      <c r="T133" s="5168"/>
      <c r="U133" s="5168"/>
      <c r="V133" s="5168"/>
      <c r="W133" s="5169"/>
      <c r="Y133" s="5167"/>
      <c r="Z133" s="5168"/>
      <c r="AA133" s="5168"/>
      <c r="AB133" s="5168"/>
      <c r="AC133" s="5168"/>
      <c r="AD133" s="5169"/>
      <c r="AF133" s="5167"/>
      <c r="AG133" s="5168"/>
      <c r="AH133" s="5168"/>
      <c r="AI133" s="5168"/>
      <c r="AJ133" s="5168"/>
      <c r="AK133" s="5169"/>
      <c r="AM133" s="5167"/>
      <c r="AN133" s="5168"/>
      <c r="AO133" s="5168"/>
      <c r="AP133" s="5168"/>
      <c r="AQ133" s="5168"/>
      <c r="AR133" s="5169"/>
      <c r="AT133" s="5167"/>
      <c r="AU133" s="5168"/>
      <c r="AV133" s="5168"/>
      <c r="AW133" s="5168"/>
      <c r="AX133" s="5168"/>
      <c r="AY133" s="5169"/>
      <c r="BA133" s="5167"/>
      <c r="BB133" s="5168"/>
      <c r="BC133" s="5168"/>
      <c r="BD133" s="5168"/>
      <c r="BE133" s="5168"/>
      <c r="BF133" s="5169"/>
      <c r="BG133" s="5167"/>
      <c r="BH133" s="5168"/>
      <c r="BI133" s="5168"/>
      <c r="BJ133" s="5168"/>
      <c r="BK133" s="5168"/>
      <c r="BL133" s="5169"/>
      <c r="BM133" s="280"/>
      <c r="BN133" s="279"/>
      <c r="BO133" s="279"/>
      <c r="BP133" s="279"/>
      <c r="BQ133" s="279"/>
      <c r="BR133" s="278"/>
      <c r="BT133" s="5130" t="s">
        <v>318</v>
      </c>
      <c r="BU133" s="5131"/>
      <c r="BV133" s="5132"/>
      <c r="BW133" s="5144" t="s">
        <v>317</v>
      </c>
      <c r="BX133" s="5131"/>
      <c r="BY133" s="5145"/>
      <c r="CB133" s="5130" t="s">
        <v>318</v>
      </c>
      <c r="CC133" s="5131"/>
      <c r="CD133" s="5132"/>
      <c r="CE133" s="5144" t="s">
        <v>317</v>
      </c>
      <c r="CF133" s="5131"/>
      <c r="CG133" s="5145"/>
      <c r="CJ133" s="5130" t="s">
        <v>318</v>
      </c>
      <c r="CK133" s="5131"/>
      <c r="CL133" s="5132"/>
      <c r="CM133" s="5144" t="s">
        <v>317</v>
      </c>
      <c r="CN133" s="5131"/>
      <c r="CO133" s="5145"/>
      <c r="CR133" s="5152" t="s">
        <v>320</v>
      </c>
      <c r="CS133" s="5153"/>
      <c r="CT133" s="5153"/>
      <c r="CU133" s="5152" t="s">
        <v>319</v>
      </c>
      <c r="CV133" s="5153"/>
      <c r="CW133" s="5154"/>
      <c r="CZ133" s="5130" t="s">
        <v>318</v>
      </c>
      <c r="DA133" s="5131"/>
      <c r="DB133" s="5132"/>
      <c r="DC133" s="5144" t="s">
        <v>317</v>
      </c>
      <c r="DD133" s="5131"/>
      <c r="DE133" s="5145"/>
      <c r="DH133" s="5130" t="s">
        <v>318</v>
      </c>
      <c r="DI133" s="5131"/>
      <c r="DJ133" s="5132"/>
      <c r="DK133" s="5144" t="s">
        <v>317</v>
      </c>
      <c r="DL133" s="5131"/>
      <c r="DM133" s="5145"/>
      <c r="DP133" s="5130" t="s">
        <v>318</v>
      </c>
      <c r="DQ133" s="5131"/>
      <c r="DR133" s="5145"/>
      <c r="DU133" s="277"/>
      <c r="DV133" s="274" t="s">
        <v>318</v>
      </c>
      <c r="DW133" s="276"/>
      <c r="DX133" s="275"/>
      <c r="DY133" s="274" t="s">
        <v>317</v>
      </c>
      <c r="DZ133" s="273"/>
      <c r="EA133" s="277"/>
      <c r="EB133" s="274" t="s">
        <v>318</v>
      </c>
      <c r="EC133" s="276"/>
      <c r="ED133" s="275"/>
      <c r="EE133" s="274" t="s">
        <v>317</v>
      </c>
      <c r="EF133" s="273"/>
      <c r="EG133" s="277"/>
      <c r="EH133" s="274" t="s">
        <v>318</v>
      </c>
      <c r="EI133" s="276"/>
      <c r="EJ133" s="275"/>
      <c r="EK133" s="274" t="s">
        <v>317</v>
      </c>
      <c r="EL133" s="273"/>
      <c r="EM133" s="277"/>
      <c r="EN133" s="274" t="s">
        <v>318</v>
      </c>
      <c r="EO133" s="276"/>
      <c r="EP133" s="275"/>
      <c r="EQ133" s="274" t="s">
        <v>317</v>
      </c>
      <c r="ER133" s="273"/>
      <c r="ES133" s="277"/>
      <c r="ET133" s="274" t="s">
        <v>318</v>
      </c>
      <c r="EU133" s="276"/>
      <c r="EV133" s="275"/>
      <c r="EW133" s="274" t="s">
        <v>317</v>
      </c>
      <c r="EX133" s="273"/>
      <c r="EY133" s="277"/>
      <c r="EZ133" s="274" t="s">
        <v>318</v>
      </c>
      <c r="FA133" s="276"/>
      <c r="FB133" s="275"/>
      <c r="FC133" s="274" t="s">
        <v>317</v>
      </c>
      <c r="FD133" s="273"/>
      <c r="FE133" s="277"/>
      <c r="FF133" s="274" t="s">
        <v>318</v>
      </c>
      <c r="FG133" s="276"/>
      <c r="FH133" s="275"/>
      <c r="FI133" s="274" t="s">
        <v>317</v>
      </c>
      <c r="FJ133" s="273"/>
      <c r="FK133" s="277"/>
      <c r="FL133" s="274" t="s">
        <v>318</v>
      </c>
      <c r="FM133" s="276"/>
      <c r="FN133" s="275"/>
      <c r="FO133" s="274" t="s">
        <v>317</v>
      </c>
      <c r="FP133" s="273"/>
      <c r="FR133" s="27"/>
      <c r="FS133" s="27"/>
      <c r="FT133" s="27"/>
      <c r="FU133" s="27"/>
      <c r="FV133" s="27"/>
      <c r="FW133" s="27"/>
      <c r="FX133" s="27"/>
      <c r="FY133" s="27"/>
      <c r="FZ133" s="27"/>
      <c r="GA133" s="27"/>
      <c r="GB133" s="27"/>
      <c r="GC133" s="27"/>
      <c r="GD133" s="27"/>
      <c r="GE133" s="27"/>
      <c r="GF133" s="27"/>
      <c r="GG133" s="27"/>
      <c r="GH133" s="27"/>
      <c r="GI133" s="27"/>
      <c r="GJ133" s="27"/>
      <c r="GK133" s="27"/>
      <c r="GL133" s="27"/>
      <c r="GM133" s="27"/>
      <c r="GN133" s="27"/>
      <c r="GO133" s="27"/>
      <c r="GP133" s="27"/>
      <c r="GQ133" s="27"/>
      <c r="GR133" s="27"/>
      <c r="GS133" s="27"/>
      <c r="GT133" s="27"/>
      <c r="GU133" s="27"/>
      <c r="GV133" s="27"/>
      <c r="GW133" s="27"/>
      <c r="GX133" s="27"/>
      <c r="GY133" s="27"/>
      <c r="GZ133" s="27"/>
      <c r="HA133" s="27"/>
      <c r="HB133" s="27"/>
      <c r="HC133" s="27"/>
      <c r="HD133" s="27"/>
      <c r="HE133" s="27"/>
      <c r="HF133" s="27"/>
      <c r="HG133" s="27"/>
      <c r="HH133" s="27"/>
      <c r="HI133" s="27"/>
      <c r="HJ133" s="27"/>
      <c r="HK133" s="27"/>
      <c r="HL133" s="27"/>
      <c r="HM133" s="27"/>
      <c r="HN133" s="27"/>
      <c r="HO133" s="27"/>
      <c r="HP133" s="27"/>
      <c r="HQ133" s="27"/>
      <c r="HR133" s="27"/>
      <c r="HS133" s="27"/>
      <c r="HT133" s="27"/>
      <c r="HU133" s="27"/>
      <c r="HV133" s="27"/>
      <c r="HW133" s="27"/>
      <c r="HX133" s="27"/>
      <c r="HY133" s="27"/>
      <c r="HZ133" s="27"/>
      <c r="IA133" s="27"/>
      <c r="IB133" s="27"/>
      <c r="IC133" s="27"/>
      <c r="ID133" s="27"/>
      <c r="IE133" s="27"/>
      <c r="IF133" s="27"/>
      <c r="IG133" s="27"/>
      <c r="IH133" s="27"/>
      <c r="II133" s="27"/>
      <c r="IJ133" s="27"/>
      <c r="IK133" s="27"/>
      <c r="IL133" s="27"/>
      <c r="IM133" s="27"/>
      <c r="IN133" s="27"/>
      <c r="IO133" s="27"/>
      <c r="IP133" s="27"/>
      <c r="IQ133" s="27"/>
      <c r="IR133" s="27"/>
      <c r="IS133" s="27"/>
      <c r="IT133" s="27"/>
      <c r="IV133" s="41"/>
    </row>
    <row r="134" spans="1:256" s="25" customFormat="1" ht="14.4">
      <c r="A134" s="5729"/>
      <c r="C134" s="272" t="s">
        <v>316</v>
      </c>
      <c r="D134" s="270" t="s">
        <v>20</v>
      </c>
      <c r="E134" s="270" t="s">
        <v>49</v>
      </c>
      <c r="F134" s="270" t="s">
        <v>311</v>
      </c>
      <c r="G134" s="270" t="s">
        <v>20</v>
      </c>
      <c r="H134" s="270" t="s">
        <v>49</v>
      </c>
      <c r="I134" s="269" t="s">
        <v>311</v>
      </c>
      <c r="J134" s="271" t="s">
        <v>20</v>
      </c>
      <c r="K134" s="270" t="s">
        <v>49</v>
      </c>
      <c r="L134" s="269" t="s">
        <v>311</v>
      </c>
      <c r="N134" s="266" t="s">
        <v>20</v>
      </c>
      <c r="O134" s="264" t="s">
        <v>49</v>
      </c>
      <c r="P134" s="263" t="s">
        <v>311</v>
      </c>
      <c r="R134" s="266" t="s">
        <v>20</v>
      </c>
      <c r="S134" s="264" t="s">
        <v>49</v>
      </c>
      <c r="T134" s="265" t="s">
        <v>311</v>
      </c>
      <c r="U134" s="264" t="s">
        <v>310</v>
      </c>
      <c r="V134" s="264" t="s">
        <v>309</v>
      </c>
      <c r="W134" s="263" t="s">
        <v>308</v>
      </c>
      <c r="Y134" s="266" t="s">
        <v>20</v>
      </c>
      <c r="Z134" s="264" t="s">
        <v>49</v>
      </c>
      <c r="AA134" s="265" t="s">
        <v>311</v>
      </c>
      <c r="AB134" s="264" t="s">
        <v>310</v>
      </c>
      <c r="AC134" s="264" t="s">
        <v>309</v>
      </c>
      <c r="AD134" s="263" t="s">
        <v>308</v>
      </c>
      <c r="AF134" s="266" t="s">
        <v>20</v>
      </c>
      <c r="AG134" s="264" t="s">
        <v>49</v>
      </c>
      <c r="AH134" s="265" t="s">
        <v>311</v>
      </c>
      <c r="AI134" s="264" t="s">
        <v>310</v>
      </c>
      <c r="AJ134" s="264" t="s">
        <v>309</v>
      </c>
      <c r="AK134" s="263" t="s">
        <v>308</v>
      </c>
      <c r="AM134" s="266" t="s">
        <v>20</v>
      </c>
      <c r="AN134" s="264" t="s">
        <v>49</v>
      </c>
      <c r="AO134" s="265" t="s">
        <v>311</v>
      </c>
      <c r="AP134" s="264" t="s">
        <v>310</v>
      </c>
      <c r="AQ134" s="264" t="s">
        <v>309</v>
      </c>
      <c r="AR134" s="263" t="s">
        <v>308</v>
      </c>
      <c r="AT134" s="266" t="s">
        <v>20</v>
      </c>
      <c r="AU134" s="264" t="s">
        <v>49</v>
      </c>
      <c r="AV134" s="265" t="s">
        <v>311</v>
      </c>
      <c r="AW134" s="264" t="s">
        <v>310</v>
      </c>
      <c r="AX134" s="264" t="s">
        <v>309</v>
      </c>
      <c r="AY134" s="263" t="s">
        <v>308</v>
      </c>
      <c r="BA134" s="266" t="s">
        <v>20</v>
      </c>
      <c r="BB134" s="264" t="s">
        <v>49</v>
      </c>
      <c r="BC134" s="265" t="s">
        <v>311</v>
      </c>
      <c r="BD134" s="264" t="s">
        <v>310</v>
      </c>
      <c r="BE134" s="264" t="s">
        <v>309</v>
      </c>
      <c r="BF134" s="263" t="s">
        <v>308</v>
      </c>
      <c r="BG134" s="266" t="s">
        <v>20</v>
      </c>
      <c r="BH134" s="264" t="s">
        <v>49</v>
      </c>
      <c r="BI134" s="265" t="s">
        <v>311</v>
      </c>
      <c r="BJ134" s="264" t="s">
        <v>310</v>
      </c>
      <c r="BK134" s="264" t="s">
        <v>309</v>
      </c>
      <c r="BL134" s="263" t="s">
        <v>308</v>
      </c>
      <c r="BM134" s="266" t="s">
        <v>20</v>
      </c>
      <c r="BN134" s="264" t="s">
        <v>49</v>
      </c>
      <c r="BO134" s="265" t="s">
        <v>311</v>
      </c>
      <c r="BP134" s="264" t="s">
        <v>310</v>
      </c>
      <c r="BQ134" s="264" t="s">
        <v>309</v>
      </c>
      <c r="BR134" s="263" t="s">
        <v>308</v>
      </c>
      <c r="BT134" s="266" t="s">
        <v>20</v>
      </c>
      <c r="BU134" s="264" t="s">
        <v>49</v>
      </c>
      <c r="BV134" s="265" t="s">
        <v>311</v>
      </c>
      <c r="BW134" s="264" t="s">
        <v>310</v>
      </c>
      <c r="BX134" s="264" t="s">
        <v>309</v>
      </c>
      <c r="BY134" s="263" t="s">
        <v>308</v>
      </c>
      <c r="CB134" s="266" t="s">
        <v>20</v>
      </c>
      <c r="CC134" s="264" t="s">
        <v>49</v>
      </c>
      <c r="CD134" s="265" t="s">
        <v>311</v>
      </c>
      <c r="CE134" s="264" t="s">
        <v>310</v>
      </c>
      <c r="CF134" s="264" t="s">
        <v>309</v>
      </c>
      <c r="CG134" s="263" t="s">
        <v>308</v>
      </c>
      <c r="CJ134" s="266" t="s">
        <v>20</v>
      </c>
      <c r="CK134" s="264" t="s">
        <v>49</v>
      </c>
      <c r="CL134" s="265" t="s">
        <v>311</v>
      </c>
      <c r="CM134" s="264" t="s">
        <v>310</v>
      </c>
      <c r="CN134" s="264" t="s">
        <v>309</v>
      </c>
      <c r="CO134" s="263" t="s">
        <v>308</v>
      </c>
      <c r="CR134" s="266" t="s">
        <v>313</v>
      </c>
      <c r="CS134" s="264" t="s">
        <v>315</v>
      </c>
      <c r="CT134" s="268" t="s">
        <v>314</v>
      </c>
      <c r="CU134" s="267" t="s">
        <v>313</v>
      </c>
      <c r="CV134" s="264" t="s">
        <v>28</v>
      </c>
      <c r="CW134" s="263" t="s">
        <v>312</v>
      </c>
      <c r="CZ134" s="266" t="s">
        <v>20</v>
      </c>
      <c r="DA134" s="264" t="s">
        <v>49</v>
      </c>
      <c r="DB134" s="265" t="s">
        <v>311</v>
      </c>
      <c r="DC134" s="264" t="s">
        <v>310</v>
      </c>
      <c r="DD134" s="264" t="s">
        <v>309</v>
      </c>
      <c r="DE134" s="263" t="s">
        <v>308</v>
      </c>
      <c r="DH134" s="266" t="s">
        <v>20</v>
      </c>
      <c r="DI134" s="264" t="s">
        <v>49</v>
      </c>
      <c r="DJ134" s="265" t="s">
        <v>311</v>
      </c>
      <c r="DK134" s="264" t="s">
        <v>310</v>
      </c>
      <c r="DL134" s="264" t="s">
        <v>309</v>
      </c>
      <c r="DM134" s="263" t="s">
        <v>308</v>
      </c>
      <c r="DP134" s="266" t="s">
        <v>20</v>
      </c>
      <c r="DQ134" s="264" t="s">
        <v>49</v>
      </c>
      <c r="DR134" s="263" t="s">
        <v>311</v>
      </c>
      <c r="DU134" s="266" t="s">
        <v>20</v>
      </c>
      <c r="DV134" s="264" t="s">
        <v>49</v>
      </c>
      <c r="DW134" s="265" t="s">
        <v>311</v>
      </c>
      <c r="DX134" s="264" t="s">
        <v>310</v>
      </c>
      <c r="DY134" s="264" t="s">
        <v>309</v>
      </c>
      <c r="DZ134" s="263" t="s">
        <v>308</v>
      </c>
      <c r="EA134" s="266" t="s">
        <v>20</v>
      </c>
      <c r="EB134" s="264" t="s">
        <v>49</v>
      </c>
      <c r="EC134" s="265" t="s">
        <v>311</v>
      </c>
      <c r="ED134" s="264" t="s">
        <v>310</v>
      </c>
      <c r="EE134" s="264" t="s">
        <v>309</v>
      </c>
      <c r="EF134" s="263" t="s">
        <v>308</v>
      </c>
      <c r="EG134" s="266" t="s">
        <v>20</v>
      </c>
      <c r="EH134" s="264" t="s">
        <v>49</v>
      </c>
      <c r="EI134" s="265" t="s">
        <v>311</v>
      </c>
      <c r="EJ134" s="264" t="s">
        <v>310</v>
      </c>
      <c r="EK134" s="264" t="s">
        <v>309</v>
      </c>
      <c r="EL134" s="263" t="s">
        <v>308</v>
      </c>
      <c r="EM134" s="266" t="s">
        <v>20</v>
      </c>
      <c r="EN134" s="264" t="s">
        <v>49</v>
      </c>
      <c r="EO134" s="265" t="s">
        <v>311</v>
      </c>
      <c r="EP134" s="264" t="s">
        <v>310</v>
      </c>
      <c r="EQ134" s="264" t="s">
        <v>309</v>
      </c>
      <c r="ER134" s="263" t="s">
        <v>308</v>
      </c>
      <c r="ES134" s="266" t="s">
        <v>20</v>
      </c>
      <c r="ET134" s="264" t="s">
        <v>49</v>
      </c>
      <c r="EU134" s="265" t="s">
        <v>311</v>
      </c>
      <c r="EV134" s="264" t="s">
        <v>310</v>
      </c>
      <c r="EW134" s="264" t="s">
        <v>309</v>
      </c>
      <c r="EX134" s="263" t="s">
        <v>308</v>
      </c>
      <c r="EY134" s="266" t="s">
        <v>20</v>
      </c>
      <c r="EZ134" s="264" t="s">
        <v>49</v>
      </c>
      <c r="FA134" s="265" t="s">
        <v>311</v>
      </c>
      <c r="FB134" s="264" t="s">
        <v>310</v>
      </c>
      <c r="FC134" s="264" t="s">
        <v>309</v>
      </c>
      <c r="FD134" s="263" t="s">
        <v>308</v>
      </c>
      <c r="FE134" s="266" t="s">
        <v>20</v>
      </c>
      <c r="FF134" s="264" t="s">
        <v>49</v>
      </c>
      <c r="FG134" s="265" t="s">
        <v>311</v>
      </c>
      <c r="FH134" s="264" t="s">
        <v>310</v>
      </c>
      <c r="FI134" s="264" t="s">
        <v>309</v>
      </c>
      <c r="FJ134" s="263" t="s">
        <v>308</v>
      </c>
      <c r="FK134" s="266" t="s">
        <v>20</v>
      </c>
      <c r="FL134" s="264" t="s">
        <v>49</v>
      </c>
      <c r="FM134" s="265" t="s">
        <v>311</v>
      </c>
      <c r="FN134" s="264" t="s">
        <v>310</v>
      </c>
      <c r="FO134" s="264" t="s">
        <v>309</v>
      </c>
      <c r="FP134" s="263" t="s">
        <v>308</v>
      </c>
      <c r="IV134" s="41"/>
    </row>
    <row r="135" spans="1:256" s="25" customFormat="1" ht="13.5" customHeight="1" thickBot="1">
      <c r="A135" s="5729"/>
      <c r="C135" s="253">
        <f>('الصفحة 27'!$F$54)</f>
        <v>0</v>
      </c>
      <c r="D135" s="252">
        <f>'الصفحة 27'!$M$54</f>
        <v>0</v>
      </c>
      <c r="E135" s="252">
        <f>'الصفحة 27'!$N$54</f>
        <v>0</v>
      </c>
      <c r="F135" s="251">
        <f>(D135-E135)</f>
        <v>0</v>
      </c>
      <c r="G135" s="251">
        <f>('الصفحة 27'!$K$54)</f>
        <v>0</v>
      </c>
      <c r="H135" s="262">
        <f>('الصفحة 27'!$L$54)</f>
        <v>0</v>
      </c>
      <c r="I135" s="261">
        <f>(G135-H135)</f>
        <v>0</v>
      </c>
      <c r="J135" s="260">
        <f>((G135)/($D$63+0.00001))*100</f>
        <v>0</v>
      </c>
      <c r="K135" s="250">
        <f>((H135)/($E$63+0.00001))*100</f>
        <v>0</v>
      </c>
      <c r="L135" s="249">
        <f>((I135)/(F135+0.00001))*100</f>
        <v>0</v>
      </c>
      <c r="N135" s="253">
        <f>'الصفحة 27'!$K$27</f>
        <v>0</v>
      </c>
      <c r="O135" s="252">
        <f>'الصفحة 27'!$K$28</f>
        <v>0</v>
      </c>
      <c r="P135" s="258">
        <f>(N135-O135)</f>
        <v>0</v>
      </c>
      <c r="R135" s="253">
        <f>'الصفحة 27'!$F$27</f>
        <v>0</v>
      </c>
      <c r="S135" s="252">
        <f>'الصفحة 27'!$F$28</f>
        <v>0</v>
      </c>
      <c r="T135" s="252">
        <f>(R135-S135)</f>
        <v>0</v>
      </c>
      <c r="U135" s="257">
        <f>(R135/($N$63+0.00001))*100</f>
        <v>0</v>
      </c>
      <c r="V135" s="257">
        <f>(S135/($O$63+0.00001))*100</f>
        <v>0</v>
      </c>
      <c r="W135" s="256">
        <f>(T135/($P$63+0.00001))*100</f>
        <v>0</v>
      </c>
      <c r="Y135" s="253">
        <f>'الصفحة 27'!$G$27</f>
        <v>0</v>
      </c>
      <c r="Z135" s="252">
        <f>'الصفحة 27'!$G$28</f>
        <v>0</v>
      </c>
      <c r="AA135" s="252">
        <f>(Y135-Z135)</f>
        <v>0</v>
      </c>
      <c r="AB135" s="257">
        <f>(Y135/($N$63+0.00001))*100</f>
        <v>0</v>
      </c>
      <c r="AC135" s="257">
        <f>(Z135/($O$63+0.00001))*100</f>
        <v>0</v>
      </c>
      <c r="AD135" s="256">
        <f>(AA135/($P$63+0.00001))*100</f>
        <v>0</v>
      </c>
      <c r="AF135" s="253">
        <f>'الصفحة 27'!$H$27</f>
        <v>0</v>
      </c>
      <c r="AG135" s="252">
        <f>'الصفحة 27'!$H$28</f>
        <v>0</v>
      </c>
      <c r="AH135" s="252">
        <f>(AF135-AG135)</f>
        <v>0</v>
      </c>
      <c r="AI135" s="257">
        <f>(AF135/($N$63+0.00001))*100</f>
        <v>0</v>
      </c>
      <c r="AJ135" s="257">
        <f>(AG135/($O$63+0.00001))*100</f>
        <v>0</v>
      </c>
      <c r="AK135" s="256">
        <f>(AH135/($P$63+0.00001))*100</f>
        <v>0</v>
      </c>
      <c r="AM135" s="253">
        <f>'الصفحة 27'!$I$27</f>
        <v>0</v>
      </c>
      <c r="AN135" s="252">
        <f>'الصفحة 27'!$I$28</f>
        <v>0</v>
      </c>
      <c r="AO135" s="252">
        <f>(AM135-AN135)</f>
        <v>0</v>
      </c>
      <c r="AP135" s="257">
        <f>(AM135/($N$63+0.00001))*100</f>
        <v>0</v>
      </c>
      <c r="AQ135" s="257">
        <f>(AN135/($O$63+0.00001))*100</f>
        <v>0</v>
      </c>
      <c r="AR135" s="256">
        <f>(AO135/($P$63+0.00001))*100</f>
        <v>0</v>
      </c>
      <c r="AT135" s="253">
        <f>'الصفحة 27'!$J$27</f>
        <v>0</v>
      </c>
      <c r="AU135" s="252">
        <f>'الصفحة 27'!$J$28</f>
        <v>0</v>
      </c>
      <c r="AV135" s="252">
        <f>(AT135-AU135)</f>
        <v>0</v>
      </c>
      <c r="AW135" s="257">
        <f>(AT135/($N$63+0.00001))*100</f>
        <v>0</v>
      </c>
      <c r="AX135" s="257">
        <f>(AU135/($O$63+0.00001))*100</f>
        <v>0</v>
      </c>
      <c r="AY135" s="256">
        <f>(AV135/($P$63+0.00001))*100</f>
        <v>0</v>
      </c>
      <c r="BA135" s="253" t="e">
        <f>'الصفحة 27'!#REF!</f>
        <v>#REF!</v>
      </c>
      <c r="BB135" s="252" t="e">
        <f>'الصفحة 27'!#REF!</f>
        <v>#REF!</v>
      </c>
      <c r="BC135" s="252" t="e">
        <f>(BA135-BB135)</f>
        <v>#REF!</v>
      </c>
      <c r="BD135" s="257" t="e">
        <f>(BA135/($N$63+0.00001))*100</f>
        <v>#REF!</v>
      </c>
      <c r="BE135" s="257" t="e">
        <f>(BB135/($O$63+0.00001))*100</f>
        <v>#REF!</v>
      </c>
      <c r="BF135" s="256" t="e">
        <f>(BC135/($P$63+0.00001))*100</f>
        <v>#REF!</v>
      </c>
      <c r="BG135" s="253" t="e">
        <f>'الصفحة 27'!#REF!</f>
        <v>#REF!</v>
      </c>
      <c r="BH135" s="252" t="e">
        <f>'الصفحة 27'!#REF!</f>
        <v>#REF!</v>
      </c>
      <c r="BI135" s="252" t="e">
        <f>(BG135-BH135)</f>
        <v>#REF!</v>
      </c>
      <c r="BJ135" s="257" t="e">
        <f>(BG135/($N$63+0.00001))*100</f>
        <v>#REF!</v>
      </c>
      <c r="BK135" s="257" t="e">
        <f>(BH135/($O$63+0.00001))*100</f>
        <v>#REF!</v>
      </c>
      <c r="BL135" s="256" t="e">
        <f>(BI135/($P$63+0.00001))*100</f>
        <v>#REF!</v>
      </c>
      <c r="BM135" s="253">
        <f>'الصفحة 30'!$O$37+'الصفحة 30'!$Q$18+'الصفحة 30'!$Q$37+'الصفحة 30'!$S$18+'الصفحة 30'!$S$37+'الصفحة 30'!$U$18+'الصفحة 30'!$U$37+'الصفحة 30'!$W$18+'الصفحة 30'!$W$37+'الصفحة 30'!$Y$18+'الصفحة 30'!$Y$37</f>
        <v>0</v>
      </c>
      <c r="BN135" s="252">
        <f>'الصفحة 30'!$P$37+'الصفحة 30'!$R$18+'الصفحة 30'!$R$37+'الصفحة 30'!$T$18+'الصفحة 30'!$T$37+'الصفحة 30'!$V$18+'الصفحة 30'!$V$37+'الصفحة 30'!$X$18+'الصفحة 30'!$X$37+'الصفحة 30'!$Z$18+'الصفحة 30'!$Z$37</f>
        <v>0</v>
      </c>
      <c r="BO135" s="252">
        <f>(BM135-BN135)</f>
        <v>0</v>
      </c>
      <c r="BP135" s="257">
        <f>(BM135/($N135+0.00001))*100</f>
        <v>0</v>
      </c>
      <c r="BQ135" s="257">
        <f>(BN135/($O135+0.00001))*100</f>
        <v>0</v>
      </c>
      <c r="BR135" s="256">
        <f>(BO135/($P135+0.00001))*100</f>
        <v>0</v>
      </c>
      <c r="BT135" s="253">
        <f>'الصفحة 31'!$N$27</f>
        <v>0</v>
      </c>
      <c r="BU135" s="252">
        <f>'الصفحة 31'!$N$28</f>
        <v>0</v>
      </c>
      <c r="BV135" s="251">
        <f>(BT135-BU135)</f>
        <v>0</v>
      </c>
      <c r="BW135" s="257">
        <f>(BT135/($N135+0.00001))*100</f>
        <v>0</v>
      </c>
      <c r="BX135" s="257">
        <f>(BU135/($O135+0.00001))*100</f>
        <v>0</v>
      </c>
      <c r="BY135" s="256">
        <f>(BV135/($P135+0.00001))*100</f>
        <v>0</v>
      </c>
      <c r="CB135" s="253">
        <f>'الصفحة 31'!$P$53</f>
        <v>0</v>
      </c>
      <c r="CC135" s="252">
        <f>'الصفحة 31'!$Q$53</f>
        <v>0</v>
      </c>
      <c r="CD135" s="251">
        <f>(CB135-CC135)</f>
        <v>0</v>
      </c>
      <c r="CE135" s="257">
        <f>(CB135/($N135+0.00001))*100</f>
        <v>0</v>
      </c>
      <c r="CF135" s="257">
        <f>(CC135/($O135+0.00001))*100</f>
        <v>0</v>
      </c>
      <c r="CG135" s="256">
        <f>(CD135/($P135+0.00001))*100</f>
        <v>0</v>
      </c>
      <c r="CJ135" s="253">
        <f>'الصفحة 31'!$Q$27</f>
        <v>0</v>
      </c>
      <c r="CK135" s="252">
        <f>'الصفحة 31'!$Q$28</f>
        <v>0</v>
      </c>
      <c r="CL135" s="251">
        <f>(CJ135-CK135)</f>
        <v>0</v>
      </c>
      <c r="CM135" s="257">
        <f>(CJ135/($N135+0.00001))*100</f>
        <v>0</v>
      </c>
      <c r="CN135" s="257">
        <f>(CK135/($O135+0.00001))*100</f>
        <v>0</v>
      </c>
      <c r="CO135" s="256">
        <f>(CL135/($P135+0.00001))*100</f>
        <v>0</v>
      </c>
      <c r="CR135" s="253" t="e">
        <f>'الصفحة 27'!#REF!</f>
        <v>#REF!</v>
      </c>
      <c r="CS135" s="252" t="e">
        <f>CV135-CR135</f>
        <v>#REF!</v>
      </c>
      <c r="CT135" s="255" t="e">
        <f>((CR135)/(CS135+0.00001))</f>
        <v>#REF!</v>
      </c>
      <c r="CU135" s="253" t="e">
        <f>CR135</f>
        <v>#REF!</v>
      </c>
      <c r="CV135" s="252" t="e">
        <f>'الصفحة 27'!#REF!</f>
        <v>#REF!</v>
      </c>
      <c r="CW135" s="249" t="e">
        <f>((CU135)/(CV135+0.00001))*100</f>
        <v>#REF!</v>
      </c>
      <c r="CZ135" s="253">
        <f>'الصفحة 27'!$F$27+'الصفحة 27'!$G$27+'الصفحة 27'!$H$27+'الصفحة 27'!$I$27</f>
        <v>0</v>
      </c>
      <c r="DA135" s="252">
        <f>'الصفحة 27'!$F$28+'الصفحة 27'!$G$28+'الصفحة 27'!$H$28+'الصفحة 27'!$I$28</f>
        <v>0</v>
      </c>
      <c r="DB135" s="251">
        <f>(CZ135-DA135)</f>
        <v>0</v>
      </c>
      <c r="DC135" s="250" t="e">
        <f>((CZ135)/(CV135+0.00001))*100</f>
        <v>#REF!</v>
      </c>
      <c r="DD135" s="250" t="e">
        <f>((DA135)/(CR135+0.00001))*100</f>
        <v>#REF!</v>
      </c>
      <c r="DE135" s="249" t="e">
        <f>((DB135)/(CV135-CR135+0.00001))*100</f>
        <v>#REF!</v>
      </c>
      <c r="DH135" s="253">
        <f>'الصفحة 27'!$N$27</f>
        <v>0</v>
      </c>
      <c r="DI135" s="252">
        <f>'الصفحة 27'!$N$28</f>
        <v>0</v>
      </c>
      <c r="DJ135" s="251">
        <f>(DH135-DI135)</f>
        <v>0</v>
      </c>
      <c r="DK135" s="250" t="e">
        <f>((DH135)/(CV135+0.00001))*100</f>
        <v>#REF!</v>
      </c>
      <c r="DL135" s="250" t="e">
        <f>((DI135)/(CR135+0.00001))*100</f>
        <v>#REF!</v>
      </c>
      <c r="DM135" s="249" t="e">
        <f>((DJ135)/(CV135-CR135+0.00001))*100</f>
        <v>#REF!</v>
      </c>
      <c r="DP135" s="253">
        <f>'الصفحة 32'!$N$46</f>
        <v>0</v>
      </c>
      <c r="DQ135" s="252">
        <f>'الصفحة 32'!$N$47</f>
        <v>0</v>
      </c>
      <c r="DR135" s="254">
        <f>(DP135-DQ135)</f>
        <v>0</v>
      </c>
      <c r="DU135" s="253">
        <f>'الصفحة 32'!$N$30</f>
        <v>0</v>
      </c>
      <c r="DV135" s="252">
        <f>'الصفحة 32'!$N$31</f>
        <v>0</v>
      </c>
      <c r="DW135" s="251">
        <f>(DU135-DV135)</f>
        <v>0</v>
      </c>
      <c r="DX135" s="250">
        <f>((DU135)/($DP$135+0.00001))*100</f>
        <v>0</v>
      </c>
      <c r="DY135" s="250">
        <f>((DV135)/($DQ$135+0.00001))*100</f>
        <v>0</v>
      </c>
      <c r="DZ135" s="249">
        <f>((DW135)/($DR$135+0.00001))*100</f>
        <v>0</v>
      </c>
      <c r="EA135" s="253">
        <f>'الصفحة 32'!$N$32</f>
        <v>0</v>
      </c>
      <c r="EB135" s="252">
        <f>'الصفحة 32'!$N$33</f>
        <v>0</v>
      </c>
      <c r="EC135" s="251">
        <f>(EA135-EB135)</f>
        <v>0</v>
      </c>
      <c r="ED135" s="250">
        <f>((EA135)/($DP$135+0.00001))*100</f>
        <v>0</v>
      </c>
      <c r="EE135" s="250">
        <f>((EB135)/($DQ$135+0.00001))*100</f>
        <v>0</v>
      </c>
      <c r="EF135" s="249">
        <f>((EC135)/($DR$135+0.00001))*100</f>
        <v>0</v>
      </c>
      <c r="EG135" s="253">
        <f>'الصفحة 32'!$N$39</f>
        <v>0</v>
      </c>
      <c r="EH135" s="252">
        <f>'الصفحة 32'!$N$35</f>
        <v>0</v>
      </c>
      <c r="EI135" s="251">
        <f>(EG135-EH135)</f>
        <v>0</v>
      </c>
      <c r="EJ135" s="250">
        <f>((EG135)/($DP$135+0.00001))*100</f>
        <v>0</v>
      </c>
      <c r="EK135" s="250">
        <f>((EH135)/($DQ$135+0.00001))*100</f>
        <v>0</v>
      </c>
      <c r="EL135" s="249">
        <f>((EI135)/($DR$135+0.00001))*100</f>
        <v>0</v>
      </c>
      <c r="EM135" s="253">
        <f>'الصفحة 32'!$N$36</f>
        <v>0</v>
      </c>
      <c r="EN135" s="252">
        <f>'الصفحة 32'!$N$37</f>
        <v>0</v>
      </c>
      <c r="EO135" s="251">
        <f>(EM135-EN135)</f>
        <v>0</v>
      </c>
      <c r="EP135" s="250">
        <f>((EM135)/($DP$135+0.00001))*100</f>
        <v>0</v>
      </c>
      <c r="EQ135" s="250">
        <f>((EN135)/($DQ$135+0.00001))*100</f>
        <v>0</v>
      </c>
      <c r="ER135" s="249">
        <f>((EO135)/($DR$135+0.00001))*100</f>
        <v>0</v>
      </c>
      <c r="ES135" s="253">
        <f>'الصفحة 32'!$N$38</f>
        <v>0</v>
      </c>
      <c r="ET135" s="252">
        <f>'الصفحة 32'!$N$39</f>
        <v>0</v>
      </c>
      <c r="EU135" s="251">
        <f>(ES135-ET135)</f>
        <v>0</v>
      </c>
      <c r="EV135" s="250">
        <f>((ES135)/($DP$135+0.00001))*100</f>
        <v>0</v>
      </c>
      <c r="EW135" s="250">
        <f>((ET135)/($DQ$135+0.00001))*100</f>
        <v>0</v>
      </c>
      <c r="EX135" s="249">
        <f>((EU135)/($DR$135+0.00001))*100</f>
        <v>0</v>
      </c>
      <c r="EY135" s="253">
        <f>'الصفحة 32'!$N$40</f>
        <v>0</v>
      </c>
      <c r="EZ135" s="252">
        <f>'الصفحة 32'!$N$41</f>
        <v>0</v>
      </c>
      <c r="FA135" s="251">
        <f>(EY135-EZ135)</f>
        <v>0</v>
      </c>
      <c r="FB135" s="250">
        <f>((EY135)/($DP$135+0.00001))*100</f>
        <v>0</v>
      </c>
      <c r="FC135" s="250">
        <f>((EZ135)/($DQ$135+0.00001))*100</f>
        <v>0</v>
      </c>
      <c r="FD135" s="249">
        <f>((FA135)/($DR$135+0.00001))*100</f>
        <v>0</v>
      </c>
      <c r="FE135" s="253">
        <f>'الصفحة 32'!$N$42</f>
        <v>0</v>
      </c>
      <c r="FF135" s="252">
        <f>'الصفحة 32'!$N$43</f>
        <v>0</v>
      </c>
      <c r="FG135" s="251">
        <f>(FE135-FF135)</f>
        <v>0</v>
      </c>
      <c r="FH135" s="250">
        <f>((FE135)/($DP$135+0.00001))*100</f>
        <v>0</v>
      </c>
      <c r="FI135" s="250">
        <f>((FF135)/($DQ$135+0.00001))*100</f>
        <v>0</v>
      </c>
      <c r="FJ135" s="249">
        <f>((FG135)/($DR$135+0.00001))*100</f>
        <v>0</v>
      </c>
      <c r="FK135" s="253">
        <f>'الصفحة 32'!$N$44</f>
        <v>0</v>
      </c>
      <c r="FL135" s="252">
        <f>'الصفحة 32'!$N$45</f>
        <v>0</v>
      </c>
      <c r="FM135" s="251">
        <f>(FK135-FL135)</f>
        <v>0</v>
      </c>
      <c r="FN135" s="250">
        <f>((FK135)/($DP$135+0.00001))*100</f>
        <v>0</v>
      </c>
      <c r="FO135" s="250">
        <f>((FL135)/($DQ$135+0.00001))*100</f>
        <v>0</v>
      </c>
      <c r="FP135" s="249">
        <f>((FM135)/($DR$135+0.00001))*100</f>
        <v>0</v>
      </c>
      <c r="IV135" s="41"/>
    </row>
    <row r="136" spans="1:256" s="25" customFormat="1" ht="6" customHeight="1">
      <c r="A136" s="248"/>
      <c r="C136" s="247"/>
      <c r="D136" s="247"/>
      <c r="E136" s="247"/>
      <c r="F136" s="245"/>
      <c r="G136" s="245"/>
      <c r="H136" s="246"/>
      <c r="I136" s="245"/>
      <c r="J136" s="244"/>
      <c r="K136" s="244"/>
      <c r="HS136" s="106"/>
      <c r="HT136" s="106"/>
      <c r="HU136" s="106"/>
      <c r="HV136" s="106"/>
      <c r="HW136" s="106"/>
      <c r="HX136" s="203"/>
      <c r="HY136" s="106"/>
      <c r="HZ136" s="106"/>
      <c r="IA136" s="106"/>
      <c r="IB136" s="203"/>
      <c r="IC136" s="106"/>
      <c r="ID136" s="106"/>
      <c r="IE136" s="24"/>
      <c r="IF136" s="24"/>
      <c r="IG136" s="106"/>
      <c r="IH136" s="24"/>
      <c r="II136" s="24"/>
      <c r="IJ136" s="24"/>
      <c r="IK136" s="24"/>
      <c r="IL136" s="24"/>
      <c r="IM136" s="24"/>
      <c r="IN136" s="24"/>
      <c r="IO136" s="24"/>
      <c r="IP136" s="24"/>
      <c r="IQ136" s="24"/>
      <c r="IR136" s="24"/>
      <c r="IS136" s="24"/>
      <c r="IT136" s="24"/>
      <c r="IV136" s="41"/>
    </row>
    <row r="137" spans="1:256" s="25" customFormat="1" ht="6" customHeight="1">
      <c r="A137" s="248"/>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c r="GS137" s="21"/>
      <c r="GT137" s="21"/>
      <c r="GU137" s="21"/>
      <c r="GV137" s="21"/>
      <c r="GW137" s="21"/>
      <c r="GX137" s="21"/>
      <c r="GY137" s="21"/>
      <c r="GZ137" s="21"/>
      <c r="HA137" s="21"/>
      <c r="HB137" s="21"/>
      <c r="HC137" s="21"/>
      <c r="HD137" s="21"/>
      <c r="HE137" s="21"/>
      <c r="HF137" s="21"/>
      <c r="HG137" s="21"/>
      <c r="HH137" s="21"/>
      <c r="HI137" s="21"/>
      <c r="HJ137" s="21"/>
      <c r="HK137" s="21"/>
      <c r="HL137" s="21"/>
      <c r="HM137" s="21"/>
      <c r="HN137" s="21"/>
      <c r="HO137" s="21"/>
      <c r="HP137" s="21"/>
      <c r="HQ137" s="21"/>
      <c r="HR137" s="21"/>
      <c r="HS137" s="21"/>
      <c r="HT137" s="21"/>
      <c r="HU137" s="21"/>
      <c r="HV137" s="21"/>
      <c r="HW137" s="21"/>
      <c r="HX137" s="21"/>
      <c r="HY137" s="21"/>
      <c r="HZ137" s="21"/>
      <c r="IA137" s="21"/>
      <c r="IB137" s="21"/>
      <c r="IC137" s="21"/>
      <c r="ID137" s="21"/>
      <c r="IE137" s="21"/>
      <c r="IF137" s="21"/>
      <c r="IG137" s="21"/>
      <c r="IH137" s="21"/>
      <c r="II137" s="21"/>
      <c r="IJ137" s="21"/>
      <c r="IK137" s="21"/>
      <c r="IL137" s="21"/>
      <c r="IM137" s="21"/>
      <c r="IN137" s="21"/>
      <c r="IO137" s="21"/>
      <c r="IP137" s="21"/>
      <c r="IQ137" s="21"/>
      <c r="IR137" s="21"/>
      <c r="IS137" s="21"/>
      <c r="IT137" s="21"/>
      <c r="IV137" s="41"/>
    </row>
    <row r="138" spans="1:256" s="25" customFormat="1" ht="15.75" customHeight="1" thickBot="1">
      <c r="A138" s="5729">
        <v>18</v>
      </c>
      <c r="C138" s="305" t="s">
        <v>341</v>
      </c>
      <c r="N138" s="305" t="s">
        <v>338</v>
      </c>
      <c r="R138" s="305" t="s">
        <v>337</v>
      </c>
      <c r="Y138" s="305" t="s">
        <v>337</v>
      </c>
      <c r="AF138" s="305" t="s">
        <v>337</v>
      </c>
      <c r="AM138" s="305" t="s">
        <v>337</v>
      </c>
      <c r="AT138" s="305" t="s">
        <v>337</v>
      </c>
      <c r="BA138" s="305" t="s">
        <v>337</v>
      </c>
      <c r="BG138" s="305" t="s">
        <v>337</v>
      </c>
      <c r="BM138" s="305" t="s">
        <v>336</v>
      </c>
      <c r="BT138" s="307" t="s">
        <v>335</v>
      </c>
      <c r="BU138" s="306"/>
      <c r="BV138" s="306"/>
      <c r="BW138" s="306"/>
      <c r="BX138" s="306"/>
      <c r="BY138" s="306"/>
      <c r="CB138" s="305" t="s">
        <v>334</v>
      </c>
      <c r="CJ138" s="305" t="s">
        <v>333</v>
      </c>
      <c r="CR138" s="305" t="s">
        <v>332</v>
      </c>
      <c r="CZ138" s="305" t="s">
        <v>331</v>
      </c>
      <c r="DH138" s="305" t="s">
        <v>330</v>
      </c>
      <c r="DP138" s="305" t="s">
        <v>329</v>
      </c>
      <c r="DU138" s="304" t="s">
        <v>328</v>
      </c>
      <c r="EA138" s="304"/>
      <c r="EB138" s="303" t="str">
        <f>DP139</f>
        <v>التربية التشكيلية</v>
      </c>
      <c r="EG138" s="304" t="str">
        <f>$DU138</f>
        <v>توزيع اساتذة التعليم المتوسط حسب المؤهل العلمي  -</v>
      </c>
      <c r="EM138" s="303" t="str">
        <f>$EB138</f>
        <v>التربية التشكيلية</v>
      </c>
      <c r="ES138" s="304" t="str">
        <f>$DU138</f>
        <v>توزيع اساتذة التعليم المتوسط حسب المؤهل العلمي  -</v>
      </c>
      <c r="EY138" s="303" t="str">
        <f>$EB138</f>
        <v>التربية التشكيلية</v>
      </c>
      <c r="FE138" s="304" t="str">
        <f>$DU138</f>
        <v>توزيع اساتذة التعليم المتوسط حسب المؤهل العلمي  -</v>
      </c>
      <c r="FK138" s="303" t="str">
        <f>$EB138</f>
        <v>التربية التشكيلية</v>
      </c>
      <c r="IV138" s="41"/>
    </row>
    <row r="139" spans="1:256" s="25" customFormat="1" ht="12.75" customHeight="1">
      <c r="A139" s="5729"/>
      <c r="C139" s="302"/>
      <c r="D139" s="300"/>
      <c r="E139" s="300"/>
      <c r="F139" s="301" t="s">
        <v>340</v>
      </c>
      <c r="G139" s="300"/>
      <c r="H139" s="300"/>
      <c r="I139" s="300"/>
      <c r="J139" s="300"/>
      <c r="K139" s="300"/>
      <c r="L139" s="299"/>
      <c r="N139" s="318"/>
      <c r="O139" s="317"/>
      <c r="P139" s="316"/>
      <c r="R139" s="315"/>
      <c r="S139" s="314"/>
      <c r="T139" s="314" t="str">
        <f>O140</f>
        <v>التربية التشكيلية</v>
      </c>
      <c r="U139" s="300"/>
      <c r="V139" s="300"/>
      <c r="W139" s="299"/>
      <c r="Y139" s="315"/>
      <c r="Z139" s="314"/>
      <c r="AA139" s="314" t="str">
        <f>O140</f>
        <v>التربية التشكيلية</v>
      </c>
      <c r="AB139" s="300"/>
      <c r="AC139" s="300"/>
      <c r="AD139" s="299"/>
      <c r="AF139" s="315"/>
      <c r="AG139" s="314"/>
      <c r="AH139" s="314" t="str">
        <f>O140</f>
        <v>التربية التشكيلية</v>
      </c>
      <c r="AI139" s="300"/>
      <c r="AJ139" s="300"/>
      <c r="AK139" s="299"/>
      <c r="AM139" s="315"/>
      <c r="AN139" s="314"/>
      <c r="AO139" s="314" t="str">
        <f>O140</f>
        <v>التربية التشكيلية</v>
      </c>
      <c r="AP139" s="300"/>
      <c r="AQ139" s="300"/>
      <c r="AR139" s="299"/>
      <c r="AT139" s="315"/>
      <c r="AU139" s="314"/>
      <c r="AV139" s="314" t="str">
        <f>O140</f>
        <v>التربية التشكيلية</v>
      </c>
      <c r="AW139" s="300"/>
      <c r="AX139" s="300"/>
      <c r="AY139" s="299"/>
      <c r="BA139" s="315"/>
      <c r="BB139" s="314"/>
      <c r="BC139" s="314" t="str">
        <f>O140</f>
        <v>التربية التشكيلية</v>
      </c>
      <c r="BD139" s="300"/>
      <c r="BE139" s="300"/>
      <c r="BF139" s="299"/>
      <c r="BG139" s="315"/>
      <c r="BH139" s="314"/>
      <c r="BI139" s="314" t="str">
        <f>O140</f>
        <v>التربية التشكيلية</v>
      </c>
      <c r="BJ139" s="300"/>
      <c r="BK139" s="300"/>
      <c r="BL139" s="299"/>
      <c r="BM139" s="298"/>
      <c r="BN139" s="297"/>
      <c r="BO139" s="297"/>
      <c r="BP139" s="297"/>
      <c r="BQ139" s="297"/>
      <c r="BR139" s="296"/>
      <c r="BT139" s="5146" t="str">
        <f>O140</f>
        <v>التربية التشكيلية</v>
      </c>
      <c r="BU139" s="5147"/>
      <c r="BV139" s="5147"/>
      <c r="BW139" s="5147"/>
      <c r="BX139" s="5147"/>
      <c r="BY139" s="5148"/>
      <c r="CB139" s="5146" t="str">
        <f>O140</f>
        <v>التربية التشكيلية</v>
      </c>
      <c r="CC139" s="5147"/>
      <c r="CD139" s="5147"/>
      <c r="CE139" s="5147"/>
      <c r="CF139" s="5147"/>
      <c r="CG139" s="5148"/>
      <c r="CJ139" s="5146" t="str">
        <f>O140</f>
        <v>التربية التشكيلية</v>
      </c>
      <c r="CK139" s="5147"/>
      <c r="CL139" s="5147"/>
      <c r="CM139" s="5147"/>
      <c r="CN139" s="5147"/>
      <c r="CO139" s="5148"/>
      <c r="CR139" s="5146" t="str">
        <f>O140</f>
        <v>التربية التشكيلية</v>
      </c>
      <c r="CS139" s="5147"/>
      <c r="CT139" s="5147"/>
      <c r="CU139" s="5147"/>
      <c r="CV139" s="5147"/>
      <c r="CW139" s="5148"/>
      <c r="CZ139" s="5146" t="str">
        <f>O140</f>
        <v>التربية التشكيلية</v>
      </c>
      <c r="DA139" s="5147"/>
      <c r="DB139" s="5147"/>
      <c r="DC139" s="5147"/>
      <c r="DD139" s="5147"/>
      <c r="DE139" s="5148"/>
      <c r="DH139" s="5146" t="str">
        <f>O140</f>
        <v>التربية التشكيلية</v>
      </c>
      <c r="DI139" s="5147"/>
      <c r="DJ139" s="5147"/>
      <c r="DK139" s="5147"/>
      <c r="DL139" s="5147"/>
      <c r="DM139" s="5148"/>
      <c r="DP139" s="5146" t="str">
        <f>O140</f>
        <v>التربية التشكيلية</v>
      </c>
      <c r="DQ139" s="5147"/>
      <c r="DR139" s="5148"/>
      <c r="DU139" s="5758" t="s">
        <v>57</v>
      </c>
      <c r="DV139" s="5759"/>
      <c r="DW139" s="5759"/>
      <c r="DX139" s="5759"/>
      <c r="DY139" s="5759"/>
      <c r="DZ139" s="5760"/>
      <c r="EA139" s="5758" t="s">
        <v>56</v>
      </c>
      <c r="EB139" s="5759"/>
      <c r="EC139" s="5759"/>
      <c r="ED139" s="5759"/>
      <c r="EE139" s="5759"/>
      <c r="EF139" s="5760"/>
      <c r="EG139" s="5758" t="s">
        <v>55</v>
      </c>
      <c r="EH139" s="5759"/>
      <c r="EI139" s="5759"/>
      <c r="EJ139" s="5759"/>
      <c r="EK139" s="5759"/>
      <c r="EL139" s="5760"/>
      <c r="EM139" s="5758" t="s">
        <v>54</v>
      </c>
      <c r="EN139" s="5759"/>
      <c r="EO139" s="5759"/>
      <c r="EP139" s="5759"/>
      <c r="EQ139" s="5759"/>
      <c r="ER139" s="5760"/>
      <c r="ES139" s="5758" t="s">
        <v>53</v>
      </c>
      <c r="ET139" s="5759"/>
      <c r="EU139" s="5759"/>
      <c r="EV139" s="5759"/>
      <c r="EW139" s="5759"/>
      <c r="EX139" s="5760"/>
      <c r="EY139" s="5758" t="s">
        <v>52</v>
      </c>
      <c r="EZ139" s="5759"/>
      <c r="FA139" s="5759"/>
      <c r="FB139" s="5759"/>
      <c r="FC139" s="5759"/>
      <c r="FD139" s="5760"/>
      <c r="FE139" s="5758" t="s">
        <v>51</v>
      </c>
      <c r="FF139" s="5759"/>
      <c r="FG139" s="5759"/>
      <c r="FH139" s="5759"/>
      <c r="FI139" s="5759"/>
      <c r="FJ139" s="5760"/>
      <c r="FK139" s="5758" t="s">
        <v>50</v>
      </c>
      <c r="FL139" s="5759"/>
      <c r="FM139" s="5759"/>
      <c r="FN139" s="5759"/>
      <c r="FO139" s="5759"/>
      <c r="FP139" s="5760"/>
      <c r="IV139" s="41"/>
    </row>
    <row r="140" spans="1:256" s="25" customFormat="1" ht="12.75" customHeight="1" thickBot="1">
      <c r="A140" s="5729"/>
      <c r="C140" s="295"/>
      <c r="D140" s="293"/>
      <c r="E140" s="291" t="s">
        <v>326</v>
      </c>
      <c r="F140" s="294"/>
      <c r="G140" s="293"/>
      <c r="H140" s="291" t="s">
        <v>325</v>
      </c>
      <c r="I140" s="290"/>
      <c r="J140" s="292"/>
      <c r="K140" s="291" t="s">
        <v>324</v>
      </c>
      <c r="L140" s="290"/>
      <c r="N140" s="313"/>
      <c r="O140" s="312" t="s">
        <v>38</v>
      </c>
      <c r="P140" s="311"/>
      <c r="R140" s="5164" t="s">
        <v>645</v>
      </c>
      <c r="S140" s="5165"/>
      <c r="T140" s="5165"/>
      <c r="U140" s="5165"/>
      <c r="V140" s="5165"/>
      <c r="W140" s="5166"/>
      <c r="Y140" s="5164" t="s">
        <v>323</v>
      </c>
      <c r="Z140" s="5165"/>
      <c r="AA140" s="5165"/>
      <c r="AB140" s="5165"/>
      <c r="AC140" s="5165"/>
      <c r="AD140" s="5166"/>
      <c r="AF140" s="5164" t="s">
        <v>322</v>
      </c>
      <c r="AG140" s="5165"/>
      <c r="AH140" s="5165"/>
      <c r="AI140" s="5165"/>
      <c r="AJ140" s="5165"/>
      <c r="AK140" s="5166"/>
      <c r="AM140" s="5164" t="s">
        <v>321</v>
      </c>
      <c r="AN140" s="5165"/>
      <c r="AO140" s="5165"/>
      <c r="AP140" s="5165"/>
      <c r="AQ140" s="5165"/>
      <c r="AR140" s="5166"/>
      <c r="AT140" s="5164" t="s">
        <v>644</v>
      </c>
      <c r="AU140" s="5165"/>
      <c r="AV140" s="5165"/>
      <c r="AW140" s="5165"/>
      <c r="AX140" s="5165"/>
      <c r="AY140" s="5166"/>
      <c r="BA140" s="5164" t="s">
        <v>642</v>
      </c>
      <c r="BB140" s="5165"/>
      <c r="BC140" s="5165"/>
      <c r="BD140" s="5165"/>
      <c r="BE140" s="5165"/>
      <c r="BF140" s="5166"/>
      <c r="BG140" s="5164" t="s">
        <v>643</v>
      </c>
      <c r="BH140" s="5165"/>
      <c r="BI140" s="5165"/>
      <c r="BJ140" s="5165"/>
      <c r="BK140" s="5165"/>
      <c r="BL140" s="5166"/>
      <c r="BM140" s="289"/>
      <c r="BN140" s="286"/>
      <c r="BO140" s="288" t="str">
        <f>O140</f>
        <v>التربية التشكيلية</v>
      </c>
      <c r="BP140" s="287"/>
      <c r="BQ140" s="286"/>
      <c r="BR140" s="285"/>
      <c r="BT140" s="5149"/>
      <c r="BU140" s="5150"/>
      <c r="BV140" s="5150"/>
      <c r="BW140" s="5150"/>
      <c r="BX140" s="5150"/>
      <c r="BY140" s="5151"/>
      <c r="CB140" s="5149"/>
      <c r="CC140" s="5150"/>
      <c r="CD140" s="5150"/>
      <c r="CE140" s="5150"/>
      <c r="CF140" s="5150"/>
      <c r="CG140" s="5151"/>
      <c r="CJ140" s="5149"/>
      <c r="CK140" s="5150"/>
      <c r="CL140" s="5150"/>
      <c r="CM140" s="5150"/>
      <c r="CN140" s="5150"/>
      <c r="CO140" s="5151"/>
      <c r="CR140" s="5149"/>
      <c r="CS140" s="5150"/>
      <c r="CT140" s="5150"/>
      <c r="CU140" s="5150"/>
      <c r="CV140" s="5150"/>
      <c r="CW140" s="5151"/>
      <c r="CZ140" s="5149"/>
      <c r="DA140" s="5150"/>
      <c r="DB140" s="5150"/>
      <c r="DC140" s="5150"/>
      <c r="DD140" s="5150"/>
      <c r="DE140" s="5151"/>
      <c r="DH140" s="5149"/>
      <c r="DI140" s="5150"/>
      <c r="DJ140" s="5150"/>
      <c r="DK140" s="5150"/>
      <c r="DL140" s="5150"/>
      <c r="DM140" s="5151"/>
      <c r="DP140" s="5771"/>
      <c r="DQ140" s="5772"/>
      <c r="DR140" s="5773"/>
      <c r="DU140" s="5761"/>
      <c r="DV140" s="5762"/>
      <c r="DW140" s="5762"/>
      <c r="DX140" s="5762"/>
      <c r="DY140" s="5762"/>
      <c r="DZ140" s="5763"/>
      <c r="EA140" s="5761"/>
      <c r="EB140" s="5762"/>
      <c r="EC140" s="5762"/>
      <c r="ED140" s="5762"/>
      <c r="EE140" s="5762"/>
      <c r="EF140" s="5763"/>
      <c r="EG140" s="5761"/>
      <c r="EH140" s="5762"/>
      <c r="EI140" s="5762"/>
      <c r="EJ140" s="5762"/>
      <c r="EK140" s="5762"/>
      <c r="EL140" s="5763"/>
      <c r="EM140" s="5761"/>
      <c r="EN140" s="5762"/>
      <c r="EO140" s="5762"/>
      <c r="EP140" s="5762"/>
      <c r="EQ140" s="5762"/>
      <c r="ER140" s="5763"/>
      <c r="ES140" s="5761"/>
      <c r="ET140" s="5762"/>
      <c r="EU140" s="5762"/>
      <c r="EV140" s="5762"/>
      <c r="EW140" s="5762"/>
      <c r="EX140" s="5763"/>
      <c r="EY140" s="5761"/>
      <c r="EZ140" s="5762"/>
      <c r="FA140" s="5762"/>
      <c r="FB140" s="5762"/>
      <c r="FC140" s="5762"/>
      <c r="FD140" s="5763"/>
      <c r="FE140" s="5761"/>
      <c r="FF140" s="5762"/>
      <c r="FG140" s="5762"/>
      <c r="FH140" s="5762"/>
      <c r="FI140" s="5762"/>
      <c r="FJ140" s="5763"/>
      <c r="FK140" s="5761"/>
      <c r="FL140" s="5762"/>
      <c r="FM140" s="5762"/>
      <c r="FN140" s="5762"/>
      <c r="FO140" s="5762"/>
      <c r="FP140" s="5763"/>
      <c r="IV140" s="41"/>
    </row>
    <row r="141" spans="1:256" s="25" customFormat="1" ht="12.75" customHeight="1">
      <c r="A141" s="5729"/>
      <c r="C141" s="284"/>
      <c r="D141" s="282"/>
      <c r="E141" s="282"/>
      <c r="F141" s="282"/>
      <c r="G141" s="282"/>
      <c r="H141" s="282"/>
      <c r="I141" s="281"/>
      <c r="J141" s="283"/>
      <c r="K141" s="282"/>
      <c r="L141" s="281"/>
      <c r="N141" s="310"/>
      <c r="O141" s="309"/>
      <c r="P141" s="308"/>
      <c r="R141" s="5167"/>
      <c r="S141" s="5168"/>
      <c r="T141" s="5168"/>
      <c r="U141" s="5168"/>
      <c r="V141" s="5168"/>
      <c r="W141" s="5169"/>
      <c r="Y141" s="5167"/>
      <c r="Z141" s="5168"/>
      <c r="AA141" s="5168"/>
      <c r="AB141" s="5168"/>
      <c r="AC141" s="5168"/>
      <c r="AD141" s="5169"/>
      <c r="AF141" s="5167"/>
      <c r="AG141" s="5168"/>
      <c r="AH141" s="5168"/>
      <c r="AI141" s="5168"/>
      <c r="AJ141" s="5168"/>
      <c r="AK141" s="5169"/>
      <c r="AM141" s="5167"/>
      <c r="AN141" s="5168"/>
      <c r="AO141" s="5168"/>
      <c r="AP141" s="5168"/>
      <c r="AQ141" s="5168"/>
      <c r="AR141" s="5169"/>
      <c r="AT141" s="5167"/>
      <c r="AU141" s="5168"/>
      <c r="AV141" s="5168"/>
      <c r="AW141" s="5168"/>
      <c r="AX141" s="5168"/>
      <c r="AY141" s="5169"/>
      <c r="BA141" s="5167"/>
      <c r="BB141" s="5168"/>
      <c r="BC141" s="5168"/>
      <c r="BD141" s="5168"/>
      <c r="BE141" s="5168"/>
      <c r="BF141" s="5169"/>
      <c r="BG141" s="5167"/>
      <c r="BH141" s="5168"/>
      <c r="BI141" s="5168"/>
      <c r="BJ141" s="5168"/>
      <c r="BK141" s="5168"/>
      <c r="BL141" s="5169"/>
      <c r="BM141" s="280"/>
      <c r="BN141" s="279"/>
      <c r="BO141" s="279"/>
      <c r="BP141" s="279"/>
      <c r="BQ141" s="279"/>
      <c r="BR141" s="278"/>
      <c r="BT141" s="5130" t="s">
        <v>318</v>
      </c>
      <c r="BU141" s="5131"/>
      <c r="BV141" s="5132"/>
      <c r="BW141" s="5144" t="s">
        <v>317</v>
      </c>
      <c r="BX141" s="5131"/>
      <c r="BY141" s="5145"/>
      <c r="CB141" s="5130" t="s">
        <v>318</v>
      </c>
      <c r="CC141" s="5131"/>
      <c r="CD141" s="5132"/>
      <c r="CE141" s="5144" t="s">
        <v>317</v>
      </c>
      <c r="CF141" s="5131"/>
      <c r="CG141" s="5145"/>
      <c r="CJ141" s="5130" t="s">
        <v>318</v>
      </c>
      <c r="CK141" s="5131"/>
      <c r="CL141" s="5132"/>
      <c r="CM141" s="5144" t="s">
        <v>317</v>
      </c>
      <c r="CN141" s="5131"/>
      <c r="CO141" s="5145"/>
      <c r="CR141" s="5152" t="s">
        <v>320</v>
      </c>
      <c r="CS141" s="5153"/>
      <c r="CT141" s="5153"/>
      <c r="CU141" s="5152" t="s">
        <v>319</v>
      </c>
      <c r="CV141" s="5153"/>
      <c r="CW141" s="5154"/>
      <c r="CZ141" s="5130" t="s">
        <v>318</v>
      </c>
      <c r="DA141" s="5131"/>
      <c r="DB141" s="5132"/>
      <c r="DC141" s="5144" t="s">
        <v>317</v>
      </c>
      <c r="DD141" s="5131"/>
      <c r="DE141" s="5145"/>
      <c r="DH141" s="5130" t="s">
        <v>318</v>
      </c>
      <c r="DI141" s="5131"/>
      <c r="DJ141" s="5132"/>
      <c r="DK141" s="5144" t="s">
        <v>317</v>
      </c>
      <c r="DL141" s="5131"/>
      <c r="DM141" s="5145"/>
      <c r="DP141" s="5130" t="s">
        <v>318</v>
      </c>
      <c r="DQ141" s="5131"/>
      <c r="DR141" s="5145"/>
      <c r="DU141" s="277"/>
      <c r="DV141" s="274" t="s">
        <v>318</v>
      </c>
      <c r="DW141" s="276"/>
      <c r="DX141" s="275"/>
      <c r="DY141" s="274" t="s">
        <v>317</v>
      </c>
      <c r="DZ141" s="273"/>
      <c r="EA141" s="277"/>
      <c r="EB141" s="274" t="s">
        <v>318</v>
      </c>
      <c r="EC141" s="276"/>
      <c r="ED141" s="275"/>
      <c r="EE141" s="274" t="s">
        <v>317</v>
      </c>
      <c r="EF141" s="273"/>
      <c r="EG141" s="277"/>
      <c r="EH141" s="274" t="s">
        <v>318</v>
      </c>
      <c r="EI141" s="276"/>
      <c r="EJ141" s="275"/>
      <c r="EK141" s="274" t="s">
        <v>317</v>
      </c>
      <c r="EL141" s="273"/>
      <c r="EM141" s="277"/>
      <c r="EN141" s="274" t="s">
        <v>318</v>
      </c>
      <c r="EO141" s="276"/>
      <c r="EP141" s="275"/>
      <c r="EQ141" s="274" t="s">
        <v>317</v>
      </c>
      <c r="ER141" s="273"/>
      <c r="ES141" s="277"/>
      <c r="ET141" s="274" t="s">
        <v>318</v>
      </c>
      <c r="EU141" s="276"/>
      <c r="EV141" s="275"/>
      <c r="EW141" s="274" t="s">
        <v>317</v>
      </c>
      <c r="EX141" s="273"/>
      <c r="EY141" s="277"/>
      <c r="EZ141" s="274" t="s">
        <v>318</v>
      </c>
      <c r="FA141" s="276"/>
      <c r="FB141" s="275"/>
      <c r="FC141" s="274" t="s">
        <v>317</v>
      </c>
      <c r="FD141" s="273"/>
      <c r="FE141" s="277"/>
      <c r="FF141" s="274" t="s">
        <v>318</v>
      </c>
      <c r="FG141" s="276"/>
      <c r="FH141" s="275"/>
      <c r="FI141" s="274" t="s">
        <v>317</v>
      </c>
      <c r="FJ141" s="273"/>
      <c r="FK141" s="277"/>
      <c r="FL141" s="274" t="s">
        <v>318</v>
      </c>
      <c r="FM141" s="276"/>
      <c r="FN141" s="275"/>
      <c r="FO141" s="274" t="s">
        <v>317</v>
      </c>
      <c r="FP141" s="273"/>
      <c r="FR141" s="27"/>
      <c r="FS141" s="27"/>
      <c r="FT141" s="27"/>
      <c r="FU141" s="27"/>
      <c r="FV141" s="27"/>
      <c r="FW141" s="27"/>
      <c r="FX141" s="27"/>
      <c r="FY141" s="27"/>
      <c r="FZ141" s="27"/>
      <c r="GA141" s="27"/>
      <c r="GB141" s="27"/>
      <c r="GC141" s="27"/>
      <c r="GD141" s="27"/>
      <c r="GE141" s="27"/>
      <c r="GF141" s="27"/>
      <c r="GG141" s="27"/>
      <c r="GH141" s="27"/>
      <c r="GI141" s="27"/>
      <c r="GJ141" s="27"/>
      <c r="GK141" s="27"/>
      <c r="GL141" s="27"/>
      <c r="GM141" s="27"/>
      <c r="GN141" s="27"/>
      <c r="GO141" s="27"/>
      <c r="GP141" s="27"/>
      <c r="GQ141" s="27"/>
      <c r="GR141" s="27"/>
      <c r="GS141" s="27"/>
      <c r="GT141" s="27"/>
      <c r="GU141" s="27"/>
      <c r="GV141" s="27"/>
      <c r="GW141" s="27"/>
      <c r="GX141" s="27"/>
      <c r="GY141" s="27"/>
      <c r="GZ141" s="27"/>
      <c r="HA141" s="27"/>
      <c r="HB141" s="27"/>
      <c r="HC141" s="27"/>
      <c r="HD141" s="27"/>
      <c r="HE141" s="27"/>
      <c r="HF141" s="27"/>
      <c r="HG141" s="27"/>
      <c r="HH141" s="27"/>
      <c r="HI141" s="27"/>
      <c r="HJ141" s="27"/>
      <c r="HK141" s="27"/>
      <c r="HL141" s="27"/>
      <c r="HM141" s="27"/>
      <c r="HN141" s="27"/>
      <c r="HO141" s="27"/>
      <c r="HP141" s="27"/>
      <c r="HQ141" s="27"/>
      <c r="HR141" s="27"/>
      <c r="HS141" s="27"/>
      <c r="HT141" s="27"/>
      <c r="HU141" s="27"/>
      <c r="HV141" s="27"/>
      <c r="HW141" s="27"/>
      <c r="HX141" s="27"/>
      <c r="HY141" s="27"/>
      <c r="HZ141" s="27"/>
      <c r="IA141" s="27"/>
      <c r="IB141" s="27"/>
      <c r="IC141" s="27"/>
      <c r="ID141" s="27"/>
      <c r="IE141" s="27"/>
      <c r="IF141" s="27"/>
      <c r="IG141" s="27"/>
      <c r="IH141" s="27"/>
      <c r="II141" s="27"/>
      <c r="IJ141" s="27"/>
      <c r="IK141" s="27"/>
      <c r="IL141" s="27"/>
      <c r="IM141" s="27"/>
      <c r="IN141" s="27"/>
      <c r="IO141" s="27"/>
      <c r="IP141" s="27"/>
      <c r="IQ141" s="27"/>
      <c r="IR141" s="27"/>
      <c r="IS141" s="27"/>
      <c r="IT141" s="27"/>
      <c r="IV141" s="41"/>
    </row>
    <row r="142" spans="1:256" s="25" customFormat="1" ht="14.4">
      <c r="A142" s="5729"/>
      <c r="C142" s="272" t="s">
        <v>316</v>
      </c>
      <c r="D142" s="270" t="s">
        <v>20</v>
      </c>
      <c r="E142" s="270" t="s">
        <v>49</v>
      </c>
      <c r="F142" s="270" t="s">
        <v>311</v>
      </c>
      <c r="G142" s="270" t="s">
        <v>20</v>
      </c>
      <c r="H142" s="270" t="s">
        <v>49</v>
      </c>
      <c r="I142" s="269" t="s">
        <v>311</v>
      </c>
      <c r="J142" s="271" t="s">
        <v>20</v>
      </c>
      <c r="K142" s="270" t="s">
        <v>49</v>
      </c>
      <c r="L142" s="269" t="s">
        <v>311</v>
      </c>
      <c r="N142" s="266" t="s">
        <v>20</v>
      </c>
      <c r="O142" s="264" t="s">
        <v>49</v>
      </c>
      <c r="P142" s="263" t="s">
        <v>311</v>
      </c>
      <c r="R142" s="266" t="s">
        <v>20</v>
      </c>
      <c r="S142" s="264" t="s">
        <v>49</v>
      </c>
      <c r="T142" s="265" t="s">
        <v>311</v>
      </c>
      <c r="U142" s="264" t="s">
        <v>310</v>
      </c>
      <c r="V142" s="264" t="s">
        <v>309</v>
      </c>
      <c r="W142" s="263" t="s">
        <v>308</v>
      </c>
      <c r="Y142" s="266" t="s">
        <v>20</v>
      </c>
      <c r="Z142" s="264" t="s">
        <v>49</v>
      </c>
      <c r="AA142" s="265" t="s">
        <v>311</v>
      </c>
      <c r="AB142" s="264" t="s">
        <v>310</v>
      </c>
      <c r="AC142" s="264" t="s">
        <v>309</v>
      </c>
      <c r="AD142" s="263" t="s">
        <v>308</v>
      </c>
      <c r="AF142" s="266" t="s">
        <v>20</v>
      </c>
      <c r="AG142" s="264" t="s">
        <v>49</v>
      </c>
      <c r="AH142" s="265" t="s">
        <v>311</v>
      </c>
      <c r="AI142" s="264" t="s">
        <v>310</v>
      </c>
      <c r="AJ142" s="264" t="s">
        <v>309</v>
      </c>
      <c r="AK142" s="263" t="s">
        <v>308</v>
      </c>
      <c r="AM142" s="266" t="s">
        <v>20</v>
      </c>
      <c r="AN142" s="264" t="s">
        <v>49</v>
      </c>
      <c r="AO142" s="265" t="s">
        <v>311</v>
      </c>
      <c r="AP142" s="264" t="s">
        <v>310</v>
      </c>
      <c r="AQ142" s="264" t="s">
        <v>309</v>
      </c>
      <c r="AR142" s="263" t="s">
        <v>308</v>
      </c>
      <c r="AT142" s="266" t="s">
        <v>20</v>
      </c>
      <c r="AU142" s="264" t="s">
        <v>49</v>
      </c>
      <c r="AV142" s="265" t="s">
        <v>311</v>
      </c>
      <c r="AW142" s="264" t="s">
        <v>310</v>
      </c>
      <c r="AX142" s="264" t="s">
        <v>309</v>
      </c>
      <c r="AY142" s="263" t="s">
        <v>308</v>
      </c>
      <c r="BA142" s="266" t="s">
        <v>20</v>
      </c>
      <c r="BB142" s="264" t="s">
        <v>49</v>
      </c>
      <c r="BC142" s="265" t="s">
        <v>311</v>
      </c>
      <c r="BD142" s="264" t="s">
        <v>310</v>
      </c>
      <c r="BE142" s="264" t="s">
        <v>309</v>
      </c>
      <c r="BF142" s="263" t="s">
        <v>308</v>
      </c>
      <c r="BG142" s="266" t="s">
        <v>20</v>
      </c>
      <c r="BH142" s="264" t="s">
        <v>49</v>
      </c>
      <c r="BI142" s="265" t="s">
        <v>311</v>
      </c>
      <c r="BJ142" s="264" t="s">
        <v>310</v>
      </c>
      <c r="BK142" s="264" t="s">
        <v>309</v>
      </c>
      <c r="BL142" s="263" t="s">
        <v>308</v>
      </c>
      <c r="BM142" s="266" t="s">
        <v>20</v>
      </c>
      <c r="BN142" s="264" t="s">
        <v>49</v>
      </c>
      <c r="BO142" s="265" t="s">
        <v>311</v>
      </c>
      <c r="BP142" s="264" t="s">
        <v>310</v>
      </c>
      <c r="BQ142" s="264" t="s">
        <v>309</v>
      </c>
      <c r="BR142" s="263" t="s">
        <v>308</v>
      </c>
      <c r="BT142" s="266" t="s">
        <v>20</v>
      </c>
      <c r="BU142" s="264" t="s">
        <v>49</v>
      </c>
      <c r="BV142" s="265" t="s">
        <v>311</v>
      </c>
      <c r="BW142" s="264" t="s">
        <v>310</v>
      </c>
      <c r="BX142" s="264" t="s">
        <v>309</v>
      </c>
      <c r="BY142" s="263" t="s">
        <v>308</v>
      </c>
      <c r="CB142" s="266" t="s">
        <v>20</v>
      </c>
      <c r="CC142" s="264" t="s">
        <v>49</v>
      </c>
      <c r="CD142" s="265" t="s">
        <v>311</v>
      </c>
      <c r="CE142" s="264" t="s">
        <v>310</v>
      </c>
      <c r="CF142" s="264" t="s">
        <v>309</v>
      </c>
      <c r="CG142" s="263" t="s">
        <v>308</v>
      </c>
      <c r="CJ142" s="266" t="s">
        <v>20</v>
      </c>
      <c r="CK142" s="264" t="s">
        <v>49</v>
      </c>
      <c r="CL142" s="265" t="s">
        <v>311</v>
      </c>
      <c r="CM142" s="264" t="s">
        <v>310</v>
      </c>
      <c r="CN142" s="264" t="s">
        <v>309</v>
      </c>
      <c r="CO142" s="263" t="s">
        <v>308</v>
      </c>
      <c r="CR142" s="266" t="s">
        <v>313</v>
      </c>
      <c r="CS142" s="264" t="s">
        <v>315</v>
      </c>
      <c r="CT142" s="268" t="s">
        <v>314</v>
      </c>
      <c r="CU142" s="267" t="s">
        <v>313</v>
      </c>
      <c r="CV142" s="264" t="s">
        <v>28</v>
      </c>
      <c r="CW142" s="263" t="s">
        <v>312</v>
      </c>
      <c r="CZ142" s="266" t="s">
        <v>20</v>
      </c>
      <c r="DA142" s="264" t="s">
        <v>49</v>
      </c>
      <c r="DB142" s="265" t="s">
        <v>311</v>
      </c>
      <c r="DC142" s="264" t="s">
        <v>310</v>
      </c>
      <c r="DD142" s="264" t="s">
        <v>309</v>
      </c>
      <c r="DE142" s="263" t="s">
        <v>308</v>
      </c>
      <c r="DH142" s="266" t="s">
        <v>20</v>
      </c>
      <c r="DI142" s="264" t="s">
        <v>49</v>
      </c>
      <c r="DJ142" s="265" t="s">
        <v>311</v>
      </c>
      <c r="DK142" s="264" t="s">
        <v>310</v>
      </c>
      <c r="DL142" s="264" t="s">
        <v>309</v>
      </c>
      <c r="DM142" s="263" t="s">
        <v>308</v>
      </c>
      <c r="DP142" s="266" t="s">
        <v>20</v>
      </c>
      <c r="DQ142" s="264" t="s">
        <v>49</v>
      </c>
      <c r="DR142" s="263" t="s">
        <v>311</v>
      </c>
      <c r="DU142" s="266" t="s">
        <v>20</v>
      </c>
      <c r="DV142" s="264" t="s">
        <v>49</v>
      </c>
      <c r="DW142" s="265" t="s">
        <v>311</v>
      </c>
      <c r="DX142" s="264" t="s">
        <v>310</v>
      </c>
      <c r="DY142" s="264" t="s">
        <v>309</v>
      </c>
      <c r="DZ142" s="263" t="s">
        <v>308</v>
      </c>
      <c r="EA142" s="266" t="s">
        <v>20</v>
      </c>
      <c r="EB142" s="264" t="s">
        <v>49</v>
      </c>
      <c r="EC142" s="265" t="s">
        <v>311</v>
      </c>
      <c r="ED142" s="264" t="s">
        <v>310</v>
      </c>
      <c r="EE142" s="264" t="s">
        <v>309</v>
      </c>
      <c r="EF142" s="263" t="s">
        <v>308</v>
      </c>
      <c r="EG142" s="266" t="s">
        <v>20</v>
      </c>
      <c r="EH142" s="264" t="s">
        <v>49</v>
      </c>
      <c r="EI142" s="265" t="s">
        <v>311</v>
      </c>
      <c r="EJ142" s="264" t="s">
        <v>310</v>
      </c>
      <c r="EK142" s="264" t="s">
        <v>309</v>
      </c>
      <c r="EL142" s="263" t="s">
        <v>308</v>
      </c>
      <c r="EM142" s="266" t="s">
        <v>20</v>
      </c>
      <c r="EN142" s="264" t="s">
        <v>49</v>
      </c>
      <c r="EO142" s="265" t="s">
        <v>311</v>
      </c>
      <c r="EP142" s="264" t="s">
        <v>310</v>
      </c>
      <c r="EQ142" s="264" t="s">
        <v>309</v>
      </c>
      <c r="ER142" s="263" t="s">
        <v>308</v>
      </c>
      <c r="ES142" s="266" t="s">
        <v>20</v>
      </c>
      <c r="ET142" s="264" t="s">
        <v>49</v>
      </c>
      <c r="EU142" s="265" t="s">
        <v>311</v>
      </c>
      <c r="EV142" s="264" t="s">
        <v>310</v>
      </c>
      <c r="EW142" s="264" t="s">
        <v>309</v>
      </c>
      <c r="EX142" s="263" t="s">
        <v>308</v>
      </c>
      <c r="EY142" s="266" t="s">
        <v>20</v>
      </c>
      <c r="EZ142" s="264" t="s">
        <v>49</v>
      </c>
      <c r="FA142" s="265" t="s">
        <v>311</v>
      </c>
      <c r="FB142" s="264" t="s">
        <v>310</v>
      </c>
      <c r="FC142" s="264" t="s">
        <v>309</v>
      </c>
      <c r="FD142" s="263" t="s">
        <v>308</v>
      </c>
      <c r="FE142" s="266" t="s">
        <v>20</v>
      </c>
      <c r="FF142" s="264" t="s">
        <v>49</v>
      </c>
      <c r="FG142" s="265" t="s">
        <v>311</v>
      </c>
      <c r="FH142" s="264" t="s">
        <v>310</v>
      </c>
      <c r="FI142" s="264" t="s">
        <v>309</v>
      </c>
      <c r="FJ142" s="263" t="s">
        <v>308</v>
      </c>
      <c r="FK142" s="266" t="s">
        <v>20</v>
      </c>
      <c r="FL142" s="264" t="s">
        <v>49</v>
      </c>
      <c r="FM142" s="265" t="s">
        <v>311</v>
      </c>
      <c r="FN142" s="264" t="s">
        <v>310</v>
      </c>
      <c r="FO142" s="264" t="s">
        <v>309</v>
      </c>
      <c r="FP142" s="263" t="s">
        <v>308</v>
      </c>
      <c r="IV142" s="41"/>
    </row>
    <row r="143" spans="1:256" s="25" customFormat="1" ht="13.5" customHeight="1" thickBot="1">
      <c r="A143" s="5729"/>
      <c r="C143" s="253">
        <f>('الصفحة 27'!$F$55)</f>
        <v>0</v>
      </c>
      <c r="D143" s="252">
        <f>'الصفحة 27'!$M$55</f>
        <v>0</v>
      </c>
      <c r="E143" s="252">
        <f>'الصفحة 27'!$N$55</f>
        <v>0</v>
      </c>
      <c r="F143" s="251">
        <f>(D143-E143)</f>
        <v>0</v>
      </c>
      <c r="G143" s="251">
        <f>('الصفحة 27'!$K$55)</f>
        <v>0</v>
      </c>
      <c r="H143" s="262">
        <f>('الصفحة 27'!$L$55)</f>
        <v>0</v>
      </c>
      <c r="I143" s="261">
        <f>(G143-H143)</f>
        <v>0</v>
      </c>
      <c r="J143" s="260">
        <f>((G143)/($D$63+0.00001))*100</f>
        <v>0</v>
      </c>
      <c r="K143" s="250">
        <f>((H143)/($E$63+0.00001))*100</f>
        <v>0</v>
      </c>
      <c r="L143" s="249">
        <f>((I143)/(F143+0.00001))*100</f>
        <v>0</v>
      </c>
      <c r="N143" s="253">
        <f>'الصفحة 27'!$K$29</f>
        <v>0</v>
      </c>
      <c r="O143" s="252">
        <f>'الصفحة 27'!$K$30</f>
        <v>0</v>
      </c>
      <c r="P143" s="258">
        <f>(N143-O143)</f>
        <v>0</v>
      </c>
      <c r="R143" s="253">
        <f>'الصفحة 27'!$F$29</f>
        <v>0</v>
      </c>
      <c r="S143" s="252">
        <f>'الصفحة 27'!$F$30</f>
        <v>0</v>
      </c>
      <c r="T143" s="252">
        <f>(R143-S143)</f>
        <v>0</v>
      </c>
      <c r="U143" s="257">
        <f>(R143/($N$63+0.00001))*100</f>
        <v>0</v>
      </c>
      <c r="V143" s="257">
        <f>(S143/($O$63+0.00001))*100</f>
        <v>0</v>
      </c>
      <c r="W143" s="256">
        <f>(T143/($P$63+0.00001))*100</f>
        <v>0</v>
      </c>
      <c r="Y143" s="253">
        <f>'الصفحة 27'!$G$29</f>
        <v>0</v>
      </c>
      <c r="Z143" s="252">
        <f>'الصفحة 27'!$G$30</f>
        <v>0</v>
      </c>
      <c r="AA143" s="252">
        <f>(Y143-Z143)</f>
        <v>0</v>
      </c>
      <c r="AB143" s="257">
        <f>(Y143/($N$63+0.00001))*100</f>
        <v>0</v>
      </c>
      <c r="AC143" s="257">
        <f>(Z143/($O$63+0.00001))*100</f>
        <v>0</v>
      </c>
      <c r="AD143" s="256">
        <f>(AA143/($P$63+0.00001))*100</f>
        <v>0</v>
      </c>
      <c r="AF143" s="253">
        <f>'الصفحة 27'!$H$29</f>
        <v>0</v>
      </c>
      <c r="AG143" s="252">
        <f>'الصفحة 27'!$H$30</f>
        <v>0</v>
      </c>
      <c r="AH143" s="252">
        <f>(AF143-AG143)</f>
        <v>0</v>
      </c>
      <c r="AI143" s="257">
        <f>(AF143/($N$63+0.00001))*100</f>
        <v>0</v>
      </c>
      <c r="AJ143" s="257">
        <f>(AG143/($O$63+0.00001))*100</f>
        <v>0</v>
      </c>
      <c r="AK143" s="256">
        <f>(AH143/($P$63+0.00001))*100</f>
        <v>0</v>
      </c>
      <c r="AM143" s="253">
        <f>'الصفحة 27'!$I$29</f>
        <v>0</v>
      </c>
      <c r="AN143" s="252">
        <f>'الصفحة 27'!$I$30</f>
        <v>0</v>
      </c>
      <c r="AO143" s="252">
        <f>(AM143-AN143)</f>
        <v>0</v>
      </c>
      <c r="AP143" s="257">
        <f>(AM143/($N$63+0.00001))*100</f>
        <v>0</v>
      </c>
      <c r="AQ143" s="257">
        <f>(AN143/($O$63+0.00001))*100</f>
        <v>0</v>
      </c>
      <c r="AR143" s="256">
        <f>(AO143/($P$63+0.00001))*100</f>
        <v>0</v>
      </c>
      <c r="AT143" s="253">
        <f>'الصفحة 27'!$J$29</f>
        <v>0</v>
      </c>
      <c r="AU143" s="252">
        <f>'الصفحة 27'!$J$30</f>
        <v>0</v>
      </c>
      <c r="AV143" s="252">
        <f>(AT143-AU143)</f>
        <v>0</v>
      </c>
      <c r="AW143" s="257">
        <f>(AT143/($N$63+0.00001))*100</f>
        <v>0</v>
      </c>
      <c r="AX143" s="257">
        <f>(AU143/($O$63+0.00001))*100</f>
        <v>0</v>
      </c>
      <c r="AY143" s="256">
        <f>(AV143/($P$63+0.00001))*100</f>
        <v>0</v>
      </c>
      <c r="BA143" s="253" t="e">
        <f>'الصفحة 27'!#REF!</f>
        <v>#REF!</v>
      </c>
      <c r="BB143" s="252" t="e">
        <f>'الصفحة 27'!#REF!</f>
        <v>#REF!</v>
      </c>
      <c r="BC143" s="252" t="e">
        <f>(BA143-BB143)</f>
        <v>#REF!</v>
      </c>
      <c r="BD143" s="257" t="e">
        <f>(BA143/($N$63+0.00001))*100</f>
        <v>#REF!</v>
      </c>
      <c r="BE143" s="257" t="e">
        <f>(BB143/($O$63+0.00001))*100</f>
        <v>#REF!</v>
      </c>
      <c r="BF143" s="256" t="e">
        <f>(BC143/($P$63+0.00001))*100</f>
        <v>#REF!</v>
      </c>
      <c r="BG143" s="253" t="e">
        <f>'الصفحة 27'!#REF!</f>
        <v>#REF!</v>
      </c>
      <c r="BH143" s="252" t="e">
        <f>'الصفحة 27'!#REF!</f>
        <v>#REF!</v>
      </c>
      <c r="BI143" s="252" t="e">
        <f>(BG143-BH143)</f>
        <v>#REF!</v>
      </c>
      <c r="BJ143" s="257" t="e">
        <f>(BG143/($N$63+0.00001))*100</f>
        <v>#REF!</v>
      </c>
      <c r="BK143" s="257" t="e">
        <f>(BH143/($O$63+0.00001))*100</f>
        <v>#REF!</v>
      </c>
      <c r="BL143" s="256" t="e">
        <f>(BI143/($P$63+0.00001))*100</f>
        <v>#REF!</v>
      </c>
      <c r="BM143" s="253">
        <f>'الصفحة 30'!$O$38+'الصفحة 30'!$Q$19+'الصفحة 30'!$Q$38+'الصفحة 30'!$S$19+'الصفحة 30'!$S$38+'الصفحة 30'!$U$19+'الصفحة 30'!$U$38+'الصفحة 30'!$W$19+'الصفحة 30'!$W$38+'الصفحة 30'!$Y$19+'الصفحة 30'!$Y$38</f>
        <v>0</v>
      </c>
      <c r="BN143" s="252">
        <f>'الصفحة 30'!$P$38+'الصفحة 30'!$R$19+'الصفحة 30'!$R$38+'الصفحة 30'!$T$19+'الصفحة 30'!$T$38+'الصفحة 30'!$V$19+'الصفحة 30'!$V$38+'الصفحة 30'!$X$19+'الصفحة 30'!$X$38+'الصفحة 30'!$Z$19+'الصفحة 30'!$Z$38</f>
        <v>0</v>
      </c>
      <c r="BO143" s="252">
        <f>(BM143-BN143)</f>
        <v>0</v>
      </c>
      <c r="BP143" s="257">
        <f>(BM143/($N143+0.00001))*100</f>
        <v>0</v>
      </c>
      <c r="BQ143" s="257">
        <f>(BN143/($O143+0.00001))*100</f>
        <v>0</v>
      </c>
      <c r="BR143" s="256">
        <f>(BO143/($P143+0.00001))*100</f>
        <v>0</v>
      </c>
      <c r="BT143" s="253">
        <f>'الصفحة 31'!$O$29</f>
        <v>0</v>
      </c>
      <c r="BU143" s="252">
        <f>'الصفحة 31'!$O$30</f>
        <v>0</v>
      </c>
      <c r="BV143" s="251">
        <f>(BT143-BU143)</f>
        <v>0</v>
      </c>
      <c r="BW143" s="257">
        <f>(BT143/($N143+0.00001))*100</f>
        <v>0</v>
      </c>
      <c r="BX143" s="257">
        <f>(BU143/($O143+0.00001))*100</f>
        <v>0</v>
      </c>
      <c r="BY143" s="256">
        <f>(BV143/($P143+0.00001))*100</f>
        <v>0</v>
      </c>
      <c r="CB143" s="253">
        <f>'الصفحة 31'!$P$54</f>
        <v>0</v>
      </c>
      <c r="CC143" s="252">
        <f>'الصفحة 31'!$Q$54</f>
        <v>0</v>
      </c>
      <c r="CD143" s="251">
        <f>(CB143-CC143)</f>
        <v>0</v>
      </c>
      <c r="CE143" s="257">
        <f>(CB143/($N143+0.00001))*100</f>
        <v>0</v>
      </c>
      <c r="CF143" s="257">
        <f>(CC143/($O143+0.00001))*100</f>
        <v>0</v>
      </c>
      <c r="CG143" s="256">
        <f>(CD143/($P143+0.00001))*100</f>
        <v>0</v>
      </c>
      <c r="CJ143" s="253">
        <f>'الصفحة 31'!$Q$29</f>
        <v>0</v>
      </c>
      <c r="CK143" s="252">
        <f>'الصفحة 31'!$Q$30</f>
        <v>0</v>
      </c>
      <c r="CL143" s="251">
        <f>(CJ143-CK143)</f>
        <v>0</v>
      </c>
      <c r="CM143" s="257">
        <f>(CJ143/($N143+0.00001))*100</f>
        <v>0</v>
      </c>
      <c r="CN143" s="257">
        <f>(CK143/($O143+0.00001))*100</f>
        <v>0</v>
      </c>
      <c r="CO143" s="256">
        <f>(CL143/($P143+0.00001))*100</f>
        <v>0</v>
      </c>
      <c r="CR143" s="253" t="e">
        <f>'الصفحة 27'!#REF!</f>
        <v>#REF!</v>
      </c>
      <c r="CS143" s="252" t="e">
        <f>CV143-CR143</f>
        <v>#REF!</v>
      </c>
      <c r="CT143" s="255" t="e">
        <f>((CR143)/(CS143+0.00001))</f>
        <v>#REF!</v>
      </c>
      <c r="CU143" s="253" t="e">
        <f>CR143</f>
        <v>#REF!</v>
      </c>
      <c r="CV143" s="252" t="e">
        <f>'الصفحة 27'!#REF!</f>
        <v>#REF!</v>
      </c>
      <c r="CW143" s="249" t="e">
        <f>((CU143)/(CV143+0.00001))*100</f>
        <v>#REF!</v>
      </c>
      <c r="CZ143" s="253">
        <f>'الصفحة 27'!$F$29+'الصفحة 27'!$G$29+'الصفحة 27'!$H$29+'الصفحة 27'!$I$29</f>
        <v>0</v>
      </c>
      <c r="DA143" s="252">
        <f>'الصفحة 27'!$F$30+'الصفحة 27'!$G$30+'الصفحة 27'!$H$30+'الصفحة 27'!$I$30</f>
        <v>0</v>
      </c>
      <c r="DB143" s="251">
        <f>(CZ143-DA143)</f>
        <v>0</v>
      </c>
      <c r="DC143" s="250" t="e">
        <f>((CZ143)/(CV143+0.00001))*100</f>
        <v>#REF!</v>
      </c>
      <c r="DD143" s="250" t="e">
        <f>((DA143)/(CR143+0.00001))*100</f>
        <v>#REF!</v>
      </c>
      <c r="DE143" s="249" t="e">
        <f>((DB143)/(CV143-CR143+0.00001))*100</f>
        <v>#REF!</v>
      </c>
      <c r="DH143" s="253">
        <f>'الصفحة 27'!$N$29</f>
        <v>0</v>
      </c>
      <c r="DI143" s="252">
        <f>'الصفحة 27'!$N$30</f>
        <v>0</v>
      </c>
      <c r="DJ143" s="251">
        <f>(DH143-DI143)</f>
        <v>0</v>
      </c>
      <c r="DK143" s="250" t="e">
        <f>((DH143)/(CV143+0.00001))*100</f>
        <v>#REF!</v>
      </c>
      <c r="DL143" s="250" t="e">
        <f>((DI143)/(CR143+0.00001))*100</f>
        <v>#REF!</v>
      </c>
      <c r="DM143" s="249" t="e">
        <f>((DJ143)/(CV143-CR143+0.00001))*100</f>
        <v>#REF!</v>
      </c>
      <c r="DP143" s="253">
        <f>'الصفحة 32'!$O$46</f>
        <v>0</v>
      </c>
      <c r="DQ143" s="252">
        <f>'الصفحة 32'!$O$47</f>
        <v>0</v>
      </c>
      <c r="DR143" s="254">
        <f>(DP143-DQ143)</f>
        <v>0</v>
      </c>
      <c r="DU143" s="253">
        <f>'الصفحة 32'!$O$30</f>
        <v>0</v>
      </c>
      <c r="DV143" s="252">
        <f>'الصفحة 32'!$O$31</f>
        <v>0</v>
      </c>
      <c r="DW143" s="251">
        <f>(DU143-DV143)</f>
        <v>0</v>
      </c>
      <c r="DX143" s="250">
        <f>((DU143)/($DP$143+0.00001))*100</f>
        <v>0</v>
      </c>
      <c r="DY143" s="250">
        <f>((DV143)/($DQ$143+0.00001))*100</f>
        <v>0</v>
      </c>
      <c r="DZ143" s="249">
        <f>((DW143)/($DR$143+0.00001))*100</f>
        <v>0</v>
      </c>
      <c r="EA143" s="253">
        <f>'الصفحة 32'!$O$32</f>
        <v>0</v>
      </c>
      <c r="EB143" s="252">
        <f>'الصفحة 32'!$O$33</f>
        <v>0</v>
      </c>
      <c r="EC143" s="251">
        <f>(EA143-EB143)</f>
        <v>0</v>
      </c>
      <c r="ED143" s="250">
        <f>((EA143)/($DP$143+0.00001))*100</f>
        <v>0</v>
      </c>
      <c r="EE143" s="250">
        <f>((EB143)/($DQ$143+0.00001))*100</f>
        <v>0</v>
      </c>
      <c r="EF143" s="249">
        <f>((EC143)/($DR$143+0.00001))*100</f>
        <v>0</v>
      </c>
      <c r="EG143" s="253">
        <f>'الصفحة 32'!$O$39</f>
        <v>0</v>
      </c>
      <c r="EH143" s="252">
        <f>'الصفحة 32'!$O$35</f>
        <v>0</v>
      </c>
      <c r="EI143" s="251">
        <f>(EG143-EH143)</f>
        <v>0</v>
      </c>
      <c r="EJ143" s="250">
        <f>((EG143)/($DP$143+0.00001))*100</f>
        <v>0</v>
      </c>
      <c r="EK143" s="250">
        <f>((EH143)/($DQ$143+0.00001))*100</f>
        <v>0</v>
      </c>
      <c r="EL143" s="249">
        <f>((EI143)/($DR$143+0.00001))*100</f>
        <v>0</v>
      </c>
      <c r="EM143" s="253">
        <f>'الصفحة 32'!$O$36</f>
        <v>0</v>
      </c>
      <c r="EN143" s="252">
        <f>'الصفحة 32'!$O$37</f>
        <v>0</v>
      </c>
      <c r="EO143" s="251">
        <f>(EM143-EN143)</f>
        <v>0</v>
      </c>
      <c r="EP143" s="250">
        <f>((EM143)/($DP$143+0.00001))*100</f>
        <v>0</v>
      </c>
      <c r="EQ143" s="250">
        <f>((EN143)/($DQ$143+0.00001))*100</f>
        <v>0</v>
      </c>
      <c r="ER143" s="249">
        <f>((EO143)/($DR$143+0.00001))*100</f>
        <v>0</v>
      </c>
      <c r="ES143" s="253">
        <f>'الصفحة 32'!$O$38</f>
        <v>0</v>
      </c>
      <c r="ET143" s="252">
        <f>'الصفحة 32'!$O$39</f>
        <v>0</v>
      </c>
      <c r="EU143" s="251">
        <f>(ES143-ET143)</f>
        <v>0</v>
      </c>
      <c r="EV143" s="250">
        <f>((ES143)/($DP$143+0.00001))*100</f>
        <v>0</v>
      </c>
      <c r="EW143" s="250">
        <f>((ET143)/($DQ$143+0.00001))*100</f>
        <v>0</v>
      </c>
      <c r="EX143" s="249">
        <f>((EU143)/($DR$143+0.00001))*100</f>
        <v>0</v>
      </c>
      <c r="EY143" s="253">
        <f>'الصفحة 32'!$O$40</f>
        <v>0</v>
      </c>
      <c r="EZ143" s="252">
        <f>'الصفحة 32'!$O$41</f>
        <v>0</v>
      </c>
      <c r="FA143" s="251">
        <f>(EY143-EZ143)</f>
        <v>0</v>
      </c>
      <c r="FB143" s="250">
        <f>((EY143)/($DP$143+0.00001))*100</f>
        <v>0</v>
      </c>
      <c r="FC143" s="250">
        <f>((EZ143)/($DQ$143+0.00001))*100</f>
        <v>0</v>
      </c>
      <c r="FD143" s="249">
        <f>((FA143)/($DR$143+0.00001))*100</f>
        <v>0</v>
      </c>
      <c r="FE143" s="253">
        <f>'الصفحة 32'!$O$42</f>
        <v>0</v>
      </c>
      <c r="FF143" s="252">
        <f>'الصفحة 32'!$O$43</f>
        <v>0</v>
      </c>
      <c r="FG143" s="251">
        <f>(FE143-FF143)</f>
        <v>0</v>
      </c>
      <c r="FH143" s="250">
        <f>((FE143)/($DP$143+0.00001))*100</f>
        <v>0</v>
      </c>
      <c r="FI143" s="250">
        <f>((FF143)/($DQ$143+0.00001))*100</f>
        <v>0</v>
      </c>
      <c r="FJ143" s="249">
        <f>((FG143)/($DR$143+0.00001))*100</f>
        <v>0</v>
      </c>
      <c r="FK143" s="253">
        <f>'الصفحة 32'!$O$44</f>
        <v>0</v>
      </c>
      <c r="FL143" s="252">
        <f>'الصفحة 32'!$O$45</f>
        <v>0</v>
      </c>
      <c r="FM143" s="251">
        <f>(FK143-FL143)</f>
        <v>0</v>
      </c>
      <c r="FN143" s="250">
        <f>((FK143)/($DP$143+0.00001))*100</f>
        <v>0</v>
      </c>
      <c r="FO143" s="250">
        <f>((FL143)/($DQ$143+0.00001))*100</f>
        <v>0</v>
      </c>
      <c r="FP143" s="249">
        <f>((FM143)/($DR$143+0.00001))*100</f>
        <v>0</v>
      </c>
      <c r="IV143" s="41"/>
    </row>
    <row r="144" spans="1:256" s="25" customFormat="1" ht="6" customHeight="1">
      <c r="A144" s="248"/>
      <c r="C144" s="247"/>
      <c r="D144" s="247"/>
      <c r="E144" s="247"/>
      <c r="F144" s="245"/>
      <c r="G144" s="245"/>
      <c r="H144" s="246"/>
      <c r="I144" s="245"/>
      <c r="J144" s="244"/>
      <c r="K144" s="244"/>
      <c r="HS144" s="106"/>
      <c r="HT144" s="106"/>
      <c r="HU144" s="106"/>
      <c r="HV144" s="106"/>
      <c r="HW144" s="106"/>
      <c r="HX144" s="203"/>
      <c r="HY144" s="106"/>
      <c r="HZ144" s="106"/>
      <c r="IA144" s="106"/>
      <c r="IB144" s="203"/>
      <c r="IC144" s="106"/>
      <c r="ID144" s="106"/>
      <c r="IE144" s="24"/>
      <c r="IF144" s="24"/>
      <c r="IG144" s="106"/>
      <c r="IH144" s="24"/>
      <c r="II144" s="24"/>
      <c r="IJ144" s="24"/>
      <c r="IK144" s="24"/>
      <c r="IL144" s="24"/>
      <c r="IM144" s="24"/>
      <c r="IN144" s="24"/>
      <c r="IO144" s="24"/>
      <c r="IP144" s="24"/>
      <c r="IQ144" s="24"/>
      <c r="IR144" s="24"/>
      <c r="IS144" s="24"/>
      <c r="IT144" s="24"/>
      <c r="IV144" s="41"/>
    </row>
    <row r="145" spans="1:256" s="25" customFormat="1" ht="6" customHeight="1">
      <c r="A145" s="248"/>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c r="GS145" s="21"/>
      <c r="GT145" s="21"/>
      <c r="GU145" s="21"/>
      <c r="GV145" s="21"/>
      <c r="GW145" s="21"/>
      <c r="GX145" s="21"/>
      <c r="GY145" s="21"/>
      <c r="GZ145" s="21"/>
      <c r="HA145" s="21"/>
      <c r="HB145" s="21"/>
      <c r="HC145" s="21"/>
      <c r="HD145" s="21"/>
      <c r="HE145" s="21"/>
      <c r="HF145" s="21"/>
      <c r="HG145" s="21"/>
      <c r="HH145" s="21"/>
      <c r="HI145" s="21"/>
      <c r="HJ145" s="21"/>
      <c r="HK145" s="21"/>
      <c r="HL145" s="21"/>
      <c r="HM145" s="21"/>
      <c r="HN145" s="21"/>
      <c r="HO145" s="21"/>
      <c r="HP145" s="21"/>
      <c r="HQ145" s="21"/>
      <c r="HR145" s="21"/>
      <c r="HS145" s="21"/>
      <c r="HT145" s="21"/>
      <c r="HU145" s="21"/>
      <c r="HV145" s="21"/>
      <c r="HW145" s="21"/>
      <c r="HX145" s="21"/>
      <c r="HY145" s="21"/>
      <c r="HZ145" s="21"/>
      <c r="IA145" s="21"/>
      <c r="IB145" s="21"/>
      <c r="IC145" s="21"/>
      <c r="ID145" s="21"/>
      <c r="IE145" s="21"/>
      <c r="IF145" s="21"/>
      <c r="IG145" s="21"/>
      <c r="IH145" s="21"/>
      <c r="II145" s="21"/>
      <c r="IJ145" s="21"/>
      <c r="IK145" s="21"/>
      <c r="IL145" s="21"/>
      <c r="IM145" s="21"/>
      <c r="IN145" s="21"/>
      <c r="IO145" s="21"/>
      <c r="IP145" s="21"/>
      <c r="IQ145" s="21"/>
      <c r="IR145" s="21"/>
      <c r="IS145" s="21"/>
      <c r="IT145" s="21"/>
      <c r="IV145" s="41"/>
    </row>
    <row r="146" spans="1:256" s="25" customFormat="1" ht="15.75" customHeight="1" thickBot="1">
      <c r="A146" s="5729">
        <v>19</v>
      </c>
      <c r="C146" s="305" t="s">
        <v>339</v>
      </c>
      <c r="N146" s="305" t="s">
        <v>338</v>
      </c>
      <c r="R146" s="305" t="s">
        <v>337</v>
      </c>
      <c r="Y146" s="305" t="s">
        <v>337</v>
      </c>
      <c r="AF146" s="305" t="s">
        <v>337</v>
      </c>
      <c r="AM146" s="305" t="s">
        <v>337</v>
      </c>
      <c r="AT146" s="305" t="s">
        <v>337</v>
      </c>
      <c r="BA146" s="305" t="s">
        <v>337</v>
      </c>
      <c r="BG146" s="305" t="s">
        <v>337</v>
      </c>
      <c r="BM146" s="305" t="s">
        <v>336</v>
      </c>
      <c r="BT146" s="307" t="s">
        <v>335</v>
      </c>
      <c r="BU146" s="306"/>
      <c r="BV146" s="306"/>
      <c r="BW146" s="306"/>
      <c r="BX146" s="306"/>
      <c r="BY146" s="306"/>
      <c r="CB146" s="305" t="s">
        <v>334</v>
      </c>
      <c r="CJ146" s="305" t="s">
        <v>333</v>
      </c>
      <c r="CR146" s="305" t="s">
        <v>332</v>
      </c>
      <c r="CZ146" s="305" t="s">
        <v>331</v>
      </c>
      <c r="DH146" s="305" t="s">
        <v>330</v>
      </c>
      <c r="DP146" s="305" t="s">
        <v>329</v>
      </c>
      <c r="DU146" s="304" t="s">
        <v>328</v>
      </c>
      <c r="EA146" s="304"/>
      <c r="EB146" s="303" t="str">
        <f>DP147</f>
        <v>التربية البدنية والرياضية</v>
      </c>
      <c r="EG146" s="304" t="str">
        <f>$DU146</f>
        <v>توزيع اساتذة التعليم المتوسط حسب المؤهل العلمي  -</v>
      </c>
      <c r="EM146" s="303" t="str">
        <f>$EB146</f>
        <v>التربية البدنية والرياضية</v>
      </c>
      <c r="ES146" s="304" t="str">
        <f>$DU146</f>
        <v>توزيع اساتذة التعليم المتوسط حسب المؤهل العلمي  -</v>
      </c>
      <c r="EY146" s="303" t="str">
        <f>$EB146</f>
        <v>التربية البدنية والرياضية</v>
      </c>
      <c r="FE146" s="304" t="str">
        <f>$DU146</f>
        <v>توزيع اساتذة التعليم المتوسط حسب المؤهل العلمي  -</v>
      </c>
      <c r="FK146" s="303" t="str">
        <f>$EB146</f>
        <v>التربية البدنية والرياضية</v>
      </c>
      <c r="IV146" s="41"/>
    </row>
    <row r="147" spans="1:256" s="25" customFormat="1" ht="12.75" customHeight="1">
      <c r="A147" s="5729"/>
      <c r="C147" s="302"/>
      <c r="D147" s="300"/>
      <c r="E147" s="300"/>
      <c r="F147" s="301" t="s">
        <v>327</v>
      </c>
      <c r="G147" s="300"/>
      <c r="H147" s="300"/>
      <c r="I147" s="300"/>
      <c r="J147" s="300"/>
      <c r="K147" s="300"/>
      <c r="L147" s="299"/>
      <c r="N147" s="5743" t="s">
        <v>37</v>
      </c>
      <c r="O147" s="5744"/>
      <c r="P147" s="5745"/>
      <c r="R147" s="5752" t="str">
        <f>$N147</f>
        <v>التربية البدنية والرياضية</v>
      </c>
      <c r="S147" s="5753"/>
      <c r="T147" s="5753"/>
      <c r="U147" s="5753"/>
      <c r="V147" s="5753"/>
      <c r="W147" s="5754"/>
      <c r="Y147" s="5752" t="str">
        <f>$N147</f>
        <v>التربية البدنية والرياضية</v>
      </c>
      <c r="Z147" s="5753"/>
      <c r="AA147" s="5753"/>
      <c r="AB147" s="5753"/>
      <c r="AC147" s="5753"/>
      <c r="AD147" s="5754"/>
      <c r="AF147" s="5752" t="str">
        <f>$N147</f>
        <v>التربية البدنية والرياضية</v>
      </c>
      <c r="AG147" s="5753"/>
      <c r="AH147" s="5753"/>
      <c r="AI147" s="5753"/>
      <c r="AJ147" s="5753"/>
      <c r="AK147" s="5754"/>
      <c r="AM147" s="5752" t="str">
        <f>$N147</f>
        <v>التربية البدنية والرياضية</v>
      </c>
      <c r="AN147" s="5753"/>
      <c r="AO147" s="5753"/>
      <c r="AP147" s="5753"/>
      <c r="AQ147" s="5753"/>
      <c r="AR147" s="5754"/>
      <c r="AT147" s="5752" t="str">
        <f>$N147</f>
        <v>التربية البدنية والرياضية</v>
      </c>
      <c r="AU147" s="5753"/>
      <c r="AV147" s="5753"/>
      <c r="AW147" s="5753"/>
      <c r="AX147" s="5753"/>
      <c r="AY147" s="5754"/>
      <c r="BA147" s="5752" t="str">
        <f>$N147</f>
        <v>التربية البدنية والرياضية</v>
      </c>
      <c r="BB147" s="5753"/>
      <c r="BC147" s="5753"/>
      <c r="BD147" s="5753"/>
      <c r="BE147" s="5753"/>
      <c r="BF147" s="5754"/>
      <c r="BG147" s="5752" t="str">
        <f>$N147</f>
        <v>التربية البدنية والرياضية</v>
      </c>
      <c r="BH147" s="5753"/>
      <c r="BI147" s="5753"/>
      <c r="BJ147" s="5753"/>
      <c r="BK147" s="5753"/>
      <c r="BL147" s="5754"/>
      <c r="BM147" s="298"/>
      <c r="BN147" s="297"/>
      <c r="BO147" s="297"/>
      <c r="BP147" s="297"/>
      <c r="BQ147" s="297"/>
      <c r="BR147" s="296"/>
      <c r="BT147" s="5146" t="s">
        <v>37</v>
      </c>
      <c r="BU147" s="5147"/>
      <c r="BV147" s="5147"/>
      <c r="BW147" s="5147"/>
      <c r="BX147" s="5147"/>
      <c r="BY147" s="5148"/>
      <c r="CB147" s="5146" t="s">
        <v>37</v>
      </c>
      <c r="CC147" s="5147"/>
      <c r="CD147" s="5147"/>
      <c r="CE147" s="5147"/>
      <c r="CF147" s="5147"/>
      <c r="CG147" s="5148"/>
      <c r="CJ147" s="5146" t="s">
        <v>37</v>
      </c>
      <c r="CK147" s="5147"/>
      <c r="CL147" s="5147"/>
      <c r="CM147" s="5147"/>
      <c r="CN147" s="5147"/>
      <c r="CO147" s="5148"/>
      <c r="CR147" s="5146" t="s">
        <v>37</v>
      </c>
      <c r="CS147" s="5147"/>
      <c r="CT147" s="5147"/>
      <c r="CU147" s="5147"/>
      <c r="CV147" s="5147"/>
      <c r="CW147" s="5148"/>
      <c r="CZ147" s="5146" t="s">
        <v>37</v>
      </c>
      <c r="DA147" s="5147"/>
      <c r="DB147" s="5147"/>
      <c r="DC147" s="5147"/>
      <c r="DD147" s="5147"/>
      <c r="DE147" s="5148"/>
      <c r="DH147" s="5146" t="s">
        <v>37</v>
      </c>
      <c r="DI147" s="5147"/>
      <c r="DJ147" s="5147"/>
      <c r="DK147" s="5147"/>
      <c r="DL147" s="5147"/>
      <c r="DM147" s="5148"/>
      <c r="DP147" s="5146" t="s">
        <v>37</v>
      </c>
      <c r="DQ147" s="5147"/>
      <c r="DR147" s="5148"/>
      <c r="DU147" s="5758" t="s">
        <v>57</v>
      </c>
      <c r="DV147" s="5759"/>
      <c r="DW147" s="5759"/>
      <c r="DX147" s="5759"/>
      <c r="DY147" s="5759"/>
      <c r="DZ147" s="5760"/>
      <c r="EA147" s="5758" t="s">
        <v>56</v>
      </c>
      <c r="EB147" s="5759"/>
      <c r="EC147" s="5759"/>
      <c r="ED147" s="5759"/>
      <c r="EE147" s="5759"/>
      <c r="EF147" s="5760"/>
      <c r="EG147" s="5758" t="s">
        <v>55</v>
      </c>
      <c r="EH147" s="5759"/>
      <c r="EI147" s="5759"/>
      <c r="EJ147" s="5759"/>
      <c r="EK147" s="5759"/>
      <c r="EL147" s="5760"/>
      <c r="EM147" s="5758" t="s">
        <v>54</v>
      </c>
      <c r="EN147" s="5759"/>
      <c r="EO147" s="5759"/>
      <c r="EP147" s="5759"/>
      <c r="EQ147" s="5759"/>
      <c r="ER147" s="5760"/>
      <c r="ES147" s="5758" t="s">
        <v>53</v>
      </c>
      <c r="ET147" s="5759"/>
      <c r="EU147" s="5759"/>
      <c r="EV147" s="5759"/>
      <c r="EW147" s="5759"/>
      <c r="EX147" s="5760"/>
      <c r="EY147" s="5758" t="s">
        <v>52</v>
      </c>
      <c r="EZ147" s="5759"/>
      <c r="FA147" s="5759"/>
      <c r="FB147" s="5759"/>
      <c r="FC147" s="5759"/>
      <c r="FD147" s="5760"/>
      <c r="FE147" s="5758" t="s">
        <v>51</v>
      </c>
      <c r="FF147" s="5759"/>
      <c r="FG147" s="5759"/>
      <c r="FH147" s="5759"/>
      <c r="FI147" s="5759"/>
      <c r="FJ147" s="5760"/>
      <c r="FK147" s="5758" t="s">
        <v>50</v>
      </c>
      <c r="FL147" s="5759"/>
      <c r="FM147" s="5759"/>
      <c r="FN147" s="5759"/>
      <c r="FO147" s="5759"/>
      <c r="FP147" s="5760"/>
      <c r="IV147" s="41"/>
    </row>
    <row r="148" spans="1:256" s="25" customFormat="1" ht="12.75" customHeight="1" thickBot="1">
      <c r="A148" s="5729"/>
      <c r="C148" s="295"/>
      <c r="D148" s="293"/>
      <c r="E148" s="291" t="s">
        <v>326</v>
      </c>
      <c r="F148" s="294"/>
      <c r="G148" s="293"/>
      <c r="H148" s="291" t="s">
        <v>325</v>
      </c>
      <c r="I148" s="290"/>
      <c r="J148" s="292"/>
      <c r="K148" s="291" t="s">
        <v>324</v>
      </c>
      <c r="L148" s="290"/>
      <c r="N148" s="5746"/>
      <c r="O148" s="5747"/>
      <c r="P148" s="5748"/>
      <c r="R148" s="5164" t="s">
        <v>645</v>
      </c>
      <c r="S148" s="5165"/>
      <c r="T148" s="5165"/>
      <c r="U148" s="5165"/>
      <c r="V148" s="5165"/>
      <c r="W148" s="5166"/>
      <c r="Y148" s="5164" t="s">
        <v>323</v>
      </c>
      <c r="Z148" s="5165"/>
      <c r="AA148" s="5165"/>
      <c r="AB148" s="5165"/>
      <c r="AC148" s="5165"/>
      <c r="AD148" s="5166"/>
      <c r="AF148" s="5164" t="s">
        <v>322</v>
      </c>
      <c r="AG148" s="5165"/>
      <c r="AH148" s="5165"/>
      <c r="AI148" s="5165"/>
      <c r="AJ148" s="5165"/>
      <c r="AK148" s="5166"/>
      <c r="AM148" s="5164" t="s">
        <v>321</v>
      </c>
      <c r="AN148" s="5165"/>
      <c r="AO148" s="5165"/>
      <c r="AP148" s="5165"/>
      <c r="AQ148" s="5165"/>
      <c r="AR148" s="5166"/>
      <c r="AT148" s="5164" t="s">
        <v>644</v>
      </c>
      <c r="AU148" s="5165"/>
      <c r="AV148" s="5165"/>
      <c r="AW148" s="5165"/>
      <c r="AX148" s="5165"/>
      <c r="AY148" s="5166"/>
      <c r="BA148" s="5164" t="s">
        <v>642</v>
      </c>
      <c r="BB148" s="5165"/>
      <c r="BC148" s="5165"/>
      <c r="BD148" s="5165"/>
      <c r="BE148" s="5165"/>
      <c r="BF148" s="5166"/>
      <c r="BG148" s="5164" t="s">
        <v>643</v>
      </c>
      <c r="BH148" s="5165"/>
      <c r="BI148" s="5165"/>
      <c r="BJ148" s="5165"/>
      <c r="BK148" s="5165"/>
      <c r="BL148" s="5166"/>
      <c r="BM148" s="289"/>
      <c r="BN148" s="286"/>
      <c r="BO148" s="288" t="s">
        <v>37</v>
      </c>
      <c r="BP148" s="287"/>
      <c r="BQ148" s="286"/>
      <c r="BR148" s="285"/>
      <c r="BT148" s="5149"/>
      <c r="BU148" s="5150"/>
      <c r="BV148" s="5150"/>
      <c r="BW148" s="5150"/>
      <c r="BX148" s="5150"/>
      <c r="BY148" s="5151"/>
      <c r="CB148" s="5149"/>
      <c r="CC148" s="5150"/>
      <c r="CD148" s="5150"/>
      <c r="CE148" s="5150"/>
      <c r="CF148" s="5150"/>
      <c r="CG148" s="5151"/>
      <c r="CJ148" s="5149"/>
      <c r="CK148" s="5150"/>
      <c r="CL148" s="5150"/>
      <c r="CM148" s="5150"/>
      <c r="CN148" s="5150"/>
      <c r="CO148" s="5151"/>
      <c r="CR148" s="5149"/>
      <c r="CS148" s="5150"/>
      <c r="CT148" s="5150"/>
      <c r="CU148" s="5150"/>
      <c r="CV148" s="5150"/>
      <c r="CW148" s="5151"/>
      <c r="CZ148" s="5149"/>
      <c r="DA148" s="5150"/>
      <c r="DB148" s="5150"/>
      <c r="DC148" s="5150"/>
      <c r="DD148" s="5150"/>
      <c r="DE148" s="5151"/>
      <c r="DH148" s="5149"/>
      <c r="DI148" s="5150"/>
      <c r="DJ148" s="5150"/>
      <c r="DK148" s="5150"/>
      <c r="DL148" s="5150"/>
      <c r="DM148" s="5151"/>
      <c r="DP148" s="5771"/>
      <c r="DQ148" s="5772"/>
      <c r="DR148" s="5773"/>
      <c r="DU148" s="5761"/>
      <c r="DV148" s="5762"/>
      <c r="DW148" s="5762"/>
      <c r="DX148" s="5762"/>
      <c r="DY148" s="5762"/>
      <c r="DZ148" s="5763"/>
      <c r="EA148" s="5761"/>
      <c r="EB148" s="5762"/>
      <c r="EC148" s="5762"/>
      <c r="ED148" s="5762"/>
      <c r="EE148" s="5762"/>
      <c r="EF148" s="5763"/>
      <c r="EG148" s="5761"/>
      <c r="EH148" s="5762"/>
      <c r="EI148" s="5762"/>
      <c r="EJ148" s="5762"/>
      <c r="EK148" s="5762"/>
      <c r="EL148" s="5763"/>
      <c r="EM148" s="5761"/>
      <c r="EN148" s="5762"/>
      <c r="EO148" s="5762"/>
      <c r="EP148" s="5762"/>
      <c r="EQ148" s="5762"/>
      <c r="ER148" s="5763"/>
      <c r="ES148" s="5761"/>
      <c r="ET148" s="5762"/>
      <c r="EU148" s="5762"/>
      <c r="EV148" s="5762"/>
      <c r="EW148" s="5762"/>
      <c r="EX148" s="5763"/>
      <c r="EY148" s="5761"/>
      <c r="EZ148" s="5762"/>
      <c r="FA148" s="5762"/>
      <c r="FB148" s="5762"/>
      <c r="FC148" s="5762"/>
      <c r="FD148" s="5763"/>
      <c r="FE148" s="5761"/>
      <c r="FF148" s="5762"/>
      <c r="FG148" s="5762"/>
      <c r="FH148" s="5762"/>
      <c r="FI148" s="5762"/>
      <c r="FJ148" s="5763"/>
      <c r="FK148" s="5761"/>
      <c r="FL148" s="5762"/>
      <c r="FM148" s="5762"/>
      <c r="FN148" s="5762"/>
      <c r="FO148" s="5762"/>
      <c r="FP148" s="5763"/>
      <c r="IV148" s="41"/>
    </row>
    <row r="149" spans="1:256" s="25" customFormat="1" ht="12.75" customHeight="1">
      <c r="A149" s="5729"/>
      <c r="C149" s="284"/>
      <c r="D149" s="282"/>
      <c r="E149" s="282"/>
      <c r="F149" s="282"/>
      <c r="G149" s="282"/>
      <c r="H149" s="282"/>
      <c r="I149" s="281"/>
      <c r="J149" s="283"/>
      <c r="K149" s="282"/>
      <c r="L149" s="281"/>
      <c r="N149" s="5749"/>
      <c r="O149" s="5750"/>
      <c r="P149" s="5751"/>
      <c r="R149" s="5167"/>
      <c r="S149" s="5168"/>
      <c r="T149" s="5168"/>
      <c r="U149" s="5168"/>
      <c r="V149" s="5168"/>
      <c r="W149" s="5169"/>
      <c r="Y149" s="5167"/>
      <c r="Z149" s="5168"/>
      <c r="AA149" s="5168"/>
      <c r="AB149" s="5168"/>
      <c r="AC149" s="5168"/>
      <c r="AD149" s="5169"/>
      <c r="AF149" s="5167"/>
      <c r="AG149" s="5168"/>
      <c r="AH149" s="5168"/>
      <c r="AI149" s="5168"/>
      <c r="AJ149" s="5168"/>
      <c r="AK149" s="5169"/>
      <c r="AM149" s="5167"/>
      <c r="AN149" s="5168"/>
      <c r="AO149" s="5168"/>
      <c r="AP149" s="5168"/>
      <c r="AQ149" s="5168"/>
      <c r="AR149" s="5169"/>
      <c r="AT149" s="5167"/>
      <c r="AU149" s="5168"/>
      <c r="AV149" s="5168"/>
      <c r="AW149" s="5168"/>
      <c r="AX149" s="5168"/>
      <c r="AY149" s="5169"/>
      <c r="BA149" s="5167"/>
      <c r="BB149" s="5168"/>
      <c r="BC149" s="5168"/>
      <c r="BD149" s="5168"/>
      <c r="BE149" s="5168"/>
      <c r="BF149" s="5169"/>
      <c r="BG149" s="5167"/>
      <c r="BH149" s="5168"/>
      <c r="BI149" s="5168"/>
      <c r="BJ149" s="5168"/>
      <c r="BK149" s="5168"/>
      <c r="BL149" s="5169"/>
      <c r="BM149" s="280"/>
      <c r="BN149" s="279"/>
      <c r="BO149" s="279"/>
      <c r="BP149" s="279"/>
      <c r="BQ149" s="279"/>
      <c r="BR149" s="278"/>
      <c r="BT149" s="5130" t="s">
        <v>318</v>
      </c>
      <c r="BU149" s="5131"/>
      <c r="BV149" s="5132"/>
      <c r="BW149" s="5144" t="s">
        <v>317</v>
      </c>
      <c r="BX149" s="5131"/>
      <c r="BY149" s="5145"/>
      <c r="CB149" s="5130" t="s">
        <v>318</v>
      </c>
      <c r="CC149" s="5131"/>
      <c r="CD149" s="5132"/>
      <c r="CE149" s="5144" t="s">
        <v>317</v>
      </c>
      <c r="CF149" s="5131"/>
      <c r="CG149" s="5145"/>
      <c r="CJ149" s="5130" t="s">
        <v>318</v>
      </c>
      <c r="CK149" s="5131"/>
      <c r="CL149" s="5132"/>
      <c r="CM149" s="5144" t="s">
        <v>317</v>
      </c>
      <c r="CN149" s="5131"/>
      <c r="CO149" s="5145"/>
      <c r="CR149" s="5152" t="s">
        <v>320</v>
      </c>
      <c r="CS149" s="5153"/>
      <c r="CT149" s="5153"/>
      <c r="CU149" s="5152" t="s">
        <v>319</v>
      </c>
      <c r="CV149" s="5153"/>
      <c r="CW149" s="5154"/>
      <c r="CZ149" s="5130" t="s">
        <v>318</v>
      </c>
      <c r="DA149" s="5131"/>
      <c r="DB149" s="5132"/>
      <c r="DC149" s="5144" t="s">
        <v>317</v>
      </c>
      <c r="DD149" s="5131"/>
      <c r="DE149" s="5145"/>
      <c r="DH149" s="5130" t="s">
        <v>318</v>
      </c>
      <c r="DI149" s="5131"/>
      <c r="DJ149" s="5132"/>
      <c r="DK149" s="5144" t="s">
        <v>317</v>
      </c>
      <c r="DL149" s="5131"/>
      <c r="DM149" s="5145"/>
      <c r="DP149" s="5130" t="s">
        <v>318</v>
      </c>
      <c r="DQ149" s="5131"/>
      <c r="DR149" s="5145"/>
      <c r="DU149" s="277"/>
      <c r="DV149" s="274" t="s">
        <v>318</v>
      </c>
      <c r="DW149" s="276"/>
      <c r="DX149" s="275"/>
      <c r="DY149" s="274" t="s">
        <v>317</v>
      </c>
      <c r="DZ149" s="273"/>
      <c r="EA149" s="277"/>
      <c r="EB149" s="274" t="s">
        <v>318</v>
      </c>
      <c r="EC149" s="276"/>
      <c r="ED149" s="275"/>
      <c r="EE149" s="274" t="s">
        <v>317</v>
      </c>
      <c r="EF149" s="273"/>
      <c r="EG149" s="277"/>
      <c r="EH149" s="274" t="s">
        <v>318</v>
      </c>
      <c r="EI149" s="276"/>
      <c r="EJ149" s="275"/>
      <c r="EK149" s="274" t="s">
        <v>317</v>
      </c>
      <c r="EL149" s="273"/>
      <c r="EM149" s="277"/>
      <c r="EN149" s="274" t="s">
        <v>318</v>
      </c>
      <c r="EO149" s="276"/>
      <c r="EP149" s="275"/>
      <c r="EQ149" s="274" t="s">
        <v>317</v>
      </c>
      <c r="ER149" s="273"/>
      <c r="ES149" s="277"/>
      <c r="ET149" s="274" t="s">
        <v>318</v>
      </c>
      <c r="EU149" s="276"/>
      <c r="EV149" s="275"/>
      <c r="EW149" s="274" t="s">
        <v>317</v>
      </c>
      <c r="EX149" s="273"/>
      <c r="EY149" s="277"/>
      <c r="EZ149" s="274" t="s">
        <v>318</v>
      </c>
      <c r="FA149" s="276"/>
      <c r="FB149" s="275"/>
      <c r="FC149" s="274" t="s">
        <v>317</v>
      </c>
      <c r="FD149" s="273"/>
      <c r="FE149" s="277"/>
      <c r="FF149" s="274" t="s">
        <v>318</v>
      </c>
      <c r="FG149" s="276"/>
      <c r="FH149" s="275"/>
      <c r="FI149" s="274" t="s">
        <v>317</v>
      </c>
      <c r="FJ149" s="273"/>
      <c r="FK149" s="277"/>
      <c r="FL149" s="274" t="s">
        <v>318</v>
      </c>
      <c r="FM149" s="276"/>
      <c r="FN149" s="275"/>
      <c r="FO149" s="274" t="s">
        <v>317</v>
      </c>
      <c r="FP149" s="273"/>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c r="HH149" s="27"/>
      <c r="HI149" s="27"/>
      <c r="HJ149" s="27"/>
      <c r="HK149" s="27"/>
      <c r="HL149" s="27"/>
      <c r="HM149" s="27"/>
      <c r="HN149" s="27"/>
      <c r="HO149" s="27"/>
      <c r="HP149" s="27"/>
      <c r="HQ149" s="27"/>
      <c r="HR149" s="27"/>
      <c r="HS149" s="27"/>
      <c r="HT149" s="27"/>
      <c r="HU149" s="27"/>
      <c r="HV149" s="27"/>
      <c r="HW149" s="27"/>
      <c r="HX149" s="27"/>
      <c r="HY149" s="27"/>
      <c r="HZ149" s="27"/>
      <c r="IA149" s="27"/>
      <c r="IB149" s="27"/>
      <c r="IC149" s="27"/>
      <c r="ID149" s="27"/>
      <c r="IE149" s="27"/>
      <c r="IF149" s="27"/>
      <c r="IG149" s="27"/>
      <c r="IH149" s="27"/>
      <c r="II149" s="27"/>
      <c r="IJ149" s="27"/>
      <c r="IK149" s="27"/>
      <c r="IL149" s="27"/>
      <c r="IM149" s="27"/>
      <c r="IN149" s="27"/>
      <c r="IO149" s="27"/>
      <c r="IP149" s="27"/>
      <c r="IQ149" s="27"/>
      <c r="IR149" s="27"/>
      <c r="IS149" s="27"/>
      <c r="IT149" s="27"/>
      <c r="IV149" s="41"/>
    </row>
    <row r="150" spans="1:256" s="25" customFormat="1" ht="14.4">
      <c r="A150" s="5729"/>
      <c r="C150" s="272" t="s">
        <v>316</v>
      </c>
      <c r="D150" s="270" t="s">
        <v>20</v>
      </c>
      <c r="E150" s="270" t="s">
        <v>49</v>
      </c>
      <c r="F150" s="270" t="s">
        <v>311</v>
      </c>
      <c r="G150" s="270" t="s">
        <v>20</v>
      </c>
      <c r="H150" s="270" t="s">
        <v>49</v>
      </c>
      <c r="I150" s="269" t="s">
        <v>311</v>
      </c>
      <c r="J150" s="271" t="s">
        <v>20</v>
      </c>
      <c r="K150" s="270" t="s">
        <v>49</v>
      </c>
      <c r="L150" s="269" t="s">
        <v>311</v>
      </c>
      <c r="N150" s="266" t="s">
        <v>20</v>
      </c>
      <c r="O150" s="264" t="s">
        <v>49</v>
      </c>
      <c r="P150" s="263" t="s">
        <v>311</v>
      </c>
      <c r="R150" s="266" t="s">
        <v>20</v>
      </c>
      <c r="S150" s="264" t="s">
        <v>49</v>
      </c>
      <c r="T150" s="265" t="s">
        <v>311</v>
      </c>
      <c r="U150" s="264" t="s">
        <v>310</v>
      </c>
      <c r="V150" s="264" t="s">
        <v>309</v>
      </c>
      <c r="W150" s="263" t="s">
        <v>308</v>
      </c>
      <c r="Y150" s="266" t="s">
        <v>20</v>
      </c>
      <c r="Z150" s="264" t="s">
        <v>49</v>
      </c>
      <c r="AA150" s="265" t="s">
        <v>311</v>
      </c>
      <c r="AB150" s="264" t="s">
        <v>310</v>
      </c>
      <c r="AC150" s="264" t="s">
        <v>309</v>
      </c>
      <c r="AD150" s="263" t="s">
        <v>308</v>
      </c>
      <c r="AF150" s="266" t="s">
        <v>20</v>
      </c>
      <c r="AG150" s="264" t="s">
        <v>49</v>
      </c>
      <c r="AH150" s="265" t="s">
        <v>311</v>
      </c>
      <c r="AI150" s="264" t="s">
        <v>310</v>
      </c>
      <c r="AJ150" s="264" t="s">
        <v>309</v>
      </c>
      <c r="AK150" s="263" t="s">
        <v>308</v>
      </c>
      <c r="AM150" s="266" t="s">
        <v>20</v>
      </c>
      <c r="AN150" s="264" t="s">
        <v>49</v>
      </c>
      <c r="AO150" s="265" t="s">
        <v>311</v>
      </c>
      <c r="AP150" s="264" t="s">
        <v>310</v>
      </c>
      <c r="AQ150" s="264" t="s">
        <v>309</v>
      </c>
      <c r="AR150" s="263" t="s">
        <v>308</v>
      </c>
      <c r="AT150" s="266" t="s">
        <v>20</v>
      </c>
      <c r="AU150" s="264" t="s">
        <v>49</v>
      </c>
      <c r="AV150" s="265" t="s">
        <v>311</v>
      </c>
      <c r="AW150" s="264" t="s">
        <v>310</v>
      </c>
      <c r="AX150" s="264" t="s">
        <v>309</v>
      </c>
      <c r="AY150" s="263" t="s">
        <v>308</v>
      </c>
      <c r="BA150" s="266" t="s">
        <v>20</v>
      </c>
      <c r="BB150" s="264" t="s">
        <v>49</v>
      </c>
      <c r="BC150" s="265" t="s">
        <v>311</v>
      </c>
      <c r="BD150" s="264" t="s">
        <v>310</v>
      </c>
      <c r="BE150" s="264" t="s">
        <v>309</v>
      </c>
      <c r="BF150" s="263" t="s">
        <v>308</v>
      </c>
      <c r="BG150" s="266" t="s">
        <v>20</v>
      </c>
      <c r="BH150" s="264" t="s">
        <v>49</v>
      </c>
      <c r="BI150" s="265" t="s">
        <v>311</v>
      </c>
      <c r="BJ150" s="264" t="s">
        <v>310</v>
      </c>
      <c r="BK150" s="264" t="s">
        <v>309</v>
      </c>
      <c r="BL150" s="263" t="s">
        <v>308</v>
      </c>
      <c r="BM150" s="266" t="s">
        <v>20</v>
      </c>
      <c r="BN150" s="264" t="s">
        <v>49</v>
      </c>
      <c r="BO150" s="265" t="s">
        <v>311</v>
      </c>
      <c r="BP150" s="264" t="s">
        <v>310</v>
      </c>
      <c r="BQ150" s="264" t="s">
        <v>309</v>
      </c>
      <c r="BR150" s="263" t="s">
        <v>308</v>
      </c>
      <c r="BT150" s="266" t="s">
        <v>20</v>
      </c>
      <c r="BU150" s="264" t="s">
        <v>49</v>
      </c>
      <c r="BV150" s="265" t="s">
        <v>311</v>
      </c>
      <c r="BW150" s="264" t="s">
        <v>310</v>
      </c>
      <c r="BX150" s="264" t="s">
        <v>309</v>
      </c>
      <c r="BY150" s="263" t="s">
        <v>308</v>
      </c>
      <c r="CB150" s="266" t="s">
        <v>20</v>
      </c>
      <c r="CC150" s="264" t="s">
        <v>49</v>
      </c>
      <c r="CD150" s="265" t="s">
        <v>311</v>
      </c>
      <c r="CE150" s="264" t="s">
        <v>310</v>
      </c>
      <c r="CF150" s="264" t="s">
        <v>309</v>
      </c>
      <c r="CG150" s="263" t="s">
        <v>308</v>
      </c>
      <c r="CJ150" s="266" t="s">
        <v>20</v>
      </c>
      <c r="CK150" s="264" t="s">
        <v>49</v>
      </c>
      <c r="CL150" s="265" t="s">
        <v>311</v>
      </c>
      <c r="CM150" s="264" t="s">
        <v>310</v>
      </c>
      <c r="CN150" s="264" t="s">
        <v>309</v>
      </c>
      <c r="CO150" s="263" t="s">
        <v>308</v>
      </c>
      <c r="CR150" s="266" t="s">
        <v>313</v>
      </c>
      <c r="CS150" s="264" t="s">
        <v>315</v>
      </c>
      <c r="CT150" s="268" t="s">
        <v>314</v>
      </c>
      <c r="CU150" s="267" t="s">
        <v>313</v>
      </c>
      <c r="CV150" s="264" t="s">
        <v>28</v>
      </c>
      <c r="CW150" s="263" t="s">
        <v>312</v>
      </c>
      <c r="CZ150" s="266" t="s">
        <v>20</v>
      </c>
      <c r="DA150" s="264" t="s">
        <v>49</v>
      </c>
      <c r="DB150" s="265" t="s">
        <v>311</v>
      </c>
      <c r="DC150" s="264" t="s">
        <v>310</v>
      </c>
      <c r="DD150" s="264" t="s">
        <v>309</v>
      </c>
      <c r="DE150" s="263" t="s">
        <v>308</v>
      </c>
      <c r="DH150" s="266" t="s">
        <v>20</v>
      </c>
      <c r="DI150" s="264" t="s">
        <v>49</v>
      </c>
      <c r="DJ150" s="265" t="s">
        <v>311</v>
      </c>
      <c r="DK150" s="264" t="s">
        <v>310</v>
      </c>
      <c r="DL150" s="264" t="s">
        <v>309</v>
      </c>
      <c r="DM150" s="263" t="s">
        <v>308</v>
      </c>
      <c r="DP150" s="266" t="s">
        <v>20</v>
      </c>
      <c r="DQ150" s="264" t="s">
        <v>49</v>
      </c>
      <c r="DR150" s="263" t="s">
        <v>311</v>
      </c>
      <c r="DU150" s="266" t="s">
        <v>20</v>
      </c>
      <c r="DV150" s="264" t="s">
        <v>49</v>
      </c>
      <c r="DW150" s="265" t="s">
        <v>311</v>
      </c>
      <c r="DX150" s="264" t="s">
        <v>310</v>
      </c>
      <c r="DY150" s="264" t="s">
        <v>309</v>
      </c>
      <c r="DZ150" s="263" t="s">
        <v>308</v>
      </c>
      <c r="EA150" s="266" t="s">
        <v>20</v>
      </c>
      <c r="EB150" s="264" t="s">
        <v>49</v>
      </c>
      <c r="EC150" s="265" t="s">
        <v>311</v>
      </c>
      <c r="ED150" s="264" t="s">
        <v>310</v>
      </c>
      <c r="EE150" s="264" t="s">
        <v>309</v>
      </c>
      <c r="EF150" s="263" t="s">
        <v>308</v>
      </c>
      <c r="EG150" s="266" t="s">
        <v>20</v>
      </c>
      <c r="EH150" s="264" t="s">
        <v>49</v>
      </c>
      <c r="EI150" s="265" t="s">
        <v>311</v>
      </c>
      <c r="EJ150" s="264" t="s">
        <v>310</v>
      </c>
      <c r="EK150" s="264" t="s">
        <v>309</v>
      </c>
      <c r="EL150" s="263" t="s">
        <v>308</v>
      </c>
      <c r="EM150" s="266" t="s">
        <v>20</v>
      </c>
      <c r="EN150" s="264" t="s">
        <v>49</v>
      </c>
      <c r="EO150" s="265" t="s">
        <v>311</v>
      </c>
      <c r="EP150" s="264" t="s">
        <v>310</v>
      </c>
      <c r="EQ150" s="264" t="s">
        <v>309</v>
      </c>
      <c r="ER150" s="263" t="s">
        <v>308</v>
      </c>
      <c r="ES150" s="266" t="s">
        <v>20</v>
      </c>
      <c r="ET150" s="264" t="s">
        <v>49</v>
      </c>
      <c r="EU150" s="265" t="s">
        <v>311</v>
      </c>
      <c r="EV150" s="264" t="s">
        <v>310</v>
      </c>
      <c r="EW150" s="264" t="s">
        <v>309</v>
      </c>
      <c r="EX150" s="263" t="s">
        <v>308</v>
      </c>
      <c r="EY150" s="266" t="s">
        <v>20</v>
      </c>
      <c r="EZ150" s="264" t="s">
        <v>49</v>
      </c>
      <c r="FA150" s="265" t="s">
        <v>311</v>
      </c>
      <c r="FB150" s="264" t="s">
        <v>310</v>
      </c>
      <c r="FC150" s="264" t="s">
        <v>309</v>
      </c>
      <c r="FD150" s="263" t="s">
        <v>308</v>
      </c>
      <c r="FE150" s="266" t="s">
        <v>20</v>
      </c>
      <c r="FF150" s="264" t="s">
        <v>49</v>
      </c>
      <c r="FG150" s="265" t="s">
        <v>311</v>
      </c>
      <c r="FH150" s="264" t="s">
        <v>310</v>
      </c>
      <c r="FI150" s="264" t="s">
        <v>309</v>
      </c>
      <c r="FJ150" s="263" t="s">
        <v>308</v>
      </c>
      <c r="FK150" s="266" t="s">
        <v>20</v>
      </c>
      <c r="FL150" s="264" t="s">
        <v>49</v>
      </c>
      <c r="FM150" s="265" t="s">
        <v>311</v>
      </c>
      <c r="FN150" s="264" t="s">
        <v>310</v>
      </c>
      <c r="FO150" s="264" t="s">
        <v>309</v>
      </c>
      <c r="FP150" s="263" t="s">
        <v>308</v>
      </c>
      <c r="IV150" s="41"/>
    </row>
    <row r="151" spans="1:256" s="25" customFormat="1" ht="13.5" customHeight="1" thickBot="1">
      <c r="A151" s="5729"/>
      <c r="C151" s="253">
        <f>('الصفحة 27'!$F$56)</f>
        <v>2</v>
      </c>
      <c r="D151" s="252">
        <f>'الصفحة 27'!$M$56</f>
        <v>2</v>
      </c>
      <c r="E151" s="252">
        <f>'الصفحة 27'!$N$56</f>
        <v>0</v>
      </c>
      <c r="F151" s="251">
        <f>(D151-E151)</f>
        <v>2</v>
      </c>
      <c r="G151" s="251">
        <f>('الصفحة 27'!$K$56)</f>
        <v>0</v>
      </c>
      <c r="H151" s="262">
        <f>('الصفحة 27'!$L$56)</f>
        <v>0</v>
      </c>
      <c r="I151" s="261">
        <f>(G151-H151)</f>
        <v>0</v>
      </c>
      <c r="J151" s="260">
        <f>((G151)/($D$63+0.00001))*100</f>
        <v>0</v>
      </c>
      <c r="K151" s="250">
        <f>((H151)/($E$63+0.00001))*100</f>
        <v>0</v>
      </c>
      <c r="L151" s="249">
        <f>((I151)/(F151+0.00001))*100</f>
        <v>0</v>
      </c>
      <c r="N151" s="253">
        <f>'الصفحة 27'!$K$31</f>
        <v>2</v>
      </c>
      <c r="O151" s="252">
        <f>'الصفحة 27'!$K$32</f>
        <v>0</v>
      </c>
      <c r="P151" s="258">
        <f>(N151-O151)</f>
        <v>2</v>
      </c>
      <c r="R151" s="253">
        <f>'الصفحة 27'!$F$31</f>
        <v>1</v>
      </c>
      <c r="S151" s="252">
        <f>'الصفحة 27'!$F$32</f>
        <v>0</v>
      </c>
      <c r="T151" s="252">
        <f>(R151-S151)</f>
        <v>1</v>
      </c>
      <c r="U151" s="257">
        <f>(R151/($N$63+0.00001))*100</f>
        <v>3.5714272959188227</v>
      </c>
      <c r="V151" s="257">
        <f>(S151/($O$63+0.00001))*100</f>
        <v>0</v>
      </c>
      <c r="W151" s="256">
        <f>(T151/($P$63+0.00001))*100</f>
        <v>12.499984375019531</v>
      </c>
      <c r="Y151" s="253">
        <f>'الصفحة 27'!$G$31</f>
        <v>1</v>
      </c>
      <c r="Z151" s="252">
        <f>'الصفحة 27'!$G$32</f>
        <v>0</v>
      </c>
      <c r="AA151" s="252">
        <f>(Y151-Z151)</f>
        <v>1</v>
      </c>
      <c r="AB151" s="257">
        <f>(Y151/($N$63+0.00001))*100</f>
        <v>3.5714272959188227</v>
      </c>
      <c r="AC151" s="257">
        <f>(Z151/($O$63+0.00001))*100</f>
        <v>0</v>
      </c>
      <c r="AD151" s="256">
        <f>(AA151/($P$63+0.00001))*100</f>
        <v>12.499984375019531</v>
      </c>
      <c r="AF151" s="253">
        <f>'الصفحة 27'!$H$31</f>
        <v>0</v>
      </c>
      <c r="AG151" s="252">
        <f>'الصفحة 27'!$H$32</f>
        <v>0</v>
      </c>
      <c r="AH151" s="252">
        <f>(AF151-AG151)</f>
        <v>0</v>
      </c>
      <c r="AI151" s="257">
        <f>(AF151/($N$63+0.00001))*100</f>
        <v>0</v>
      </c>
      <c r="AJ151" s="257">
        <f>(AG151/($O$63+0.00001))*100</f>
        <v>0</v>
      </c>
      <c r="AK151" s="256">
        <f>(AH151/($P$63+0.00001))*100</f>
        <v>0</v>
      </c>
      <c r="AM151" s="253">
        <f>'الصفحة 27'!$I$31</f>
        <v>0</v>
      </c>
      <c r="AN151" s="252">
        <f>'الصفحة 27'!$I$32</f>
        <v>0</v>
      </c>
      <c r="AO151" s="252">
        <f>(AM151-AN151)</f>
        <v>0</v>
      </c>
      <c r="AP151" s="257">
        <f>(AM151/($N$63+0.00001))*100</f>
        <v>0</v>
      </c>
      <c r="AQ151" s="257">
        <f>(AN151/($O$63+0.00001))*100</f>
        <v>0</v>
      </c>
      <c r="AR151" s="256">
        <f>(AO151/($P$63+0.00001))*100</f>
        <v>0</v>
      </c>
      <c r="AT151" s="253">
        <f>'الصفحة 27'!$J$31</f>
        <v>0</v>
      </c>
      <c r="AU151" s="252">
        <f>'الصفحة 27'!$J$32</f>
        <v>0</v>
      </c>
      <c r="AV151" s="252">
        <f>(AT151-AU151)</f>
        <v>0</v>
      </c>
      <c r="AW151" s="257">
        <f>(AT151/($N$63+0.00001))*100</f>
        <v>0</v>
      </c>
      <c r="AX151" s="257">
        <f>(AU151/($O$63+0.00001))*100</f>
        <v>0</v>
      </c>
      <c r="AY151" s="256">
        <f>(AV151/($P$63+0.00001))*100</f>
        <v>0</v>
      </c>
      <c r="BA151" s="253" t="e">
        <f>'الصفحة 27'!#REF!</f>
        <v>#REF!</v>
      </c>
      <c r="BB151" s="252" t="e">
        <f>'الصفحة 27'!#REF!</f>
        <v>#REF!</v>
      </c>
      <c r="BC151" s="252" t="e">
        <f>(BA151-BB151)</f>
        <v>#REF!</v>
      </c>
      <c r="BD151" s="257" t="e">
        <f>(BA151/($N$63+0.00001))*100</f>
        <v>#REF!</v>
      </c>
      <c r="BE151" s="257" t="e">
        <f>(BB151/($O$63+0.00001))*100</f>
        <v>#REF!</v>
      </c>
      <c r="BF151" s="256" t="e">
        <f>(BC151/($P$63+0.00001))*100</f>
        <v>#REF!</v>
      </c>
      <c r="BG151" s="253" t="e">
        <f>'الصفحة 27'!#REF!</f>
        <v>#REF!</v>
      </c>
      <c r="BH151" s="252" t="e">
        <f>'الصفحة 27'!#REF!</f>
        <v>#REF!</v>
      </c>
      <c r="BI151" s="252" t="e">
        <f>(BG151-BH151)</f>
        <v>#REF!</v>
      </c>
      <c r="BJ151" s="257" t="e">
        <f>(BG151/($N$63+0.00001))*100</f>
        <v>#REF!</v>
      </c>
      <c r="BK151" s="257" t="e">
        <f>(BH151/($O$63+0.00001))*100</f>
        <v>#REF!</v>
      </c>
      <c r="BL151" s="256" t="e">
        <f>(BI151/($P$63+0.00001))*100</f>
        <v>#REF!</v>
      </c>
      <c r="BM151" s="253">
        <f>'الصفحة 30'!$O$39+'الصفحة 30'!$Q$20+'الصفحة 30'!$Q$39+'الصفحة 30'!$S$20+'الصفحة 30'!$S$39+'الصفحة 30'!$U$20+'الصفحة 30'!$U$39+'الصفحة 30'!$W$20+'الصفحة 30'!$W$39+'الصفحة 30'!$Y$20+'الصفحة 30'!$Y$39</f>
        <v>0</v>
      </c>
      <c r="BN151" s="252">
        <f>'الصفحة 30'!$P$39+'الصفحة 30'!$R$20+'الصفحة 30'!$R$39+'الصفحة 30'!$T$20+'الصفحة 30'!$T$39+'الصفحة 30'!$V$20+'الصفحة 30'!$V$39+'الصفحة 30'!$X$20+'الصفحة 30'!$X$39+'الصفحة 30'!$Z$20+'الصفحة 30'!$Z$39</f>
        <v>0</v>
      </c>
      <c r="BO151" s="252">
        <f>(BM151-BN151)</f>
        <v>0</v>
      </c>
      <c r="BP151" s="257">
        <f>(BM151/($N151+0.00001))*100</f>
        <v>0</v>
      </c>
      <c r="BQ151" s="257">
        <f>(BN151/($O151+0.00001))*100</f>
        <v>0</v>
      </c>
      <c r="BR151" s="256">
        <f>(BO151/($P151+0.00001))*100</f>
        <v>0</v>
      </c>
      <c r="BT151" s="253">
        <f>'الصفحة 31'!$P$31</f>
        <v>0</v>
      </c>
      <c r="BU151" s="252">
        <f>'الصفحة 31'!$P$32</f>
        <v>0</v>
      </c>
      <c r="BV151" s="251">
        <f>(BT151-BU151)</f>
        <v>0</v>
      </c>
      <c r="BW151" s="257">
        <f>(BT151/($N151+0.00001))*100</f>
        <v>0</v>
      </c>
      <c r="BX151" s="257">
        <f>(BU151/($O151+0.00001))*100</f>
        <v>0</v>
      </c>
      <c r="BY151" s="256">
        <f>(BV151/($P151+0.00001))*100</f>
        <v>0</v>
      </c>
      <c r="CB151" s="253">
        <f>'الصفحة 31'!$P$55</f>
        <v>0</v>
      </c>
      <c r="CC151" s="252">
        <f>'الصفحة 31'!$Q$55</f>
        <v>0</v>
      </c>
      <c r="CD151" s="251">
        <f>(CB151-CC151)</f>
        <v>0</v>
      </c>
      <c r="CE151" s="257">
        <f>(CB151/($N151+0.00001))*100</f>
        <v>0</v>
      </c>
      <c r="CF151" s="257">
        <f>(CC151/($O151+0.00001))*100</f>
        <v>0</v>
      </c>
      <c r="CG151" s="256">
        <f>(CD151/($P151+0.00001))*100</f>
        <v>0</v>
      </c>
      <c r="CJ151" s="253">
        <f>'الصفحة 31'!$Q$31</f>
        <v>0</v>
      </c>
      <c r="CK151" s="252">
        <f>'الصفحة 31'!$Q$32</f>
        <v>0</v>
      </c>
      <c r="CL151" s="251">
        <f>(CJ151-CK151)</f>
        <v>0</v>
      </c>
      <c r="CM151" s="257">
        <f>(CJ151/($N151+0.00001))*100</f>
        <v>0</v>
      </c>
      <c r="CN151" s="257">
        <f>(CK151/($O151+0.00001))*100</f>
        <v>0</v>
      </c>
      <c r="CO151" s="256">
        <f>(CL151/($P151+0.00001))*100</f>
        <v>0</v>
      </c>
      <c r="CR151" s="253" t="e">
        <f>'الصفحة 27'!#REF!</f>
        <v>#REF!</v>
      </c>
      <c r="CS151" s="252" t="e">
        <f>CV151-CR151</f>
        <v>#REF!</v>
      </c>
      <c r="CT151" s="255" t="e">
        <f>((CR151)/(CS151+0.00001))</f>
        <v>#REF!</v>
      </c>
      <c r="CU151" s="253" t="e">
        <f>CR151</f>
        <v>#REF!</v>
      </c>
      <c r="CV151" s="252" t="e">
        <f>'الصفحة 27'!#REF!</f>
        <v>#REF!</v>
      </c>
      <c r="CW151" s="249" t="e">
        <f>((CU151)/(CV151+0.00001))*100</f>
        <v>#REF!</v>
      </c>
      <c r="CZ151" s="253">
        <f>'الصفحة 27'!$F$31+'الصفحة 27'!$G$31+'الصفحة 27'!$H$31+'الصفحة 27'!$I$31</f>
        <v>2</v>
      </c>
      <c r="DA151" s="252">
        <f>'الصفحة 27'!$F$32+'الصفحة 27'!$G$32+'الصفحة 27'!$H$32+'الصفحة 27'!$I$32</f>
        <v>0</v>
      </c>
      <c r="DB151" s="251">
        <f>(CZ151-DA151)</f>
        <v>2</v>
      </c>
      <c r="DC151" s="250" t="e">
        <f>((CZ151)/(CV151+0.00001))*100</f>
        <v>#REF!</v>
      </c>
      <c r="DD151" s="250" t="e">
        <f>((DA151)/(CR151+0.00001))*100</f>
        <v>#REF!</v>
      </c>
      <c r="DE151" s="249" t="e">
        <f>((DB151)/(CV151-CR151+0.00001))*100</f>
        <v>#REF!</v>
      </c>
      <c r="DH151" s="253">
        <f>'الصفحة 27'!$N$31</f>
        <v>0</v>
      </c>
      <c r="DI151" s="252">
        <f>'الصفحة 27'!$N$32</f>
        <v>0</v>
      </c>
      <c r="DJ151" s="251">
        <f>(DH151-DI151)</f>
        <v>0</v>
      </c>
      <c r="DK151" s="250" t="e">
        <f>((DH151)/(CV151+0.00001))*100</f>
        <v>#REF!</v>
      </c>
      <c r="DL151" s="250" t="e">
        <f>((DI151)/(CR151+0.00001))*100</f>
        <v>#REF!</v>
      </c>
      <c r="DM151" s="249" t="e">
        <f>((DJ151)/(CV151-CR151+0.00001))*100</f>
        <v>#REF!</v>
      </c>
      <c r="DP151" s="253">
        <f>'الصفحة 32'!$P$46</f>
        <v>2</v>
      </c>
      <c r="DQ151" s="252">
        <f>'الصفحة 32'!$P$47</f>
        <v>0</v>
      </c>
      <c r="DR151" s="254">
        <f>(DP151-DQ151)</f>
        <v>2</v>
      </c>
      <c r="DU151" s="253">
        <f>'الصفحة 32'!$P$30</f>
        <v>0</v>
      </c>
      <c r="DV151" s="252">
        <f>'الصفحة 32'!$P$31</f>
        <v>0</v>
      </c>
      <c r="DW151" s="251">
        <f>(DU151-DV151)</f>
        <v>0</v>
      </c>
      <c r="DX151" s="250">
        <f>((DU151)/($DP$151+0.00001))*100</f>
        <v>0</v>
      </c>
      <c r="DY151" s="250">
        <f>((DV151)/($DQ$151+0.00001))*100</f>
        <v>0</v>
      </c>
      <c r="DZ151" s="249">
        <f>((DW151)/($DR$151+0.00001))*100</f>
        <v>0</v>
      </c>
      <c r="EA151" s="253">
        <f>'الصفحة 32'!$P$32</f>
        <v>2</v>
      </c>
      <c r="EB151" s="252">
        <f>'الصفحة 32'!$P$33</f>
        <v>0</v>
      </c>
      <c r="EC151" s="251">
        <f>(EA151-EB151)</f>
        <v>2</v>
      </c>
      <c r="ED151" s="250">
        <f>((EA151)/($DP$151+0.00001))*100</f>
        <v>99.999500002499985</v>
      </c>
      <c r="EE151" s="250">
        <f>((EB151)/($DQ$151+0.00001))*100</f>
        <v>0</v>
      </c>
      <c r="EF151" s="249">
        <f>((EC151)/($DR$151+0.00001))*100</f>
        <v>99.999500002499985</v>
      </c>
      <c r="EG151" s="253">
        <f>'الصفحة 32'!$P$39</f>
        <v>0</v>
      </c>
      <c r="EH151" s="252">
        <f>'الصفحة 32'!$P$35</f>
        <v>0</v>
      </c>
      <c r="EI151" s="251">
        <f>(EG151-EH151)</f>
        <v>0</v>
      </c>
      <c r="EJ151" s="250">
        <f>((EG151)/($DP$151+0.00001))*100</f>
        <v>0</v>
      </c>
      <c r="EK151" s="250">
        <f>((EH151)/($DQ$151+0.00001))*100</f>
        <v>0</v>
      </c>
      <c r="EL151" s="249">
        <f>((EI151)/($DR$151+0.00001))*100</f>
        <v>0</v>
      </c>
      <c r="EM151" s="253">
        <f>'الصفحة 32'!$P$36</f>
        <v>0</v>
      </c>
      <c r="EN151" s="252">
        <f>'الصفحة 32'!$P$37</f>
        <v>0</v>
      </c>
      <c r="EO151" s="251">
        <f>(EM151-EN151)</f>
        <v>0</v>
      </c>
      <c r="EP151" s="250">
        <f>((EM151)/($DP$151+0.00001))*100</f>
        <v>0</v>
      </c>
      <c r="EQ151" s="250">
        <f>((EN151)/($DQ$151+0.00001))*100</f>
        <v>0</v>
      </c>
      <c r="ER151" s="249">
        <f>((EO151)/($DR$151+0.00001))*100</f>
        <v>0</v>
      </c>
      <c r="ES151" s="253">
        <f>'الصفحة 32'!$P$38</f>
        <v>0</v>
      </c>
      <c r="ET151" s="252">
        <f>'الصفحة 32'!$P$39</f>
        <v>0</v>
      </c>
      <c r="EU151" s="251">
        <f>(ES151-ET151)</f>
        <v>0</v>
      </c>
      <c r="EV151" s="250">
        <f>((ES151)/($DP$151+0.00001))*100</f>
        <v>0</v>
      </c>
      <c r="EW151" s="250">
        <f>((ET151)/($DQ$151+0.00001))*100</f>
        <v>0</v>
      </c>
      <c r="EX151" s="249">
        <f>((EU151)/($DR$151+0.00001))*100</f>
        <v>0</v>
      </c>
      <c r="EY151" s="253">
        <f>'الصفحة 32'!$P$40</f>
        <v>0</v>
      </c>
      <c r="EZ151" s="252">
        <f>'الصفحة 32'!$P$41</f>
        <v>0</v>
      </c>
      <c r="FA151" s="251">
        <f>(EY151-EZ151)</f>
        <v>0</v>
      </c>
      <c r="FB151" s="250">
        <f>((EY151)/($DP$151+0.00001))*100</f>
        <v>0</v>
      </c>
      <c r="FC151" s="250">
        <f>((EZ151)/($DQ$151+0.00001))*100</f>
        <v>0</v>
      </c>
      <c r="FD151" s="249">
        <f>((FA151)/($DR$151+0.00001))*100</f>
        <v>0</v>
      </c>
      <c r="FE151" s="253">
        <f>'الصفحة 32'!$P$42</f>
        <v>0</v>
      </c>
      <c r="FF151" s="252">
        <f>'الصفحة 32'!$P$43</f>
        <v>0</v>
      </c>
      <c r="FG151" s="251">
        <f>(FE151-FF151)</f>
        <v>0</v>
      </c>
      <c r="FH151" s="250">
        <f>((FE151)/($DP$151+0.00001))*100</f>
        <v>0</v>
      </c>
      <c r="FI151" s="250">
        <f>((FF151)/($DQ$151+0.00001))*100</f>
        <v>0</v>
      </c>
      <c r="FJ151" s="249">
        <f>((FG151)/($DR$151+0.00001))*100</f>
        <v>0</v>
      </c>
      <c r="FK151" s="253">
        <f>'الصفحة 32'!$P$44</f>
        <v>0</v>
      </c>
      <c r="FL151" s="252">
        <f>'الصفحة 32'!$P$45</f>
        <v>0</v>
      </c>
      <c r="FM151" s="251">
        <f>(FK151-FL151)</f>
        <v>0</v>
      </c>
      <c r="FN151" s="250">
        <f>((FK151)/($DP$151+0.00001))*100</f>
        <v>0</v>
      </c>
      <c r="FO151" s="250">
        <f>((FL151)/($DQ$151+0.00001))*100</f>
        <v>0</v>
      </c>
      <c r="FP151" s="249">
        <f>((FM151)/($DR$151+0.00001))*100</f>
        <v>0</v>
      </c>
      <c r="IV151" s="41"/>
    </row>
    <row r="152" spans="1:256" s="25" customFormat="1" ht="16.5" customHeight="1">
      <c r="A152" s="248"/>
      <c r="C152" s="623" t="s">
        <v>48</v>
      </c>
      <c r="D152" s="626"/>
      <c r="E152" s="626"/>
      <c r="F152" s="627"/>
      <c r="G152" s="627"/>
      <c r="H152" s="628"/>
      <c r="I152" s="627"/>
      <c r="J152" s="629"/>
      <c r="K152" s="629"/>
      <c r="N152" s="623" t="s">
        <v>48</v>
      </c>
      <c r="O152" s="622"/>
      <c r="P152" s="622"/>
      <c r="R152" s="5777" t="str">
        <f>$N152</f>
        <v>الإعلام الآلي</v>
      </c>
      <c r="S152" s="5778"/>
      <c r="T152" s="5778"/>
      <c r="U152" s="5778"/>
      <c r="V152" s="5778"/>
      <c r="W152" s="5779"/>
      <c r="Y152" s="5752" t="str">
        <f>$N152</f>
        <v>الإعلام الآلي</v>
      </c>
      <c r="Z152" s="5753"/>
      <c r="AA152" s="5753"/>
      <c r="AB152" s="5753"/>
      <c r="AC152" s="5753"/>
      <c r="AD152" s="5754"/>
      <c r="AF152" s="5752" t="str">
        <f>$N152</f>
        <v>الإعلام الآلي</v>
      </c>
      <c r="AG152" s="5753"/>
      <c r="AH152" s="5753"/>
      <c r="AI152" s="5753"/>
      <c r="AJ152" s="5753"/>
      <c r="AK152" s="5754"/>
      <c r="AM152" s="5752" t="str">
        <f>$N152</f>
        <v>الإعلام الآلي</v>
      </c>
      <c r="AN152" s="5753"/>
      <c r="AO152" s="5753"/>
      <c r="AP152" s="5753"/>
      <c r="AQ152" s="5753"/>
      <c r="AR152" s="5754"/>
      <c r="AT152" s="5752" t="str">
        <f>$N152</f>
        <v>الإعلام الآلي</v>
      </c>
      <c r="AU152" s="5753"/>
      <c r="AV152" s="5753"/>
      <c r="AW152" s="5753"/>
      <c r="AX152" s="5753"/>
      <c r="AY152" s="5754"/>
      <c r="BA152" s="5752" t="str">
        <f>$N152</f>
        <v>الإعلام الآلي</v>
      </c>
      <c r="BB152" s="5753"/>
      <c r="BC152" s="5753"/>
      <c r="BD152" s="5753"/>
      <c r="BE152" s="5753"/>
      <c r="BF152" s="5754"/>
      <c r="BG152" s="5752" t="str">
        <f>$N152</f>
        <v>الإعلام الآلي</v>
      </c>
      <c r="BH152" s="5753"/>
      <c r="BI152" s="5753"/>
      <c r="BJ152" s="5753"/>
      <c r="BK152" s="5753"/>
      <c r="BL152" s="5754"/>
      <c r="BO152" s="624" t="s">
        <v>48</v>
      </c>
      <c r="BP152" s="625"/>
      <c r="BQ152" s="625"/>
      <c r="BV152" s="624" t="s">
        <v>48</v>
      </c>
      <c r="BW152" s="625"/>
      <c r="BX152" s="625"/>
      <c r="CD152" s="624" t="s">
        <v>48</v>
      </c>
      <c r="CE152" s="625"/>
      <c r="CF152" s="625"/>
      <c r="CL152" s="624" t="s">
        <v>48</v>
      </c>
      <c r="CM152" s="625"/>
      <c r="CN152" s="625"/>
      <c r="CT152" s="624" t="s">
        <v>48</v>
      </c>
      <c r="CU152" s="625"/>
      <c r="CV152" s="625"/>
      <c r="DB152" s="624" t="s">
        <v>48</v>
      </c>
      <c r="DC152" s="625"/>
      <c r="DD152" s="625"/>
      <c r="DJ152" s="624" t="s">
        <v>48</v>
      </c>
      <c r="DK152" s="625"/>
      <c r="DL152" s="625"/>
      <c r="DP152" s="624" t="s">
        <v>48</v>
      </c>
      <c r="DQ152" s="625"/>
      <c r="DR152" s="625"/>
      <c r="DU152" s="624" t="s">
        <v>48</v>
      </c>
      <c r="DV152" s="625"/>
      <c r="DW152" s="625"/>
      <c r="EM152" s="624" t="s">
        <v>48</v>
      </c>
      <c r="EN152" s="625"/>
      <c r="EO152" s="625"/>
      <c r="EY152" s="624" t="s">
        <v>48</v>
      </c>
      <c r="EZ152" s="625"/>
      <c r="FA152" s="625"/>
      <c r="FK152" s="624" t="s">
        <v>48</v>
      </c>
      <c r="FL152" s="625"/>
      <c r="FM152" s="625"/>
      <c r="HS152" s="106"/>
      <c r="HT152" s="106"/>
      <c r="HU152" s="106"/>
      <c r="HV152" s="106"/>
      <c r="HW152" s="106"/>
      <c r="HX152" s="203"/>
      <c r="HY152" s="106"/>
      <c r="HZ152" s="106"/>
      <c r="IA152" s="106"/>
      <c r="IB152" s="203"/>
      <c r="IC152" s="106"/>
      <c r="ID152" s="106"/>
      <c r="IE152" s="24"/>
      <c r="IF152" s="24"/>
      <c r="IG152" s="106"/>
      <c r="IH152" s="24"/>
      <c r="II152" s="24"/>
      <c r="IJ152" s="24"/>
      <c r="IK152" s="24"/>
      <c r="IL152" s="24"/>
      <c r="IM152" s="24"/>
      <c r="IN152" s="24"/>
      <c r="IO152" s="24"/>
      <c r="IP152" s="24"/>
      <c r="IQ152" s="24"/>
      <c r="IR152" s="24"/>
      <c r="IS152" s="24"/>
      <c r="IT152" s="24"/>
      <c r="IV152" s="41"/>
    </row>
    <row r="153" spans="1:256" s="25" customFormat="1" ht="12.75" customHeight="1" thickBot="1">
      <c r="A153" s="243"/>
      <c r="B153" s="21"/>
      <c r="C153" s="253">
        <f>('الصفحة 27'!$F$57)</f>
        <v>0</v>
      </c>
      <c r="D153" s="252">
        <f>'الصفحة 27'!$M$57</f>
        <v>0</v>
      </c>
      <c r="E153" s="252">
        <f>'الصفحة 27'!$N$57</f>
        <v>0</v>
      </c>
      <c r="F153" s="251">
        <f>(D153-E153)</f>
        <v>0</v>
      </c>
      <c r="G153" s="251">
        <f>('الصفحة 27'!$K$57)</f>
        <v>0</v>
      </c>
      <c r="H153" s="262">
        <f>('الصفحة 27'!$L$57)</f>
        <v>0</v>
      </c>
      <c r="I153" s="261">
        <f>(G153-H153)</f>
        <v>0</v>
      </c>
      <c r="J153" s="260">
        <f>((G153)/($D$63+0.00001))*100</f>
        <v>0</v>
      </c>
      <c r="K153" s="250">
        <f>((H153)/($E$63+0.00001))*100</f>
        <v>0</v>
      </c>
      <c r="L153" s="249">
        <f>((I153)/(F153+0.00001))*100</f>
        <v>0</v>
      </c>
      <c r="N153" s="253">
        <f>'الصفحة 27'!$K$33</f>
        <v>0</v>
      </c>
      <c r="O153" s="252">
        <f>'الصفحة 27'!$K$34</f>
        <v>0</v>
      </c>
      <c r="P153" s="258">
        <f>(N153-O153)</f>
        <v>0</v>
      </c>
      <c r="R153" s="253">
        <f>'الصفحة 27'!$F$33</f>
        <v>0</v>
      </c>
      <c r="S153" s="252">
        <f>'الصفحة 27'!$F$34</f>
        <v>0</v>
      </c>
      <c r="T153" s="252">
        <f>(R153-S153)</f>
        <v>0</v>
      </c>
      <c r="U153" s="257">
        <f>(R153/($N$63+0.00001))*100</f>
        <v>0</v>
      </c>
      <c r="V153" s="257">
        <f>(S153/($O$63+0.00001))*100</f>
        <v>0</v>
      </c>
      <c r="W153" s="256">
        <f>(T153/($P$63+0.00001))*100</f>
        <v>0</v>
      </c>
      <c r="Y153" s="253">
        <f>'الصفحة 27'!$G$33</f>
        <v>0</v>
      </c>
      <c r="Z153" s="252">
        <f>'الصفحة 27'!$G$34</f>
        <v>0</v>
      </c>
      <c r="AA153" s="252">
        <f>(Y153-Z153)</f>
        <v>0</v>
      </c>
      <c r="AB153" s="257">
        <f>(Y153/($N$63+0.00001))*100</f>
        <v>0</v>
      </c>
      <c r="AC153" s="257">
        <f>(Z153/($O$63+0.00001))*100</f>
        <v>0</v>
      </c>
      <c r="AD153" s="256">
        <f>(AA153/($P$63+0.00001))*100</f>
        <v>0</v>
      </c>
      <c r="AF153" s="253">
        <f>'الصفحة 27'!$H$33</f>
        <v>0</v>
      </c>
      <c r="AG153" s="252">
        <f>'الصفحة 27'!$H$34</f>
        <v>0</v>
      </c>
      <c r="AH153" s="252">
        <f>(AF153-AG153)</f>
        <v>0</v>
      </c>
      <c r="AI153" s="257">
        <f>(AF153/($N$63+0.00001))*100</f>
        <v>0</v>
      </c>
      <c r="AJ153" s="257">
        <f>(AG153/($O$63+0.00001))*100</f>
        <v>0</v>
      </c>
      <c r="AK153" s="256">
        <f>(AH153/($P$63+0.00001))*100</f>
        <v>0</v>
      </c>
      <c r="AM153" s="253">
        <f>'الصفحة 27'!$I$33</f>
        <v>0</v>
      </c>
      <c r="AN153" s="252">
        <f>'الصفحة 27'!$I$34</f>
        <v>0</v>
      </c>
      <c r="AO153" s="252">
        <f>(AM153-AN153)</f>
        <v>0</v>
      </c>
      <c r="AP153" s="257">
        <f>(AM153/($N$63+0.00001))*100</f>
        <v>0</v>
      </c>
      <c r="AQ153" s="257">
        <f>(AN153/($O$63+0.00001))*100</f>
        <v>0</v>
      </c>
      <c r="AR153" s="256">
        <f>(AO153/($P$63+0.00001))*100</f>
        <v>0</v>
      </c>
      <c r="AT153" s="253">
        <f>'الصفحة 27'!$J$33</f>
        <v>0</v>
      </c>
      <c r="AU153" s="252">
        <f>'الصفحة 27'!$J$34</f>
        <v>0</v>
      </c>
      <c r="AV153" s="252">
        <f>(AT153-AU153)</f>
        <v>0</v>
      </c>
      <c r="AW153" s="257">
        <f>(AT153/($N$63+0.00001))*100</f>
        <v>0</v>
      </c>
      <c r="AX153" s="257">
        <f>(AU153/($O$63+0.00001))*100</f>
        <v>0</v>
      </c>
      <c r="AY153" s="256">
        <f>(AV153/($P$63+0.00001))*100</f>
        <v>0</v>
      </c>
      <c r="BA153" s="253" t="e">
        <f>'الصفحة 27'!#REF!</f>
        <v>#REF!</v>
      </c>
      <c r="BB153" s="252" t="e">
        <f>'الصفحة 27'!#REF!</f>
        <v>#REF!</v>
      </c>
      <c r="BC153" s="252" t="e">
        <f>(BA153-BB153)</f>
        <v>#REF!</v>
      </c>
      <c r="BD153" s="257" t="e">
        <f>(BA153/($N$63+0.00001))*100</f>
        <v>#REF!</v>
      </c>
      <c r="BE153" s="257" t="e">
        <f>(BB153/($O$63+0.00001))*100</f>
        <v>#REF!</v>
      </c>
      <c r="BF153" s="256" t="e">
        <f>(BC153/($P$63+0.00001))*100</f>
        <v>#REF!</v>
      </c>
      <c r="BG153" s="253" t="e">
        <f>'الصفحة 27'!#REF!</f>
        <v>#REF!</v>
      </c>
      <c r="BH153" s="252" t="e">
        <f>'الصفحة 27'!#REF!</f>
        <v>#REF!</v>
      </c>
      <c r="BI153" s="252" t="e">
        <f>(BG153-BH153)</f>
        <v>#REF!</v>
      </c>
      <c r="BJ153" s="257" t="e">
        <f>(BG153/($N$63+0.00001))*100</f>
        <v>#REF!</v>
      </c>
      <c r="BK153" s="257" t="e">
        <f>(BH153/($O$63+0.00001))*100</f>
        <v>#REF!</v>
      </c>
      <c r="BL153" s="256" t="e">
        <f>(BI153/($P$63+0.00001))*100</f>
        <v>#REF!</v>
      </c>
      <c r="BM153" s="253">
        <f>'الصفحة 30'!$O$40+'الصفحة 30'!$Q$21+'الصفحة 30'!$Q$40+'الصفحة 30'!$S$21+'الصفحة 30'!$S$40+'الصفحة 30'!$U$21+'الصفحة 30'!$U$40+'الصفحة 30'!$W$21+'الصفحة 30'!$W$40+'الصفحة 30'!$Y$21+'الصفحة 30'!$Y$40</f>
        <v>0</v>
      </c>
      <c r="BN153" s="252">
        <f>'الصفحة 30'!$P$40+'الصفحة 30'!$R$21+'الصفحة 30'!$R$40+'الصفحة 30'!$T$21+'الصفحة 30'!$T$40+'الصفحة 30'!$V$21+'الصفحة 30'!$V$40+'الصفحة 30'!$X$21+'الصفحة 30'!$X$40+'الصفحة 30'!$Z$21+'الصفحة 30'!$Z$40</f>
        <v>0</v>
      </c>
      <c r="BO153" s="252">
        <f>(BM153-BN153)</f>
        <v>0</v>
      </c>
      <c r="BP153" s="257">
        <f>(BM153/($N153+0.00001))*100</f>
        <v>0</v>
      </c>
      <c r="BQ153" s="257">
        <f>(BN153/($O153+0.00001))*100</f>
        <v>0</v>
      </c>
      <c r="BR153" s="256">
        <f>(BO153/($P153+0.00001))*100</f>
        <v>0</v>
      </c>
      <c r="BT153" s="253">
        <f>'الصفحة 31'!$P$33</f>
        <v>0</v>
      </c>
      <c r="BU153" s="252">
        <f>'الصفحة 31'!$P$34</f>
        <v>0</v>
      </c>
      <c r="BV153" s="251">
        <f>(BT153-BU153)</f>
        <v>0</v>
      </c>
      <c r="BW153" s="257">
        <f>(BT153/($N153+0.00001))*100</f>
        <v>0</v>
      </c>
      <c r="BX153" s="257">
        <f>(BU153/($O153+0.00001))*100</f>
        <v>0</v>
      </c>
      <c r="BY153" s="256">
        <f>(BV153/($P153+0.00001))*100</f>
        <v>0</v>
      </c>
      <c r="CB153" s="253">
        <f>'الصفحة 31'!$P$56</f>
        <v>0</v>
      </c>
      <c r="CC153" s="252">
        <f>'الصفحة 31'!$Q$56</f>
        <v>0</v>
      </c>
      <c r="CD153" s="251">
        <f>(CB153-CC153)</f>
        <v>0</v>
      </c>
      <c r="CE153" s="257">
        <f>(CB153/($N153+0.00001))*100</f>
        <v>0</v>
      </c>
      <c r="CF153" s="257">
        <f>(CC153/($O153+0.00001))*100</f>
        <v>0</v>
      </c>
      <c r="CG153" s="256">
        <f>(CD153/($P153+0.00001))*100</f>
        <v>0</v>
      </c>
      <c r="CJ153" s="253">
        <f>'الصفحة 31'!$Q$33</f>
        <v>0</v>
      </c>
      <c r="CK153" s="252">
        <f>'الصفحة 31'!$Q$34</f>
        <v>0</v>
      </c>
      <c r="CL153" s="251">
        <f>(CJ153-CK153)</f>
        <v>0</v>
      </c>
      <c r="CM153" s="257">
        <f>(CJ153/($N153+0.00001))*100</f>
        <v>0</v>
      </c>
      <c r="CN153" s="257">
        <f>(CK153/($O153+0.00001))*100</f>
        <v>0</v>
      </c>
      <c r="CO153" s="256">
        <f>(CL153/($P153+0.00001))*100</f>
        <v>0</v>
      </c>
      <c r="CR153" s="253" t="e">
        <f>'الصفحة 27'!#REF!</f>
        <v>#REF!</v>
      </c>
      <c r="CS153" s="252" t="e">
        <f>CV153-CR153</f>
        <v>#REF!</v>
      </c>
      <c r="CT153" s="255" t="e">
        <f>((CR153)/(CS153+0.00001))</f>
        <v>#REF!</v>
      </c>
      <c r="CU153" s="253" t="e">
        <f>CR153</f>
        <v>#REF!</v>
      </c>
      <c r="CV153" s="252" t="e">
        <f>'الصفحة 27'!#REF!</f>
        <v>#REF!</v>
      </c>
      <c r="CW153" s="249" t="e">
        <f>((CU153)/(CV153+0.00001))*100</f>
        <v>#REF!</v>
      </c>
      <c r="CZ153" s="253">
        <f>'الصفحة 27'!$F$33+'الصفحة 27'!$G$33+'الصفحة 27'!$H$33+'الصفحة 27'!$I$33</f>
        <v>0</v>
      </c>
      <c r="DA153" s="252">
        <f>'الصفحة 27'!$F$34+'الصفحة 27'!$G$34+'الصفحة 27'!$H$34+'الصفحة 27'!$I$34</f>
        <v>0</v>
      </c>
      <c r="DB153" s="251">
        <f>(CZ153-DA153)</f>
        <v>0</v>
      </c>
      <c r="DC153" s="250" t="e">
        <f>((CZ153)/(CV153+0.00001))*100</f>
        <v>#REF!</v>
      </c>
      <c r="DD153" s="250" t="e">
        <f>((DA153)/(CR153+0.00001))*100</f>
        <v>#REF!</v>
      </c>
      <c r="DE153" s="249" t="e">
        <f>((DB153)/(CV153-CR153+0.00001))*100</f>
        <v>#REF!</v>
      </c>
      <c r="DH153" s="253">
        <f>'الصفحة 27'!$N$33</f>
        <v>0</v>
      </c>
      <c r="DI153" s="252">
        <f>'الصفحة 27'!$N$34</f>
        <v>0</v>
      </c>
      <c r="DJ153" s="251">
        <f>(DH153-DI153)</f>
        <v>0</v>
      </c>
      <c r="DK153" s="250" t="e">
        <f>((DH153)/(CV153+0.00001))*100</f>
        <v>#REF!</v>
      </c>
      <c r="DL153" s="250" t="e">
        <f>((DI153)/(CR153+0.00001))*100</f>
        <v>#REF!</v>
      </c>
      <c r="DM153" s="249" t="e">
        <f>((DJ153)/(CV153-CR153+0.00001))*100</f>
        <v>#REF!</v>
      </c>
      <c r="DP153" s="253">
        <f>'الصفحة 32'!$Q$46</f>
        <v>0</v>
      </c>
      <c r="DQ153" s="252">
        <f>'الصفحة 32'!$Q$47</f>
        <v>0</v>
      </c>
      <c r="DR153" s="254">
        <f>(DP153-DQ153)</f>
        <v>0</v>
      </c>
      <c r="DU153" s="253">
        <f>'الصفحة 32'!$Q$30</f>
        <v>0</v>
      </c>
      <c r="DV153" s="252">
        <f>'الصفحة 32'!$Q$31</f>
        <v>0</v>
      </c>
      <c r="DW153" s="251">
        <f>(DU153-DV153)</f>
        <v>0</v>
      </c>
      <c r="DX153" s="250">
        <f>((DU153)/($DP$151+0.00001))*100</f>
        <v>0</v>
      </c>
      <c r="DY153" s="250">
        <f>((DV153)/($DQ$151+0.00001))*100</f>
        <v>0</v>
      </c>
      <c r="DZ153" s="249">
        <f>((DW153)/($DR$151+0.00001))*100</f>
        <v>0</v>
      </c>
      <c r="EA153" s="253">
        <f>'الصفحة 32'!$Q$32</f>
        <v>0</v>
      </c>
      <c r="EB153" s="252">
        <f>'الصفحة 32'!$Q$33</f>
        <v>0</v>
      </c>
      <c r="EC153" s="251">
        <f>(EA153-EB153)</f>
        <v>0</v>
      </c>
      <c r="ED153" s="250">
        <f>((EA153)/($DP$151+0.00001))*100</f>
        <v>0</v>
      </c>
      <c r="EE153" s="250">
        <f>((EB153)/($DQ$151+0.00001))*100</f>
        <v>0</v>
      </c>
      <c r="EF153" s="249">
        <f>((EC153)/($DR$151+0.00001))*100</f>
        <v>0</v>
      </c>
      <c r="EG153" s="253">
        <f>'الصفحة 32'!$Q$39</f>
        <v>0</v>
      </c>
      <c r="EH153" s="252">
        <f>'الصفحة 32'!$Q$35</f>
        <v>0</v>
      </c>
      <c r="EI153" s="251">
        <f>(EG153-EH153)</f>
        <v>0</v>
      </c>
      <c r="EJ153" s="250">
        <f>((EG153)/($DP$151+0.00001))*100</f>
        <v>0</v>
      </c>
      <c r="EK153" s="250">
        <f>((EH153)/($DQ$151+0.00001))*100</f>
        <v>0</v>
      </c>
      <c r="EL153" s="249">
        <f>((EI153)/($DR$151+0.00001))*100</f>
        <v>0</v>
      </c>
      <c r="EM153" s="253">
        <f>'الصفحة 32'!$Q$36</f>
        <v>0</v>
      </c>
      <c r="EN153" s="252">
        <f>'الصفحة 32'!$Q$37</f>
        <v>0</v>
      </c>
      <c r="EO153" s="251">
        <f>(EM153-EN153)</f>
        <v>0</v>
      </c>
      <c r="EP153" s="250">
        <f>((EM153)/($DP$151+0.00001))*100</f>
        <v>0</v>
      </c>
      <c r="EQ153" s="250">
        <f>((EN153)/($DQ$151+0.00001))*100</f>
        <v>0</v>
      </c>
      <c r="ER153" s="249">
        <f>((EO153)/($DR$151+0.00001))*100</f>
        <v>0</v>
      </c>
      <c r="ES153" s="253">
        <f>'الصفحة 32'!$Q$38</f>
        <v>0</v>
      </c>
      <c r="ET153" s="252">
        <f>'الصفحة 32'!$Q$39</f>
        <v>0</v>
      </c>
      <c r="EU153" s="251">
        <f>(ES153-ET153)</f>
        <v>0</v>
      </c>
      <c r="EV153" s="250">
        <f>((ES153)/($DP$151+0.00001))*100</f>
        <v>0</v>
      </c>
      <c r="EW153" s="250">
        <f>((ET153)/($DQ$151+0.00001))*100</f>
        <v>0</v>
      </c>
      <c r="EX153" s="249">
        <f>((EU153)/($DR$151+0.00001))*100</f>
        <v>0</v>
      </c>
      <c r="EY153" s="253">
        <f>'الصفحة 32'!$Q$40</f>
        <v>0</v>
      </c>
      <c r="EZ153" s="252">
        <f>'الصفحة 32'!$Q$41</f>
        <v>0</v>
      </c>
      <c r="FA153" s="251">
        <f>(EY153-EZ153)</f>
        <v>0</v>
      </c>
      <c r="FB153" s="250">
        <f>((EY153)/($DP$151+0.00001))*100</f>
        <v>0</v>
      </c>
      <c r="FC153" s="250">
        <f>((EZ153)/($DQ$151+0.00001))*100</f>
        <v>0</v>
      </c>
      <c r="FD153" s="249">
        <f>((FA153)/($DR$151+0.00001))*100</f>
        <v>0</v>
      </c>
      <c r="FE153" s="253">
        <f>'الصفحة 32'!$Q$42</f>
        <v>0</v>
      </c>
      <c r="FF153" s="252">
        <f>'الصفحة 32'!$Q$43</f>
        <v>0</v>
      </c>
      <c r="FG153" s="251">
        <f>(FE153-FF153)</f>
        <v>0</v>
      </c>
      <c r="FH153" s="250">
        <f>((FE153)/($DP$151+0.00001))*100</f>
        <v>0</v>
      </c>
      <c r="FI153" s="250">
        <f>((FF153)/($DQ$151+0.00001))*100</f>
        <v>0</v>
      </c>
      <c r="FJ153" s="249">
        <f>((FG153)/($DR$151+0.00001))*100</f>
        <v>0</v>
      </c>
      <c r="FK153" s="253">
        <f>'الصفحة 32'!$Q$44</f>
        <v>0</v>
      </c>
      <c r="FL153" s="252">
        <f>'الصفحة 32'!$Q$45</f>
        <v>0</v>
      </c>
      <c r="FM153" s="251">
        <f>(FK153-FL153)</f>
        <v>0</v>
      </c>
      <c r="FN153" s="250">
        <f>((FK153)/($DP$151+0.00001))*100</f>
        <v>0</v>
      </c>
      <c r="FO153" s="250">
        <f>((FL153)/($DQ$151+0.00001))*100</f>
        <v>0</v>
      </c>
      <c r="FP153" s="249">
        <f>((FM153)/($DR$151+0.00001))*100</f>
        <v>0</v>
      </c>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c r="GS153" s="21"/>
      <c r="GT153" s="21"/>
      <c r="GU153" s="21"/>
      <c r="GV153" s="21"/>
      <c r="GW153" s="21"/>
      <c r="GX153" s="21"/>
      <c r="GY153" s="21"/>
      <c r="GZ153" s="21"/>
      <c r="HA153" s="21"/>
      <c r="HB153" s="21"/>
      <c r="HC153" s="21"/>
      <c r="HD153" s="21"/>
      <c r="HE153" s="21"/>
      <c r="HF153" s="21"/>
      <c r="HG153" s="21"/>
      <c r="HH153" s="21"/>
      <c r="HI153" s="21"/>
      <c r="HJ153" s="21"/>
      <c r="HK153" s="21"/>
      <c r="HL153" s="21"/>
      <c r="HM153" s="21"/>
      <c r="HN153" s="21"/>
      <c r="HO153" s="21"/>
      <c r="HP153" s="21"/>
      <c r="HQ153" s="21"/>
      <c r="HR153" s="21"/>
      <c r="HS153" s="21"/>
      <c r="HT153" s="21"/>
      <c r="HU153" s="21"/>
      <c r="HV153" s="21"/>
      <c r="HW153" s="21"/>
      <c r="HX153" s="21"/>
      <c r="HY153" s="21"/>
      <c r="HZ153" s="21"/>
      <c r="IA153" s="21"/>
      <c r="IB153" s="21"/>
      <c r="IC153" s="21"/>
      <c r="ID153" s="21"/>
      <c r="IE153" s="21"/>
      <c r="IF153" s="21"/>
      <c r="IG153" s="21"/>
      <c r="IH153" s="21"/>
      <c r="II153" s="21"/>
      <c r="IJ153" s="21"/>
      <c r="IK153" s="21"/>
      <c r="IL153" s="21"/>
      <c r="IM153" s="21"/>
      <c r="IN153" s="21"/>
      <c r="IO153" s="21"/>
      <c r="IP153" s="21"/>
      <c r="IQ153" s="21"/>
      <c r="IR153" s="21"/>
      <c r="IS153" s="21"/>
      <c r="IT153" s="21"/>
      <c r="IV153" s="41"/>
    </row>
    <row r="154" spans="1:256" s="24" customFormat="1" ht="15" customHeight="1" thickBot="1">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82"/>
      <c r="FY154" s="170" t="s">
        <v>301</v>
      </c>
      <c r="FZ154" s="84"/>
      <c r="GD154" s="193"/>
      <c r="GF154" s="82"/>
      <c r="GG154" s="82"/>
      <c r="GH154" s="82"/>
      <c r="GI154" s="82"/>
      <c r="GJ154" s="82"/>
      <c r="GK154" s="82"/>
      <c r="GL154" s="82"/>
      <c r="GM154" s="82"/>
      <c r="GN154" s="82"/>
      <c r="GO154" s="82"/>
      <c r="GP154" s="82"/>
      <c r="GQ154" s="82"/>
      <c r="GR154" s="82"/>
      <c r="GS154" s="84"/>
      <c r="GT154" s="84"/>
      <c r="GU154" s="5129" t="s">
        <v>190</v>
      </c>
      <c r="GV154" s="5129"/>
      <c r="GX154" s="170" t="s">
        <v>301</v>
      </c>
      <c r="GY154" s="82"/>
      <c r="GZ154" s="82"/>
      <c r="HA154" s="84"/>
      <c r="HE154" s="193"/>
      <c r="HG154" s="82"/>
      <c r="HH154" s="82"/>
      <c r="HI154" s="82"/>
      <c r="HJ154" s="82"/>
      <c r="HK154" s="82"/>
      <c r="HL154" s="82"/>
      <c r="HM154" s="82"/>
      <c r="HN154" s="82"/>
      <c r="HO154" s="82"/>
      <c r="HP154" s="82"/>
      <c r="HQ154" s="82"/>
      <c r="HR154" s="5129" t="s">
        <v>188</v>
      </c>
      <c r="HS154" s="5129"/>
      <c r="HT154" s="5141" t="s">
        <v>187</v>
      </c>
      <c r="HU154" s="5141"/>
      <c r="HW154" s="170" t="s">
        <v>301</v>
      </c>
      <c r="HX154" s="84"/>
      <c r="HY154" s="82"/>
      <c r="HZ154" s="82"/>
      <c r="IA154" s="82"/>
      <c r="IF154" s="193"/>
      <c r="IH154" s="82"/>
      <c r="II154" s="82"/>
      <c r="IJ154" s="82"/>
      <c r="IK154" s="82"/>
      <c r="IL154" s="82"/>
      <c r="IM154" s="82"/>
      <c r="IN154" s="82"/>
      <c r="IO154" s="82"/>
      <c r="IP154" s="82"/>
      <c r="IQ154" s="5129" t="s">
        <v>297</v>
      </c>
      <c r="IR154" s="5129"/>
      <c r="IV154" s="21"/>
    </row>
    <row r="155" spans="1:256" s="24" customFormat="1" ht="15" customHeight="1" thickBot="1">
      <c r="A155" s="240"/>
      <c r="B155" s="242" t="s">
        <v>307</v>
      </c>
      <c r="C155" s="205"/>
      <c r="D155" s="205"/>
      <c r="E155" s="205"/>
      <c r="F155" s="205"/>
      <c r="G155" s="205"/>
      <c r="H155" s="205"/>
      <c r="I155" s="205"/>
      <c r="J155" s="205"/>
      <c r="K155" s="106"/>
      <c r="L155" s="241" t="s">
        <v>306</v>
      </c>
      <c r="M155" s="205"/>
      <c r="N155" s="205"/>
      <c r="O155" s="205"/>
      <c r="P155" s="205"/>
      <c r="Q155" s="205"/>
      <c r="R155" s="205"/>
      <c r="S155" s="205"/>
      <c r="T155" s="205"/>
      <c r="U155" s="205"/>
      <c r="V155" s="205"/>
      <c r="W155" s="205"/>
      <c r="X155" s="205"/>
      <c r="Y155" s="784" t="s">
        <v>662</v>
      </c>
      <c r="Z155" s="205"/>
      <c r="AA155" s="205"/>
      <c r="AB155" s="205"/>
      <c r="AC155" s="205"/>
      <c r="AD155" s="205"/>
      <c r="AE155" s="205"/>
      <c r="AF155" s="205"/>
      <c r="AG155" s="205"/>
      <c r="AH155" s="205"/>
      <c r="AI155" s="205"/>
      <c r="AJ155" s="205"/>
      <c r="AK155" s="205"/>
      <c r="AL155" s="205"/>
      <c r="AM155" s="205"/>
      <c r="AN155" s="205"/>
      <c r="AO155" s="241" t="s">
        <v>305</v>
      </c>
      <c r="AP155" s="205"/>
      <c r="AQ155" s="106"/>
      <c r="AS155" s="205"/>
      <c r="AT155" s="205"/>
      <c r="AU155" s="205"/>
      <c r="AV155" s="205"/>
      <c r="AW155" s="205"/>
      <c r="AX155" s="205"/>
      <c r="AY155" s="205"/>
      <c r="AZ155" s="205"/>
      <c r="BA155" s="205"/>
      <c r="BB155" s="205"/>
      <c r="BC155" s="205"/>
      <c r="BD155" s="205"/>
      <c r="BE155" s="205"/>
      <c r="BF155" s="205"/>
      <c r="BG155" s="205"/>
      <c r="BH155" s="205"/>
      <c r="BI155" s="205"/>
      <c r="BJ155" s="205"/>
      <c r="BK155" s="205"/>
      <c r="BL155" s="205"/>
      <c r="BM155" s="205"/>
      <c r="BN155" s="241" t="s">
        <v>304</v>
      </c>
      <c r="BO155" s="205"/>
      <c r="BP155" s="205"/>
      <c r="BQ155" s="205"/>
      <c r="BR155" s="106"/>
      <c r="BT155" s="205"/>
      <c r="BU155" s="205"/>
      <c r="BV155" s="205"/>
      <c r="BW155" s="205"/>
      <c r="BX155" s="205"/>
      <c r="BY155" s="205"/>
      <c r="BZ155" s="205"/>
      <c r="CA155" s="205"/>
      <c r="CB155" s="205"/>
      <c r="CC155" s="205"/>
      <c r="CD155" s="205"/>
      <c r="CE155" s="205"/>
      <c r="CF155" s="205"/>
      <c r="CG155" s="205"/>
      <c r="CH155" s="205"/>
      <c r="CI155" s="241" t="s">
        <v>304</v>
      </c>
      <c r="CJ155" s="205"/>
      <c r="CK155" s="205"/>
      <c r="CL155" s="205"/>
      <c r="CM155" s="205"/>
      <c r="CN155" s="205"/>
      <c r="CO155" s="106"/>
      <c r="CQ155" s="205"/>
      <c r="CR155" s="205"/>
      <c r="CS155" s="205"/>
      <c r="CT155" s="205"/>
      <c r="CU155" s="205"/>
      <c r="CV155" s="205"/>
      <c r="CW155" s="241" t="s">
        <v>304</v>
      </c>
      <c r="CX155" s="205"/>
      <c r="CY155" s="205"/>
      <c r="CZ155" s="205"/>
      <c r="DA155" s="205"/>
      <c r="DB155" s="205"/>
      <c r="DC155" s="205"/>
      <c r="DD155" s="205"/>
      <c r="DE155" s="106"/>
      <c r="DG155" s="205"/>
      <c r="DH155" s="205"/>
      <c r="DI155" s="241" t="s">
        <v>304</v>
      </c>
      <c r="DJ155" s="205"/>
      <c r="DK155" s="205"/>
      <c r="DL155" s="205"/>
      <c r="DM155" s="205"/>
      <c r="DN155" s="205"/>
      <c r="DO155" s="205"/>
      <c r="DP155" s="205"/>
      <c r="DQ155" s="205"/>
      <c r="DR155" s="205"/>
      <c r="DS155" s="106"/>
      <c r="DU155" s="170" t="s">
        <v>303</v>
      </c>
      <c r="DV155" s="82"/>
      <c r="DW155" s="82"/>
      <c r="DX155" s="82"/>
      <c r="DY155" s="82"/>
      <c r="DZ155" s="82"/>
      <c r="EA155" s="170" t="s">
        <v>302</v>
      </c>
      <c r="EB155" s="193"/>
      <c r="ED155" s="82"/>
      <c r="EE155" s="82"/>
      <c r="EF155" s="82"/>
      <c r="EG155" s="82"/>
      <c r="EH155" s="82"/>
      <c r="EI155" s="82"/>
      <c r="EJ155" s="82"/>
      <c r="EK155" s="82"/>
      <c r="EL155" s="82"/>
      <c r="EM155" s="82"/>
      <c r="EN155" s="82"/>
      <c r="EO155" s="82"/>
      <c r="EP155" s="82"/>
      <c r="EQ155" s="84"/>
      <c r="ER155" s="84"/>
      <c r="ES155" s="84"/>
      <c r="ET155" s="84"/>
      <c r="EU155" s="84"/>
      <c r="EW155" s="617" t="s">
        <v>25</v>
      </c>
      <c r="EX155" s="617"/>
      <c r="EZ155" s="170" t="s">
        <v>301</v>
      </c>
      <c r="FC155" s="193"/>
      <c r="FE155" s="82"/>
      <c r="FF155" s="82"/>
      <c r="FG155" s="82"/>
      <c r="FH155" s="82"/>
      <c r="FI155" s="82"/>
      <c r="FJ155" s="82"/>
      <c r="FK155" s="82"/>
      <c r="FL155" s="82"/>
      <c r="FM155" s="82"/>
      <c r="FN155" s="82"/>
      <c r="FO155" s="82"/>
      <c r="FP155" s="82"/>
      <c r="FQ155" s="82"/>
      <c r="FR155" s="84"/>
      <c r="FS155" s="84"/>
      <c r="FT155" s="84"/>
      <c r="FU155" s="84"/>
      <c r="FV155" s="617" t="s">
        <v>191</v>
      </c>
      <c r="FW155" s="617"/>
      <c r="FX155" s="144"/>
      <c r="FY155" s="145"/>
      <c r="FZ155" s="93"/>
      <c r="GA155" s="77"/>
      <c r="GB155" s="77"/>
      <c r="GC155" s="77"/>
      <c r="GD155" s="193"/>
      <c r="GE155" s="77"/>
      <c r="GF155" s="144"/>
      <c r="GG155" s="144"/>
      <c r="GH155" s="144"/>
      <c r="GI155" s="144"/>
      <c r="GJ155" s="144"/>
      <c r="GK155" s="144"/>
      <c r="GL155" s="144"/>
      <c r="GM155" s="144"/>
      <c r="GN155" s="144"/>
      <c r="GO155" s="144"/>
      <c r="GP155" s="144"/>
      <c r="GQ155" s="144"/>
      <c r="GR155" s="144"/>
      <c r="GS155" s="93"/>
      <c r="GT155" s="93"/>
      <c r="GU155" s="202"/>
      <c r="GV155" s="202"/>
      <c r="GW155" s="78"/>
      <c r="GX155" s="178">
        <f>'الصفحة 10'!$N$10</f>
        <v>28</v>
      </c>
      <c r="GY155" s="177">
        <f>'الصفحة 10'!$O$10</f>
        <v>13</v>
      </c>
      <c r="GZ155" s="177">
        <f>'الصفحة 10'!$N$11</f>
        <v>186</v>
      </c>
      <c r="HA155" s="177">
        <f>'الصفحة 10'!$O$11</f>
        <v>84</v>
      </c>
      <c r="HB155" s="177">
        <f>'الصفحة 10'!$N$12</f>
        <v>159</v>
      </c>
      <c r="HC155" s="177">
        <f>'الصفحة 10'!$O$12</f>
        <v>92</v>
      </c>
      <c r="HD155" s="177">
        <f>'الصفحة 10'!$N$13</f>
        <v>151</v>
      </c>
      <c r="HE155" s="177">
        <f>'الصفحة 10'!$O$13</f>
        <v>79</v>
      </c>
      <c r="HF155" s="177">
        <f>'الصفحة 10'!$N$14</f>
        <v>130</v>
      </c>
      <c r="HG155" s="177">
        <f>'الصفحة 10'!$O$14</f>
        <v>67</v>
      </c>
      <c r="HH155" s="177">
        <f>'الصفحة 10'!$N$15</f>
        <v>60</v>
      </c>
      <c r="HI155" s="177">
        <f>'الصفحة 10'!$O$15</f>
        <v>19</v>
      </c>
      <c r="HJ155" s="177">
        <f>'الصفحة 10'!$N$16</f>
        <v>20</v>
      </c>
      <c r="HK155" s="177">
        <f>'الصفحة 10'!$O$16</f>
        <v>5</v>
      </c>
      <c r="HL155" s="177">
        <f>'الصفحة 10'!$N$17</f>
        <v>4</v>
      </c>
      <c r="HM155" s="177">
        <f>'الصفحة 10'!$O$17</f>
        <v>0</v>
      </c>
      <c r="HN155" s="177">
        <f>'الصفحة 10'!$N$18</f>
        <v>0</v>
      </c>
      <c r="HO155" s="177">
        <f>'الصفحة 10'!$O$18</f>
        <v>0</v>
      </c>
      <c r="HP155" s="177">
        <f>'الصفحة 10'!$N$19</f>
        <v>0</v>
      </c>
      <c r="HQ155" s="177">
        <f>'الصفحة 10'!$O$19</f>
        <v>0</v>
      </c>
      <c r="HR155" s="45">
        <f t="shared" ref="HR155:HS157" si="0">HP155+HN155+HL155+HJ155+HH155+HF155+HD155+HB155+GZ155+GX155</f>
        <v>738</v>
      </c>
      <c r="HS155" s="44">
        <f t="shared" si="0"/>
        <v>359</v>
      </c>
      <c r="HT155" s="177">
        <f>'الصفحة 10'!$N$21</f>
        <v>0</v>
      </c>
      <c r="HU155" s="192">
        <f>'الصفحة 10'!$O$21</f>
        <v>0</v>
      </c>
      <c r="HV155" s="78"/>
      <c r="HW155" s="145"/>
      <c r="HX155" s="93"/>
      <c r="HY155" s="144"/>
      <c r="HZ155" s="144"/>
      <c r="IA155" s="144"/>
      <c r="IB155" s="77"/>
      <c r="IC155" s="77"/>
      <c r="ID155" s="77"/>
      <c r="IE155" s="77"/>
      <c r="IF155" s="193"/>
      <c r="IG155" s="77"/>
      <c r="IH155" s="144"/>
      <c r="II155" s="144"/>
      <c r="IJ155" s="144"/>
      <c r="IK155" s="144"/>
      <c r="IL155" s="144"/>
      <c r="IM155" s="144"/>
      <c r="IN155" s="144"/>
      <c r="IO155" s="144"/>
      <c r="IP155" s="144"/>
      <c r="IQ155" s="144"/>
      <c r="IR155" s="144"/>
      <c r="IV155" s="21"/>
    </row>
    <row r="156" spans="1:256" s="24" customFormat="1" ht="14.1" customHeight="1" thickBot="1">
      <c r="A156" s="35">
        <v>1</v>
      </c>
      <c r="B156" s="239">
        <f>'الصفحة 1'!$Q$14</f>
        <v>4300</v>
      </c>
      <c r="C156" s="238" t="str">
        <f>'الصفحة 1'!$E$16</f>
        <v>بلحاتم رابح</v>
      </c>
      <c r="D156" s="237">
        <f>'الصفحة 1'!$T$16</f>
        <v>4372</v>
      </c>
      <c r="E156" s="237" t="str">
        <f>'الصفحة 1'!$T$20</f>
        <v>cem.nouvjuillet@gmail.com</v>
      </c>
      <c r="F156" s="236">
        <f>'الصفحة 1'!$N$22</f>
        <v>32522907</v>
      </c>
      <c r="G156" s="236">
        <f>'الصفحة 1'!$T$22</f>
        <v>32522907</v>
      </c>
      <c r="H156" s="236">
        <f>'الصفحة 1'!$G$22</f>
        <v>4071</v>
      </c>
      <c r="I156" s="236">
        <f>'الصفحة 1'!$T$18</f>
        <v>24170</v>
      </c>
      <c r="J156" s="235">
        <f>'الصفحة 1'!$W$18</f>
        <v>0</v>
      </c>
      <c r="K156" s="106"/>
      <c r="L156" s="225">
        <f>'الصفحة 1'!$V$26</f>
        <v>1</v>
      </c>
      <c r="M156" s="218">
        <f>'الصفحة 1'!$V$28</f>
        <v>0</v>
      </c>
      <c r="N156" s="222">
        <f>'الصفحة 1'!$V$30</f>
        <v>0</v>
      </c>
      <c r="O156" s="221">
        <f>'الصفحة 1'!$H$26</f>
        <v>0</v>
      </c>
      <c r="P156" s="218">
        <f>'الصفحة 1'!$H$28</f>
        <v>0</v>
      </c>
      <c r="Q156" s="218">
        <f>'الصفحة 1'!$H$30</f>
        <v>0</v>
      </c>
      <c r="R156" s="218">
        <f>'الصفحة 1'!$H$32</f>
        <v>0</v>
      </c>
      <c r="S156" s="218">
        <f>'الصفحة 1'!$H$34</f>
        <v>1</v>
      </c>
      <c r="T156" s="234">
        <f>'الصفحة 1'!$H$36</f>
        <v>0</v>
      </c>
      <c r="U156" s="222" t="e">
        <f>'الصفحة 1'!#REF!</f>
        <v>#REF!</v>
      </c>
      <c r="V156" s="221">
        <f>'الصفحة 1'!$V$34</f>
        <v>0</v>
      </c>
      <c r="W156" s="218">
        <f>'الصفحة 1'!$V$36</f>
        <v>1</v>
      </c>
      <c r="X156" s="222">
        <f>'الصفحة 1'!$V$38</f>
        <v>0</v>
      </c>
      <c r="Y156" s="221">
        <f>'الصفحة 1'!$T$50</f>
        <v>1</v>
      </c>
      <c r="Z156" s="218">
        <f>'الصفحة 1'!$T$52</f>
        <v>0</v>
      </c>
      <c r="AA156" s="217">
        <f>'الصفحة 1'!$T$54</f>
        <v>0</v>
      </c>
      <c r="AB156" s="233">
        <f>IF(('الصفحة 1'!$L$30&gt;1400),IF(('الصفحة 1'!$L$30&lt;1963),1,0),0)</f>
        <v>0</v>
      </c>
      <c r="AC156" s="230">
        <f>IF(('الصفحة 1'!$L$30&gt;1962),IF(('الصفحة 1'!$L$30&lt;1971),1,0),0)</f>
        <v>0</v>
      </c>
      <c r="AD156" s="230">
        <f>IF(('الصفحة 1'!$L$30&gt;1970),IF(('الصفحة 1'!$L$30&lt;1981),1,0),0)</f>
        <v>0</v>
      </c>
      <c r="AE156" s="230">
        <f>IF(('الصفحة 1'!$L$30&gt;1980),IF(('الصفحة 1'!$L$30&lt;1991),1,0),0)</f>
        <v>0</v>
      </c>
      <c r="AF156" s="230">
        <f>IF(('الصفحة 1'!$L$30&gt;1990),IF(('الصفحة 1'!$L$30&lt;2001),1,0),0)</f>
        <v>0</v>
      </c>
      <c r="AG156" s="232">
        <f>IF('الصفحة 1'!$L$30&gt;2000,1,0)</f>
        <v>1</v>
      </c>
      <c r="AH156" s="231">
        <f>IF(('الصفحة 1'!$L$34&gt;1400),IF(('الصفحة 1'!$L$34&lt;1963),1,0),0)</f>
        <v>0</v>
      </c>
      <c r="AI156" s="230">
        <f>IF(('الصفحة 1'!$L$34&gt;1962),IF(('الصفحة 1'!$L$34&lt;1971),1,0),0)</f>
        <v>0</v>
      </c>
      <c r="AJ156" s="230">
        <f>IF(('الصفحة 1'!$L$34&gt;1970),IF(('الصفحة 1'!$L$34&lt;1981),1,0),0)</f>
        <v>0</v>
      </c>
      <c r="AK156" s="230">
        <f>IF(('الصفحة 1'!$L$34&gt;1980),IF(('الصفحة 1'!$L$34&lt;1991),1,0),0)</f>
        <v>0</v>
      </c>
      <c r="AL156" s="230">
        <f>IF(('الصفحة 1'!$L$34&gt;1990),IF(('الصفحة 1'!$L$34&lt;2001),1,0),0)</f>
        <v>0</v>
      </c>
      <c r="AM156" s="229">
        <f>IF('الصفحة 1'!$L$34&gt;2000,1,0)</f>
        <v>1</v>
      </c>
      <c r="AN156" s="205"/>
      <c r="AO156" s="228">
        <f>'الصفحة 1'!$E$40</f>
        <v>568000</v>
      </c>
      <c r="AP156" s="227">
        <f>'الصفحة 1'!$E$42</f>
        <v>368000</v>
      </c>
      <c r="AQ156" s="224">
        <f>'الصفحة 1'!$E$44</f>
        <v>20000</v>
      </c>
      <c r="AR156" s="221">
        <f>'الصفحة 1'!$K$46</f>
        <v>0</v>
      </c>
      <c r="AS156" s="218">
        <f>'الصفحة 1'!$S$46</f>
        <v>0</v>
      </c>
      <c r="AT156" s="222">
        <f>'الصفحة 1'!$W$46</f>
        <v>0</v>
      </c>
      <c r="AU156" s="221">
        <f>'الصفحة 1'!$K$48</f>
        <v>1</v>
      </c>
      <c r="AV156" s="218">
        <f>'الصفحة 1'!$K$50</f>
        <v>0</v>
      </c>
      <c r="AW156" s="218">
        <f>'الصفحة 1'!$K$52</f>
        <v>0</v>
      </c>
      <c r="AX156" s="218">
        <f>'الصفحة 1'!$K$54</f>
        <v>0</v>
      </c>
      <c r="AY156" s="218">
        <f>'الصفحة 1'!$K$56</f>
        <v>0</v>
      </c>
      <c r="AZ156" s="221">
        <f>'الصفحة 1'!$W$62</f>
        <v>0</v>
      </c>
      <c r="BA156" s="218">
        <f>'الصفحة 1'!$W$64</f>
        <v>0</v>
      </c>
      <c r="BB156" s="222">
        <f>'الصفحة 1'!$W$66</f>
        <v>0</v>
      </c>
      <c r="BC156" s="221">
        <f>'الصفحة 1'!$I$62</f>
        <v>3</v>
      </c>
      <c r="BD156" s="218">
        <f>'الصفحة 1'!$I$64</f>
        <v>2</v>
      </c>
      <c r="BE156" s="218">
        <f>'الصفحة 1'!$K$66</f>
        <v>0</v>
      </c>
      <c r="BF156" s="218" t="e">
        <f>'الصفحة 1'!#REF!</f>
        <v>#REF!</v>
      </c>
      <c r="BG156" s="219" t="e">
        <f>'الصفحة 1'!#REF!</f>
        <v>#REF!</v>
      </c>
      <c r="BH156" s="222">
        <f>'الصفحة 1'!$W$50</f>
        <v>0</v>
      </c>
      <c r="BI156" s="226">
        <f>'الصفحة 1'!$E$52</f>
        <v>0</v>
      </c>
      <c r="BJ156" s="218" t="e">
        <f>'الصفحة 1'!#REF!</f>
        <v>#REF!</v>
      </c>
      <c r="BK156" s="218" t="e">
        <f>'الصفحة 1'!#REF!</f>
        <v>#REF!</v>
      </c>
      <c r="BL156" s="217">
        <f>'الصفحة 1'!$W$52</f>
        <v>0</v>
      </c>
      <c r="BN156" s="225" t="e">
        <f>#REF!</f>
        <v>#REF!</v>
      </c>
      <c r="BO156" s="607" t="e">
        <f>#REF!</f>
        <v>#REF!</v>
      </c>
      <c r="BP156" s="221" t="e">
        <f>'الصفحة 1'!#REF!</f>
        <v>#REF!</v>
      </c>
      <c r="BQ156" s="218" t="e">
        <f>'الصفحة 1'!#REF!</f>
        <v>#REF!</v>
      </c>
      <c r="BR156" s="219" t="e">
        <f>'الصفحة 1'!#REF!</f>
        <v>#REF!</v>
      </c>
      <c r="BS156" s="221" t="e">
        <f>'الصفحة 1'!#REF!</f>
        <v>#REF!</v>
      </c>
      <c r="BT156" s="222" t="e">
        <f>'الصفحة 1'!#REF!</f>
        <v>#REF!</v>
      </c>
      <c r="BU156" s="223" t="e">
        <f>'الصفحة 1'!#REF!</f>
        <v>#REF!</v>
      </c>
      <c r="BV156" s="222" t="e">
        <f>'الصفحة 1'!#REF!</f>
        <v>#REF!</v>
      </c>
      <c r="BW156" s="221" t="e">
        <f>'الصفحة 1'!#REF!</f>
        <v>#REF!</v>
      </c>
      <c r="BX156" s="218" t="e">
        <f>'الصفحة 1'!#REF!</f>
        <v>#REF!</v>
      </c>
      <c r="BY156" s="218" t="e">
        <f>'الصفحة 1'!#REF!</f>
        <v>#REF!</v>
      </c>
      <c r="BZ156" s="218" t="e">
        <f>'الصفحة 1'!#REF!</f>
        <v>#REF!</v>
      </c>
      <c r="CA156" s="222" t="e">
        <f>'الصفحة 1'!#REF!</f>
        <v>#REF!</v>
      </c>
      <c r="CB156" s="221" t="e">
        <f>'الصفحة 1'!#REF!</f>
        <v>#REF!</v>
      </c>
      <c r="CC156" s="222" t="e">
        <f>'الصفحة 1'!#REF!</f>
        <v>#REF!</v>
      </c>
      <c r="CD156" s="221" t="e">
        <f>'الصفحة 1'!#REF!</f>
        <v>#REF!</v>
      </c>
      <c r="CE156" s="218">
        <f>'الصفحة 1'!$P$93</f>
        <v>0</v>
      </c>
      <c r="CF156" s="218">
        <f>'الصفحة 1'!$R$93</f>
        <v>0</v>
      </c>
      <c r="CG156" s="217" t="e">
        <f>'الصفحة 1'!#REF!</f>
        <v>#REF!</v>
      </c>
      <c r="CI156" s="220" t="e">
        <f>#REF!</f>
        <v>#REF!</v>
      </c>
      <c r="CJ156" s="218" t="e">
        <f>#REF!</f>
        <v>#REF!</v>
      </c>
      <c r="CK156" s="218" t="e">
        <f>#REF!</f>
        <v>#REF!</v>
      </c>
      <c r="CL156" s="219" t="e">
        <f>#REF!</f>
        <v>#REF!</v>
      </c>
      <c r="CM156" s="218" t="e">
        <f>#REF!</f>
        <v>#REF!</v>
      </c>
      <c r="CN156" s="218" t="e">
        <f>#REF!</f>
        <v>#REF!</v>
      </c>
      <c r="CO156" s="218" t="e">
        <f>#REF!</f>
        <v>#REF!</v>
      </c>
      <c r="CP156" s="218" t="e">
        <f>#REF!</f>
        <v>#REF!</v>
      </c>
      <c r="CQ156" s="218" t="e">
        <f>#REF!</f>
        <v>#REF!</v>
      </c>
      <c r="CR156" s="218" t="e">
        <f>#REF!</f>
        <v>#REF!</v>
      </c>
      <c r="CS156" s="218" t="e">
        <f>#REF!</f>
        <v>#REF!</v>
      </c>
      <c r="CT156" s="218" t="e">
        <f>#REF!</f>
        <v>#REF!</v>
      </c>
      <c r="CU156" s="217" t="e">
        <f>#REF!</f>
        <v>#REF!</v>
      </c>
      <c r="CW156" s="220" t="e">
        <f>#REF!</f>
        <v>#REF!</v>
      </c>
      <c r="CX156" s="218" t="e">
        <f>#REF!</f>
        <v>#REF!</v>
      </c>
      <c r="CY156" s="218" t="e">
        <f>#REF!</f>
        <v>#REF!</v>
      </c>
      <c r="CZ156" s="219" t="e">
        <f>#REF!</f>
        <v>#REF!</v>
      </c>
      <c r="DA156" s="218" t="e">
        <f>#REF!</f>
        <v>#REF!</v>
      </c>
      <c r="DB156" s="218" t="e">
        <f>#REF!</f>
        <v>#REF!</v>
      </c>
      <c r="DC156" s="218" t="e">
        <f>#REF!</f>
        <v>#REF!</v>
      </c>
      <c r="DD156" s="218" t="e">
        <f>'الصفحة 1'!#REF!</f>
        <v>#REF!</v>
      </c>
      <c r="DE156" s="218" t="e">
        <f>'الصفحة 1'!#REF!</f>
        <v>#REF!</v>
      </c>
      <c r="DF156" s="208">
        <f>'الصفحة 1'!$P$83</f>
        <v>0</v>
      </c>
      <c r="DG156" s="217" t="e">
        <f>#REF!</f>
        <v>#REF!</v>
      </c>
      <c r="DI156" s="216">
        <f>'الصفحة 1'!$F$93</f>
        <v>1</v>
      </c>
      <c r="DJ156" s="213">
        <f>'الصفحة 1'!$F$95</f>
        <v>0</v>
      </c>
      <c r="DK156" s="215" t="e">
        <f>'الصفحة 1'!#REF!</f>
        <v>#REF!</v>
      </c>
      <c r="DL156" s="211">
        <f>'الصفحة 1'!$F$73</f>
        <v>1</v>
      </c>
      <c r="DM156" s="214">
        <f>'الصفحة 1'!$F$75</f>
        <v>1</v>
      </c>
      <c r="DN156" s="211">
        <f>'الصفحة 1'!$F$77</f>
        <v>0</v>
      </c>
      <c r="DO156" s="213">
        <f>'الصفحة 1'!$F$83</f>
        <v>0</v>
      </c>
      <c r="DP156" s="213">
        <f>'الصفحة 1'!$F$85</f>
        <v>0</v>
      </c>
      <c r="DQ156" s="212">
        <f>'الصفحة 1'!$P$42</f>
        <v>100</v>
      </c>
      <c r="DR156" s="211">
        <f>'الصفحة 1'!$F$87</f>
        <v>0</v>
      </c>
      <c r="DS156" s="210">
        <f>'الصفحة 1'!$F$91</f>
        <v>0</v>
      </c>
      <c r="DT156" s="144"/>
      <c r="DU156" s="209">
        <f>'الصفحة 12'!$E$9</f>
        <v>7</v>
      </c>
      <c r="DV156" s="208">
        <f>'الصفحة 12'!$G$9</f>
        <v>5</v>
      </c>
      <c r="DW156" s="208">
        <f>'الصفحة 12'!$I$9</f>
        <v>4</v>
      </c>
      <c r="DX156" s="208">
        <f>'الصفحة 12'!$K$9</f>
        <v>5</v>
      </c>
      <c r="DY156" s="207">
        <f>SUM(DU156:DX156)</f>
        <v>21</v>
      </c>
      <c r="EA156" s="184">
        <f>'الصفحة 10'!$F$10</f>
        <v>28</v>
      </c>
      <c r="EB156" s="182">
        <f>'الصفحة 10'!$G$10</f>
        <v>13</v>
      </c>
      <c r="EC156" s="183">
        <f>'الصفحة 10'!$F$11</f>
        <v>152</v>
      </c>
      <c r="ED156" s="182">
        <f>'الصفحة 10'!$G$11</f>
        <v>73</v>
      </c>
      <c r="EE156" s="183">
        <f>'الصفحة 10'!$F$12</f>
        <v>27</v>
      </c>
      <c r="EF156" s="182">
        <f>'الصفحة 10'!$G$12</f>
        <v>11</v>
      </c>
      <c r="EG156" s="183">
        <f>'الصفحة 10'!$F$13</f>
        <v>15</v>
      </c>
      <c r="EH156" s="182">
        <f>'الصفحة 10'!$G$13</f>
        <v>5</v>
      </c>
      <c r="EI156" s="183">
        <f>'الصفحة 10'!$F$14</f>
        <v>10</v>
      </c>
      <c r="EJ156" s="182">
        <f>'الصفحة 10'!$G$14</f>
        <v>1</v>
      </c>
      <c r="EK156" s="184">
        <f>'الصفحة 10'!$F$15</f>
        <v>5</v>
      </c>
      <c r="EL156" s="182">
        <f>'الصفحة 10'!$G$15</f>
        <v>0</v>
      </c>
      <c r="EM156" s="183">
        <f>'الصفحة 10'!$F$16</f>
        <v>1</v>
      </c>
      <c r="EN156" s="182">
        <f>'الصفحة 10'!$G$16</f>
        <v>0</v>
      </c>
      <c r="EO156" s="183">
        <f>'الصفحة 10'!$F$17</f>
        <v>0</v>
      </c>
      <c r="EP156" s="182">
        <f>'الصفحة 10'!$G$17</f>
        <v>0</v>
      </c>
      <c r="EQ156" s="183">
        <f>'الصفحة 10'!$F$18</f>
        <v>0</v>
      </c>
      <c r="ER156" s="182">
        <f>'الصفحة 10'!$G$18</f>
        <v>0</v>
      </c>
      <c r="ES156" s="183">
        <f>'الصفحة 10'!$F$19</f>
        <v>0</v>
      </c>
      <c r="ET156" s="182">
        <f>'الصفحة 10'!$G$19</f>
        <v>0</v>
      </c>
      <c r="EU156" s="73">
        <f>ES156+EQ156+EO156+EM156+EK156+EI156+EG156+EE156+EC156+EA156</f>
        <v>238</v>
      </c>
      <c r="EV156" s="56">
        <f>ET156+ER156+EP156+EN156+EL156+EJ156+EH156+EF156+ED156+EB156</f>
        <v>103</v>
      </c>
      <c r="EW156" s="183">
        <f>'الصفحة 10'!$F$21</f>
        <v>0</v>
      </c>
      <c r="EX156" s="200">
        <f>'الصفحة 10'!$G$21</f>
        <v>0</v>
      </c>
      <c r="EZ156" s="184">
        <f>'الصفحة 10'!$H$10</f>
        <v>0</v>
      </c>
      <c r="FA156" s="182">
        <f>'الصفحة 10'!$I$10</f>
        <v>0</v>
      </c>
      <c r="FB156" s="183">
        <f>'الصفحة 10'!$H$11</f>
        <v>34</v>
      </c>
      <c r="FC156" s="182">
        <f>'الصفحة 10'!$I$11</f>
        <v>11</v>
      </c>
      <c r="FD156" s="183">
        <f>'الصفحة 10'!$H$12</f>
        <v>106</v>
      </c>
      <c r="FE156" s="182">
        <f>'الصفحة 10'!$I$12</f>
        <v>64</v>
      </c>
      <c r="FF156" s="183">
        <f>'الصفحة 10'!$H$13</f>
        <v>18</v>
      </c>
      <c r="FG156" s="182">
        <f>'الصفحة 10'!$I$13</f>
        <v>7</v>
      </c>
      <c r="FH156" s="183">
        <f>'الصفحة 10'!$H$14</f>
        <v>6</v>
      </c>
      <c r="FI156" s="182">
        <f>'الصفحة 10'!$I$14</f>
        <v>1</v>
      </c>
      <c r="FJ156" s="183">
        <f>'الصفحة 10'!$H$15</f>
        <v>7</v>
      </c>
      <c r="FK156" s="182">
        <f>'الصفحة 10'!$I$15</f>
        <v>2</v>
      </c>
      <c r="FL156" s="183">
        <f>'الصفحة 10'!$H$16</f>
        <v>2</v>
      </c>
      <c r="FM156" s="182">
        <f>'الصفحة 10'!$I$16</f>
        <v>0</v>
      </c>
      <c r="FN156" s="183">
        <f>'الصفحة 10'!$H$17</f>
        <v>0</v>
      </c>
      <c r="FO156" s="182">
        <f>'الصفحة 10'!$I$17</f>
        <v>0</v>
      </c>
      <c r="FP156" s="183">
        <f>'الصفحة 10'!$H$18</f>
        <v>0</v>
      </c>
      <c r="FQ156" s="182">
        <f>'الصفحة 10'!$I$18</f>
        <v>0</v>
      </c>
      <c r="FR156" s="183">
        <f>'الصفحة 10'!$H$19</f>
        <v>0</v>
      </c>
      <c r="FS156" s="182">
        <f>'الصفحة 10'!$I$19</f>
        <v>0</v>
      </c>
      <c r="FT156" s="73">
        <f>FR156+FP156+FN156+FL156+FJ156+FH156+FF156+FD156+FB156+EZ156</f>
        <v>173</v>
      </c>
      <c r="FU156" s="56">
        <f>FS156+FQ156+FO156+FM156+FK156+FI156+FG156+FE156+FC156+FA156</f>
        <v>85</v>
      </c>
      <c r="FV156" s="183">
        <f>'الصفحة 10'!$H$21</f>
        <v>0</v>
      </c>
      <c r="FW156" s="200">
        <f>'الصفحة 10'!$I$21</f>
        <v>0</v>
      </c>
      <c r="FY156" s="184">
        <f>'الصفحة 10'!$J$10</f>
        <v>0</v>
      </c>
      <c r="FZ156" s="182">
        <f>'الصفحة 10'!$K$10</f>
        <v>0</v>
      </c>
      <c r="GA156" s="183">
        <f>'الصفحة 10'!$J$11</f>
        <v>0</v>
      </c>
      <c r="GB156" s="182">
        <f>'الصفحة 10'!$K$11</f>
        <v>0</v>
      </c>
      <c r="GC156" s="183">
        <f>'الصفحة 10'!$J$12</f>
        <v>26</v>
      </c>
      <c r="GD156" s="182">
        <f>'الصفحة 10'!$K$12</f>
        <v>17</v>
      </c>
      <c r="GE156" s="183">
        <f>'الصفحة 10'!$J$13</f>
        <v>98</v>
      </c>
      <c r="GF156" s="182">
        <f>'الصفحة 10'!$K$13</f>
        <v>61</v>
      </c>
      <c r="GG156" s="183">
        <f>'الصفحة 10'!$J$14</f>
        <v>22</v>
      </c>
      <c r="GH156" s="182">
        <f>'الصفحة 10'!$K$14</f>
        <v>10</v>
      </c>
      <c r="GI156" s="183">
        <f>'الصفحة 10'!$J$15</f>
        <v>15</v>
      </c>
      <c r="GJ156" s="182">
        <f>'الصفحة 10'!$K$15</f>
        <v>7</v>
      </c>
      <c r="GK156" s="183">
        <f>'الصفحة 10'!$J$16</f>
        <v>2</v>
      </c>
      <c r="GL156" s="182">
        <f>'الصفحة 10'!$K$16</f>
        <v>1</v>
      </c>
      <c r="GM156" s="183">
        <f>'الصفحة 10'!$J$17</f>
        <v>1</v>
      </c>
      <c r="GN156" s="182">
        <f>'الصفحة 10'!$K$17</f>
        <v>0</v>
      </c>
      <c r="GO156" s="183">
        <f>'الصفحة 10'!$J$18</f>
        <v>0</v>
      </c>
      <c r="GP156" s="182">
        <f>'الصفحة 10'!$K$18</f>
        <v>0</v>
      </c>
      <c r="GQ156" s="183">
        <f>'الصفحة 10'!$J$19</f>
        <v>0</v>
      </c>
      <c r="GR156" s="182">
        <f>'الصفحة 10'!$K$19</f>
        <v>0</v>
      </c>
      <c r="GS156" s="73">
        <f>GQ156+GO156+GM156+GK156+GI156+GG156+GE156+GC156+GA156+FY156</f>
        <v>164</v>
      </c>
      <c r="GT156" s="56">
        <f>GR156+GP156+GN156+GL156+GJ156+GH156+GF156+GD156+GB156+FZ156</f>
        <v>96</v>
      </c>
      <c r="GU156" s="183">
        <f>'الصفحة 10'!$J$21</f>
        <v>0</v>
      </c>
      <c r="GV156" s="200">
        <f>'الصفحة 10'!$K$21</f>
        <v>0</v>
      </c>
      <c r="GX156" s="196">
        <f>'الصفحة 10'!$L$10</f>
        <v>0</v>
      </c>
      <c r="GY156" s="194">
        <f>'الصفحة 10'!$M$10</f>
        <v>0</v>
      </c>
      <c r="GZ156" s="195">
        <f>'الصفحة 10'!$L$11</f>
        <v>0</v>
      </c>
      <c r="HA156" s="194">
        <f>'الصفحة 10'!$M$11</f>
        <v>0</v>
      </c>
      <c r="HB156" s="195">
        <f>'الصفحة 10'!$L$12</f>
        <v>0</v>
      </c>
      <c r="HC156" s="194">
        <f>'الصفحة 10'!$M$12</f>
        <v>0</v>
      </c>
      <c r="HD156" s="195">
        <f>'الصفحة 10'!$L$13</f>
        <v>20</v>
      </c>
      <c r="HE156" s="194">
        <f>'الصفحة 10'!$M$13</f>
        <v>6</v>
      </c>
      <c r="HF156" s="195">
        <f>'الصفحة 10'!$L$14</f>
        <v>92</v>
      </c>
      <c r="HG156" s="194">
        <f>'الصفحة 10'!$M$14</f>
        <v>55</v>
      </c>
      <c r="HH156" s="195">
        <f>'الصفحة 10'!$L$15</f>
        <v>33</v>
      </c>
      <c r="HI156" s="194">
        <f>'الصفحة 10'!$M$15</f>
        <v>10</v>
      </c>
      <c r="HJ156" s="195">
        <f>'الصفحة 10'!$L$16</f>
        <v>15</v>
      </c>
      <c r="HK156" s="194">
        <f>'الصفحة 10'!$M$16</f>
        <v>4</v>
      </c>
      <c r="HL156" s="195">
        <f>'الصفحة 10'!$L$17</f>
        <v>3</v>
      </c>
      <c r="HM156" s="194">
        <f>'الصفحة 10'!$M$17</f>
        <v>0</v>
      </c>
      <c r="HN156" s="195">
        <f>'الصفحة 10'!$L$18</f>
        <v>0</v>
      </c>
      <c r="HO156" s="194">
        <f>'الصفحة 10'!$M$18</f>
        <v>0</v>
      </c>
      <c r="HP156" s="195">
        <f>'الصفحة 10'!$L$19</f>
        <v>0</v>
      </c>
      <c r="HQ156" s="194">
        <f>'الصفحة 10'!$M$19</f>
        <v>0</v>
      </c>
      <c r="HR156" s="122">
        <f t="shared" si="0"/>
        <v>163</v>
      </c>
      <c r="HS156" s="50">
        <f t="shared" si="0"/>
        <v>75</v>
      </c>
      <c r="HT156" s="195">
        <f>'الصفحة 10'!$L$21</f>
        <v>0</v>
      </c>
      <c r="HU156" s="206">
        <f>'الصفحة 10'!$M$21</f>
        <v>0</v>
      </c>
      <c r="HW156" s="184">
        <f>'الصفحة 10'!$P$10</f>
        <v>0</v>
      </c>
      <c r="HX156" s="182">
        <f>'الصفحة 10'!$Q$10</f>
        <v>0</v>
      </c>
      <c r="HY156" s="183">
        <f>'الصفحة 10'!$P$11</f>
        <v>0</v>
      </c>
      <c r="HZ156" s="182">
        <f>'الصفحة 10'!$Q$11</f>
        <v>0</v>
      </c>
      <c r="IA156" s="183">
        <f>'الصفحة 10'!$P$12</f>
        <v>0</v>
      </c>
      <c r="IB156" s="182">
        <f>'الصفحة 10'!$Q$12</f>
        <v>0</v>
      </c>
      <c r="IC156" s="183">
        <f>'الصفحة 10'!$P$13</f>
        <v>0</v>
      </c>
      <c r="ID156" s="182">
        <f>'الصفحة 10'!$Q$13</f>
        <v>0</v>
      </c>
      <c r="IE156" s="183">
        <f>'الصفحة 10'!$P$14</f>
        <v>0</v>
      </c>
      <c r="IF156" s="182">
        <f>'الصفحة 10'!$Q$14</f>
        <v>0</v>
      </c>
      <c r="IG156" s="183">
        <f>'الصفحة 10'!$P$15</f>
        <v>0</v>
      </c>
      <c r="IH156" s="182">
        <f>'الصفحة 10'!$Q$15</f>
        <v>0</v>
      </c>
      <c r="II156" s="183">
        <f>'الصفحة 10'!$P$16</f>
        <v>0</v>
      </c>
      <c r="IJ156" s="182">
        <f>'الصفحة 10'!$Q$16</f>
        <v>0</v>
      </c>
      <c r="IK156" s="183">
        <f>'الصفحة 10'!$P$17</f>
        <v>0</v>
      </c>
      <c r="IL156" s="182">
        <f>'الصفحة 10'!$Q$17</f>
        <v>0</v>
      </c>
      <c r="IM156" s="183">
        <f>'الصفحة 10'!$P$18</f>
        <v>0</v>
      </c>
      <c r="IN156" s="182">
        <f>'الصفحة 10'!$Q$18</f>
        <v>0</v>
      </c>
      <c r="IO156" s="183">
        <f>'الصفحة 10'!$P$19</f>
        <v>0</v>
      </c>
      <c r="IP156" s="182">
        <f>'الصفحة 10'!$Q$19</f>
        <v>0</v>
      </c>
      <c r="IQ156" s="73">
        <f>IO156+IM156+IK156+II156+IG156+IE156+IC156+IA156+HY156+HW156</f>
        <v>0</v>
      </c>
      <c r="IR156" s="72">
        <f>IP156+IN156+IL156+IJ156+IH156+IF156+ID156+IB156+HZ156+HX156</f>
        <v>0</v>
      </c>
      <c r="IT156" s="27"/>
      <c r="IV156" s="21"/>
    </row>
    <row r="157" spans="1:256" s="24" customFormat="1" ht="14.1" customHeight="1" thickBot="1">
      <c r="A157" s="23"/>
      <c r="G157" s="106"/>
      <c r="H157" s="106"/>
      <c r="I157" s="106"/>
      <c r="J157" s="106"/>
      <c r="K157" s="106"/>
      <c r="L157" s="106"/>
      <c r="M157" s="106"/>
      <c r="AN157" s="205"/>
      <c r="AY157" s="204">
        <f>'الصفحة 1'!$G$46</f>
        <v>1</v>
      </c>
      <c r="BI157" s="226">
        <f>'الصفحة 1'!$E$67</f>
        <v>0</v>
      </c>
      <c r="BJ157" s="218">
        <f>'الصفحة 1'!$J$67</f>
        <v>0</v>
      </c>
      <c r="BK157" s="218">
        <f>'الصفحة 1'!$S$67</f>
        <v>0</v>
      </c>
      <c r="BL157" s="217">
        <f>'الصفحة 1'!$W$67</f>
        <v>0</v>
      </c>
      <c r="BN157" s="5776" t="e">
        <f>BO156</f>
        <v>#REF!</v>
      </c>
      <c r="BO157" s="5776"/>
      <c r="BR157" s="106"/>
      <c r="BU157" s="223" t="e">
        <f>'الصفحة 1'!#REF!</f>
        <v>#REF!</v>
      </c>
      <c r="CD157" s="221" t="e">
        <f>'الصفحة 1'!#REF!</f>
        <v>#REF!</v>
      </c>
      <c r="CE157" s="218">
        <f>'الصفحة 1'!$J$95</f>
        <v>0</v>
      </c>
      <c r="CF157" s="218">
        <f>'الصفحة 1'!$S$95</f>
        <v>0</v>
      </c>
      <c r="CG157" s="217" t="e">
        <f>'الصفحة 1'!#REF!</f>
        <v>#REF!</v>
      </c>
      <c r="DN157" s="213">
        <f>'الصفحة 1'!$F$79</f>
        <v>0</v>
      </c>
      <c r="DR157" s="211">
        <f>'الصفحة 1'!$F$89</f>
        <v>0</v>
      </c>
      <c r="DS157" s="106"/>
      <c r="DT157" s="144"/>
      <c r="DU157" s="209" t="e">
        <f>#REF!</f>
        <v>#REF!</v>
      </c>
      <c r="DV157" s="208" t="e">
        <f>#REF!</f>
        <v>#REF!</v>
      </c>
      <c r="DW157" s="208" t="e">
        <f>#REF!</f>
        <v>#REF!</v>
      </c>
      <c r="DX157" s="208" t="e">
        <f>#REF!</f>
        <v>#REF!</v>
      </c>
      <c r="DY157" s="207" t="e">
        <f>SUM(DU157:DX157)</f>
        <v>#REF!</v>
      </c>
      <c r="EA157" s="184" t="e">
        <f>#REF!</f>
        <v>#REF!</v>
      </c>
      <c r="EB157" s="182" t="e">
        <f>#REF!</f>
        <v>#REF!</v>
      </c>
      <c r="EC157" s="184" t="e">
        <f>#REF!</f>
        <v>#REF!</v>
      </c>
      <c r="ED157" s="182" t="e">
        <f>#REF!</f>
        <v>#REF!</v>
      </c>
      <c r="EE157" s="183" t="e">
        <f>#REF!</f>
        <v>#REF!</v>
      </c>
      <c r="EF157" s="182" t="e">
        <f>#REF!</f>
        <v>#REF!</v>
      </c>
      <c r="EG157" s="183" t="e">
        <f>#REF!</f>
        <v>#REF!</v>
      </c>
      <c r="EH157" s="182" t="e">
        <f>#REF!</f>
        <v>#REF!</v>
      </c>
      <c r="EI157" s="183" t="e">
        <f>#REF!</f>
        <v>#REF!</v>
      </c>
      <c r="EJ157" s="182" t="e">
        <f>#REF!</f>
        <v>#REF!</v>
      </c>
      <c r="EK157" s="183" t="e">
        <f>#REF!</f>
        <v>#REF!</v>
      </c>
      <c r="EL157" s="182" t="e">
        <f>#REF!</f>
        <v>#REF!</v>
      </c>
      <c r="EM157" s="184" t="e">
        <f>#REF!</f>
        <v>#REF!</v>
      </c>
      <c r="EN157" s="182" t="e">
        <f>#REF!</f>
        <v>#REF!</v>
      </c>
      <c r="EO157" s="183" t="e">
        <f>#REF!</f>
        <v>#REF!</v>
      </c>
      <c r="EP157" s="182" t="e">
        <f>#REF!</f>
        <v>#REF!</v>
      </c>
      <c r="EQ157" s="183" t="e">
        <f>#REF!</f>
        <v>#REF!</v>
      </c>
      <c r="ER157" s="182" t="e">
        <f>#REF!</f>
        <v>#REF!</v>
      </c>
      <c r="ES157" s="183" t="e">
        <f>#REF!</f>
        <v>#REF!</v>
      </c>
      <c r="ET157" s="182" t="e">
        <f>#REF!</f>
        <v>#REF!</v>
      </c>
      <c r="EU157" s="73" t="e">
        <f>ES157+EQ157+EO157+EM157+EK157+EI157+EG157+EE157+EC157+EA157</f>
        <v>#REF!</v>
      </c>
      <c r="EV157" s="56" t="e">
        <f>ET157+ER157+EP157+EN157+EL157+EJ157+EH157+EF157+ED157+EB157</f>
        <v>#REF!</v>
      </c>
      <c r="EW157" s="183" t="e">
        <f>#REF!</f>
        <v>#REF!</v>
      </c>
      <c r="EX157" s="200" t="e">
        <f>#REF!</f>
        <v>#REF!</v>
      </c>
      <c r="EZ157" s="184" t="e">
        <f>#REF!</f>
        <v>#REF!</v>
      </c>
      <c r="FA157" s="182" t="e">
        <f>#REF!</f>
        <v>#REF!</v>
      </c>
      <c r="FB157" s="184" t="e">
        <f>#REF!</f>
        <v>#REF!</v>
      </c>
      <c r="FC157" s="182" t="e">
        <f>#REF!</f>
        <v>#REF!</v>
      </c>
      <c r="FD157" s="183" t="e">
        <f>#REF!</f>
        <v>#REF!</v>
      </c>
      <c r="FE157" s="182" t="e">
        <f>#REF!</f>
        <v>#REF!</v>
      </c>
      <c r="FF157" s="183" t="e">
        <f>#REF!</f>
        <v>#REF!</v>
      </c>
      <c r="FG157" s="182" t="e">
        <f>#REF!</f>
        <v>#REF!</v>
      </c>
      <c r="FH157" s="183" t="e">
        <f>#REF!</f>
        <v>#REF!</v>
      </c>
      <c r="FI157" s="182" t="e">
        <f>#REF!</f>
        <v>#REF!</v>
      </c>
      <c r="FJ157" s="183" t="e">
        <f>#REF!</f>
        <v>#REF!</v>
      </c>
      <c r="FK157" s="182" t="e">
        <f>#REF!</f>
        <v>#REF!</v>
      </c>
      <c r="FL157" s="184" t="e">
        <f>#REF!</f>
        <v>#REF!</v>
      </c>
      <c r="FM157" s="182" t="e">
        <f>#REF!</f>
        <v>#REF!</v>
      </c>
      <c r="FN157" s="183" t="e">
        <f>#REF!</f>
        <v>#REF!</v>
      </c>
      <c r="FO157" s="182" t="e">
        <f>#REF!</f>
        <v>#REF!</v>
      </c>
      <c r="FP157" s="183" t="e">
        <f>#REF!</f>
        <v>#REF!</v>
      </c>
      <c r="FQ157" s="182" t="e">
        <f>#REF!</f>
        <v>#REF!</v>
      </c>
      <c r="FR157" s="183" t="e">
        <f>#REF!</f>
        <v>#REF!</v>
      </c>
      <c r="FS157" s="182" t="e">
        <f>#REF!</f>
        <v>#REF!</v>
      </c>
      <c r="FT157" s="73" t="e">
        <f>FR157+FP157+FN157+FL157+FJ157+FH157+FF157+FD157+FB157+EZ157</f>
        <v>#REF!</v>
      </c>
      <c r="FU157" s="56" t="e">
        <f>FS157+FQ157+FO157+FM157+FK157+FI157+FG157+FE157+FC157+FA157</f>
        <v>#REF!</v>
      </c>
      <c r="FV157" s="183" t="e">
        <f>#REF!</f>
        <v>#REF!</v>
      </c>
      <c r="FW157" s="200" t="e">
        <f>#REF!</f>
        <v>#REF!</v>
      </c>
      <c r="FY157" s="184" t="e">
        <f>#REF!</f>
        <v>#REF!</v>
      </c>
      <c r="FZ157" s="182" t="e">
        <f>#REF!</f>
        <v>#REF!</v>
      </c>
      <c r="GA157" s="184" t="e">
        <f>#REF!</f>
        <v>#REF!</v>
      </c>
      <c r="GB157" s="182" t="e">
        <f>#REF!</f>
        <v>#REF!</v>
      </c>
      <c r="GC157" s="183" t="e">
        <f>#REF!</f>
        <v>#REF!</v>
      </c>
      <c r="GD157" s="182" t="e">
        <f>#REF!</f>
        <v>#REF!</v>
      </c>
      <c r="GE157" s="183" t="e">
        <f>#REF!</f>
        <v>#REF!</v>
      </c>
      <c r="GF157" s="182" t="e">
        <f>#REF!</f>
        <v>#REF!</v>
      </c>
      <c r="GG157" s="183" t="e">
        <f>#REF!</f>
        <v>#REF!</v>
      </c>
      <c r="GH157" s="182" t="e">
        <f>#REF!</f>
        <v>#REF!</v>
      </c>
      <c r="GI157" s="183" t="e">
        <f>#REF!</f>
        <v>#REF!</v>
      </c>
      <c r="GJ157" s="182" t="e">
        <f>#REF!</f>
        <v>#REF!</v>
      </c>
      <c r="GK157" s="184" t="e">
        <f>#REF!</f>
        <v>#REF!</v>
      </c>
      <c r="GL157" s="182" t="e">
        <f>#REF!</f>
        <v>#REF!</v>
      </c>
      <c r="GM157" s="183" t="e">
        <f>#REF!</f>
        <v>#REF!</v>
      </c>
      <c r="GN157" s="182" t="e">
        <f>#REF!</f>
        <v>#REF!</v>
      </c>
      <c r="GO157" s="183" t="e">
        <f>#REF!</f>
        <v>#REF!</v>
      </c>
      <c r="GP157" s="182" t="e">
        <f>#REF!</f>
        <v>#REF!</v>
      </c>
      <c r="GQ157" s="183" t="e">
        <f>#REF!</f>
        <v>#REF!</v>
      </c>
      <c r="GR157" s="182" t="e">
        <f>#REF!</f>
        <v>#REF!</v>
      </c>
      <c r="GS157" s="73" t="e">
        <f>GQ157+GO157+GM157+GK157+GI157+GG157+GE157+GC157+GA157+FY157</f>
        <v>#REF!</v>
      </c>
      <c r="GT157" s="56" t="e">
        <f>GR157+GP157+GN157+GL157+GJ157+GH157+GF157+GD157+GB157+FZ157</f>
        <v>#REF!</v>
      </c>
      <c r="GU157" s="183" t="e">
        <f>#REF!</f>
        <v>#REF!</v>
      </c>
      <c r="GV157" s="200" t="e">
        <f>#REF!</f>
        <v>#REF!</v>
      </c>
      <c r="GX157" s="184" t="e">
        <f>#REF!</f>
        <v>#REF!</v>
      </c>
      <c r="GY157" s="182" t="e">
        <f>#REF!</f>
        <v>#REF!</v>
      </c>
      <c r="GZ157" s="184" t="e">
        <f>#REF!</f>
        <v>#REF!</v>
      </c>
      <c r="HA157" s="182" t="e">
        <f>#REF!</f>
        <v>#REF!</v>
      </c>
      <c r="HB157" s="183" t="e">
        <f>#REF!</f>
        <v>#REF!</v>
      </c>
      <c r="HC157" s="182" t="e">
        <f>#REF!</f>
        <v>#REF!</v>
      </c>
      <c r="HD157" s="183" t="e">
        <f>#REF!</f>
        <v>#REF!</v>
      </c>
      <c r="HE157" s="182" t="e">
        <f>#REF!</f>
        <v>#REF!</v>
      </c>
      <c r="HF157" s="183" t="e">
        <f>#REF!</f>
        <v>#REF!</v>
      </c>
      <c r="HG157" s="182" t="e">
        <f>#REF!</f>
        <v>#REF!</v>
      </c>
      <c r="HH157" s="183" t="e">
        <f>#REF!</f>
        <v>#REF!</v>
      </c>
      <c r="HI157" s="182" t="e">
        <f>#REF!</f>
        <v>#REF!</v>
      </c>
      <c r="HJ157" s="184" t="e">
        <f>#REF!</f>
        <v>#REF!</v>
      </c>
      <c r="HK157" s="182" t="e">
        <f>#REF!</f>
        <v>#REF!</v>
      </c>
      <c r="HL157" s="183" t="e">
        <f>#REF!</f>
        <v>#REF!</v>
      </c>
      <c r="HM157" s="182" t="e">
        <f>#REF!</f>
        <v>#REF!</v>
      </c>
      <c r="HN157" s="183" t="e">
        <f>#REF!</f>
        <v>#REF!</v>
      </c>
      <c r="HO157" s="182" t="e">
        <f>#REF!</f>
        <v>#REF!</v>
      </c>
      <c r="HP157" s="183" t="e">
        <f>#REF!</f>
        <v>#REF!</v>
      </c>
      <c r="HQ157" s="182" t="e">
        <f>#REF!</f>
        <v>#REF!</v>
      </c>
      <c r="HR157" s="73" t="e">
        <f t="shared" si="0"/>
        <v>#REF!</v>
      </c>
      <c r="HS157" s="56" t="e">
        <f t="shared" si="0"/>
        <v>#REF!</v>
      </c>
      <c r="HT157" s="183" t="e">
        <f>#REF!</f>
        <v>#REF!</v>
      </c>
      <c r="HU157" s="200" t="e">
        <f>#REF!</f>
        <v>#REF!</v>
      </c>
      <c r="HW157" s="184" t="e">
        <f>#REF!</f>
        <v>#REF!</v>
      </c>
      <c r="HX157" s="182" t="e">
        <f>#REF!</f>
        <v>#REF!</v>
      </c>
      <c r="HY157" s="183" t="e">
        <f>#REF!</f>
        <v>#REF!</v>
      </c>
      <c r="HZ157" s="182" t="e">
        <f>#REF!</f>
        <v>#REF!</v>
      </c>
      <c r="IA157" s="183" t="e">
        <f>#REF!</f>
        <v>#REF!</v>
      </c>
      <c r="IB157" s="182" t="e">
        <f>#REF!</f>
        <v>#REF!</v>
      </c>
      <c r="IC157" s="183" t="e">
        <f>#REF!</f>
        <v>#REF!</v>
      </c>
      <c r="ID157" s="182" t="e">
        <f>#REF!</f>
        <v>#REF!</v>
      </c>
      <c r="IE157" s="183" t="e">
        <f>#REF!</f>
        <v>#REF!</v>
      </c>
      <c r="IF157" s="182" t="e">
        <f>#REF!</f>
        <v>#REF!</v>
      </c>
      <c r="IG157" s="184" t="e">
        <f>#REF!</f>
        <v>#REF!</v>
      </c>
      <c r="IH157" s="182" t="e">
        <f>#REF!</f>
        <v>#REF!</v>
      </c>
      <c r="II157" s="183" t="e">
        <f>#REF!</f>
        <v>#REF!</v>
      </c>
      <c r="IJ157" s="182" t="e">
        <f>#REF!</f>
        <v>#REF!</v>
      </c>
      <c r="IK157" s="183" t="e">
        <f>#REF!</f>
        <v>#REF!</v>
      </c>
      <c r="IL157" s="182" t="e">
        <f>#REF!</f>
        <v>#REF!</v>
      </c>
      <c r="IM157" s="183" t="e">
        <f>#REF!</f>
        <v>#REF!</v>
      </c>
      <c r="IN157" s="182" t="e">
        <f>#REF!</f>
        <v>#REF!</v>
      </c>
      <c r="IO157" s="183" t="e">
        <f>#REF!</f>
        <v>#REF!</v>
      </c>
      <c r="IP157" s="182" t="e">
        <f>#REF!</f>
        <v>#REF!</v>
      </c>
      <c r="IQ157" s="73" t="e">
        <f>IO157+IM157+IK157+II157+IG157+IE157+IC157+IA157+HY157+HW157</f>
        <v>#REF!</v>
      </c>
      <c r="IR157" s="56" t="e">
        <f>IP157+IN157+IL157+IJ157+IH157+IF157+ID157+IB157+HZ157+HX157</f>
        <v>#REF!</v>
      </c>
      <c r="IS157" s="183" t="e">
        <f>#REF!</f>
        <v>#REF!</v>
      </c>
      <c r="IT157" s="200" t="e">
        <f>#REF!</f>
        <v>#REF!</v>
      </c>
      <c r="IV157" s="21"/>
    </row>
    <row r="158" spans="1:256" s="24" customFormat="1" ht="6" customHeight="1">
      <c r="A158" s="23"/>
      <c r="B158" s="22"/>
      <c r="C158" s="22"/>
      <c r="D158" s="22"/>
      <c r="E158" s="22"/>
      <c r="F158" s="22"/>
      <c r="G158" s="22"/>
      <c r="H158" s="22"/>
      <c r="I158" s="22"/>
      <c r="J158" s="22"/>
      <c r="K158" s="22"/>
      <c r="L158" s="22"/>
      <c r="M158" s="22"/>
      <c r="N158" s="22"/>
      <c r="O158" s="22"/>
      <c r="P158" s="22"/>
      <c r="Q158" s="22"/>
      <c r="R158" s="22"/>
      <c r="S158" s="22"/>
      <c r="T158" s="22"/>
      <c r="U158" s="22"/>
      <c r="V158" s="22"/>
      <c r="W158" s="22"/>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c r="HI158" s="21"/>
      <c r="HJ158" s="21"/>
      <c r="HK158" s="21"/>
      <c r="HL158" s="21"/>
      <c r="HM158" s="21"/>
      <c r="HN158" s="21"/>
      <c r="HO158" s="21"/>
      <c r="HP158" s="21"/>
      <c r="HQ158" s="21"/>
      <c r="HR158" s="21"/>
      <c r="HS158" s="21"/>
      <c r="HT158" s="21"/>
      <c r="HU158" s="21"/>
      <c r="HV158" s="21"/>
      <c r="HW158" s="21"/>
      <c r="HX158" s="21"/>
      <c r="HY158" s="21"/>
      <c r="HZ158" s="21"/>
      <c r="IA158" s="21"/>
      <c r="IB158" s="21"/>
      <c r="IC158" s="21"/>
      <c r="ID158" s="21"/>
      <c r="IE158" s="21"/>
      <c r="IF158" s="21"/>
      <c r="IG158" s="21"/>
      <c r="IH158" s="21"/>
      <c r="II158" s="21"/>
      <c r="IJ158" s="21"/>
      <c r="IK158" s="21"/>
      <c r="IL158" s="21"/>
      <c r="IM158" s="21"/>
      <c r="IN158" s="21"/>
      <c r="IO158" s="21"/>
      <c r="IP158" s="21"/>
      <c r="IQ158" s="21"/>
      <c r="IR158" s="21"/>
      <c r="IS158" s="21"/>
      <c r="IT158" s="21"/>
      <c r="IV158" s="21"/>
    </row>
    <row r="159" spans="1:256" s="24" customFormat="1" ht="15" customHeight="1">
      <c r="A159" s="23"/>
      <c r="B159" s="170" t="s">
        <v>300</v>
      </c>
      <c r="C159" s="84"/>
      <c r="D159" s="84"/>
      <c r="E159" s="84"/>
      <c r="F159" s="82"/>
      <c r="G159" s="82"/>
      <c r="H159" s="82"/>
      <c r="I159" s="193"/>
      <c r="J159" s="203"/>
      <c r="K159" s="203"/>
      <c r="L159" s="193"/>
      <c r="M159" s="193"/>
      <c r="O159" s="82"/>
      <c r="P159" s="82"/>
      <c r="Q159" s="82"/>
      <c r="R159" s="82"/>
      <c r="S159" s="82"/>
      <c r="T159" s="82"/>
      <c r="U159" s="82"/>
      <c r="V159" s="82"/>
      <c r="W159" s="82"/>
      <c r="X159" s="5129" t="s">
        <v>25</v>
      </c>
      <c r="Y159" s="5129"/>
      <c r="Z159" s="82"/>
      <c r="AA159" s="170" t="s">
        <v>299</v>
      </c>
      <c r="AB159" s="84"/>
      <c r="AC159" s="84"/>
      <c r="AD159" s="84"/>
      <c r="AE159" s="84"/>
      <c r="AF159" s="84"/>
      <c r="AG159" s="82"/>
      <c r="AH159" s="82"/>
      <c r="AI159" s="82"/>
      <c r="AJ159" s="84"/>
      <c r="AN159" s="193"/>
      <c r="AP159" s="82"/>
      <c r="AQ159" s="82"/>
      <c r="AR159" s="82"/>
      <c r="AS159" s="82"/>
      <c r="AT159" s="82"/>
      <c r="AU159" s="82"/>
      <c r="AV159" s="82"/>
      <c r="AW159" s="5129" t="s">
        <v>191</v>
      </c>
      <c r="AX159" s="5129"/>
      <c r="AZ159" s="170" t="s">
        <v>299</v>
      </c>
      <c r="BA159" s="82"/>
      <c r="BB159" s="82"/>
      <c r="BC159" s="84"/>
      <c r="BD159" s="84"/>
      <c r="BE159" s="84"/>
      <c r="BF159" s="84"/>
      <c r="BG159" s="84"/>
      <c r="BH159" s="82"/>
      <c r="BI159" s="82"/>
      <c r="BJ159" s="82"/>
      <c r="BO159" s="193"/>
      <c r="BQ159" s="82"/>
      <c r="BR159" s="82"/>
      <c r="BS159" s="82"/>
      <c r="BT159" s="82"/>
      <c r="BU159" s="82"/>
      <c r="BV159" s="5129" t="s">
        <v>190</v>
      </c>
      <c r="BW159" s="5129"/>
      <c r="BX159" s="82"/>
      <c r="BY159" s="170" t="s">
        <v>299</v>
      </c>
      <c r="BZ159" s="82"/>
      <c r="CA159" s="82"/>
      <c r="CB159" s="82"/>
      <c r="CC159" s="82"/>
      <c r="CD159" s="84"/>
      <c r="CE159" s="84"/>
      <c r="CF159" s="84"/>
      <c r="CG159" s="84"/>
      <c r="CH159" s="84"/>
      <c r="CI159" s="82"/>
      <c r="CJ159" s="82"/>
      <c r="CK159" s="82"/>
      <c r="CP159" s="193"/>
      <c r="CR159" s="82"/>
      <c r="CS159" s="5129" t="s">
        <v>188</v>
      </c>
      <c r="CT159" s="5129"/>
      <c r="CU159" s="5141" t="s">
        <v>187</v>
      </c>
      <c r="CV159" s="5141"/>
      <c r="CX159" s="170" t="s">
        <v>298</v>
      </c>
      <c r="CY159" s="82"/>
      <c r="CZ159" s="82"/>
      <c r="DA159" s="82"/>
      <c r="DB159" s="82"/>
      <c r="DC159" s="82"/>
      <c r="DD159" s="82"/>
      <c r="DE159" s="82"/>
      <c r="DF159" s="82"/>
      <c r="DG159" s="82"/>
      <c r="DH159" s="82"/>
      <c r="DI159" s="82"/>
      <c r="DJ159" s="82"/>
      <c r="DK159" s="82"/>
      <c r="DL159" s="84"/>
      <c r="DM159" s="84"/>
      <c r="DN159" s="84"/>
      <c r="DO159" s="84"/>
      <c r="DP159" s="84"/>
      <c r="DQ159" s="82"/>
      <c r="DR159" s="5129" t="s">
        <v>297</v>
      </c>
      <c r="DS159" s="5129"/>
      <c r="DU159" s="170" t="s">
        <v>296</v>
      </c>
      <c r="DX159" s="188"/>
      <c r="DZ159" s="82"/>
      <c r="EA159" s="78"/>
      <c r="EB159" s="78"/>
      <c r="EC159" s="78"/>
      <c r="ED159" s="78"/>
      <c r="EE159" s="78"/>
      <c r="EF159" s="78"/>
      <c r="EG159" s="78"/>
      <c r="EH159" s="78"/>
      <c r="EI159" s="78"/>
      <c r="EJ159" s="78"/>
      <c r="EK159" s="78"/>
      <c r="EL159" s="78"/>
      <c r="EM159" s="78"/>
      <c r="EN159" s="78"/>
      <c r="EO159" s="78"/>
      <c r="EP159" s="78"/>
      <c r="EQ159" s="78"/>
      <c r="ER159" s="78"/>
      <c r="ES159" s="78"/>
      <c r="ET159" s="78"/>
      <c r="EZ159" s="187" t="s">
        <v>295</v>
      </c>
      <c r="FA159" s="78"/>
      <c r="FC159" s="78"/>
      <c r="FD159" s="189"/>
      <c r="FE159" s="189"/>
      <c r="FG159" s="82"/>
      <c r="FH159" s="82"/>
      <c r="FI159" s="82"/>
      <c r="FJ159" s="82"/>
      <c r="FK159" s="82"/>
      <c r="FL159" s="82"/>
      <c r="FM159" s="82"/>
      <c r="FN159" s="82"/>
      <c r="FO159" s="82"/>
      <c r="FP159" s="82"/>
      <c r="FQ159" s="82"/>
      <c r="FR159" s="82"/>
      <c r="FS159" s="82"/>
      <c r="FT159" s="5129" t="s">
        <v>25</v>
      </c>
      <c r="FU159" s="5129"/>
      <c r="FW159" s="187" t="s">
        <v>294</v>
      </c>
      <c r="FZ159" s="82"/>
      <c r="GB159" s="84"/>
      <c r="GC159" s="82"/>
      <c r="GD159" s="82"/>
      <c r="GE159" s="84"/>
      <c r="GF159" s="84"/>
      <c r="GH159" s="82"/>
      <c r="GI159" s="82"/>
      <c r="GJ159" s="82"/>
      <c r="GK159" s="82"/>
      <c r="GL159" s="82"/>
      <c r="GM159" s="82"/>
      <c r="GN159" s="82"/>
      <c r="GO159" s="82"/>
      <c r="GP159" s="82"/>
      <c r="GQ159" s="5129" t="s">
        <v>191</v>
      </c>
      <c r="GR159" s="5129"/>
      <c r="GT159" s="187" t="s">
        <v>294</v>
      </c>
      <c r="GU159" s="84"/>
      <c r="HI159" s="82"/>
      <c r="HJ159" s="82"/>
      <c r="HK159" s="82"/>
      <c r="HL159" s="82"/>
      <c r="HM159" s="82"/>
      <c r="HN159" s="5129" t="s">
        <v>190</v>
      </c>
      <c r="HO159" s="5129"/>
      <c r="HQ159" s="187" t="s">
        <v>294</v>
      </c>
      <c r="HR159" s="82"/>
      <c r="HT159" s="82"/>
      <c r="HU159" s="82"/>
      <c r="HX159" s="84"/>
      <c r="HZ159" s="84"/>
      <c r="IA159" s="82"/>
      <c r="IB159" s="84"/>
      <c r="IC159" s="82"/>
      <c r="ID159" s="84"/>
      <c r="IE159" s="82"/>
      <c r="IJ159" s="82"/>
      <c r="IK159" s="5129" t="s">
        <v>188</v>
      </c>
      <c r="IL159" s="5129"/>
      <c r="IM159" s="5141" t="s">
        <v>187</v>
      </c>
      <c r="IN159" s="5141"/>
      <c r="IV159" s="21"/>
    </row>
    <row r="160" spans="1:256" s="24" customFormat="1" ht="8.1" customHeight="1" thickBot="1">
      <c r="A160" s="23"/>
      <c r="B160" s="145"/>
      <c r="C160" s="93"/>
      <c r="D160" s="93"/>
      <c r="E160" s="93"/>
      <c r="F160" s="144"/>
      <c r="G160" s="144"/>
      <c r="H160" s="144"/>
      <c r="I160" s="193"/>
      <c r="J160" s="203"/>
      <c r="K160" s="203"/>
      <c r="L160" s="193"/>
      <c r="M160" s="193"/>
      <c r="N160" s="77"/>
      <c r="O160" s="144"/>
      <c r="P160" s="144"/>
      <c r="Q160" s="144"/>
      <c r="R160" s="144"/>
      <c r="S160" s="144"/>
      <c r="T160" s="144"/>
      <c r="U160" s="144"/>
      <c r="V160" s="144"/>
      <c r="W160" s="144"/>
      <c r="X160" s="202"/>
      <c r="Y160" s="202"/>
      <c r="Z160" s="144"/>
      <c r="AA160" s="145"/>
      <c r="AB160" s="93"/>
      <c r="AC160" s="93"/>
      <c r="AD160" s="93"/>
      <c r="AE160" s="93"/>
      <c r="AF160" s="93"/>
      <c r="AG160" s="144"/>
      <c r="AH160" s="144"/>
      <c r="AI160" s="144"/>
      <c r="AJ160" s="93"/>
      <c r="AK160" s="77"/>
      <c r="AL160" s="77"/>
      <c r="AM160" s="77"/>
      <c r="AN160" s="193"/>
      <c r="AO160" s="77"/>
      <c r="AP160" s="144"/>
      <c r="AQ160" s="144"/>
      <c r="AR160" s="144"/>
      <c r="AS160" s="144"/>
      <c r="AT160" s="144"/>
      <c r="AU160" s="144"/>
      <c r="AV160" s="144"/>
      <c r="AW160" s="202"/>
      <c r="AX160" s="202"/>
      <c r="AZ160" s="145"/>
      <c r="BA160" s="144"/>
      <c r="BB160" s="144"/>
      <c r="BC160" s="93"/>
      <c r="BD160" s="93"/>
      <c r="BE160" s="93"/>
      <c r="BF160" s="93"/>
      <c r="BG160" s="93"/>
      <c r="BH160" s="144"/>
      <c r="BI160" s="144"/>
      <c r="BJ160" s="144"/>
      <c r="BK160" s="77"/>
      <c r="BL160" s="77"/>
      <c r="BM160" s="77"/>
      <c r="BN160" s="77"/>
      <c r="BO160" s="193"/>
      <c r="BP160" s="77"/>
      <c r="BQ160" s="144"/>
      <c r="BR160" s="144"/>
      <c r="BS160" s="144"/>
      <c r="BT160" s="144"/>
      <c r="BU160" s="144"/>
      <c r="BV160" s="202"/>
      <c r="BW160" s="202"/>
      <c r="BX160" s="144"/>
      <c r="BY160" s="145"/>
      <c r="BZ160" s="144"/>
      <c r="CA160" s="144"/>
      <c r="CB160" s="144"/>
      <c r="CC160" s="144"/>
      <c r="CD160" s="93"/>
      <c r="CE160" s="93"/>
      <c r="CF160" s="93"/>
      <c r="CG160" s="93"/>
      <c r="CH160" s="93"/>
      <c r="CI160" s="144"/>
      <c r="CJ160" s="144"/>
      <c r="CK160" s="144"/>
      <c r="CL160" s="77"/>
      <c r="CM160" s="77"/>
      <c r="CN160" s="77"/>
      <c r="CO160" s="77"/>
      <c r="CP160" s="193"/>
      <c r="CQ160" s="77"/>
      <c r="CR160" s="144"/>
      <c r="CS160" s="144"/>
      <c r="CT160" s="144"/>
      <c r="CU160" s="202"/>
      <c r="CV160" s="202"/>
      <c r="CX160" s="201"/>
      <c r="CY160" s="186"/>
      <c r="CZ160" s="186"/>
      <c r="DA160" s="186"/>
      <c r="DB160" s="186"/>
      <c r="DC160" s="186"/>
      <c r="DD160" s="186"/>
      <c r="DE160" s="186"/>
      <c r="DF160" s="186"/>
      <c r="DG160" s="186"/>
      <c r="DH160" s="186"/>
      <c r="DI160" s="186"/>
      <c r="DJ160" s="186"/>
      <c r="DK160" s="186"/>
      <c r="DL160" s="80"/>
      <c r="DM160" s="80"/>
      <c r="DN160" s="80"/>
      <c r="DO160" s="80"/>
      <c r="DP160" s="80"/>
      <c r="DQ160" s="186"/>
      <c r="DR160" s="186"/>
      <c r="DS160" s="186"/>
      <c r="IV160" s="21"/>
    </row>
    <row r="161" spans="1:256" s="24" customFormat="1" ht="14.1" customHeight="1" thickBot="1">
      <c r="A161" s="35">
        <v>2</v>
      </c>
      <c r="B161" s="184">
        <f>'الصفحة 10'!$F$27</f>
        <v>0</v>
      </c>
      <c r="C161" s="182">
        <f>'الصفحة 10'!$G$27</f>
        <v>0</v>
      </c>
      <c r="D161" s="183">
        <f>'الصفحة 10'!$F$28</f>
        <v>4</v>
      </c>
      <c r="E161" s="182">
        <f>'الصفحة 10'!$G$28</f>
        <v>0</v>
      </c>
      <c r="F161" s="183">
        <f>'الصفحة 10'!$F$29</f>
        <v>10</v>
      </c>
      <c r="G161" s="182">
        <f>'الصفحة 10'!$G$29</f>
        <v>3</v>
      </c>
      <c r="H161" s="183">
        <f>'الصفحة 10'!$F$30</f>
        <v>11</v>
      </c>
      <c r="I161" s="182">
        <f>'الصفحة 10'!$G$30</f>
        <v>2</v>
      </c>
      <c r="J161" s="183">
        <f>'الصفحة 10'!$F$31</f>
        <v>9</v>
      </c>
      <c r="K161" s="182">
        <f>'الصفحة 10'!$G$31</f>
        <v>1</v>
      </c>
      <c r="L161" s="183">
        <f>'الصفحة 10'!$F$32</f>
        <v>4</v>
      </c>
      <c r="M161" s="182">
        <f>'الصفحة 10'!$G$32</f>
        <v>0</v>
      </c>
      <c r="N161" s="183">
        <f>'الصفحة 10'!$F$33</f>
        <v>1</v>
      </c>
      <c r="O161" s="182">
        <f>'الصفحة 10'!$G$33</f>
        <v>0</v>
      </c>
      <c r="P161" s="183">
        <f>'الصفحة 10'!$F$34</f>
        <v>0</v>
      </c>
      <c r="Q161" s="182">
        <f>'الصفحة 10'!$G$34</f>
        <v>0</v>
      </c>
      <c r="R161" s="183">
        <f>'الصفحة 10'!$F$35</f>
        <v>0</v>
      </c>
      <c r="S161" s="182">
        <f>'الصفحة 10'!$G$35</f>
        <v>0</v>
      </c>
      <c r="T161" s="183">
        <f>'الصفحة 10'!$F$36</f>
        <v>0</v>
      </c>
      <c r="U161" s="182">
        <f>'الصفحة 10'!$G$36</f>
        <v>0</v>
      </c>
      <c r="V161" s="73">
        <f>T161+R161+P161+N161+L161+J161+H161+F161+D161+B161</f>
        <v>39</v>
      </c>
      <c r="W161" s="56">
        <f>U161+S161+Q161+O161+M161+K161+I161+G161+E161+C161</f>
        <v>6</v>
      </c>
      <c r="X161" s="183">
        <f>'الصفحة 10'!$F$38</f>
        <v>0</v>
      </c>
      <c r="Y161" s="200">
        <f>'الصفحة 10'!$G$38</f>
        <v>0</v>
      </c>
      <c r="AA161" s="184">
        <f>'الصفحة 10'!$H$27</f>
        <v>0</v>
      </c>
      <c r="AB161" s="182">
        <f>'الصفحة 10'!$I$27</f>
        <v>0</v>
      </c>
      <c r="AC161" s="183">
        <f>'الصفحة 10'!$H$28</f>
        <v>0</v>
      </c>
      <c r="AD161" s="182">
        <f>'الصفحة 10'!$I$28</f>
        <v>0</v>
      </c>
      <c r="AE161" s="183">
        <f>'الصفحة 10'!$H$29</f>
        <v>0</v>
      </c>
      <c r="AF161" s="182">
        <f>'الصفحة 10'!$I$29</f>
        <v>0</v>
      </c>
      <c r="AG161" s="183">
        <f>'الصفحة 10'!$H$30</f>
        <v>26</v>
      </c>
      <c r="AH161" s="182">
        <f>'الصفحة 10'!$I$30</f>
        <v>4</v>
      </c>
      <c r="AI161" s="183">
        <f>'الصفحة 10'!$H$31</f>
        <v>0</v>
      </c>
      <c r="AJ161" s="182">
        <f>'الصفحة 10'!$I$31</f>
        <v>0</v>
      </c>
      <c r="AK161" s="183">
        <f>'الصفحة 10'!$H$32</f>
        <v>0</v>
      </c>
      <c r="AL161" s="182">
        <f>'الصفحة 10'!$I$32</f>
        <v>0</v>
      </c>
      <c r="AM161" s="183">
        <f>'الصفحة 10'!$H$33</f>
        <v>0</v>
      </c>
      <c r="AN161" s="182">
        <f>'الصفحة 10'!$I$33</f>
        <v>0</v>
      </c>
      <c r="AO161" s="183">
        <f>'الصفحة 10'!$H$34</f>
        <v>0</v>
      </c>
      <c r="AP161" s="182">
        <f>'الصفحة 10'!$I$34</f>
        <v>0</v>
      </c>
      <c r="AQ161" s="183">
        <f>'الصفحة 10'!$H$35</f>
        <v>0</v>
      </c>
      <c r="AR161" s="182">
        <f>'الصفحة 10'!$I$35</f>
        <v>0</v>
      </c>
      <c r="AS161" s="183">
        <f>'الصفحة 10'!$H$36</f>
        <v>0</v>
      </c>
      <c r="AT161" s="182">
        <f>'الصفحة 10'!$I$36</f>
        <v>0</v>
      </c>
      <c r="AU161" s="73">
        <f>AS161+AQ161+AO161+AM161+AK161+AI161+AG161+AE161+AC161+AA161</f>
        <v>26</v>
      </c>
      <c r="AV161" s="56">
        <f>AT161+AR161+AP161+AN161+AL161+AJ161+AH161+AF161+AD161+AB161</f>
        <v>4</v>
      </c>
      <c r="AW161" s="183">
        <f>'الصفحة 10'!$H$38</f>
        <v>0</v>
      </c>
      <c r="AX161" s="200">
        <f>'الصفحة 10'!$I$38</f>
        <v>0</v>
      </c>
      <c r="AZ161" s="184">
        <f>'الصفحة 10'!$J$27</f>
        <v>0</v>
      </c>
      <c r="BA161" s="182">
        <f>'الصفحة 10'!$K$27</f>
        <v>0</v>
      </c>
      <c r="BB161" s="183">
        <f>'الصفحة 10'!$J$28</f>
        <v>0</v>
      </c>
      <c r="BC161" s="182">
        <f>'الصفحة 10'!$K$28</f>
        <v>0</v>
      </c>
      <c r="BD161" s="183">
        <f>'الصفحة 10'!$J$29</f>
        <v>0</v>
      </c>
      <c r="BE161" s="182">
        <f>'الصفحة 10'!$K$29</f>
        <v>0</v>
      </c>
      <c r="BF161" s="183">
        <f>'الصفحة 10'!$J$30</f>
        <v>0</v>
      </c>
      <c r="BG161" s="182">
        <f>'الصفحة 10'!$K$30</f>
        <v>0</v>
      </c>
      <c r="BH161" s="183">
        <f>'الصفحة 10'!$J$31</f>
        <v>13</v>
      </c>
      <c r="BI161" s="182">
        <f>'الصفحة 10'!$K$31</f>
        <v>2</v>
      </c>
      <c r="BJ161" s="183">
        <f>'الصفحة 10'!$J$32</f>
        <v>0</v>
      </c>
      <c r="BK161" s="182">
        <f>'الصفحة 10'!$K$32</f>
        <v>0</v>
      </c>
      <c r="BL161" s="183">
        <f>'الصفحة 10'!$J$33</f>
        <v>0</v>
      </c>
      <c r="BM161" s="182">
        <f>'الصفحة 10'!$K$33</f>
        <v>0</v>
      </c>
      <c r="BN161" s="183">
        <f>'الصفحة 10'!$J$34</f>
        <v>0</v>
      </c>
      <c r="BO161" s="182">
        <f>'الصفحة 10'!$K$34</f>
        <v>0</v>
      </c>
      <c r="BP161" s="183">
        <f>'الصفحة 10'!$J$35</f>
        <v>0</v>
      </c>
      <c r="BQ161" s="182">
        <f>'الصفحة 10'!$K$35</f>
        <v>0</v>
      </c>
      <c r="BR161" s="183">
        <f>'الصفحة 10'!$J$36</f>
        <v>0</v>
      </c>
      <c r="BS161" s="182">
        <f>'الصفحة 10'!$K$36</f>
        <v>0</v>
      </c>
      <c r="BT161" s="73">
        <f>BR161+BP161+BN161+BL161+BJ161+BH161+BF161+BD161+BB161+AZ161</f>
        <v>13</v>
      </c>
      <c r="BU161" s="56">
        <f>BS161+BQ161+BO161+BM161+BK161+BI161+BG161+BE161+BC161+BA161</f>
        <v>2</v>
      </c>
      <c r="BV161" s="183">
        <f>'الصفحة 10'!$J$38</f>
        <v>0</v>
      </c>
      <c r="BW161" s="200">
        <f>'الصفحة 10'!$K$38</f>
        <v>0</v>
      </c>
      <c r="BY161" s="196">
        <f>'الصفحة 10'!$L$27</f>
        <v>0</v>
      </c>
      <c r="BZ161" s="194">
        <f>'الصفحة 10'!$M$27</f>
        <v>0</v>
      </c>
      <c r="CA161" s="195">
        <f>'الصفحة 10'!$L$28</f>
        <v>0</v>
      </c>
      <c r="CB161" s="194">
        <f>'الصفحة 10'!$M$28</f>
        <v>0</v>
      </c>
      <c r="CC161" s="195">
        <f>'الصفحة 10'!$L$29</f>
        <v>0</v>
      </c>
      <c r="CD161" s="194">
        <f>'الصفحة 10'!$M$29</f>
        <v>0</v>
      </c>
      <c r="CE161" s="195">
        <f>'الصفحة 10'!$L$30</f>
        <v>0</v>
      </c>
      <c r="CF161" s="194">
        <f>'الصفحة 10'!$M$30</f>
        <v>0</v>
      </c>
      <c r="CG161" s="195">
        <f>'الصفحة 10'!$L$31</f>
        <v>1</v>
      </c>
      <c r="CH161" s="194">
        <f>'الصفحة 10'!$M$31</f>
        <v>1</v>
      </c>
      <c r="CI161" s="195">
        <f>'الصفحة 10'!$L$32</f>
        <v>21</v>
      </c>
      <c r="CJ161" s="194">
        <f>'الصفحة 10'!$M$32</f>
        <v>6</v>
      </c>
      <c r="CK161" s="195">
        <f>'الصفحة 10'!$L$33</f>
        <v>11</v>
      </c>
      <c r="CL161" s="194">
        <f>'الصفحة 10'!$M$33</f>
        <v>1</v>
      </c>
      <c r="CM161" s="195">
        <f>'الصفحة 10'!$L$34</f>
        <v>0</v>
      </c>
      <c r="CN161" s="194">
        <f>'الصفحة 10'!$M$34</f>
        <v>0</v>
      </c>
      <c r="CO161" s="195">
        <f>'الصفحة 10'!$L$35</f>
        <v>0</v>
      </c>
      <c r="CP161" s="194">
        <f>'الصفحة 10'!$M$35</f>
        <v>0</v>
      </c>
      <c r="CQ161" s="195">
        <f>'الصفحة 10'!$L$36</f>
        <v>0</v>
      </c>
      <c r="CR161" s="194">
        <f>'الصفحة 10'!$M$36</f>
        <v>0</v>
      </c>
      <c r="CS161" s="122">
        <f>CQ161+CO161+CM161+CK161+CI161+CG161+CE161+CC161+CA161+BY161</f>
        <v>33</v>
      </c>
      <c r="CT161" s="50">
        <f>CR161+CP161+CN161+CL161+CJ161+CH161+CF161+CD161+CB161+BZ161</f>
        <v>8</v>
      </c>
      <c r="CU161" s="195">
        <f>'الصفحة 10'!$L$38</f>
        <v>0</v>
      </c>
      <c r="CV161" s="206">
        <f>'الصفحة 10'!$M$38</f>
        <v>0</v>
      </c>
      <c r="CX161" s="184">
        <f>'الصفحة 10'!$P$27</f>
        <v>0</v>
      </c>
      <c r="CY161" s="182">
        <f>'الصفحة 10'!$Q$27</f>
        <v>0</v>
      </c>
      <c r="CZ161" s="183">
        <f>'الصفحة 10'!$P$28</f>
        <v>0</v>
      </c>
      <c r="DA161" s="182">
        <f>'الصفحة 10'!$Q$28</f>
        <v>0</v>
      </c>
      <c r="DB161" s="183">
        <f>'الصفحة 10'!$P$29</f>
        <v>0</v>
      </c>
      <c r="DC161" s="182">
        <f>'الصفحة 10'!$Q$29</f>
        <v>0</v>
      </c>
      <c r="DD161" s="183">
        <f>'الصفحة 10'!$P$30</f>
        <v>0</v>
      </c>
      <c r="DE161" s="182">
        <f>'الصفحة 10'!$Q$30</f>
        <v>0</v>
      </c>
      <c r="DF161" s="183">
        <f>'الصفحة 10'!$P$31</f>
        <v>0</v>
      </c>
      <c r="DG161" s="182">
        <f>'الصفحة 10'!$Q$31</f>
        <v>0</v>
      </c>
      <c r="DH161" s="183">
        <f>'الصفحة 10'!$P$32</f>
        <v>0</v>
      </c>
      <c r="DI161" s="182">
        <f>'الصفحة 10'!$Q$32</f>
        <v>0</v>
      </c>
      <c r="DJ161" s="183">
        <f>'الصفحة 10'!$P$33</f>
        <v>0</v>
      </c>
      <c r="DK161" s="182">
        <f>'الصفحة 10'!$Q$33</f>
        <v>0</v>
      </c>
      <c r="DL161" s="183">
        <f>'الصفحة 10'!$P$34</f>
        <v>0</v>
      </c>
      <c r="DM161" s="182">
        <f>'الصفحة 10'!$Q$34</f>
        <v>0</v>
      </c>
      <c r="DN161" s="183">
        <f>'الصفحة 10'!$P$35</f>
        <v>0</v>
      </c>
      <c r="DO161" s="182">
        <f>'الصفحة 10'!$Q$35</f>
        <v>0</v>
      </c>
      <c r="DP161" s="183">
        <f>'الصفحة 10'!$P$36</f>
        <v>0</v>
      </c>
      <c r="DQ161" s="182">
        <f>'الصفحة 10'!$Q$36</f>
        <v>0</v>
      </c>
      <c r="DR161" s="73">
        <f>DP161+DN161+DL161+DJ161+DH161+DF161+DD161+DB161+CZ161+CX161</f>
        <v>0</v>
      </c>
      <c r="DS161" s="56">
        <f>DQ161+DO161+DM161+DK161+DI161+DG161+DE161+DC161+DA161+CY161</f>
        <v>0</v>
      </c>
      <c r="DT161" s="144"/>
      <c r="DU161" s="182">
        <f>'الصفحة 13'!$E$41</f>
        <v>0</v>
      </c>
      <c r="DV161" s="182">
        <f>'الصفحة 13'!$F$41</f>
        <v>0</v>
      </c>
      <c r="DW161" s="30">
        <f>'الصفحة 13'!$E$33</f>
        <v>17</v>
      </c>
      <c r="DX161" s="111">
        <f>'الصفحة 13'!$F$33</f>
        <v>5</v>
      </c>
      <c r="DY161" s="30">
        <f>'الصفحة 13'!$E$34</f>
        <v>0</v>
      </c>
      <c r="DZ161" s="199">
        <f>'الصفحة 13'!$F$34</f>
        <v>0</v>
      </c>
      <c r="EA161" s="184">
        <f>'الصفحة 13'!$G$41</f>
        <v>0</v>
      </c>
      <c r="EB161" s="182">
        <f>'الصفحة 13'!$H$41</f>
        <v>0</v>
      </c>
      <c r="EC161" s="30">
        <f>'الصفحة 13'!$G$33</f>
        <v>11</v>
      </c>
      <c r="ED161" s="111">
        <f>'الصفحة 13'!$H$33</f>
        <v>4</v>
      </c>
      <c r="EE161" s="30">
        <f>'الصفحة 13'!$G$34</f>
        <v>2</v>
      </c>
      <c r="EF161" s="199">
        <f>'الصفحة 13'!$H$34</f>
        <v>1</v>
      </c>
      <c r="EG161" s="184">
        <f>'الصفحة 13'!$I$41</f>
        <v>0</v>
      </c>
      <c r="EH161" s="182">
        <f>'الصفحة 13'!$J$41</f>
        <v>0</v>
      </c>
      <c r="EI161" s="30">
        <f>'الصفحة 13'!$I$33</f>
        <v>1</v>
      </c>
      <c r="EJ161" s="111">
        <f>'الصفحة 13'!$J$33</f>
        <v>1</v>
      </c>
      <c r="EK161" s="30">
        <f>'الصفحة 13'!$I$34</f>
        <v>1</v>
      </c>
      <c r="EL161" s="199">
        <f>'الصفحة 13'!$J$34</f>
        <v>0</v>
      </c>
      <c r="EM161" s="184">
        <f>'الصفحة 13'!$K$41</f>
        <v>0</v>
      </c>
      <c r="EN161" s="182">
        <f>'الصفحة 13'!$L$41</f>
        <v>0</v>
      </c>
      <c r="EO161" s="30">
        <f>'الصفحة 13'!$K$33</f>
        <v>4</v>
      </c>
      <c r="EP161" s="111">
        <f>'الصفحة 13'!$L$33</f>
        <v>1</v>
      </c>
      <c r="EQ161" s="30">
        <f>'الصفحة 13'!$K$34</f>
        <v>20</v>
      </c>
      <c r="ER161" s="199">
        <f>'الصفحة 13'!$L$34</f>
        <v>5</v>
      </c>
      <c r="ES161" s="90">
        <f t="shared" ref="ES161:EX161" si="1">EM161+EG161+EA161+DU161</f>
        <v>0</v>
      </c>
      <c r="ET161" s="198">
        <f t="shared" si="1"/>
        <v>0</v>
      </c>
      <c r="EU161" s="73">
        <f t="shared" si="1"/>
        <v>33</v>
      </c>
      <c r="EV161" s="197">
        <f t="shared" si="1"/>
        <v>11</v>
      </c>
      <c r="EW161" s="57">
        <f t="shared" si="1"/>
        <v>23</v>
      </c>
      <c r="EX161" s="89">
        <f t="shared" si="1"/>
        <v>6</v>
      </c>
      <c r="EZ161" s="184" t="e">
        <f>#REF!</f>
        <v>#REF!</v>
      </c>
      <c r="FA161" s="182" t="e">
        <f>#REF!</f>
        <v>#REF!</v>
      </c>
      <c r="FB161" s="183" t="e">
        <f>#REF!</f>
        <v>#REF!</v>
      </c>
      <c r="FC161" s="182" t="e">
        <f>#REF!</f>
        <v>#REF!</v>
      </c>
      <c r="FD161" s="183" t="e">
        <f>#REF!</f>
        <v>#REF!</v>
      </c>
      <c r="FE161" s="182" t="e">
        <f>#REF!</f>
        <v>#REF!</v>
      </c>
      <c r="FF161" s="183" t="e">
        <f>#REF!</f>
        <v>#REF!</v>
      </c>
      <c r="FG161" s="182" t="e">
        <f>#REF!</f>
        <v>#REF!</v>
      </c>
      <c r="FH161" s="183" t="e">
        <f>#REF!</f>
        <v>#REF!</v>
      </c>
      <c r="FI161" s="182" t="e">
        <f>#REF!</f>
        <v>#REF!</v>
      </c>
      <c r="FJ161" s="183" t="e">
        <f>#REF!</f>
        <v>#REF!</v>
      </c>
      <c r="FK161" s="182" t="e">
        <f>#REF!</f>
        <v>#REF!</v>
      </c>
      <c r="FL161" s="183" t="e">
        <f>#REF!</f>
        <v>#REF!</v>
      </c>
      <c r="FM161" s="182" t="e">
        <f>#REF!</f>
        <v>#REF!</v>
      </c>
      <c r="FN161" s="183" t="e">
        <f>#REF!</f>
        <v>#REF!</v>
      </c>
      <c r="FO161" s="182" t="e">
        <f>#REF!</f>
        <v>#REF!</v>
      </c>
      <c r="FP161" s="183" t="e">
        <f>#REF!</f>
        <v>#REF!</v>
      </c>
      <c r="FQ161" s="182" t="e">
        <f>#REF!</f>
        <v>#REF!</v>
      </c>
      <c r="FR161" s="183" t="e">
        <f>#REF!</f>
        <v>#REF!</v>
      </c>
      <c r="FS161" s="182" t="e">
        <f>#REF!</f>
        <v>#REF!</v>
      </c>
      <c r="FT161" s="73" t="e">
        <f>FR161+FP161+FN161+FL161+FJ161+FH161+FF161+FD161+FB161+EZ161</f>
        <v>#REF!</v>
      </c>
      <c r="FU161" s="72" t="e">
        <f>FS161+FQ161+FO161+FM161+FK161+FI161+FG161+FE161+FC161+FA161</f>
        <v>#REF!</v>
      </c>
      <c r="FW161" s="184" t="e">
        <f>#REF!</f>
        <v>#REF!</v>
      </c>
      <c r="FX161" s="182" t="e">
        <f>#REF!</f>
        <v>#REF!</v>
      </c>
      <c r="FY161" s="183" t="e">
        <f>#REF!</f>
        <v>#REF!</v>
      </c>
      <c r="FZ161" s="182" t="e">
        <f>#REF!</f>
        <v>#REF!</v>
      </c>
      <c r="GA161" s="183" t="e">
        <f>#REF!</f>
        <v>#REF!</v>
      </c>
      <c r="GB161" s="182" t="e">
        <f>#REF!</f>
        <v>#REF!</v>
      </c>
      <c r="GC161" s="183" t="e">
        <f>#REF!</f>
        <v>#REF!</v>
      </c>
      <c r="GD161" s="182" t="e">
        <f>#REF!</f>
        <v>#REF!</v>
      </c>
      <c r="GE161" s="183" t="e">
        <f>#REF!</f>
        <v>#REF!</v>
      </c>
      <c r="GF161" s="182" t="e">
        <f>#REF!</f>
        <v>#REF!</v>
      </c>
      <c r="GG161" s="183" t="e">
        <f>#REF!</f>
        <v>#REF!</v>
      </c>
      <c r="GH161" s="182" t="e">
        <f>#REF!</f>
        <v>#REF!</v>
      </c>
      <c r="GI161" s="183" t="e">
        <f>#REF!</f>
        <v>#REF!</v>
      </c>
      <c r="GJ161" s="182" t="e">
        <f>#REF!</f>
        <v>#REF!</v>
      </c>
      <c r="GK161" s="183" t="e">
        <f>#REF!</f>
        <v>#REF!</v>
      </c>
      <c r="GL161" s="182" t="e">
        <f>#REF!</f>
        <v>#REF!</v>
      </c>
      <c r="GM161" s="183" t="e">
        <f>#REF!</f>
        <v>#REF!</v>
      </c>
      <c r="GN161" s="182" t="e">
        <f>#REF!</f>
        <v>#REF!</v>
      </c>
      <c r="GO161" s="183" t="e">
        <f>#REF!</f>
        <v>#REF!</v>
      </c>
      <c r="GP161" s="182" t="e">
        <f>#REF!</f>
        <v>#REF!</v>
      </c>
      <c r="GQ161" s="73" t="e">
        <f>GO161+GM161+GK161+GI161+GG161+GE161+GC161+GA161+FY161+FW161</f>
        <v>#REF!</v>
      </c>
      <c r="GR161" s="72" t="e">
        <f>GP161+GN161+GL161+GJ161+GH161+GF161+GD161+GB161+FZ161+FX161</f>
        <v>#REF!</v>
      </c>
      <c r="GT161" s="184" t="e">
        <f>#REF!</f>
        <v>#REF!</v>
      </c>
      <c r="GU161" s="182" t="e">
        <f>#REF!</f>
        <v>#REF!</v>
      </c>
      <c r="GV161" s="183" t="e">
        <f>#REF!</f>
        <v>#REF!</v>
      </c>
      <c r="GW161" s="182" t="e">
        <f>#REF!</f>
        <v>#REF!</v>
      </c>
      <c r="GX161" s="183" t="e">
        <f>#REF!</f>
        <v>#REF!</v>
      </c>
      <c r="GY161" s="182" t="e">
        <f>#REF!</f>
        <v>#REF!</v>
      </c>
      <c r="GZ161" s="183" t="e">
        <f>#REF!</f>
        <v>#REF!</v>
      </c>
      <c r="HA161" s="182" t="e">
        <f>#REF!</f>
        <v>#REF!</v>
      </c>
      <c r="HB161" s="183" t="e">
        <f>#REF!</f>
        <v>#REF!</v>
      </c>
      <c r="HC161" s="182" t="e">
        <f>#REF!</f>
        <v>#REF!</v>
      </c>
      <c r="HD161" s="183" t="e">
        <f>#REF!</f>
        <v>#REF!</v>
      </c>
      <c r="HE161" s="182" t="e">
        <f>#REF!</f>
        <v>#REF!</v>
      </c>
      <c r="HF161" s="183" t="e">
        <f>#REF!</f>
        <v>#REF!</v>
      </c>
      <c r="HG161" s="182" t="e">
        <f>#REF!</f>
        <v>#REF!</v>
      </c>
      <c r="HH161" s="183" t="e">
        <f>#REF!</f>
        <v>#REF!</v>
      </c>
      <c r="HI161" s="182" t="e">
        <f>#REF!</f>
        <v>#REF!</v>
      </c>
      <c r="HJ161" s="183" t="e">
        <f>#REF!</f>
        <v>#REF!</v>
      </c>
      <c r="HK161" s="182" t="e">
        <f>#REF!</f>
        <v>#REF!</v>
      </c>
      <c r="HL161" s="183" t="e">
        <f>#REF!</f>
        <v>#REF!</v>
      </c>
      <c r="HM161" s="182" t="e">
        <f>#REF!</f>
        <v>#REF!</v>
      </c>
      <c r="HN161" s="73" t="e">
        <f>HL161+HJ161+HH161+HF161+HD161+HB161+GZ161+GX161+GV161+GT161</f>
        <v>#REF!</v>
      </c>
      <c r="HO161" s="72" t="e">
        <f>HM161+HK161+HI161+HG161+HE161+HC161+HA161+GY161+GW161+GU161</f>
        <v>#REF!</v>
      </c>
      <c r="HQ161" s="196" t="e">
        <f>#REF!</f>
        <v>#REF!</v>
      </c>
      <c r="HR161" s="194" t="e">
        <f>#REF!</f>
        <v>#REF!</v>
      </c>
      <c r="HS161" s="195" t="e">
        <f>#REF!</f>
        <v>#REF!</v>
      </c>
      <c r="HT161" s="194" t="e">
        <f>#REF!</f>
        <v>#REF!</v>
      </c>
      <c r="HU161" s="195" t="e">
        <f>#REF!</f>
        <v>#REF!</v>
      </c>
      <c r="HV161" s="194" t="e">
        <f>#REF!</f>
        <v>#REF!</v>
      </c>
      <c r="HW161" s="195" t="e">
        <f>#REF!</f>
        <v>#REF!</v>
      </c>
      <c r="HX161" s="194" t="e">
        <f>#REF!</f>
        <v>#REF!</v>
      </c>
      <c r="HY161" s="195" t="e">
        <f>#REF!</f>
        <v>#REF!</v>
      </c>
      <c r="HZ161" s="194" t="e">
        <f>#REF!</f>
        <v>#REF!</v>
      </c>
      <c r="IA161" s="195" t="e">
        <f>#REF!</f>
        <v>#REF!</v>
      </c>
      <c r="IB161" s="194" t="e">
        <f>#REF!</f>
        <v>#REF!</v>
      </c>
      <c r="IC161" s="195" t="e">
        <f>#REF!</f>
        <v>#REF!</v>
      </c>
      <c r="ID161" s="194" t="e">
        <f>#REF!</f>
        <v>#REF!</v>
      </c>
      <c r="IE161" s="195" t="e">
        <f>#REF!</f>
        <v>#REF!</v>
      </c>
      <c r="IF161" s="194" t="e">
        <f>#REF!</f>
        <v>#REF!</v>
      </c>
      <c r="IG161" s="195" t="e">
        <f>#REF!</f>
        <v>#REF!</v>
      </c>
      <c r="IH161" s="194" t="e">
        <f>#REF!</f>
        <v>#REF!</v>
      </c>
      <c r="II161" s="195" t="e">
        <f>#REF!</f>
        <v>#REF!</v>
      </c>
      <c r="IJ161" s="194" t="e">
        <f>#REF!</f>
        <v>#REF!</v>
      </c>
      <c r="IK161" s="122" t="e">
        <f>II161+IG161+IE161+IC161+IA161+HY161+HW161+HU161+HS161+HQ161</f>
        <v>#REF!</v>
      </c>
      <c r="IL161" s="99" t="e">
        <f>IJ161+IH161+IF161+ID161+IB161+HZ161+HX161+HV161+HT161+HR161</f>
        <v>#REF!</v>
      </c>
      <c r="IN161" s="27"/>
      <c r="IO161" s="27"/>
      <c r="IP161" s="27"/>
      <c r="IQ161" s="27"/>
      <c r="IR161" s="27"/>
      <c r="IS161" s="27"/>
      <c r="IT161" s="27"/>
      <c r="IV161" s="21"/>
    </row>
    <row r="162" spans="1:256" s="24" customFormat="1" ht="14.1" customHeight="1" thickBot="1">
      <c r="A162" s="23"/>
      <c r="Z162" s="193"/>
      <c r="BX162" s="193"/>
      <c r="BY162" s="608">
        <f>'الصفحة 10'!$N$27</f>
        <v>0</v>
      </c>
      <c r="BZ162" s="608">
        <f>'الصفحة 10'!$O$27</f>
        <v>0</v>
      </c>
      <c r="CA162" s="608">
        <f>'الصفحة 10'!$N$28</f>
        <v>4</v>
      </c>
      <c r="CB162" s="608">
        <f>'الصفحة 10'!$O$28</f>
        <v>0</v>
      </c>
      <c r="CC162" s="608">
        <f>'الصفحة 10'!$N$29</f>
        <v>10</v>
      </c>
      <c r="CD162" s="608">
        <f>'الصفحة 10'!$O$29</f>
        <v>3</v>
      </c>
      <c r="CE162" s="608">
        <f>'الصفحة 10'!$N$30</f>
        <v>37</v>
      </c>
      <c r="CF162" s="608">
        <f>'الصفحة 10'!$O$30</f>
        <v>6</v>
      </c>
      <c r="CG162" s="608">
        <f>'الصفحة 10'!$N$31</f>
        <v>23</v>
      </c>
      <c r="CH162" s="608">
        <f>'الصفحة 10'!$O$31</f>
        <v>4</v>
      </c>
      <c r="CI162" s="608">
        <f>'الصفحة 10'!$N$32</f>
        <v>25</v>
      </c>
      <c r="CJ162" s="608">
        <f>'الصفحة 10'!$O$32</f>
        <v>6</v>
      </c>
      <c r="CK162" s="608">
        <f>'الصفحة 10'!$N$33</f>
        <v>12</v>
      </c>
      <c r="CL162" s="608">
        <f>'الصفحة 10'!$O$33</f>
        <v>1</v>
      </c>
      <c r="CM162" s="608">
        <f>'الصفحة 10'!$N$34</f>
        <v>0</v>
      </c>
      <c r="CN162" s="608">
        <f>'الصفحة 10'!$O$34</f>
        <v>0</v>
      </c>
      <c r="CO162" s="608">
        <f>'الصفحة 10'!$N$35</f>
        <v>0</v>
      </c>
      <c r="CP162" s="608">
        <f>'الصفحة 10'!$O$35</f>
        <v>0</v>
      </c>
      <c r="CQ162" s="608">
        <f>'الصفحة 10'!$N$36</f>
        <v>0</v>
      </c>
      <c r="CR162" s="608">
        <f>'الصفحة 10'!$O$36</f>
        <v>0</v>
      </c>
      <c r="CS162" s="609">
        <f>CQ162+CO162+CM162+CK162+CI162+CG162+CE162+CC162+CA162+BY162</f>
        <v>111</v>
      </c>
      <c r="CT162" s="610">
        <f>CR162+CP162+CN162+CL162+CJ162+CH162+CF162+CD162+CB162+BZ162</f>
        <v>20</v>
      </c>
      <c r="CU162" s="608">
        <f>'الصفحة 10'!$N$38</f>
        <v>0</v>
      </c>
      <c r="CV162" s="608">
        <f>'الصفحة 10'!$O$38</f>
        <v>0</v>
      </c>
      <c r="DC162" s="106"/>
      <c r="DD162" s="106"/>
      <c r="DE162" s="106"/>
      <c r="DF162" s="106"/>
      <c r="DG162" s="106"/>
      <c r="DH162" s="106"/>
      <c r="DI162" s="106"/>
      <c r="DJ162" s="106"/>
      <c r="DK162" s="106"/>
      <c r="DL162" s="106"/>
      <c r="DM162" s="106"/>
      <c r="DN162" s="106"/>
      <c r="DO162" s="106"/>
      <c r="DP162" s="106"/>
      <c r="DQ162" s="106"/>
      <c r="DR162" s="106"/>
      <c r="DU162" s="191" t="s">
        <v>293</v>
      </c>
      <c r="DW162" s="191" t="s">
        <v>292</v>
      </c>
      <c r="DY162" s="191" t="s">
        <v>291</v>
      </c>
      <c r="EM162" s="184">
        <f>'الصفحة 13'!$O$41</f>
        <v>0</v>
      </c>
      <c r="EN162" s="182">
        <f>'الصفحة 13'!$P$41</f>
        <v>0</v>
      </c>
      <c r="EO162" s="30">
        <f>'الصفحة 13'!$O$33</f>
        <v>0</v>
      </c>
      <c r="EP162" s="111">
        <f>'الصفحة 13'!$P$33</f>
        <v>0</v>
      </c>
      <c r="EQ162" s="30">
        <f>'الصفحة 13'!$O$34</f>
        <v>0</v>
      </c>
      <c r="ER162" s="199">
        <f>'الصفحة 13'!$P$34</f>
        <v>0</v>
      </c>
      <c r="ES162" s="191" t="s">
        <v>293</v>
      </c>
      <c r="EU162" s="191" t="s">
        <v>292</v>
      </c>
      <c r="EW162" s="191" t="s">
        <v>291</v>
      </c>
      <c r="HQ162" s="178" t="e">
        <f>#REF!</f>
        <v>#REF!</v>
      </c>
      <c r="HR162" s="177" t="e">
        <f>#REF!</f>
        <v>#REF!</v>
      </c>
      <c r="HS162" s="177" t="e">
        <f>#REF!</f>
        <v>#REF!</v>
      </c>
      <c r="HT162" s="177" t="e">
        <f>#REF!</f>
        <v>#REF!</v>
      </c>
      <c r="HU162" s="177" t="e">
        <f>#REF!</f>
        <v>#REF!</v>
      </c>
      <c r="HV162" s="177" t="e">
        <f>#REF!</f>
        <v>#REF!</v>
      </c>
      <c r="HW162" s="177" t="e">
        <f>#REF!</f>
        <v>#REF!</v>
      </c>
      <c r="HX162" s="177" t="e">
        <f>#REF!</f>
        <v>#REF!</v>
      </c>
      <c r="HY162" s="177" t="e">
        <f>#REF!</f>
        <v>#REF!</v>
      </c>
      <c r="HZ162" s="177" t="e">
        <f>#REF!</f>
        <v>#REF!</v>
      </c>
      <c r="IA162" s="177" t="e">
        <f>#REF!</f>
        <v>#REF!</v>
      </c>
      <c r="IB162" s="177" t="e">
        <f>#REF!</f>
        <v>#REF!</v>
      </c>
      <c r="IC162" s="177" t="e">
        <f>#REF!</f>
        <v>#REF!</v>
      </c>
      <c r="ID162" s="177" t="e">
        <f>#REF!</f>
        <v>#REF!</v>
      </c>
      <c r="IE162" s="177" t="e">
        <f>#REF!</f>
        <v>#REF!</v>
      </c>
      <c r="IF162" s="177" t="e">
        <f>#REF!</f>
        <v>#REF!</v>
      </c>
      <c r="IG162" s="177" t="e">
        <f>#REF!</f>
        <v>#REF!</v>
      </c>
      <c r="IH162" s="177" t="e">
        <f>#REF!</f>
        <v>#REF!</v>
      </c>
      <c r="II162" s="177" t="e">
        <f>#REF!</f>
        <v>#REF!</v>
      </c>
      <c r="IJ162" s="177" t="e">
        <f>#REF!</f>
        <v>#REF!</v>
      </c>
      <c r="IK162" s="45" t="e">
        <f>II162+IG162+IE162+IC162+IA162+HY162+HW162+HU162+HS162+HQ162</f>
        <v>#REF!</v>
      </c>
      <c r="IL162" s="98" t="e">
        <f>IJ162+IH162+IF162+ID162+IB162+HZ162+HX162+HV162+HT162+HR162</f>
        <v>#REF!</v>
      </c>
      <c r="IV162" s="21"/>
    </row>
    <row r="163" spans="1:256" s="21" customFormat="1" ht="6" customHeight="1">
      <c r="A163" s="23"/>
      <c r="B163" s="22"/>
      <c r="C163" s="22"/>
      <c r="D163" s="22"/>
      <c r="E163" s="22"/>
      <c r="F163" s="22"/>
      <c r="G163" s="22"/>
      <c r="H163" s="22"/>
      <c r="I163" s="22"/>
      <c r="J163" s="22"/>
      <c r="K163" s="22"/>
      <c r="L163" s="22"/>
      <c r="M163" s="22"/>
      <c r="N163" s="22"/>
      <c r="O163" s="22"/>
      <c r="P163" s="22"/>
      <c r="Q163" s="22"/>
      <c r="R163" s="22"/>
      <c r="S163" s="22"/>
      <c r="T163" s="22"/>
      <c r="U163" s="22"/>
      <c r="V163" s="22"/>
    </row>
    <row r="164" spans="1:256" s="24" customFormat="1" ht="15" customHeight="1">
      <c r="A164" s="23"/>
      <c r="B164" s="187" t="s">
        <v>290</v>
      </c>
      <c r="C164" s="82"/>
      <c r="E164" s="82"/>
      <c r="F164" s="82"/>
      <c r="G164" s="82"/>
      <c r="H164" s="82"/>
      <c r="K164" s="84"/>
      <c r="M164" s="84"/>
      <c r="N164" s="84"/>
      <c r="O164" s="84"/>
      <c r="P164" s="82"/>
      <c r="Q164" s="82"/>
      <c r="R164" s="82"/>
      <c r="S164" s="84"/>
      <c r="T164" s="82"/>
      <c r="U164" s="82"/>
      <c r="V164" s="5129" t="s">
        <v>25</v>
      </c>
      <c r="W164" s="5129"/>
      <c r="Y164" s="187" t="s">
        <v>288</v>
      </c>
      <c r="Z164" s="82"/>
      <c r="AB164" s="82"/>
      <c r="AC164" s="82"/>
      <c r="AD164" s="82"/>
      <c r="AE164" s="82"/>
      <c r="AJ164" s="82"/>
      <c r="AL164" s="84"/>
      <c r="AM164" s="84"/>
      <c r="AN164" s="84"/>
      <c r="AO164" s="84"/>
      <c r="AP164" s="84"/>
      <c r="AQ164" s="82"/>
      <c r="AR164" s="82"/>
      <c r="AS164" s="5129" t="s">
        <v>191</v>
      </c>
      <c r="AT164" s="5129"/>
      <c r="AV164" s="187" t="s">
        <v>289</v>
      </c>
      <c r="AZ164" s="82"/>
      <c r="BA164" s="82"/>
      <c r="BB164" s="82"/>
      <c r="BE164" s="82"/>
      <c r="BI164" s="82"/>
      <c r="BK164" s="82"/>
      <c r="BL164" s="82"/>
      <c r="BM164" s="84"/>
      <c r="BN164" s="84"/>
      <c r="BO164" s="84"/>
      <c r="BP164" s="5129" t="s">
        <v>190</v>
      </c>
      <c r="BQ164" s="5129"/>
      <c r="BS164" s="187" t="s">
        <v>288</v>
      </c>
      <c r="BT164" s="82"/>
      <c r="BV164" s="82"/>
      <c r="BW164" s="82"/>
      <c r="BX164" s="84"/>
      <c r="BY164" s="84"/>
      <c r="BZ164" s="84"/>
      <c r="CA164" s="84"/>
      <c r="CB164" s="84"/>
      <c r="CC164" s="82"/>
      <c r="CD164" s="82"/>
      <c r="CE164" s="82"/>
      <c r="CK164" s="5129" t="s">
        <v>188</v>
      </c>
      <c r="CL164" s="5129"/>
      <c r="CM164" s="5141" t="s">
        <v>187</v>
      </c>
      <c r="CN164" s="5141"/>
      <c r="CP164" s="170" t="s">
        <v>287</v>
      </c>
      <c r="DJ164" s="5129" t="s">
        <v>25</v>
      </c>
      <c r="DK164" s="5129"/>
      <c r="DM164" s="170" t="s">
        <v>287</v>
      </c>
      <c r="DN164" s="34"/>
      <c r="DO164" s="34"/>
      <c r="DP164" s="34"/>
      <c r="DQ164" s="34"/>
      <c r="DR164" s="34"/>
      <c r="DS164" s="34"/>
      <c r="DT164" s="34"/>
      <c r="DU164" s="34"/>
      <c r="DV164" s="34"/>
      <c r="DW164" s="34"/>
      <c r="DX164" s="34"/>
      <c r="DY164" s="34"/>
      <c r="DZ164" s="34"/>
      <c r="EA164" s="34"/>
      <c r="EB164" s="34"/>
      <c r="EC164" s="34"/>
      <c r="ED164" s="34"/>
      <c r="EE164" s="34"/>
      <c r="EF164" s="34"/>
      <c r="EG164" s="5129" t="s">
        <v>191</v>
      </c>
      <c r="EH164" s="5129"/>
      <c r="EI164" s="34"/>
      <c r="EJ164" s="170" t="s">
        <v>287</v>
      </c>
      <c r="EK164" s="34"/>
      <c r="EL164" s="34"/>
      <c r="EM164" s="34"/>
      <c r="EN164" s="34"/>
      <c r="EO164" s="34"/>
      <c r="EP164" s="34"/>
      <c r="EQ164" s="34"/>
      <c r="ER164" s="34"/>
      <c r="ES164" s="34"/>
      <c r="ET164" s="34"/>
      <c r="EU164" s="34"/>
      <c r="EV164" s="34"/>
      <c r="EW164" s="34"/>
      <c r="EX164" s="34"/>
      <c r="EY164" s="34"/>
      <c r="EZ164" s="34"/>
      <c r="FA164" s="34"/>
      <c r="FB164" s="34"/>
      <c r="FC164" s="34"/>
      <c r="FD164" s="5129" t="s">
        <v>190</v>
      </c>
      <c r="FE164" s="5129"/>
      <c r="FF164" s="34"/>
      <c r="FG164" s="185" t="s">
        <v>286</v>
      </c>
      <c r="FH164" s="34"/>
      <c r="FI164" s="34"/>
      <c r="FJ164" s="34"/>
      <c r="FK164" s="34"/>
      <c r="FL164" s="34"/>
      <c r="FM164" s="34"/>
      <c r="FN164" s="34"/>
      <c r="FO164" s="34"/>
      <c r="FP164" s="34"/>
      <c r="FQ164" s="34"/>
      <c r="FR164" s="34"/>
      <c r="FS164" s="34"/>
      <c r="FT164" s="34"/>
      <c r="FU164" s="34"/>
      <c r="FV164" s="34"/>
      <c r="FW164" s="34"/>
      <c r="FX164" s="34"/>
      <c r="FY164" s="5129" t="s">
        <v>188</v>
      </c>
      <c r="FZ164" s="5129"/>
      <c r="GA164" s="5141" t="s">
        <v>187</v>
      </c>
      <c r="GB164" s="5141"/>
      <c r="GD164" s="170" t="s">
        <v>285</v>
      </c>
      <c r="GX164" s="5129" t="s">
        <v>25</v>
      </c>
      <c r="GY164" s="5129"/>
      <c r="HA164" s="170" t="s">
        <v>285</v>
      </c>
      <c r="HB164" s="34"/>
      <c r="HC164" s="34"/>
      <c r="HD164" s="34"/>
      <c r="HE164" s="34"/>
      <c r="HF164" s="34"/>
      <c r="HG164" s="34"/>
      <c r="HH164" s="34"/>
      <c r="HI164" s="34"/>
      <c r="HJ164" s="34"/>
      <c r="HK164" s="34"/>
      <c r="HL164" s="34"/>
      <c r="HM164" s="34"/>
      <c r="HN164" s="34"/>
      <c r="HO164" s="34"/>
      <c r="HP164" s="34"/>
      <c r="HQ164" s="34"/>
      <c r="HR164" s="34"/>
      <c r="HS164" s="34"/>
      <c r="HT164" s="34"/>
      <c r="HU164" s="5129" t="s">
        <v>191</v>
      </c>
      <c r="HV164" s="5129"/>
      <c r="HX164" s="170" t="s">
        <v>285</v>
      </c>
      <c r="HY164" s="34"/>
      <c r="HZ164" s="34"/>
      <c r="IA164" s="34"/>
      <c r="IB164" s="34"/>
      <c r="IC164" s="34"/>
      <c r="ID164" s="34"/>
      <c r="IE164" s="34"/>
      <c r="IF164" s="34"/>
      <c r="IG164" s="34"/>
      <c r="IH164" s="34"/>
      <c r="II164" s="34"/>
      <c r="IJ164" s="34"/>
      <c r="IK164" s="34"/>
      <c r="IL164" s="34"/>
      <c r="IM164" s="34"/>
      <c r="IN164" s="34"/>
      <c r="IO164" s="34"/>
      <c r="IP164" s="34"/>
      <c r="IQ164" s="34"/>
      <c r="IR164" s="5129" t="s">
        <v>190</v>
      </c>
      <c r="IS164" s="5129"/>
      <c r="IV164" s="21"/>
    </row>
    <row r="165" spans="1:256" s="24" customFormat="1" ht="8.1" customHeight="1" thickBot="1">
      <c r="A165" s="23"/>
      <c r="DL165" s="82"/>
      <c r="DM165" s="82"/>
      <c r="DN165" s="34"/>
      <c r="DO165" s="34"/>
      <c r="DP165" s="34"/>
      <c r="DQ165" s="34"/>
      <c r="DR165" s="34"/>
      <c r="DS165" s="34"/>
      <c r="DT165" s="34"/>
      <c r="DU165" s="34"/>
      <c r="DV165" s="34"/>
      <c r="DW165" s="34"/>
      <c r="DX165" s="34"/>
      <c r="DY165" s="34"/>
      <c r="DZ165" s="34"/>
      <c r="EA165" s="34"/>
      <c r="EB165" s="34"/>
      <c r="EC165" s="34"/>
      <c r="ED165" s="34"/>
      <c r="EE165" s="34"/>
      <c r="EF165" s="34"/>
      <c r="EG165" s="34"/>
      <c r="EH165" s="34"/>
      <c r="EI165" s="34"/>
      <c r="EJ165" s="34"/>
      <c r="EK165" s="34"/>
      <c r="EL165" s="34"/>
      <c r="EM165" s="34"/>
      <c r="EN165" s="34"/>
      <c r="EO165" s="34"/>
      <c r="EP165" s="34"/>
      <c r="EQ165" s="34"/>
      <c r="ER165" s="34"/>
      <c r="ES165" s="34"/>
      <c r="ET165" s="34"/>
      <c r="EU165" s="34"/>
      <c r="EV165" s="34"/>
      <c r="EW165" s="34"/>
      <c r="EX165" s="34"/>
      <c r="EY165" s="34"/>
      <c r="EZ165" s="34"/>
      <c r="FA165" s="34"/>
      <c r="FB165" s="34"/>
      <c r="FC165" s="34"/>
      <c r="FD165" s="34"/>
      <c r="FE165" s="34"/>
      <c r="FF165" s="34"/>
      <c r="FG165" s="34"/>
      <c r="FH165" s="34"/>
      <c r="FI165" s="34"/>
      <c r="FJ165" s="34"/>
      <c r="FK165" s="34"/>
      <c r="FL165" s="34"/>
      <c r="FM165" s="34"/>
      <c r="FN165" s="34"/>
      <c r="FO165" s="34"/>
      <c r="FP165" s="34"/>
      <c r="FQ165" s="34"/>
      <c r="FR165" s="34"/>
      <c r="FS165" s="34"/>
      <c r="FT165" s="34"/>
      <c r="FU165" s="34"/>
      <c r="FV165" s="34"/>
      <c r="FW165" s="34"/>
      <c r="FX165" s="34"/>
      <c r="FY165" s="34"/>
      <c r="FZ165" s="34"/>
      <c r="GA165" s="34"/>
      <c r="GB165" s="34"/>
      <c r="GZ165" s="82"/>
      <c r="HA165" s="82"/>
      <c r="HB165" s="34"/>
      <c r="HC165" s="34"/>
      <c r="HD165" s="34"/>
      <c r="HE165" s="34"/>
      <c r="HF165" s="34"/>
      <c r="HG165" s="34"/>
      <c r="HH165" s="34"/>
      <c r="HI165" s="34"/>
      <c r="HJ165" s="34"/>
      <c r="HK165" s="34"/>
      <c r="HL165" s="34"/>
      <c r="HM165" s="34"/>
      <c r="HN165" s="34"/>
      <c r="HO165" s="34"/>
      <c r="HP165" s="34"/>
      <c r="HQ165" s="34"/>
      <c r="HR165" s="34"/>
      <c r="HS165" s="34"/>
      <c r="HT165" s="34"/>
      <c r="HU165" s="34"/>
      <c r="HV165" s="34"/>
      <c r="HX165" s="34"/>
      <c r="HY165" s="34"/>
      <c r="HZ165" s="34"/>
      <c r="IA165" s="34"/>
      <c r="IB165" s="34"/>
      <c r="IC165" s="34"/>
      <c r="ID165" s="34"/>
      <c r="IE165" s="34"/>
      <c r="IF165" s="34"/>
      <c r="IG165" s="34"/>
      <c r="IH165" s="34"/>
      <c r="II165" s="34"/>
      <c r="IJ165" s="34"/>
      <c r="IK165" s="34"/>
      <c r="IL165" s="34"/>
      <c r="IM165" s="34"/>
      <c r="IN165" s="34"/>
      <c r="IO165" s="34"/>
      <c r="IP165" s="34"/>
      <c r="IQ165" s="34"/>
      <c r="IR165" s="34"/>
      <c r="IS165" s="34"/>
      <c r="IV165" s="21"/>
    </row>
    <row r="166" spans="1:256" s="24" customFormat="1" ht="14.1" customHeight="1" thickBot="1">
      <c r="A166" s="35">
        <v>3</v>
      </c>
      <c r="B166" s="184" t="e">
        <f>#REF!</f>
        <v>#REF!</v>
      </c>
      <c r="C166" s="182" t="e">
        <f>#REF!</f>
        <v>#REF!</v>
      </c>
      <c r="D166" s="183" t="e">
        <f>#REF!</f>
        <v>#REF!</v>
      </c>
      <c r="E166" s="182" t="e">
        <f>#REF!</f>
        <v>#REF!</v>
      </c>
      <c r="F166" s="183" t="e">
        <f>#REF!</f>
        <v>#REF!</v>
      </c>
      <c r="G166" s="182" t="e">
        <f>#REF!</f>
        <v>#REF!</v>
      </c>
      <c r="H166" s="183" t="e">
        <f>#REF!</f>
        <v>#REF!</v>
      </c>
      <c r="I166" s="182" t="e">
        <f>#REF!</f>
        <v>#REF!</v>
      </c>
      <c r="J166" s="183" t="e">
        <f>#REF!</f>
        <v>#REF!</v>
      </c>
      <c r="K166" s="182" t="e">
        <f>#REF!</f>
        <v>#REF!</v>
      </c>
      <c r="L166" s="183" t="e">
        <f>#REF!</f>
        <v>#REF!</v>
      </c>
      <c r="M166" s="182" t="e">
        <f>#REF!</f>
        <v>#REF!</v>
      </c>
      <c r="N166" s="183" t="e">
        <f>#REF!</f>
        <v>#REF!</v>
      </c>
      <c r="O166" s="182" t="e">
        <f>#REF!</f>
        <v>#REF!</v>
      </c>
      <c r="P166" s="183" t="e">
        <f>#REF!</f>
        <v>#REF!</v>
      </c>
      <c r="Q166" s="182" t="e">
        <f>#REF!</f>
        <v>#REF!</v>
      </c>
      <c r="R166" s="183" t="e">
        <f>#REF!</f>
        <v>#REF!</v>
      </c>
      <c r="S166" s="182" t="e">
        <f>#REF!</f>
        <v>#REF!</v>
      </c>
      <c r="T166" s="183" t="e">
        <f>#REF!</f>
        <v>#REF!</v>
      </c>
      <c r="U166" s="182" t="e">
        <f>#REF!</f>
        <v>#REF!</v>
      </c>
      <c r="V166" s="73" t="e">
        <f>T166+R166+P166+N166+L166+J166+H166+F166+D166+B166</f>
        <v>#REF!</v>
      </c>
      <c r="W166" s="72" t="e">
        <f>U166+S166+Q166+O166+M166+K166+I166+G166+E166+C166</f>
        <v>#REF!</v>
      </c>
      <c r="Y166" s="184" t="e">
        <f>#REF!</f>
        <v>#REF!</v>
      </c>
      <c r="Z166" s="182" t="e">
        <f>#REF!</f>
        <v>#REF!</v>
      </c>
      <c r="AA166" s="183" t="e">
        <f>#REF!</f>
        <v>#REF!</v>
      </c>
      <c r="AB166" s="182" t="e">
        <f>#REF!</f>
        <v>#REF!</v>
      </c>
      <c r="AC166" s="183" t="e">
        <f>#REF!</f>
        <v>#REF!</v>
      </c>
      <c r="AD166" s="182" t="e">
        <f>#REF!</f>
        <v>#REF!</v>
      </c>
      <c r="AE166" s="183" t="e">
        <f>#REF!</f>
        <v>#REF!</v>
      </c>
      <c r="AF166" s="182" t="e">
        <f>#REF!</f>
        <v>#REF!</v>
      </c>
      <c r="AG166" s="183" t="e">
        <f>#REF!</f>
        <v>#REF!</v>
      </c>
      <c r="AH166" s="182" t="e">
        <f>#REF!</f>
        <v>#REF!</v>
      </c>
      <c r="AI166" s="183" t="e">
        <f>#REF!</f>
        <v>#REF!</v>
      </c>
      <c r="AJ166" s="182" t="e">
        <f>#REF!</f>
        <v>#REF!</v>
      </c>
      <c r="AK166" s="183" t="e">
        <f>#REF!</f>
        <v>#REF!</v>
      </c>
      <c r="AL166" s="182" t="e">
        <f>#REF!</f>
        <v>#REF!</v>
      </c>
      <c r="AM166" s="183" t="e">
        <f>#REF!</f>
        <v>#REF!</v>
      </c>
      <c r="AN166" s="182" t="e">
        <f>#REF!</f>
        <v>#REF!</v>
      </c>
      <c r="AO166" s="183" t="e">
        <f>#REF!</f>
        <v>#REF!</v>
      </c>
      <c r="AP166" s="182" t="e">
        <f>#REF!</f>
        <v>#REF!</v>
      </c>
      <c r="AQ166" s="183" t="e">
        <f>#REF!</f>
        <v>#REF!</v>
      </c>
      <c r="AR166" s="182" t="e">
        <f>#REF!</f>
        <v>#REF!</v>
      </c>
      <c r="AS166" s="73" t="e">
        <f>AQ166+AO166+AM166+AK166+AI166+AG166+AE166+AC166+AA166+Y166</f>
        <v>#REF!</v>
      </c>
      <c r="AT166" s="72" t="e">
        <f>AR166+AP166+AN166+AL166+AJ166+AH166+AF166+AD166+AB166+Z166</f>
        <v>#REF!</v>
      </c>
      <c r="AV166" s="184" t="e">
        <f>#REF!</f>
        <v>#REF!</v>
      </c>
      <c r="AW166" s="182" t="e">
        <f>#REF!</f>
        <v>#REF!</v>
      </c>
      <c r="AX166" s="183" t="e">
        <f>#REF!</f>
        <v>#REF!</v>
      </c>
      <c r="AY166" s="182" t="e">
        <f>#REF!</f>
        <v>#REF!</v>
      </c>
      <c r="AZ166" s="183" t="e">
        <f>#REF!</f>
        <v>#REF!</v>
      </c>
      <c r="BA166" s="182" t="e">
        <f>#REF!</f>
        <v>#REF!</v>
      </c>
      <c r="BB166" s="183" t="e">
        <f>#REF!</f>
        <v>#REF!</v>
      </c>
      <c r="BC166" s="182" t="e">
        <f>#REF!</f>
        <v>#REF!</v>
      </c>
      <c r="BD166" s="183" t="e">
        <f>#REF!</f>
        <v>#REF!</v>
      </c>
      <c r="BE166" s="182" t="e">
        <f>#REF!</f>
        <v>#REF!</v>
      </c>
      <c r="BF166" s="183" t="e">
        <f>#REF!</f>
        <v>#REF!</v>
      </c>
      <c r="BG166" s="182" t="e">
        <f>#REF!</f>
        <v>#REF!</v>
      </c>
      <c r="BH166" s="183" t="e">
        <f>#REF!</f>
        <v>#REF!</v>
      </c>
      <c r="BI166" s="182" t="e">
        <f>#REF!</f>
        <v>#REF!</v>
      </c>
      <c r="BJ166" s="183" t="e">
        <f>#REF!</f>
        <v>#REF!</v>
      </c>
      <c r="BK166" s="182" t="e">
        <f>#REF!</f>
        <v>#REF!</v>
      </c>
      <c r="BL166" s="183" t="e">
        <f>#REF!</f>
        <v>#REF!</v>
      </c>
      <c r="BM166" s="182" t="e">
        <f>#REF!</f>
        <v>#REF!</v>
      </c>
      <c r="BN166" s="183" t="e">
        <f>#REF!</f>
        <v>#REF!</v>
      </c>
      <c r="BO166" s="182" t="e">
        <f>#REF!</f>
        <v>#REF!</v>
      </c>
      <c r="BP166" s="73" t="e">
        <f>BN166+BL166+BJ166+BH166+BF166+BD166+BB166+AZ166+AX166+AV166</f>
        <v>#REF!</v>
      </c>
      <c r="BQ166" s="72" t="e">
        <f>BO166+BM166+BK166+BI166+BG166+BE166+BC166+BA166+AY166+AW166</f>
        <v>#REF!</v>
      </c>
      <c r="BS166" s="184" t="e">
        <f>#REF!</f>
        <v>#REF!</v>
      </c>
      <c r="BT166" s="182" t="e">
        <f>#REF!</f>
        <v>#REF!</v>
      </c>
      <c r="BU166" s="183" t="e">
        <f>#REF!</f>
        <v>#REF!</v>
      </c>
      <c r="BV166" s="182" t="e">
        <f>#REF!</f>
        <v>#REF!</v>
      </c>
      <c r="BW166" s="183" t="e">
        <f>#REF!</f>
        <v>#REF!</v>
      </c>
      <c r="BX166" s="182" t="e">
        <f>#REF!</f>
        <v>#REF!</v>
      </c>
      <c r="BY166" s="183" t="e">
        <f>#REF!</f>
        <v>#REF!</v>
      </c>
      <c r="BZ166" s="182" t="e">
        <f>#REF!</f>
        <v>#REF!</v>
      </c>
      <c r="CA166" s="183" t="e">
        <f>#REF!</f>
        <v>#REF!</v>
      </c>
      <c r="CB166" s="182" t="e">
        <f>#REF!</f>
        <v>#REF!</v>
      </c>
      <c r="CC166" s="184" t="e">
        <f>#REF!</f>
        <v>#REF!</v>
      </c>
      <c r="CD166" s="182" t="e">
        <f>#REF!</f>
        <v>#REF!</v>
      </c>
      <c r="CE166" s="183" t="e">
        <f>#REF!</f>
        <v>#REF!</v>
      </c>
      <c r="CF166" s="182" t="e">
        <f>#REF!</f>
        <v>#REF!</v>
      </c>
      <c r="CG166" s="183" t="e">
        <f>#REF!</f>
        <v>#REF!</v>
      </c>
      <c r="CH166" s="182" t="e">
        <f>#REF!</f>
        <v>#REF!</v>
      </c>
      <c r="CI166" s="183" t="e">
        <f>#REF!</f>
        <v>#REF!</v>
      </c>
      <c r="CJ166" s="182" t="e">
        <f>#REF!</f>
        <v>#REF!</v>
      </c>
      <c r="CK166" s="183" t="e">
        <f>#REF!</f>
        <v>#REF!</v>
      </c>
      <c r="CL166" s="182" t="e">
        <f>#REF!</f>
        <v>#REF!</v>
      </c>
      <c r="CM166" s="73" t="e">
        <f>CK166+CI166+CG166+CE166+CC166+CA166+BY166+BW166+BU166+BS166</f>
        <v>#REF!</v>
      </c>
      <c r="CN166" s="72" t="e">
        <f>CL166+CJ166+CH166+CF166+CD166+CB166+BZ166+BX166+BV166+BT166</f>
        <v>#REF!</v>
      </c>
      <c r="CP166" s="184" t="e">
        <f>#REF!</f>
        <v>#REF!</v>
      </c>
      <c r="CQ166" s="182" t="e">
        <f>#REF!</f>
        <v>#REF!</v>
      </c>
      <c r="CR166" s="183" t="e">
        <f>#REF!</f>
        <v>#REF!</v>
      </c>
      <c r="CS166" s="182" t="e">
        <f>#REF!</f>
        <v>#REF!</v>
      </c>
      <c r="CT166" s="183" t="e">
        <f>#REF!</f>
        <v>#REF!</v>
      </c>
      <c r="CU166" s="182" t="e">
        <f>#REF!</f>
        <v>#REF!</v>
      </c>
      <c r="CV166" s="183" t="e">
        <f>#REF!</f>
        <v>#REF!</v>
      </c>
      <c r="CW166" s="182" t="e">
        <f>#REF!</f>
        <v>#REF!</v>
      </c>
      <c r="CX166" s="183" t="e">
        <f>#REF!</f>
        <v>#REF!</v>
      </c>
      <c r="CY166" s="182" t="e">
        <f>#REF!</f>
        <v>#REF!</v>
      </c>
      <c r="CZ166" s="183" t="e">
        <f>#REF!</f>
        <v>#REF!</v>
      </c>
      <c r="DA166" s="182" t="e">
        <f>#REF!</f>
        <v>#REF!</v>
      </c>
      <c r="DB166" s="183" t="e">
        <f>#REF!</f>
        <v>#REF!</v>
      </c>
      <c r="DC166" s="182" t="e">
        <f>#REF!</f>
        <v>#REF!</v>
      </c>
      <c r="DD166" s="183" t="e">
        <f>#REF!</f>
        <v>#REF!</v>
      </c>
      <c r="DE166" s="182" t="e">
        <f>#REF!</f>
        <v>#REF!</v>
      </c>
      <c r="DF166" s="183" t="e">
        <f>#REF!</f>
        <v>#REF!</v>
      </c>
      <c r="DG166" s="182" t="e">
        <f>#REF!</f>
        <v>#REF!</v>
      </c>
      <c r="DH166" s="183" t="e">
        <f>#REF!</f>
        <v>#REF!</v>
      </c>
      <c r="DI166" s="182" t="e">
        <f>#REF!</f>
        <v>#REF!</v>
      </c>
      <c r="DJ166" s="73" t="e">
        <f>DH166+DF166+DD166+DB166+CZ166+CX166+CV166+CT166+CR166+CP166</f>
        <v>#REF!</v>
      </c>
      <c r="DK166" s="72" t="e">
        <f>DI166+DG166+DE166+DC166+DA166+CY166+CW166+CU166+CS166+CQ166</f>
        <v>#REF!</v>
      </c>
      <c r="DM166" s="184" t="e">
        <f>#REF!</f>
        <v>#REF!</v>
      </c>
      <c r="DN166" s="182" t="e">
        <f>#REF!</f>
        <v>#REF!</v>
      </c>
      <c r="DO166" s="183" t="e">
        <f>#REF!</f>
        <v>#REF!</v>
      </c>
      <c r="DP166" s="182" t="e">
        <f>#REF!</f>
        <v>#REF!</v>
      </c>
      <c r="DQ166" s="183" t="e">
        <f>#REF!</f>
        <v>#REF!</v>
      </c>
      <c r="DR166" s="182" t="e">
        <f>#REF!</f>
        <v>#REF!</v>
      </c>
      <c r="DS166" s="183" t="e">
        <f>#REF!</f>
        <v>#REF!</v>
      </c>
      <c r="DT166" s="190" t="e">
        <f>#REF!</f>
        <v>#REF!</v>
      </c>
      <c r="DU166" s="183" t="e">
        <f>#REF!</f>
        <v>#REF!</v>
      </c>
      <c r="DV166" s="182" t="e">
        <f>#REF!</f>
        <v>#REF!</v>
      </c>
      <c r="DW166" s="183" t="e">
        <f>#REF!</f>
        <v>#REF!</v>
      </c>
      <c r="DX166" s="182" t="e">
        <f>#REF!</f>
        <v>#REF!</v>
      </c>
      <c r="DY166" s="183" t="e">
        <f>#REF!</f>
        <v>#REF!</v>
      </c>
      <c r="DZ166" s="182" t="e">
        <f>#REF!</f>
        <v>#REF!</v>
      </c>
      <c r="EA166" s="183" t="e">
        <f>#REF!</f>
        <v>#REF!</v>
      </c>
      <c r="EB166" s="182" t="e">
        <f>#REF!</f>
        <v>#REF!</v>
      </c>
      <c r="EC166" s="183" t="e">
        <f>#REF!</f>
        <v>#REF!</v>
      </c>
      <c r="ED166" s="182" t="e">
        <f>#REF!</f>
        <v>#REF!</v>
      </c>
      <c r="EE166" s="183" t="e">
        <f>#REF!</f>
        <v>#REF!</v>
      </c>
      <c r="EF166" s="182" t="e">
        <f>#REF!</f>
        <v>#REF!</v>
      </c>
      <c r="EG166" s="73" t="e">
        <f>EE166+EC166+EA166+DY166+DW166+DU166+DS166+DQ166+DO166+DM166</f>
        <v>#REF!</v>
      </c>
      <c r="EH166" s="72" t="e">
        <f>EF166+ED166+EB166+DZ166+DX166+DV166+DT166+DR166+DP166+DN166</f>
        <v>#REF!</v>
      </c>
      <c r="EJ166" s="184" t="e">
        <f>#REF!</f>
        <v>#REF!</v>
      </c>
      <c r="EK166" s="182" t="e">
        <f>#REF!</f>
        <v>#REF!</v>
      </c>
      <c r="EL166" s="183" t="e">
        <f>#REF!</f>
        <v>#REF!</v>
      </c>
      <c r="EM166" s="182" t="e">
        <f>#REF!</f>
        <v>#REF!</v>
      </c>
      <c r="EN166" s="183" t="e">
        <f>#REF!</f>
        <v>#REF!</v>
      </c>
      <c r="EO166" s="182" t="e">
        <f>#REF!</f>
        <v>#REF!</v>
      </c>
      <c r="EP166" s="183" t="e">
        <f>#REF!</f>
        <v>#REF!</v>
      </c>
      <c r="EQ166" s="182" t="e">
        <f>#REF!</f>
        <v>#REF!</v>
      </c>
      <c r="ER166" s="183" t="e">
        <f>#REF!</f>
        <v>#REF!</v>
      </c>
      <c r="ES166" s="182" t="e">
        <f>#REF!</f>
        <v>#REF!</v>
      </c>
      <c r="ET166" s="183" t="e">
        <f>#REF!</f>
        <v>#REF!</v>
      </c>
      <c r="EU166" s="182" t="e">
        <f>#REF!</f>
        <v>#REF!</v>
      </c>
      <c r="EV166" s="183" t="e">
        <f>#REF!</f>
        <v>#REF!</v>
      </c>
      <c r="EW166" s="182" t="e">
        <f>#REF!</f>
        <v>#REF!</v>
      </c>
      <c r="EX166" s="183" t="e">
        <f>#REF!</f>
        <v>#REF!</v>
      </c>
      <c r="EY166" s="182" t="e">
        <f>#REF!</f>
        <v>#REF!</v>
      </c>
      <c r="EZ166" s="183" t="e">
        <f>#REF!</f>
        <v>#REF!</v>
      </c>
      <c r="FA166" s="182" t="e">
        <f>#REF!</f>
        <v>#REF!</v>
      </c>
      <c r="FB166" s="183" t="e">
        <f>#REF!</f>
        <v>#REF!</v>
      </c>
      <c r="FC166" s="182" t="e">
        <f>#REF!</f>
        <v>#REF!</v>
      </c>
      <c r="FD166" s="73" t="e">
        <f>FB166+EZ166+EX166+EV166+ET166+ER166+EP166+EN166+EL166+EJ166</f>
        <v>#REF!</v>
      </c>
      <c r="FE166" s="72" t="e">
        <f>FC166+FA166+EY166+EW166+EU166+ES166+EQ166+EO166+EM166+EK166</f>
        <v>#REF!</v>
      </c>
      <c r="FG166" s="184" t="e">
        <f>#REF!</f>
        <v>#REF!</v>
      </c>
      <c r="FH166" s="182" t="e">
        <f>#REF!</f>
        <v>#REF!</v>
      </c>
      <c r="FI166" s="183" t="e">
        <f>#REF!</f>
        <v>#REF!</v>
      </c>
      <c r="FJ166" s="182" t="e">
        <f>#REF!</f>
        <v>#REF!</v>
      </c>
      <c r="FK166" s="183" t="e">
        <f>#REF!</f>
        <v>#REF!</v>
      </c>
      <c r="FL166" s="182" t="e">
        <f>#REF!</f>
        <v>#REF!</v>
      </c>
      <c r="FM166" s="183" t="e">
        <f>#REF!</f>
        <v>#REF!</v>
      </c>
      <c r="FN166" s="182" t="e">
        <f>#REF!</f>
        <v>#REF!</v>
      </c>
      <c r="FO166" s="183" t="e">
        <f>#REF!</f>
        <v>#REF!</v>
      </c>
      <c r="FP166" s="182" t="e">
        <f>#REF!</f>
        <v>#REF!</v>
      </c>
      <c r="FQ166" s="183" t="e">
        <f>#REF!</f>
        <v>#REF!</v>
      </c>
      <c r="FR166" s="182" t="e">
        <f>#REF!</f>
        <v>#REF!</v>
      </c>
      <c r="FS166" s="183" t="e">
        <f>#REF!</f>
        <v>#REF!</v>
      </c>
      <c r="FT166" s="182" t="e">
        <f>#REF!</f>
        <v>#REF!</v>
      </c>
      <c r="FU166" s="183" t="e">
        <f>#REF!</f>
        <v>#REF!</v>
      </c>
      <c r="FV166" s="182" t="e">
        <f>#REF!</f>
        <v>#REF!</v>
      </c>
      <c r="FW166" s="183" t="e">
        <f>#REF!</f>
        <v>#REF!</v>
      </c>
      <c r="FX166" s="182" t="e">
        <f>#REF!</f>
        <v>#REF!</v>
      </c>
      <c r="FY166" s="183" t="e">
        <f>#REF!</f>
        <v>#REF!</v>
      </c>
      <c r="FZ166" s="182" t="e">
        <f>#REF!</f>
        <v>#REF!</v>
      </c>
      <c r="GA166" s="73" t="e">
        <f>FY166+FW166+FU166+FS166+FQ166+FO166+FM166+FK166+FI166+FG166</f>
        <v>#REF!</v>
      </c>
      <c r="GB166" s="72" t="e">
        <f>FZ166+FX166+FV166+FT166+FR166+FP166+FN166+FL166+FJ166+FH166</f>
        <v>#REF!</v>
      </c>
      <c r="GD166" s="184" t="e">
        <f>#REF!</f>
        <v>#REF!</v>
      </c>
      <c r="GE166" s="182" t="e">
        <f>#REF!</f>
        <v>#REF!</v>
      </c>
      <c r="GF166" s="183" t="e">
        <f>#REF!</f>
        <v>#REF!</v>
      </c>
      <c r="GG166" s="182" t="e">
        <f>#REF!</f>
        <v>#REF!</v>
      </c>
      <c r="GH166" s="183" t="e">
        <f>#REF!</f>
        <v>#REF!</v>
      </c>
      <c r="GI166" s="182" t="e">
        <f>#REF!</f>
        <v>#REF!</v>
      </c>
      <c r="GJ166" s="183" t="e">
        <f>#REF!</f>
        <v>#REF!</v>
      </c>
      <c r="GK166" s="182" t="e">
        <f>#REF!</f>
        <v>#REF!</v>
      </c>
      <c r="GL166" s="183" t="e">
        <f>#REF!</f>
        <v>#REF!</v>
      </c>
      <c r="GM166" s="182" t="e">
        <f>#REF!</f>
        <v>#REF!</v>
      </c>
      <c r="GN166" s="183" t="e">
        <f>#REF!</f>
        <v>#REF!</v>
      </c>
      <c r="GO166" s="182" t="e">
        <f>#REF!</f>
        <v>#REF!</v>
      </c>
      <c r="GP166" s="183" t="e">
        <f>#REF!</f>
        <v>#REF!</v>
      </c>
      <c r="GQ166" s="182" t="e">
        <f>#REF!</f>
        <v>#REF!</v>
      </c>
      <c r="GR166" s="183" t="e">
        <f>#REF!</f>
        <v>#REF!</v>
      </c>
      <c r="GS166" s="182" t="e">
        <f>#REF!</f>
        <v>#REF!</v>
      </c>
      <c r="GT166" s="183" t="e">
        <f>#REF!</f>
        <v>#REF!</v>
      </c>
      <c r="GU166" s="182" t="e">
        <f>#REF!</f>
        <v>#REF!</v>
      </c>
      <c r="GV166" s="183" t="e">
        <f>#REF!</f>
        <v>#REF!</v>
      </c>
      <c r="GW166" s="182" t="e">
        <f>#REF!</f>
        <v>#REF!</v>
      </c>
      <c r="GX166" s="73" t="e">
        <f>GV166+GT166+GR166+GP166+GN166+GL166+GJ166+GH166+GF166+GD166</f>
        <v>#REF!</v>
      </c>
      <c r="GY166" s="72" t="e">
        <f>GW166+GU166+GS166+GQ166+GO166+GM166+GK166+GI166+GG166+GE166</f>
        <v>#REF!</v>
      </c>
      <c r="HA166" s="184" t="e">
        <f>#REF!</f>
        <v>#REF!</v>
      </c>
      <c r="HB166" s="182" t="e">
        <f>#REF!</f>
        <v>#REF!</v>
      </c>
      <c r="HC166" s="183" t="e">
        <f>#REF!</f>
        <v>#REF!</v>
      </c>
      <c r="HD166" s="182" t="e">
        <f>#REF!</f>
        <v>#REF!</v>
      </c>
      <c r="HE166" s="183" t="e">
        <f>#REF!</f>
        <v>#REF!</v>
      </c>
      <c r="HF166" s="182" t="e">
        <f>#REF!</f>
        <v>#REF!</v>
      </c>
      <c r="HG166" s="183" t="e">
        <f>#REF!</f>
        <v>#REF!</v>
      </c>
      <c r="HH166" s="182" t="e">
        <f>#REF!</f>
        <v>#REF!</v>
      </c>
      <c r="HI166" s="183" t="e">
        <f>#REF!</f>
        <v>#REF!</v>
      </c>
      <c r="HJ166" s="182" t="e">
        <f>#REF!</f>
        <v>#REF!</v>
      </c>
      <c r="HK166" s="183" t="e">
        <f>#REF!</f>
        <v>#REF!</v>
      </c>
      <c r="HL166" s="182" t="e">
        <f>#REF!</f>
        <v>#REF!</v>
      </c>
      <c r="HM166" s="183" t="e">
        <f>#REF!</f>
        <v>#REF!</v>
      </c>
      <c r="HN166" s="182" t="e">
        <f>#REF!</f>
        <v>#REF!</v>
      </c>
      <c r="HO166" s="183" t="e">
        <f>#REF!</f>
        <v>#REF!</v>
      </c>
      <c r="HP166" s="182" t="e">
        <f>#REF!</f>
        <v>#REF!</v>
      </c>
      <c r="HQ166" s="183" t="e">
        <f>#REF!</f>
        <v>#REF!</v>
      </c>
      <c r="HR166" s="182" t="e">
        <f>#REF!</f>
        <v>#REF!</v>
      </c>
      <c r="HS166" s="183" t="e">
        <f>#REF!</f>
        <v>#REF!</v>
      </c>
      <c r="HT166" s="182" t="e">
        <f>#REF!</f>
        <v>#REF!</v>
      </c>
      <c r="HU166" s="73" t="e">
        <f>HS166+HQ166+HO166+HM166+HK166+HI166+HG166+HE166+HC166+HA166</f>
        <v>#REF!</v>
      </c>
      <c r="HV166" s="72" t="e">
        <f>HT166+HR166+HP166+HN166+HL166+HJ166+HH166+HF166+HD166+HB166</f>
        <v>#REF!</v>
      </c>
      <c r="HX166" s="184" t="e">
        <f>#REF!</f>
        <v>#REF!</v>
      </c>
      <c r="HY166" s="182" t="e">
        <f>#REF!</f>
        <v>#REF!</v>
      </c>
      <c r="HZ166" s="183" t="e">
        <f>#REF!</f>
        <v>#REF!</v>
      </c>
      <c r="IA166" s="182" t="e">
        <f>#REF!</f>
        <v>#REF!</v>
      </c>
      <c r="IB166" s="183" t="e">
        <f>#REF!</f>
        <v>#REF!</v>
      </c>
      <c r="IC166" s="182" t="e">
        <f>#REF!</f>
        <v>#REF!</v>
      </c>
      <c r="ID166" s="183" t="e">
        <f>#REF!</f>
        <v>#REF!</v>
      </c>
      <c r="IE166" s="182" t="e">
        <f>#REF!</f>
        <v>#REF!</v>
      </c>
      <c r="IF166" s="183" t="e">
        <f>#REF!</f>
        <v>#REF!</v>
      </c>
      <c r="IG166" s="182" t="e">
        <f>#REF!</f>
        <v>#REF!</v>
      </c>
      <c r="IH166" s="183" t="e">
        <f>#REF!</f>
        <v>#REF!</v>
      </c>
      <c r="II166" s="182" t="e">
        <f>#REF!</f>
        <v>#REF!</v>
      </c>
      <c r="IJ166" s="183" t="e">
        <f>#REF!</f>
        <v>#REF!</v>
      </c>
      <c r="IK166" s="182" t="e">
        <f>#REF!</f>
        <v>#REF!</v>
      </c>
      <c r="IL166" s="183" t="e">
        <f>#REF!</f>
        <v>#REF!</v>
      </c>
      <c r="IM166" s="182" t="e">
        <f>#REF!</f>
        <v>#REF!</v>
      </c>
      <c r="IN166" s="183" t="e">
        <f>#REF!</f>
        <v>#REF!</v>
      </c>
      <c r="IO166" s="182" t="e">
        <f>#REF!</f>
        <v>#REF!</v>
      </c>
      <c r="IP166" s="183" t="e">
        <f>#REF!</f>
        <v>#REF!</v>
      </c>
      <c r="IQ166" s="182" t="e">
        <f>#REF!</f>
        <v>#REF!</v>
      </c>
      <c r="IR166" s="73" t="e">
        <f>IP166+IN166+IL166+IJ166+IH166+IF166+ID166+IB166+HZ166+HX166</f>
        <v>#REF!</v>
      </c>
      <c r="IS166" s="72" t="e">
        <f>IQ166+IO166+IM166+IK166+II166+IG166+IE166+IC166+IA166+HY166</f>
        <v>#REF!</v>
      </c>
      <c r="IT166" s="77"/>
      <c r="IV166" s="21"/>
    </row>
    <row r="167" spans="1:256" s="24" customFormat="1" ht="14.1" customHeight="1" thickBot="1">
      <c r="A167" s="23"/>
      <c r="BS167" s="178" t="e">
        <f>#REF!</f>
        <v>#REF!</v>
      </c>
      <c r="BT167" s="177" t="e">
        <f>#REF!</f>
        <v>#REF!</v>
      </c>
      <c r="BU167" s="177" t="e">
        <f>#REF!</f>
        <v>#REF!</v>
      </c>
      <c r="BV167" s="177" t="e">
        <f>#REF!</f>
        <v>#REF!</v>
      </c>
      <c r="BW167" s="177" t="e">
        <f>#REF!</f>
        <v>#REF!</v>
      </c>
      <c r="BX167" s="177" t="e">
        <f>#REF!</f>
        <v>#REF!</v>
      </c>
      <c r="BY167" s="177" t="e">
        <f>#REF!</f>
        <v>#REF!</v>
      </c>
      <c r="BZ167" s="177" t="e">
        <f>#REF!</f>
        <v>#REF!</v>
      </c>
      <c r="CA167" s="177" t="e">
        <f>#REF!</f>
        <v>#REF!</v>
      </c>
      <c r="CB167" s="177" t="e">
        <f>#REF!</f>
        <v>#REF!</v>
      </c>
      <c r="CC167" s="177" t="e">
        <f>#REF!</f>
        <v>#REF!</v>
      </c>
      <c r="CD167" s="177" t="e">
        <f>#REF!</f>
        <v>#REF!</v>
      </c>
      <c r="CE167" s="177" t="e">
        <f>#REF!</f>
        <v>#REF!</v>
      </c>
      <c r="CF167" s="177" t="e">
        <f>#REF!</f>
        <v>#REF!</v>
      </c>
      <c r="CG167" s="177" t="e">
        <f>#REF!</f>
        <v>#REF!</v>
      </c>
      <c r="CH167" s="177" t="e">
        <f>#REF!</f>
        <v>#REF!</v>
      </c>
      <c r="CI167" s="177" t="e">
        <f>#REF!</f>
        <v>#REF!</v>
      </c>
      <c r="CJ167" s="177" t="e">
        <f>#REF!</f>
        <v>#REF!</v>
      </c>
      <c r="CK167" s="177" t="e">
        <f>#REF!</f>
        <v>#REF!</v>
      </c>
      <c r="CL167" s="177" t="e">
        <f>#REF!</f>
        <v>#REF!</v>
      </c>
      <c r="CM167" s="45" t="e">
        <f>CK167+CI167+CG167+CE167+CC167+CA167+BY167+BW167+BU167+BS167</f>
        <v>#REF!</v>
      </c>
      <c r="CN167" s="98" t="e">
        <f>CL167+CJ167+CH167+CF167+CD167+CB167+BZ167+BX167+BV167+BT167</f>
        <v>#REF!</v>
      </c>
      <c r="CU167" s="106"/>
      <c r="CV167" s="106"/>
      <c r="CW167" s="106"/>
      <c r="CX167" s="106"/>
      <c r="CY167" s="106"/>
      <c r="CZ167" s="106"/>
      <c r="DA167" s="106"/>
      <c r="DB167" s="106"/>
      <c r="DC167" s="106"/>
      <c r="DD167" s="106"/>
      <c r="DE167" s="106"/>
      <c r="DF167" s="106"/>
      <c r="DG167" s="106"/>
      <c r="DH167" s="106"/>
      <c r="DI167" s="106"/>
      <c r="FG167" s="178" t="e">
        <f>#REF!</f>
        <v>#REF!</v>
      </c>
      <c r="FH167" s="177" t="e">
        <f>#REF!</f>
        <v>#REF!</v>
      </c>
      <c r="FI167" s="177" t="e">
        <f>#REF!</f>
        <v>#REF!</v>
      </c>
      <c r="FJ167" s="177" t="e">
        <f>#REF!</f>
        <v>#REF!</v>
      </c>
      <c r="FK167" s="177" t="e">
        <f>#REF!</f>
        <v>#REF!</v>
      </c>
      <c r="FL167" s="177" t="e">
        <f>#REF!</f>
        <v>#REF!</v>
      </c>
      <c r="FM167" s="177" t="e">
        <f>#REF!</f>
        <v>#REF!</v>
      </c>
      <c r="FN167" s="177" t="e">
        <f>#REF!</f>
        <v>#REF!</v>
      </c>
      <c r="FO167" s="177" t="e">
        <f>#REF!</f>
        <v>#REF!</v>
      </c>
      <c r="FP167" s="177" t="e">
        <f>#REF!</f>
        <v>#REF!</v>
      </c>
      <c r="FQ167" s="177" t="e">
        <f>#REF!</f>
        <v>#REF!</v>
      </c>
      <c r="FR167" s="177" t="e">
        <f>#REF!</f>
        <v>#REF!</v>
      </c>
      <c r="FS167" s="177" t="e">
        <f>#REF!</f>
        <v>#REF!</v>
      </c>
      <c r="FT167" s="177" t="e">
        <f>#REF!</f>
        <v>#REF!</v>
      </c>
      <c r="FU167" s="177" t="e">
        <f>#REF!</f>
        <v>#REF!</v>
      </c>
      <c r="FV167" s="177" t="e">
        <f>#REF!</f>
        <v>#REF!</v>
      </c>
      <c r="FW167" s="177" t="e">
        <f>#REF!</f>
        <v>#REF!</v>
      </c>
      <c r="FX167" s="177" t="e">
        <f>#REF!</f>
        <v>#REF!</v>
      </c>
      <c r="FY167" s="177" t="e">
        <f>#REF!</f>
        <v>#REF!</v>
      </c>
      <c r="FZ167" s="177" t="e">
        <f>#REF!</f>
        <v>#REF!</v>
      </c>
      <c r="GA167" s="45" t="e">
        <f>FY167+FW167+FU167+FS167+FQ167+FO167+FM167+FK167+FI167+FG167</f>
        <v>#REF!</v>
      </c>
      <c r="GB167" s="98" t="e">
        <f>FZ167+FX167+FV167+FT167+FR167+FP167+FN167+FL167+FJ167+FH167</f>
        <v>#REF!</v>
      </c>
      <c r="GF167" s="106"/>
      <c r="IV167" s="21"/>
    </row>
    <row r="168" spans="1:256" s="21" customFormat="1" ht="6" customHeight="1">
      <c r="A168" s="23"/>
      <c r="B168" s="22"/>
      <c r="C168" s="22"/>
      <c r="D168" s="22"/>
      <c r="E168" s="22"/>
      <c r="F168" s="22"/>
      <c r="G168" s="22"/>
      <c r="H168" s="22"/>
      <c r="I168" s="22"/>
      <c r="J168" s="22"/>
      <c r="K168" s="22"/>
      <c r="L168" s="22"/>
      <c r="M168" s="22"/>
      <c r="N168" s="22"/>
      <c r="O168" s="22"/>
      <c r="P168" s="22"/>
      <c r="Q168" s="22"/>
      <c r="R168" s="22"/>
      <c r="S168" s="22"/>
      <c r="T168" s="22"/>
      <c r="U168" s="22"/>
      <c r="V168" s="22"/>
    </row>
    <row r="169" spans="1:256" s="24" customFormat="1" ht="15" customHeight="1">
      <c r="A169" s="23"/>
      <c r="B169" s="185" t="s">
        <v>284</v>
      </c>
      <c r="C169" s="34"/>
      <c r="D169" s="34"/>
      <c r="E169" s="34"/>
      <c r="F169" s="34"/>
      <c r="G169" s="34"/>
      <c r="H169" s="34"/>
      <c r="I169" s="34"/>
      <c r="J169" s="34"/>
      <c r="K169" s="34"/>
      <c r="L169" s="34"/>
      <c r="M169" s="34"/>
      <c r="N169" s="34"/>
      <c r="O169" s="34"/>
      <c r="P169" s="34"/>
      <c r="Q169" s="34"/>
      <c r="R169" s="34"/>
      <c r="S169" s="34"/>
      <c r="T169" s="5129" t="s">
        <v>188</v>
      </c>
      <c r="U169" s="5129"/>
      <c r="V169" s="5141" t="s">
        <v>187</v>
      </c>
      <c r="W169" s="5141"/>
      <c r="X169" s="34"/>
      <c r="Y169" s="187" t="s">
        <v>283</v>
      </c>
      <c r="Z169" s="78"/>
      <c r="AA169" s="189"/>
      <c r="AB169" s="189"/>
      <c r="AD169" s="82"/>
      <c r="AE169" s="82"/>
      <c r="AF169" s="82"/>
      <c r="AG169" s="82"/>
      <c r="AH169" s="82"/>
      <c r="AI169" s="82"/>
      <c r="AJ169" s="82"/>
      <c r="AK169" s="82"/>
      <c r="AL169" s="82"/>
      <c r="AM169" s="82"/>
      <c r="AN169" s="82"/>
      <c r="AO169" s="82"/>
      <c r="AP169" s="82"/>
      <c r="AQ169" s="84"/>
      <c r="AR169" s="84"/>
      <c r="AS169" s="5129" t="s">
        <v>25</v>
      </c>
      <c r="AT169" s="5129"/>
      <c r="AV169" s="187" t="s">
        <v>283</v>
      </c>
      <c r="AW169" s="82"/>
      <c r="AY169" s="84"/>
      <c r="AZ169" s="82"/>
      <c r="BA169" s="82"/>
      <c r="BB169" s="84"/>
      <c r="BC169" s="84"/>
      <c r="BE169" s="82"/>
      <c r="BF169" s="82"/>
      <c r="BG169" s="82"/>
      <c r="BH169" s="82"/>
      <c r="BI169" s="82"/>
      <c r="BJ169" s="82"/>
      <c r="BK169" s="82"/>
      <c r="BL169" s="82"/>
      <c r="BM169" s="82"/>
      <c r="BN169" s="82"/>
      <c r="BO169" s="82"/>
      <c r="BP169" s="5129" t="s">
        <v>191</v>
      </c>
      <c r="BQ169" s="5129"/>
      <c r="BR169" s="34"/>
      <c r="BS169" s="187" t="s">
        <v>283</v>
      </c>
      <c r="CF169" s="82"/>
      <c r="CG169" s="82"/>
      <c r="CH169" s="82"/>
      <c r="CI169" s="82"/>
      <c r="CJ169" s="82"/>
      <c r="CK169" s="82"/>
      <c r="CL169" s="82"/>
      <c r="CM169" s="5129" t="s">
        <v>190</v>
      </c>
      <c r="CN169" s="5129"/>
      <c r="CO169" s="34"/>
      <c r="CP169" s="187" t="s">
        <v>283</v>
      </c>
      <c r="CQ169" s="82"/>
      <c r="CR169" s="82"/>
      <c r="CU169" s="84"/>
      <c r="CW169" s="84"/>
      <c r="CX169" s="82"/>
      <c r="CY169" s="84"/>
      <c r="CZ169" s="82"/>
      <c r="DA169" s="84"/>
      <c r="DB169" s="82"/>
      <c r="DG169" s="82"/>
      <c r="DH169" s="5129" t="s">
        <v>188</v>
      </c>
      <c r="DI169" s="5129"/>
      <c r="DJ169" s="5141" t="s">
        <v>187</v>
      </c>
      <c r="DK169" s="5141"/>
      <c r="DL169" s="82"/>
      <c r="DM169" s="187" t="s">
        <v>282</v>
      </c>
      <c r="DN169" s="82"/>
      <c r="DO169" s="82"/>
      <c r="DP169" s="82"/>
      <c r="DQ169" s="82"/>
      <c r="DT169" s="84"/>
      <c r="DV169" s="84"/>
      <c r="DW169" s="84"/>
      <c r="DX169" s="84"/>
      <c r="DY169" s="82"/>
      <c r="DZ169" s="82"/>
      <c r="EA169" s="82"/>
      <c r="EB169" s="84"/>
      <c r="EC169" s="82"/>
      <c r="ED169" s="82"/>
      <c r="EE169" s="82"/>
      <c r="EF169" s="84"/>
      <c r="EG169" s="5129" t="s">
        <v>25</v>
      </c>
      <c r="EH169" s="5129"/>
      <c r="EI169" s="82"/>
      <c r="EJ169" s="187" t="s">
        <v>282</v>
      </c>
      <c r="EK169" s="82"/>
      <c r="EL169" s="82"/>
      <c r="EM169" s="82"/>
      <c r="EN169" s="82"/>
      <c r="ES169" s="82"/>
      <c r="EU169" s="84"/>
      <c r="EV169" s="84"/>
      <c r="EW169" s="84"/>
      <c r="EX169" s="84"/>
      <c r="EY169" s="84"/>
      <c r="EZ169" s="82"/>
      <c r="FA169" s="82"/>
      <c r="FB169" s="82"/>
      <c r="FC169" s="84"/>
      <c r="FD169" s="5129" t="s">
        <v>191</v>
      </c>
      <c r="FE169" s="5129"/>
      <c r="FF169" s="82"/>
      <c r="FG169" s="187" t="s">
        <v>282</v>
      </c>
      <c r="FI169" s="82"/>
      <c r="FJ169" s="82"/>
      <c r="FK169" s="82"/>
      <c r="FN169" s="82"/>
      <c r="FR169" s="82"/>
      <c r="FT169" s="82"/>
      <c r="FU169" s="82"/>
      <c r="FV169" s="84"/>
      <c r="FW169" s="84"/>
      <c r="FX169" s="84"/>
      <c r="FY169" s="84"/>
      <c r="FZ169" s="84"/>
      <c r="GA169" s="5129" t="s">
        <v>190</v>
      </c>
      <c r="GB169" s="5129"/>
      <c r="GC169" s="82"/>
      <c r="GD169" s="187" t="s">
        <v>282</v>
      </c>
      <c r="GE169" s="82"/>
      <c r="GF169" s="82"/>
      <c r="GG169" s="84"/>
      <c r="GH169" s="84"/>
      <c r="GI169" s="84"/>
      <c r="GJ169" s="84"/>
      <c r="GK169" s="84"/>
      <c r="GL169" s="82"/>
      <c r="GM169" s="82"/>
      <c r="GN169" s="82"/>
      <c r="GU169" s="82"/>
      <c r="GV169" s="82"/>
      <c r="GW169" s="82"/>
      <c r="GX169" s="5129" t="s">
        <v>188</v>
      </c>
      <c r="GY169" s="5129"/>
      <c r="HA169" s="170" t="s">
        <v>281</v>
      </c>
      <c r="HU169" s="5129" t="s">
        <v>25</v>
      </c>
      <c r="HV169" s="5129"/>
      <c r="HX169" s="170" t="s">
        <v>281</v>
      </c>
      <c r="HY169" s="34"/>
      <c r="HZ169" s="34"/>
      <c r="IA169" s="34"/>
      <c r="IB169" s="34"/>
      <c r="IC169" s="34"/>
      <c r="ID169" s="34"/>
      <c r="IE169" s="34"/>
      <c r="IF169" s="34"/>
      <c r="IG169" s="34"/>
      <c r="IH169" s="34"/>
      <c r="II169" s="34"/>
      <c r="IJ169" s="34"/>
      <c r="IK169" s="34"/>
      <c r="IL169" s="34"/>
      <c r="IM169" s="34"/>
      <c r="IN169" s="34"/>
      <c r="IO169" s="34"/>
      <c r="IP169" s="34"/>
      <c r="IQ169" s="34"/>
      <c r="IR169" s="5129" t="s">
        <v>191</v>
      </c>
      <c r="IS169" s="5129"/>
      <c r="IV169" s="21"/>
    </row>
    <row r="170" spans="1:256" s="24" customFormat="1" ht="8.1" customHeight="1" thickBot="1">
      <c r="A170" s="23"/>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187"/>
      <c r="Z170" s="78"/>
      <c r="AA170" s="188"/>
      <c r="AB170" s="188"/>
      <c r="AC170" s="26"/>
      <c r="AD170" s="186"/>
      <c r="AE170" s="186"/>
      <c r="AF170" s="186"/>
      <c r="AG170" s="186"/>
      <c r="AH170" s="186"/>
      <c r="AI170" s="186"/>
      <c r="AJ170" s="186"/>
      <c r="AK170" s="186"/>
      <c r="AL170" s="186"/>
      <c r="AM170" s="186"/>
      <c r="AN170" s="186"/>
      <c r="AO170" s="186"/>
      <c r="AP170" s="186"/>
      <c r="AQ170" s="80"/>
      <c r="AR170" s="80"/>
      <c r="AS170" s="80"/>
      <c r="AT170" s="80"/>
      <c r="AU170" s="80"/>
      <c r="AV170" s="80"/>
      <c r="AW170" s="80"/>
      <c r="AX170" s="80"/>
      <c r="AY170" s="80"/>
      <c r="AZ170" s="186"/>
      <c r="BA170" s="186"/>
      <c r="BB170" s="80"/>
      <c r="BC170" s="80"/>
      <c r="BD170" s="26"/>
      <c r="BE170" s="186"/>
      <c r="BF170" s="186"/>
      <c r="BG170" s="186"/>
      <c r="BH170" s="186"/>
      <c r="BI170" s="186"/>
      <c r="BJ170" s="186"/>
      <c r="BK170" s="186"/>
      <c r="BL170" s="186"/>
      <c r="BM170" s="186"/>
      <c r="BN170" s="186"/>
      <c r="BO170" s="186"/>
      <c r="BP170" s="186"/>
      <c r="BQ170" s="186"/>
      <c r="BR170" s="34"/>
      <c r="BS170" s="80"/>
      <c r="BT170" s="80"/>
      <c r="BU170" s="80"/>
      <c r="BV170" s="80"/>
      <c r="BW170" s="80"/>
      <c r="BX170" s="26"/>
      <c r="BY170" s="26"/>
      <c r="BZ170" s="26"/>
      <c r="CA170" s="26"/>
      <c r="CB170" s="26"/>
      <c r="CC170" s="26"/>
      <c r="CD170" s="26"/>
      <c r="CE170" s="80"/>
      <c r="CF170" s="80"/>
      <c r="CG170" s="186"/>
      <c r="CH170" s="186"/>
      <c r="CI170" s="186"/>
      <c r="CJ170" s="186"/>
      <c r="CK170" s="186"/>
      <c r="CL170" s="186"/>
      <c r="CM170" s="186"/>
      <c r="CN170" s="186"/>
      <c r="CO170" s="34"/>
      <c r="CP170" s="186"/>
      <c r="CQ170" s="186"/>
      <c r="CR170" s="186"/>
      <c r="CS170" s="80"/>
      <c r="CT170" s="80"/>
      <c r="CU170" s="80"/>
      <c r="CV170" s="80"/>
      <c r="CW170" s="80"/>
      <c r="CX170" s="186"/>
      <c r="CY170" s="80"/>
      <c r="CZ170" s="186"/>
      <c r="DA170" s="80"/>
      <c r="DB170" s="186"/>
      <c r="DC170" s="26"/>
      <c r="DD170" s="26"/>
      <c r="DE170" s="26"/>
      <c r="DF170" s="187"/>
      <c r="DG170" s="186"/>
      <c r="DH170" s="186"/>
      <c r="DI170" s="186"/>
      <c r="DJ170" s="186"/>
      <c r="DK170" s="186"/>
      <c r="DL170" s="186"/>
      <c r="DM170" s="186"/>
      <c r="DN170" s="186"/>
      <c r="DO170" s="186"/>
      <c r="DP170" s="186"/>
      <c r="DQ170" s="186"/>
      <c r="DR170" s="186"/>
      <c r="DS170" s="186"/>
      <c r="DT170" s="80"/>
      <c r="DU170" s="80"/>
      <c r="DV170" s="80"/>
      <c r="DW170" s="80"/>
      <c r="DX170" s="80"/>
      <c r="DY170" s="186"/>
      <c r="DZ170" s="186"/>
      <c r="EA170" s="186"/>
      <c r="EB170" s="80"/>
      <c r="EC170" s="186"/>
      <c r="ED170" s="186"/>
      <c r="EE170" s="186"/>
      <c r="EF170" s="80"/>
      <c r="EG170" s="187"/>
      <c r="EH170" s="186"/>
      <c r="EI170" s="186"/>
      <c r="FF170" s="186"/>
      <c r="FG170" s="26"/>
      <c r="FH170" s="187"/>
      <c r="FI170" s="186"/>
      <c r="FJ170" s="186"/>
      <c r="FK170" s="186"/>
      <c r="FL170" s="186"/>
      <c r="FM170" s="186"/>
      <c r="FN170" s="186"/>
      <c r="FO170" s="186"/>
      <c r="FP170" s="186"/>
      <c r="FQ170" s="186"/>
      <c r="FR170" s="186"/>
      <c r="FS170" s="186"/>
      <c r="FT170" s="186"/>
      <c r="FU170" s="186"/>
      <c r="FV170" s="80"/>
      <c r="FW170" s="80"/>
      <c r="FX170" s="80"/>
      <c r="FY170" s="80"/>
      <c r="FZ170" s="80"/>
      <c r="GA170" s="186"/>
      <c r="GB170" s="186"/>
      <c r="GC170" s="186"/>
      <c r="GD170" s="186"/>
      <c r="GE170" s="186"/>
      <c r="GF170" s="186"/>
      <c r="GG170" s="80"/>
      <c r="GH170" s="80"/>
      <c r="GI170" s="80"/>
      <c r="GJ170" s="80"/>
      <c r="GK170" s="80"/>
      <c r="GL170" s="186"/>
      <c r="GM170" s="186"/>
      <c r="GN170" s="186"/>
      <c r="GO170" s="26"/>
      <c r="GP170" s="26"/>
      <c r="GQ170" s="26"/>
      <c r="GR170" s="26"/>
      <c r="GS170" s="26"/>
      <c r="GT170" s="187"/>
      <c r="GU170" s="186"/>
      <c r="GV170" s="186"/>
      <c r="GW170" s="82"/>
      <c r="GX170" s="82"/>
      <c r="GY170" s="82"/>
      <c r="HW170" s="82"/>
      <c r="HX170" s="82"/>
      <c r="HY170" s="34"/>
      <c r="HZ170" s="34"/>
      <c r="IA170" s="34"/>
      <c r="IB170" s="34"/>
      <c r="IC170" s="34"/>
      <c r="ID170" s="34"/>
      <c r="IE170" s="34"/>
      <c r="IF170" s="34"/>
      <c r="IG170" s="34"/>
      <c r="IH170" s="34"/>
      <c r="II170" s="34"/>
      <c r="IJ170" s="34"/>
      <c r="IK170" s="34"/>
      <c r="IL170" s="34"/>
      <c r="IM170" s="34"/>
      <c r="IN170" s="34"/>
      <c r="IO170" s="34"/>
      <c r="IP170" s="34"/>
      <c r="IQ170" s="34"/>
      <c r="IR170" s="34"/>
      <c r="IS170" s="34"/>
      <c r="IT170" s="77"/>
      <c r="IV170" s="21"/>
    </row>
    <row r="171" spans="1:256" s="24" customFormat="1" ht="14.1" customHeight="1" thickBot="1">
      <c r="A171" s="35">
        <v>4</v>
      </c>
      <c r="B171" s="184" t="e">
        <f>#REF!</f>
        <v>#REF!</v>
      </c>
      <c r="C171" s="182" t="e">
        <f>#REF!</f>
        <v>#REF!</v>
      </c>
      <c r="D171" s="183" t="e">
        <f>#REF!</f>
        <v>#REF!</v>
      </c>
      <c r="E171" s="182" t="e">
        <f>#REF!</f>
        <v>#REF!</v>
      </c>
      <c r="F171" s="183" t="e">
        <f>#REF!</f>
        <v>#REF!</v>
      </c>
      <c r="G171" s="182" t="e">
        <f>#REF!</f>
        <v>#REF!</v>
      </c>
      <c r="H171" s="183" t="e">
        <f>#REF!</f>
        <v>#REF!</v>
      </c>
      <c r="I171" s="182" t="e">
        <f>#REF!</f>
        <v>#REF!</v>
      </c>
      <c r="J171" s="183" t="e">
        <f>#REF!</f>
        <v>#REF!</v>
      </c>
      <c r="K171" s="182" t="e">
        <f>#REF!</f>
        <v>#REF!</v>
      </c>
      <c r="L171" s="183" t="e">
        <f>#REF!</f>
        <v>#REF!</v>
      </c>
      <c r="M171" s="182" t="e">
        <f>#REF!</f>
        <v>#REF!</v>
      </c>
      <c r="N171" s="183" t="e">
        <f>#REF!</f>
        <v>#REF!</v>
      </c>
      <c r="O171" s="182" t="e">
        <f>#REF!</f>
        <v>#REF!</v>
      </c>
      <c r="P171" s="183" t="e">
        <f>#REF!</f>
        <v>#REF!</v>
      </c>
      <c r="Q171" s="182" t="e">
        <f>#REF!</f>
        <v>#REF!</v>
      </c>
      <c r="R171" s="183" t="e">
        <f>#REF!</f>
        <v>#REF!</v>
      </c>
      <c r="S171" s="182" t="e">
        <f>#REF!</f>
        <v>#REF!</v>
      </c>
      <c r="T171" s="183" t="e">
        <f>#REF!</f>
        <v>#REF!</v>
      </c>
      <c r="U171" s="182" t="e">
        <f>#REF!</f>
        <v>#REF!</v>
      </c>
      <c r="V171" s="73" t="e">
        <f>T171+R171+P171+N171+L171+J171+H171+F171+D171+B171</f>
        <v>#REF!</v>
      </c>
      <c r="W171" s="72" t="e">
        <f>U171+S171+Q171+O171+M171+K171+I171+G171+E171+C171</f>
        <v>#REF!</v>
      </c>
      <c r="X171" s="34"/>
      <c r="Y171" s="184" t="e">
        <f>#REF!</f>
        <v>#REF!</v>
      </c>
      <c r="Z171" s="182" t="e">
        <f>#REF!</f>
        <v>#REF!</v>
      </c>
      <c r="AA171" s="183" t="e">
        <f>#REF!</f>
        <v>#REF!</v>
      </c>
      <c r="AB171" s="182" t="e">
        <f>#REF!</f>
        <v>#REF!</v>
      </c>
      <c r="AC171" s="183" t="e">
        <f>#REF!</f>
        <v>#REF!</v>
      </c>
      <c r="AD171" s="182" t="e">
        <f>#REF!</f>
        <v>#REF!</v>
      </c>
      <c r="AE171" s="183" t="e">
        <f>#REF!</f>
        <v>#REF!</v>
      </c>
      <c r="AF171" s="182" t="e">
        <f>#REF!</f>
        <v>#REF!</v>
      </c>
      <c r="AG171" s="183" t="e">
        <f>#REF!</f>
        <v>#REF!</v>
      </c>
      <c r="AH171" s="182" t="e">
        <f>#REF!</f>
        <v>#REF!</v>
      </c>
      <c r="AI171" s="183" t="e">
        <f>#REF!</f>
        <v>#REF!</v>
      </c>
      <c r="AJ171" s="182" t="e">
        <f>#REF!</f>
        <v>#REF!</v>
      </c>
      <c r="AK171" s="183" t="e">
        <f>#REF!</f>
        <v>#REF!</v>
      </c>
      <c r="AL171" s="182" t="e">
        <f>#REF!</f>
        <v>#REF!</v>
      </c>
      <c r="AM171" s="183" t="e">
        <f>#REF!</f>
        <v>#REF!</v>
      </c>
      <c r="AN171" s="182" t="e">
        <f>#REF!</f>
        <v>#REF!</v>
      </c>
      <c r="AO171" s="183" t="e">
        <f>#REF!</f>
        <v>#REF!</v>
      </c>
      <c r="AP171" s="182" t="e">
        <f>#REF!</f>
        <v>#REF!</v>
      </c>
      <c r="AQ171" s="183" t="e">
        <f>#REF!</f>
        <v>#REF!</v>
      </c>
      <c r="AR171" s="182" t="e">
        <f>#REF!</f>
        <v>#REF!</v>
      </c>
      <c r="AS171" s="73" t="e">
        <f>AQ171+AO171+AM171+AK171+AI171+AG171+AE171+AC171+AA171+Y171</f>
        <v>#REF!</v>
      </c>
      <c r="AT171" s="72" t="e">
        <f>AR171+AP171+AN171+AL171+AJ171+AH171+AF171+AD171+AB171+Z171</f>
        <v>#REF!</v>
      </c>
      <c r="AV171" s="184" t="e">
        <f>#REF!</f>
        <v>#REF!</v>
      </c>
      <c r="AW171" s="182" t="e">
        <f>#REF!</f>
        <v>#REF!</v>
      </c>
      <c r="AX171" s="183" t="e">
        <f>#REF!</f>
        <v>#REF!</v>
      </c>
      <c r="AY171" s="182" t="e">
        <f>#REF!</f>
        <v>#REF!</v>
      </c>
      <c r="AZ171" s="183" t="e">
        <f>#REF!</f>
        <v>#REF!</v>
      </c>
      <c r="BA171" s="182" t="e">
        <f>#REF!</f>
        <v>#REF!</v>
      </c>
      <c r="BB171" s="183" t="e">
        <f>#REF!</f>
        <v>#REF!</v>
      </c>
      <c r="BC171" s="182" t="e">
        <f>#REF!</f>
        <v>#REF!</v>
      </c>
      <c r="BD171" s="183" t="e">
        <f>#REF!</f>
        <v>#REF!</v>
      </c>
      <c r="BE171" s="182" t="e">
        <f>#REF!</f>
        <v>#REF!</v>
      </c>
      <c r="BF171" s="183" t="e">
        <f>#REF!</f>
        <v>#REF!</v>
      </c>
      <c r="BG171" s="182" t="e">
        <f>#REF!</f>
        <v>#REF!</v>
      </c>
      <c r="BH171" s="183" t="e">
        <f>#REF!</f>
        <v>#REF!</v>
      </c>
      <c r="BI171" s="182" t="e">
        <f>#REF!</f>
        <v>#REF!</v>
      </c>
      <c r="BJ171" s="183" t="e">
        <f>#REF!</f>
        <v>#REF!</v>
      </c>
      <c r="BK171" s="182" t="e">
        <f>#REF!</f>
        <v>#REF!</v>
      </c>
      <c r="BL171" s="183" t="e">
        <f>#REF!</f>
        <v>#REF!</v>
      </c>
      <c r="BM171" s="182" t="e">
        <f>#REF!</f>
        <v>#REF!</v>
      </c>
      <c r="BN171" s="183" t="e">
        <f>#REF!</f>
        <v>#REF!</v>
      </c>
      <c r="BO171" s="182" t="e">
        <f>#REF!</f>
        <v>#REF!</v>
      </c>
      <c r="BP171" s="73" t="e">
        <f>BN171+BL171+BJ171+BH171+BF171+BD171+BB171+AZ171+AX171+AV171</f>
        <v>#REF!</v>
      </c>
      <c r="BQ171" s="72" t="e">
        <f>BO171+BM171+BK171+BI171+BG171+BE171+BC171+BA171+AY171+AW171</f>
        <v>#REF!</v>
      </c>
      <c r="BR171" s="34"/>
      <c r="BS171" s="184" t="e">
        <f>#REF!</f>
        <v>#REF!</v>
      </c>
      <c r="BT171" s="182" t="e">
        <f>#REF!</f>
        <v>#REF!</v>
      </c>
      <c r="BU171" s="183" t="e">
        <f>#REF!</f>
        <v>#REF!</v>
      </c>
      <c r="BV171" s="182" t="e">
        <f>#REF!</f>
        <v>#REF!</v>
      </c>
      <c r="BW171" s="183" t="e">
        <f>#REF!</f>
        <v>#REF!</v>
      </c>
      <c r="BX171" s="182" t="e">
        <f>#REF!</f>
        <v>#REF!</v>
      </c>
      <c r="BY171" s="183" t="e">
        <f>#REF!</f>
        <v>#REF!</v>
      </c>
      <c r="BZ171" s="182" t="e">
        <f>#REF!</f>
        <v>#REF!</v>
      </c>
      <c r="CA171" s="183" t="e">
        <f>#REF!</f>
        <v>#REF!</v>
      </c>
      <c r="CB171" s="182" t="e">
        <f>#REF!</f>
        <v>#REF!</v>
      </c>
      <c r="CC171" s="183" t="e">
        <f>#REF!</f>
        <v>#REF!</v>
      </c>
      <c r="CD171" s="182" t="e">
        <f>#REF!</f>
        <v>#REF!</v>
      </c>
      <c r="CE171" s="183" t="e">
        <f>#REF!</f>
        <v>#REF!</v>
      </c>
      <c r="CF171" s="182" t="e">
        <f>#REF!</f>
        <v>#REF!</v>
      </c>
      <c r="CG171" s="183" t="e">
        <f>#REF!</f>
        <v>#REF!</v>
      </c>
      <c r="CH171" s="182" t="e">
        <f>#REF!</f>
        <v>#REF!</v>
      </c>
      <c r="CI171" s="183" t="e">
        <f>#REF!</f>
        <v>#REF!</v>
      </c>
      <c r="CJ171" s="182" t="e">
        <f>#REF!</f>
        <v>#REF!</v>
      </c>
      <c r="CK171" s="183" t="e">
        <f>#REF!</f>
        <v>#REF!</v>
      </c>
      <c r="CL171" s="182" t="e">
        <f>#REF!</f>
        <v>#REF!</v>
      </c>
      <c r="CM171" s="73" t="e">
        <f>CK171+CI171+CG171+CE171+CC171+CA171+BY171+BW171+BU171+BS171</f>
        <v>#REF!</v>
      </c>
      <c r="CN171" s="72" t="e">
        <f>CL171+CJ171+CH171+CF171+CD171+CB171+BZ171+BX171+BV171+BT171</f>
        <v>#REF!</v>
      </c>
      <c r="CO171" s="34"/>
      <c r="CP171" s="184" t="e">
        <f>#REF!</f>
        <v>#REF!</v>
      </c>
      <c r="CQ171" s="182" t="e">
        <f>#REF!</f>
        <v>#REF!</v>
      </c>
      <c r="CR171" s="183" t="e">
        <f>#REF!</f>
        <v>#REF!</v>
      </c>
      <c r="CS171" s="182" t="e">
        <f>#REF!</f>
        <v>#REF!</v>
      </c>
      <c r="CT171" s="183" t="e">
        <f>#REF!</f>
        <v>#REF!</v>
      </c>
      <c r="CU171" s="182" t="e">
        <f>#REF!</f>
        <v>#REF!</v>
      </c>
      <c r="CV171" s="183" t="e">
        <f>#REF!</f>
        <v>#REF!</v>
      </c>
      <c r="CW171" s="182" t="e">
        <f>#REF!</f>
        <v>#REF!</v>
      </c>
      <c r="CX171" s="183" t="e">
        <f>#REF!</f>
        <v>#REF!</v>
      </c>
      <c r="CY171" s="182" t="e">
        <f>#REF!</f>
        <v>#REF!</v>
      </c>
      <c r="CZ171" s="183" t="e">
        <f>#REF!</f>
        <v>#REF!</v>
      </c>
      <c r="DA171" s="182" t="e">
        <f>#REF!</f>
        <v>#REF!</v>
      </c>
      <c r="DB171" s="183" t="e">
        <f>#REF!</f>
        <v>#REF!</v>
      </c>
      <c r="DC171" s="182" t="e">
        <f>#REF!</f>
        <v>#REF!</v>
      </c>
      <c r="DD171" s="183" t="e">
        <f>#REF!</f>
        <v>#REF!</v>
      </c>
      <c r="DE171" s="182" t="e">
        <f>#REF!</f>
        <v>#REF!</v>
      </c>
      <c r="DF171" s="183" t="e">
        <f>#REF!</f>
        <v>#REF!</v>
      </c>
      <c r="DG171" s="182" t="e">
        <f>#REF!</f>
        <v>#REF!</v>
      </c>
      <c r="DH171" s="183" t="e">
        <f>#REF!</f>
        <v>#REF!</v>
      </c>
      <c r="DI171" s="182" t="e">
        <f>#REF!</f>
        <v>#REF!</v>
      </c>
      <c r="DJ171" s="73" t="e">
        <f>DH171+DF171+DD171+DB171+CZ171+CX171+CV171+CT171+CR171+CP171</f>
        <v>#REF!</v>
      </c>
      <c r="DK171" s="72" t="e">
        <f>DI171+DG171+DE171+DC171+DA171+CY171+CW171+CU171+CS171+CQ171</f>
        <v>#REF!</v>
      </c>
      <c r="DM171" s="184" t="e">
        <f>#REF!</f>
        <v>#REF!</v>
      </c>
      <c r="DN171" s="182" t="e">
        <f>#REF!</f>
        <v>#REF!</v>
      </c>
      <c r="DO171" s="183" t="e">
        <f>#REF!</f>
        <v>#REF!</v>
      </c>
      <c r="DP171" s="182" t="e">
        <f>#REF!</f>
        <v>#REF!</v>
      </c>
      <c r="DQ171" s="183" t="e">
        <f>#REF!</f>
        <v>#REF!</v>
      </c>
      <c r="DR171" s="182" t="e">
        <f>#REF!</f>
        <v>#REF!</v>
      </c>
      <c r="DS171" s="183" t="e">
        <f>#REF!</f>
        <v>#REF!</v>
      </c>
      <c r="DT171" s="182" t="e">
        <f>#REF!</f>
        <v>#REF!</v>
      </c>
      <c r="DU171" s="183" t="e">
        <f>#REF!</f>
        <v>#REF!</v>
      </c>
      <c r="DV171" s="182" t="e">
        <f>#REF!</f>
        <v>#REF!</v>
      </c>
      <c r="DW171" s="183" t="e">
        <f>#REF!</f>
        <v>#REF!</v>
      </c>
      <c r="DX171" s="182" t="e">
        <f>#REF!</f>
        <v>#REF!</v>
      </c>
      <c r="DY171" s="183" t="e">
        <f>#REF!</f>
        <v>#REF!</v>
      </c>
      <c r="DZ171" s="182" t="e">
        <f>#REF!</f>
        <v>#REF!</v>
      </c>
      <c r="EA171" s="183" t="e">
        <f>#REF!</f>
        <v>#REF!</v>
      </c>
      <c r="EB171" s="182" t="e">
        <f>#REF!</f>
        <v>#REF!</v>
      </c>
      <c r="EC171" s="183" t="e">
        <f>#REF!</f>
        <v>#REF!</v>
      </c>
      <c r="ED171" s="182" t="e">
        <f>#REF!</f>
        <v>#REF!</v>
      </c>
      <c r="EE171" s="183" t="e">
        <f>#REF!</f>
        <v>#REF!</v>
      </c>
      <c r="EF171" s="182" t="e">
        <f>#REF!</f>
        <v>#REF!</v>
      </c>
      <c r="EG171" s="73" t="e">
        <f>EE171+EC171+EA171+DY171+DW171+DU171+DS171+DQ171+DO171+DM171</f>
        <v>#REF!</v>
      </c>
      <c r="EH171" s="72" t="e">
        <f>EF171+ED171+EB171+DZ171+DX171+DV171+DT171+DR171+DP171+DN171</f>
        <v>#REF!</v>
      </c>
      <c r="EJ171" s="184" t="e">
        <f>#REF!</f>
        <v>#REF!</v>
      </c>
      <c r="EK171" s="182" t="e">
        <f>#REF!</f>
        <v>#REF!</v>
      </c>
      <c r="EL171" s="183" t="e">
        <f>#REF!</f>
        <v>#REF!</v>
      </c>
      <c r="EM171" s="182" t="e">
        <f>#REF!</f>
        <v>#REF!</v>
      </c>
      <c r="EN171" s="183" t="e">
        <f>#REF!</f>
        <v>#REF!</v>
      </c>
      <c r="EO171" s="182" t="e">
        <f>#REF!</f>
        <v>#REF!</v>
      </c>
      <c r="EP171" s="183" t="e">
        <f>#REF!</f>
        <v>#REF!</v>
      </c>
      <c r="EQ171" s="182" t="e">
        <f>#REF!</f>
        <v>#REF!</v>
      </c>
      <c r="ER171" s="183" t="e">
        <f>#REF!</f>
        <v>#REF!</v>
      </c>
      <c r="ES171" s="182" t="e">
        <f>#REF!</f>
        <v>#REF!</v>
      </c>
      <c r="ET171" s="183" t="e">
        <f>#REF!</f>
        <v>#REF!</v>
      </c>
      <c r="EU171" s="182" t="e">
        <f>#REF!</f>
        <v>#REF!</v>
      </c>
      <c r="EV171" s="183" t="e">
        <f>#REF!</f>
        <v>#REF!</v>
      </c>
      <c r="EW171" s="182" t="e">
        <f>#REF!</f>
        <v>#REF!</v>
      </c>
      <c r="EX171" s="183" t="e">
        <f>#REF!</f>
        <v>#REF!</v>
      </c>
      <c r="EY171" s="182" t="e">
        <f>#REF!</f>
        <v>#REF!</v>
      </c>
      <c r="EZ171" s="183" t="e">
        <f>#REF!</f>
        <v>#REF!</v>
      </c>
      <c r="FA171" s="182" t="e">
        <f>#REF!</f>
        <v>#REF!</v>
      </c>
      <c r="FB171" s="183" t="e">
        <f>#REF!</f>
        <v>#REF!</v>
      </c>
      <c r="FC171" s="182" t="e">
        <f>#REF!</f>
        <v>#REF!</v>
      </c>
      <c r="FD171" s="73" t="e">
        <f>FB171+EZ171+EX171+EV171+ET171+ER171+EP171+EN171+EL171+EJ171</f>
        <v>#REF!</v>
      </c>
      <c r="FE171" s="72" t="e">
        <f>FC171+FA171+EY171+EW171+EU171+ES171+EQ171+EO171+EM171+EK171</f>
        <v>#REF!</v>
      </c>
      <c r="FG171" s="184" t="e">
        <f>#REF!</f>
        <v>#REF!</v>
      </c>
      <c r="FH171" s="182" t="e">
        <f>#REF!</f>
        <v>#REF!</v>
      </c>
      <c r="FI171" s="183" t="e">
        <f>#REF!</f>
        <v>#REF!</v>
      </c>
      <c r="FJ171" s="182" t="e">
        <f>#REF!</f>
        <v>#REF!</v>
      </c>
      <c r="FK171" s="183" t="e">
        <f>#REF!</f>
        <v>#REF!</v>
      </c>
      <c r="FL171" s="182" t="e">
        <f>#REF!</f>
        <v>#REF!</v>
      </c>
      <c r="FM171" s="183" t="e">
        <f>#REF!</f>
        <v>#REF!</v>
      </c>
      <c r="FN171" s="182" t="e">
        <f>#REF!</f>
        <v>#REF!</v>
      </c>
      <c r="FO171" s="183" t="e">
        <f>#REF!</f>
        <v>#REF!</v>
      </c>
      <c r="FP171" s="182" t="e">
        <f>#REF!</f>
        <v>#REF!</v>
      </c>
      <c r="FQ171" s="183" t="e">
        <f>#REF!</f>
        <v>#REF!</v>
      </c>
      <c r="FR171" s="182" t="e">
        <f>#REF!</f>
        <v>#REF!</v>
      </c>
      <c r="FS171" s="183" t="e">
        <f>#REF!</f>
        <v>#REF!</v>
      </c>
      <c r="FT171" s="182" t="e">
        <f>#REF!</f>
        <v>#REF!</v>
      </c>
      <c r="FU171" s="183" t="e">
        <f>#REF!</f>
        <v>#REF!</v>
      </c>
      <c r="FV171" s="182" t="e">
        <f>#REF!</f>
        <v>#REF!</v>
      </c>
      <c r="FW171" s="183" t="e">
        <f>#REF!</f>
        <v>#REF!</v>
      </c>
      <c r="FX171" s="182" t="e">
        <f>#REF!</f>
        <v>#REF!</v>
      </c>
      <c r="FY171" s="183" t="e">
        <f>#REF!</f>
        <v>#REF!</v>
      </c>
      <c r="FZ171" s="182" t="e">
        <f>#REF!</f>
        <v>#REF!</v>
      </c>
      <c r="GA171" s="73" t="e">
        <f>FY171+FW171+FU171+FS171+FQ171+FO171+FM171+FK171+FI171+FG171</f>
        <v>#REF!</v>
      </c>
      <c r="GB171" s="72" t="e">
        <f>FZ171+FX171+FV171+FT171+FR171+FP171+FN171+FL171+FJ171+FH171</f>
        <v>#REF!</v>
      </c>
      <c r="GD171" s="184" t="e">
        <f>#REF!</f>
        <v>#REF!</v>
      </c>
      <c r="GE171" s="182" t="e">
        <f>#REF!</f>
        <v>#REF!</v>
      </c>
      <c r="GF171" s="183" t="e">
        <f>#REF!</f>
        <v>#REF!</v>
      </c>
      <c r="GG171" s="182" t="e">
        <f>#REF!</f>
        <v>#REF!</v>
      </c>
      <c r="GH171" s="183" t="e">
        <f>#REF!</f>
        <v>#REF!</v>
      </c>
      <c r="GI171" s="182" t="e">
        <f>#REF!</f>
        <v>#REF!</v>
      </c>
      <c r="GJ171" s="183" t="e">
        <f>#REF!</f>
        <v>#REF!</v>
      </c>
      <c r="GK171" s="182" t="e">
        <f>#REF!</f>
        <v>#REF!</v>
      </c>
      <c r="GL171" s="183" t="e">
        <f>#REF!</f>
        <v>#REF!</v>
      </c>
      <c r="GM171" s="182" t="e">
        <f>#REF!</f>
        <v>#REF!</v>
      </c>
      <c r="GN171" s="184" t="e">
        <f>#REF!</f>
        <v>#REF!</v>
      </c>
      <c r="GO171" s="182" t="e">
        <f>#REF!</f>
        <v>#REF!</v>
      </c>
      <c r="GP171" s="183" t="e">
        <f>#REF!</f>
        <v>#REF!</v>
      </c>
      <c r="GQ171" s="182" t="e">
        <f>#REF!</f>
        <v>#REF!</v>
      </c>
      <c r="GR171" s="183" t="e">
        <f>#REF!</f>
        <v>#REF!</v>
      </c>
      <c r="GS171" s="182" t="e">
        <f>#REF!</f>
        <v>#REF!</v>
      </c>
      <c r="GT171" s="183" t="e">
        <f>#REF!</f>
        <v>#REF!</v>
      </c>
      <c r="GU171" s="182" t="e">
        <f>#REF!</f>
        <v>#REF!</v>
      </c>
      <c r="GV171" s="183" t="e">
        <f>#REF!</f>
        <v>#REF!</v>
      </c>
      <c r="GW171" s="182" t="e">
        <f>#REF!</f>
        <v>#REF!</v>
      </c>
      <c r="GX171" s="73" t="e">
        <f>GV171+GT171+GR171+GP171+GN171+GL171+GJ171+GH171+GF171+GD171</f>
        <v>#REF!</v>
      </c>
      <c r="GY171" s="72" t="e">
        <f>GW171+GU171+GS171+GQ171+GO171+GM171+GK171+GI171+GG171+GE171</f>
        <v>#REF!</v>
      </c>
      <c r="HA171" s="184" t="e">
        <f>#REF!</f>
        <v>#REF!</v>
      </c>
      <c r="HB171" s="182" t="e">
        <f>#REF!</f>
        <v>#REF!</v>
      </c>
      <c r="HC171" s="183" t="e">
        <f>#REF!</f>
        <v>#REF!</v>
      </c>
      <c r="HD171" s="182" t="e">
        <f>#REF!</f>
        <v>#REF!</v>
      </c>
      <c r="HE171" s="183" t="e">
        <f>#REF!</f>
        <v>#REF!</v>
      </c>
      <c r="HF171" s="182" t="e">
        <f>#REF!</f>
        <v>#REF!</v>
      </c>
      <c r="HG171" s="183" t="e">
        <f>#REF!</f>
        <v>#REF!</v>
      </c>
      <c r="HH171" s="182" t="e">
        <f>#REF!</f>
        <v>#REF!</v>
      </c>
      <c r="HI171" s="183" t="e">
        <f>#REF!</f>
        <v>#REF!</v>
      </c>
      <c r="HJ171" s="182" t="e">
        <f>#REF!</f>
        <v>#REF!</v>
      </c>
      <c r="HK171" s="183" t="e">
        <f>#REF!</f>
        <v>#REF!</v>
      </c>
      <c r="HL171" s="182" t="e">
        <f>#REF!</f>
        <v>#REF!</v>
      </c>
      <c r="HM171" s="183" t="e">
        <f>#REF!</f>
        <v>#REF!</v>
      </c>
      <c r="HN171" s="182" t="e">
        <f>#REF!</f>
        <v>#REF!</v>
      </c>
      <c r="HO171" s="183" t="e">
        <f>#REF!</f>
        <v>#REF!</v>
      </c>
      <c r="HP171" s="182" t="e">
        <f>#REF!</f>
        <v>#REF!</v>
      </c>
      <c r="HQ171" s="183" t="e">
        <f>#REF!</f>
        <v>#REF!</v>
      </c>
      <c r="HR171" s="182" t="e">
        <f>#REF!</f>
        <v>#REF!</v>
      </c>
      <c r="HS171" s="183" t="e">
        <f>#REF!</f>
        <v>#REF!</v>
      </c>
      <c r="HT171" s="182" t="e">
        <f>#REF!</f>
        <v>#REF!</v>
      </c>
      <c r="HU171" s="73" t="e">
        <f>HS171+HQ171+HO171+HM171+HK171+HI171+HG171+HE171+HC171+HA171</f>
        <v>#REF!</v>
      </c>
      <c r="HV171" s="72" t="e">
        <f>HT171+HR171+HP171+HN171+HL171+HJ171+HH171+HF171+HD171+HB171</f>
        <v>#REF!</v>
      </c>
      <c r="HX171" s="184" t="e">
        <f>#REF!</f>
        <v>#REF!</v>
      </c>
      <c r="HY171" s="182" t="e">
        <f>#REF!</f>
        <v>#REF!</v>
      </c>
      <c r="HZ171" s="183" t="e">
        <f>#REF!</f>
        <v>#REF!</v>
      </c>
      <c r="IA171" s="182" t="e">
        <f>#REF!</f>
        <v>#REF!</v>
      </c>
      <c r="IB171" s="183" t="e">
        <f>#REF!</f>
        <v>#REF!</v>
      </c>
      <c r="IC171" s="182" t="e">
        <f>#REF!</f>
        <v>#REF!</v>
      </c>
      <c r="ID171" s="183" t="e">
        <f>#REF!</f>
        <v>#REF!</v>
      </c>
      <c r="IE171" s="182" t="e">
        <f>#REF!</f>
        <v>#REF!</v>
      </c>
      <c r="IF171" s="183" t="e">
        <f>#REF!</f>
        <v>#REF!</v>
      </c>
      <c r="IG171" s="182" t="e">
        <f>#REF!</f>
        <v>#REF!</v>
      </c>
      <c r="IH171" s="183" t="e">
        <f>#REF!</f>
        <v>#REF!</v>
      </c>
      <c r="II171" s="182" t="e">
        <f>#REF!</f>
        <v>#REF!</v>
      </c>
      <c r="IJ171" s="183" t="e">
        <f>#REF!</f>
        <v>#REF!</v>
      </c>
      <c r="IK171" s="182" t="e">
        <f>#REF!</f>
        <v>#REF!</v>
      </c>
      <c r="IL171" s="183" t="e">
        <f>#REF!</f>
        <v>#REF!</v>
      </c>
      <c r="IM171" s="182" t="e">
        <f>#REF!</f>
        <v>#REF!</v>
      </c>
      <c r="IN171" s="183" t="e">
        <f>#REF!</f>
        <v>#REF!</v>
      </c>
      <c r="IO171" s="182" t="e">
        <f>#REF!</f>
        <v>#REF!</v>
      </c>
      <c r="IP171" s="183" t="e">
        <f>#REF!</f>
        <v>#REF!</v>
      </c>
      <c r="IQ171" s="182" t="e">
        <f>#REF!</f>
        <v>#REF!</v>
      </c>
      <c r="IR171" s="73" t="e">
        <f>IP171+IN171+IL171+IJ171+IH171+IF171+ID171+IB171+HZ171+HX171</f>
        <v>#REF!</v>
      </c>
      <c r="IS171" s="72" t="e">
        <f>IQ171+IO171+IM171+IK171+II171+IG171+IE171+IC171+IA171+HY171</f>
        <v>#REF!</v>
      </c>
      <c r="IV171" s="21"/>
    </row>
    <row r="172" spans="1:256" s="24" customFormat="1" ht="14.1" customHeight="1" thickBot="1">
      <c r="A172" s="23"/>
      <c r="B172" s="178" t="e">
        <f>#REF!</f>
        <v>#REF!</v>
      </c>
      <c r="C172" s="177" t="e">
        <f>#REF!</f>
        <v>#REF!</v>
      </c>
      <c r="D172" s="177" t="e">
        <f>#REF!</f>
        <v>#REF!</v>
      </c>
      <c r="E172" s="177" t="e">
        <f>#REF!</f>
        <v>#REF!</v>
      </c>
      <c r="F172" s="177" t="e">
        <f>#REF!</f>
        <v>#REF!</v>
      </c>
      <c r="G172" s="177" t="e">
        <f>#REF!</f>
        <v>#REF!</v>
      </c>
      <c r="H172" s="177" t="e">
        <f>#REF!</f>
        <v>#REF!</v>
      </c>
      <c r="I172" s="177" t="e">
        <f>#REF!</f>
        <v>#REF!</v>
      </c>
      <c r="J172" s="177" t="e">
        <f>#REF!</f>
        <v>#REF!</v>
      </c>
      <c r="K172" s="177" t="e">
        <f>#REF!</f>
        <v>#REF!</v>
      </c>
      <c r="L172" s="177" t="e">
        <f>#REF!</f>
        <v>#REF!</v>
      </c>
      <c r="M172" s="177" t="e">
        <f>#REF!</f>
        <v>#REF!</v>
      </c>
      <c r="N172" s="177" t="e">
        <f>#REF!</f>
        <v>#REF!</v>
      </c>
      <c r="O172" s="177" t="e">
        <f>#REF!</f>
        <v>#REF!</v>
      </c>
      <c r="P172" s="177" t="e">
        <f>#REF!</f>
        <v>#REF!</v>
      </c>
      <c r="Q172" s="177" t="e">
        <f>#REF!</f>
        <v>#REF!</v>
      </c>
      <c r="R172" s="177" t="e">
        <f>#REF!</f>
        <v>#REF!</v>
      </c>
      <c r="S172" s="177" t="e">
        <f>#REF!</f>
        <v>#REF!</v>
      </c>
      <c r="T172" s="177" t="e">
        <f>#REF!</f>
        <v>#REF!</v>
      </c>
      <c r="U172" s="177" t="e">
        <f>#REF!</f>
        <v>#REF!</v>
      </c>
      <c r="V172" s="45" t="e">
        <f>T172+R172+P172+N172+L172+J172+H172+F172+D172+B172</f>
        <v>#REF!</v>
      </c>
      <c r="W172" s="98" t="e">
        <f>U172+S172+Q172+O172+M172+K172+I172+G172+E172+C172</f>
        <v>#REF!</v>
      </c>
      <c r="CP172" s="178" t="e">
        <f>#REF!</f>
        <v>#REF!</v>
      </c>
      <c r="CQ172" s="177" t="e">
        <f>#REF!</f>
        <v>#REF!</v>
      </c>
      <c r="CR172" s="177" t="e">
        <f>#REF!</f>
        <v>#REF!</v>
      </c>
      <c r="CS172" s="177" t="e">
        <f>#REF!</f>
        <v>#REF!</v>
      </c>
      <c r="CT172" s="177" t="e">
        <f>#REF!</f>
        <v>#REF!</v>
      </c>
      <c r="CU172" s="177" t="e">
        <f>#REF!</f>
        <v>#REF!</v>
      </c>
      <c r="CV172" s="177" t="e">
        <f>#REF!</f>
        <v>#REF!</v>
      </c>
      <c r="CW172" s="177" t="e">
        <f>#REF!</f>
        <v>#REF!</v>
      </c>
      <c r="CX172" s="177" t="e">
        <f>#REF!</f>
        <v>#REF!</v>
      </c>
      <c r="CY172" s="177" t="e">
        <f>#REF!</f>
        <v>#REF!</v>
      </c>
      <c r="CZ172" s="177" t="e">
        <f>#REF!</f>
        <v>#REF!</v>
      </c>
      <c r="DA172" s="177" t="e">
        <f>#REF!</f>
        <v>#REF!</v>
      </c>
      <c r="DB172" s="177" t="e">
        <f>#REF!</f>
        <v>#REF!</v>
      </c>
      <c r="DC172" s="177" t="e">
        <f>#REF!</f>
        <v>#REF!</v>
      </c>
      <c r="DD172" s="177" t="e">
        <f>#REF!</f>
        <v>#REF!</v>
      </c>
      <c r="DE172" s="177" t="e">
        <f>#REF!</f>
        <v>#REF!</v>
      </c>
      <c r="DF172" s="177" t="e">
        <f>#REF!</f>
        <v>#REF!</v>
      </c>
      <c r="DG172" s="177" t="e">
        <f>#REF!</f>
        <v>#REF!</v>
      </c>
      <c r="DH172" s="177" t="e">
        <f>#REF!</f>
        <v>#REF!</v>
      </c>
      <c r="DI172" s="177" t="e">
        <f>#REF!</f>
        <v>#REF!</v>
      </c>
      <c r="DJ172" s="45" t="e">
        <f>DH172+DF172+DD172+DB172+CZ172+CX172+CV172+CT172+CR172+CP172</f>
        <v>#REF!</v>
      </c>
      <c r="DK172" s="98" t="e">
        <f>DI172+DG172+DE172+DC172+DA172+CY172+CW172+CU172+CS172+CQ172</f>
        <v>#REF!</v>
      </c>
      <c r="IV172" s="21"/>
    </row>
    <row r="173" spans="1:256" s="21" customFormat="1" ht="6" customHeight="1">
      <c r="A173" s="23"/>
      <c r="B173" s="22"/>
      <c r="C173" s="22"/>
      <c r="D173" s="22"/>
      <c r="E173" s="22"/>
      <c r="F173" s="22"/>
      <c r="G173" s="22"/>
      <c r="H173" s="22"/>
      <c r="I173" s="22"/>
      <c r="J173" s="22"/>
      <c r="K173" s="22"/>
      <c r="L173" s="22"/>
      <c r="M173" s="22"/>
      <c r="N173" s="22"/>
      <c r="O173" s="22"/>
      <c r="P173" s="22"/>
      <c r="Q173" s="22"/>
      <c r="R173" s="22"/>
      <c r="S173" s="22"/>
      <c r="T173" s="22"/>
      <c r="U173" s="22"/>
      <c r="V173" s="22"/>
    </row>
    <row r="174" spans="1:256" s="24" customFormat="1" ht="15" customHeight="1">
      <c r="A174" s="23"/>
      <c r="B174" s="170" t="s">
        <v>281</v>
      </c>
      <c r="C174" s="34"/>
      <c r="D174" s="34"/>
      <c r="E174" s="34"/>
      <c r="F174" s="34"/>
      <c r="G174" s="34"/>
      <c r="H174" s="34"/>
      <c r="I174" s="34"/>
      <c r="J174" s="34"/>
      <c r="K174" s="34"/>
      <c r="L174" s="34"/>
      <c r="M174" s="34"/>
      <c r="N174" s="34"/>
      <c r="O174" s="34"/>
      <c r="P174" s="34"/>
      <c r="Q174" s="34"/>
      <c r="R174" s="34"/>
      <c r="S174" s="34"/>
      <c r="T174" s="34"/>
      <c r="U174" s="34"/>
      <c r="V174" s="5129" t="s">
        <v>190</v>
      </c>
      <c r="W174" s="5129"/>
      <c r="X174" s="34"/>
      <c r="Y174" s="185" t="s">
        <v>280</v>
      </c>
      <c r="Z174" s="34"/>
      <c r="AA174" s="34"/>
      <c r="AB174" s="34"/>
      <c r="AC174" s="34"/>
      <c r="AD174" s="34"/>
      <c r="AE174" s="34"/>
      <c r="AF174" s="34"/>
      <c r="AG174" s="34"/>
      <c r="AH174" s="34"/>
      <c r="AI174" s="34"/>
      <c r="AJ174" s="34"/>
      <c r="AK174" s="34"/>
      <c r="AL174" s="34"/>
      <c r="AM174" s="34"/>
      <c r="AN174" s="34"/>
      <c r="AO174" s="34"/>
      <c r="AP174" s="34"/>
      <c r="AQ174" s="5129" t="s">
        <v>188</v>
      </c>
      <c r="AR174" s="5129"/>
      <c r="AS174" s="5141" t="s">
        <v>187</v>
      </c>
      <c r="AT174" s="5141"/>
      <c r="AV174" s="170" t="s">
        <v>279</v>
      </c>
      <c r="BP174" s="5129" t="s">
        <v>25</v>
      </c>
      <c r="BQ174" s="5129"/>
      <c r="BS174" s="170" t="s">
        <v>279</v>
      </c>
      <c r="BT174" s="34"/>
      <c r="BU174" s="34"/>
      <c r="BV174" s="34"/>
      <c r="BW174" s="34"/>
      <c r="BX174" s="34"/>
      <c r="BY174" s="34"/>
      <c r="BZ174" s="34"/>
      <c r="CA174" s="34"/>
      <c r="CB174" s="34"/>
      <c r="CC174" s="34"/>
      <c r="CD174" s="34"/>
      <c r="CE174" s="34"/>
      <c r="CF174" s="34"/>
      <c r="CG174" s="34"/>
      <c r="CH174" s="34"/>
      <c r="CI174" s="34"/>
      <c r="CJ174" s="34"/>
      <c r="CK174" s="34"/>
      <c r="CL174" s="34"/>
      <c r="CM174" s="5129" t="s">
        <v>191</v>
      </c>
      <c r="CN174" s="5129"/>
      <c r="CP174" s="170" t="s">
        <v>279</v>
      </c>
      <c r="CQ174" s="34"/>
      <c r="CR174" s="34"/>
      <c r="CS174" s="34"/>
      <c r="CT174" s="34"/>
      <c r="CU174" s="34"/>
      <c r="CV174" s="34"/>
      <c r="CW174" s="34"/>
      <c r="CX174" s="34"/>
      <c r="CY174" s="34"/>
      <c r="CZ174" s="34"/>
      <c r="DA174" s="34"/>
      <c r="DB174" s="34"/>
      <c r="DC174" s="34"/>
      <c r="DD174" s="34"/>
      <c r="DE174" s="34"/>
      <c r="DF174" s="34"/>
      <c r="DG174" s="34"/>
      <c r="DH174" s="34"/>
      <c r="DI174" s="34"/>
      <c r="DJ174" s="5129" t="s">
        <v>190</v>
      </c>
      <c r="DK174" s="5129"/>
      <c r="DL174" s="34"/>
      <c r="DM174" s="185" t="s">
        <v>278</v>
      </c>
      <c r="DN174" s="34"/>
      <c r="DO174" s="34"/>
      <c r="DP174" s="34"/>
      <c r="DQ174" s="34"/>
      <c r="DR174" s="34"/>
      <c r="DS174" s="34"/>
      <c r="DT174" s="34"/>
      <c r="DU174" s="34"/>
      <c r="DV174" s="34"/>
      <c r="DW174" s="34"/>
      <c r="DX174" s="34"/>
      <c r="DY174" s="34"/>
      <c r="DZ174" s="34"/>
      <c r="EA174" s="34"/>
      <c r="EB174" s="34"/>
      <c r="EC174" s="34"/>
      <c r="ED174" s="34"/>
      <c r="EE174" s="5129" t="s">
        <v>188</v>
      </c>
      <c r="EF174" s="5129"/>
      <c r="EG174" s="5141" t="s">
        <v>187</v>
      </c>
      <c r="EH174" s="5141"/>
      <c r="EI174" s="82"/>
      <c r="EJ174" s="170" t="s">
        <v>277</v>
      </c>
      <c r="EK174" s="82"/>
      <c r="EL174" s="82"/>
      <c r="EM174" s="82"/>
      <c r="EN174" s="82"/>
      <c r="EO174" s="82"/>
      <c r="EP174" s="84"/>
      <c r="EQ174" s="84"/>
      <c r="ER174" s="84"/>
      <c r="ES174" s="84"/>
      <c r="ET174" s="84"/>
      <c r="EU174" s="82"/>
      <c r="EV174" s="82"/>
      <c r="EW174" s="82"/>
      <c r="EX174" s="82"/>
      <c r="EY174" s="82"/>
      <c r="EZ174" s="82"/>
      <c r="FA174" s="82"/>
      <c r="FB174" s="82"/>
      <c r="FC174" s="82"/>
      <c r="FD174" s="82"/>
      <c r="FE174" s="82"/>
      <c r="FF174" s="82"/>
      <c r="FG174" s="82"/>
      <c r="FH174" s="174" t="s">
        <v>274</v>
      </c>
      <c r="FJ174" s="24" t="s">
        <v>273</v>
      </c>
      <c r="FL174" s="24" t="s">
        <v>275</v>
      </c>
      <c r="FN174" s="173" t="s">
        <v>188</v>
      </c>
      <c r="FO174" s="82"/>
      <c r="FP174" s="5141" t="s">
        <v>187</v>
      </c>
      <c r="FQ174" s="5141"/>
      <c r="FR174" s="82"/>
      <c r="FS174" s="170" t="s">
        <v>276</v>
      </c>
      <c r="FT174" s="82"/>
      <c r="FU174" s="82"/>
      <c r="FV174" s="82"/>
      <c r="FW174" s="82"/>
      <c r="FX174" s="82"/>
      <c r="FY174" s="82"/>
      <c r="FZ174" s="82"/>
      <c r="GA174" s="82"/>
      <c r="GB174" s="82"/>
      <c r="GC174" s="82"/>
      <c r="GD174" s="82"/>
      <c r="GE174" s="82"/>
      <c r="GF174" s="82"/>
      <c r="GG174" s="82"/>
      <c r="GH174" s="82"/>
      <c r="GI174" s="82"/>
      <c r="GJ174" s="82"/>
      <c r="GK174" s="174" t="s">
        <v>274</v>
      </c>
      <c r="GM174" s="24" t="s">
        <v>273</v>
      </c>
      <c r="GO174" s="173" t="s">
        <v>188</v>
      </c>
      <c r="GQ174" s="5141" t="s">
        <v>187</v>
      </c>
      <c r="GR174" s="5141"/>
      <c r="GT174" s="170" t="s">
        <v>272</v>
      </c>
      <c r="GU174" s="128"/>
      <c r="GV174" s="128"/>
      <c r="GW174" s="128"/>
      <c r="GX174" s="128"/>
      <c r="GY174" s="128"/>
      <c r="GZ174" s="128"/>
      <c r="HA174" s="128"/>
      <c r="HB174" s="128"/>
      <c r="HC174" s="128"/>
      <c r="HD174" s="128"/>
      <c r="HE174" s="128"/>
      <c r="HF174" s="128"/>
      <c r="HG174" s="128"/>
      <c r="HH174" s="128"/>
      <c r="HI174" s="128"/>
      <c r="HJ174" s="128"/>
      <c r="HK174" s="128"/>
      <c r="HL174" s="128"/>
      <c r="HM174" s="128"/>
      <c r="HP174" s="5129" t="s">
        <v>25</v>
      </c>
      <c r="HQ174" s="5129"/>
      <c r="HR174" s="128"/>
      <c r="HS174" s="170" t="s">
        <v>272</v>
      </c>
      <c r="HT174" s="128"/>
      <c r="HU174" s="128"/>
      <c r="HV174" s="128"/>
      <c r="HW174" s="128"/>
      <c r="HX174" s="128"/>
      <c r="HY174" s="128"/>
      <c r="HZ174" s="128"/>
      <c r="IA174" s="128"/>
      <c r="IB174" s="128"/>
      <c r="IC174" s="128"/>
      <c r="ID174" s="128"/>
      <c r="IE174" s="128"/>
      <c r="IF174" s="128"/>
      <c r="IG174" s="128"/>
      <c r="IH174" s="128"/>
      <c r="II174" s="128"/>
      <c r="IJ174" s="128"/>
      <c r="IK174" s="128"/>
      <c r="IL174" s="128"/>
      <c r="IO174" s="5129" t="s">
        <v>191</v>
      </c>
      <c r="IP174" s="5129"/>
      <c r="IV174" s="21"/>
    </row>
    <row r="175" spans="1:256" s="24" customFormat="1" ht="8.1" customHeight="1" thickBot="1">
      <c r="A175" s="23"/>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BR175" s="82"/>
      <c r="BS175" s="82"/>
      <c r="BT175" s="34"/>
      <c r="BU175" s="34"/>
      <c r="BV175" s="34"/>
      <c r="BW175" s="34"/>
      <c r="BX175" s="34"/>
      <c r="BY175" s="34"/>
      <c r="BZ175" s="34"/>
      <c r="CA175" s="34"/>
      <c r="CB175" s="34"/>
      <c r="CC175" s="34"/>
      <c r="CD175" s="34"/>
      <c r="CE175" s="34"/>
      <c r="CF175" s="34"/>
      <c r="CG175" s="34"/>
      <c r="CH175" s="34"/>
      <c r="CI175" s="34"/>
      <c r="CJ175" s="34"/>
      <c r="CK175" s="34"/>
      <c r="CL175" s="34"/>
      <c r="CM175" s="34"/>
      <c r="CN175" s="34"/>
      <c r="CP175" s="34"/>
      <c r="CQ175" s="34"/>
      <c r="CR175" s="34"/>
      <c r="CS175" s="34"/>
      <c r="CT175" s="34"/>
      <c r="CU175" s="34"/>
      <c r="CV175" s="34"/>
      <c r="CW175" s="34"/>
      <c r="CX175" s="34"/>
      <c r="CY175" s="34"/>
      <c r="CZ175" s="34"/>
      <c r="DA175" s="34"/>
      <c r="DB175" s="34"/>
      <c r="DC175" s="34"/>
      <c r="DD175" s="34"/>
      <c r="DE175" s="34"/>
      <c r="DF175" s="34"/>
      <c r="DG175" s="34"/>
      <c r="DH175" s="34"/>
      <c r="DI175" s="34"/>
      <c r="DJ175" s="34"/>
      <c r="DK175" s="34"/>
      <c r="DL175" s="34"/>
      <c r="DM175" s="34"/>
      <c r="DN175" s="34"/>
      <c r="DO175" s="34"/>
      <c r="DP175" s="34"/>
      <c r="DQ175" s="34"/>
      <c r="DR175" s="34"/>
      <c r="DS175" s="34"/>
      <c r="DT175" s="34"/>
      <c r="DU175" s="34"/>
      <c r="DV175" s="34"/>
      <c r="DW175" s="34"/>
      <c r="DX175" s="34"/>
      <c r="DY175" s="34"/>
      <c r="DZ175" s="34"/>
      <c r="EA175" s="34"/>
      <c r="EB175" s="34"/>
      <c r="EC175" s="34"/>
      <c r="ED175" s="34"/>
      <c r="EE175" s="34"/>
      <c r="EF175" s="34"/>
      <c r="EG175" s="34"/>
      <c r="EH175" s="34"/>
      <c r="EI175" s="82"/>
      <c r="EJ175" s="82"/>
      <c r="EK175" s="82"/>
      <c r="EL175" s="82"/>
      <c r="EM175" s="82"/>
      <c r="EN175" s="82"/>
      <c r="EO175" s="82"/>
      <c r="EP175" s="82"/>
      <c r="EQ175" s="82"/>
      <c r="ER175" s="82"/>
      <c r="ES175" s="82"/>
      <c r="ET175" s="82"/>
      <c r="EU175" s="82"/>
      <c r="EV175" s="82"/>
      <c r="EW175" s="82"/>
      <c r="EX175" s="82"/>
      <c r="EY175" s="82"/>
      <c r="EZ175" s="82"/>
      <c r="FA175" s="82"/>
      <c r="FB175" s="82"/>
      <c r="FC175" s="82"/>
      <c r="FD175" s="82"/>
      <c r="FE175" s="82"/>
      <c r="FF175" s="82"/>
      <c r="FG175" s="82"/>
      <c r="FH175" s="174"/>
      <c r="FN175" s="173"/>
      <c r="FP175" s="82"/>
      <c r="FQ175" s="82"/>
      <c r="FR175" s="82"/>
      <c r="FS175" s="82"/>
      <c r="FT175" s="82"/>
      <c r="FU175" s="82"/>
      <c r="FV175" s="82"/>
      <c r="FW175" s="82"/>
      <c r="FX175" s="82"/>
      <c r="FY175" s="82"/>
      <c r="FZ175" s="82"/>
      <c r="GA175" s="82"/>
      <c r="GB175" s="82"/>
      <c r="GC175" s="82"/>
      <c r="GD175" s="82"/>
      <c r="GE175" s="82"/>
      <c r="GF175" s="82"/>
      <c r="GG175" s="82"/>
      <c r="GH175" s="82"/>
      <c r="GI175" s="82"/>
      <c r="GJ175" s="82"/>
      <c r="GK175" s="82"/>
      <c r="GL175" s="82"/>
      <c r="GM175" s="82"/>
      <c r="GN175" s="82"/>
      <c r="GO175" s="82"/>
      <c r="GP175" s="82"/>
      <c r="GQ175" s="82"/>
      <c r="GR175" s="82"/>
      <c r="GT175" s="128"/>
      <c r="GU175" s="128"/>
      <c r="GV175" s="128"/>
      <c r="GW175" s="128"/>
      <c r="GX175" s="128"/>
      <c r="GY175" s="128"/>
      <c r="GZ175" s="128"/>
      <c r="HA175" s="128"/>
      <c r="HB175" s="128"/>
      <c r="HC175" s="128"/>
      <c r="HD175" s="128"/>
      <c r="HE175" s="128"/>
      <c r="HF175" s="128"/>
      <c r="HG175" s="128"/>
      <c r="HH175" s="128"/>
      <c r="HI175" s="128"/>
      <c r="HJ175" s="128"/>
      <c r="HK175" s="128"/>
      <c r="HL175" s="128"/>
      <c r="HM175" s="128"/>
      <c r="HN175" s="128"/>
      <c r="HO175" s="128"/>
      <c r="HP175" s="128"/>
      <c r="HQ175" s="128"/>
      <c r="HR175" s="128"/>
      <c r="HS175" s="128"/>
      <c r="HT175" s="128"/>
      <c r="HU175" s="128"/>
      <c r="HV175" s="128"/>
      <c r="HW175" s="128"/>
      <c r="HX175" s="128"/>
      <c r="HY175" s="128"/>
      <c r="HZ175" s="128"/>
      <c r="IA175" s="128"/>
      <c r="IB175" s="128"/>
      <c r="IC175" s="128"/>
      <c r="ID175" s="128"/>
      <c r="IE175" s="128"/>
      <c r="IF175" s="128"/>
      <c r="IG175" s="128"/>
      <c r="IH175" s="128"/>
      <c r="II175" s="128"/>
      <c r="IJ175" s="128"/>
      <c r="IK175" s="128"/>
      <c r="IL175" s="128"/>
      <c r="IM175" s="128"/>
      <c r="IN175" s="128"/>
      <c r="IO175" s="128"/>
      <c r="IP175" s="128"/>
      <c r="IT175" s="77"/>
      <c r="IV175" s="21"/>
    </row>
    <row r="176" spans="1:256" s="24" customFormat="1" ht="14.1" customHeight="1" thickBot="1">
      <c r="A176" s="35">
        <v>5</v>
      </c>
      <c r="B176" s="184" t="e">
        <f>#REF!</f>
        <v>#REF!</v>
      </c>
      <c r="C176" s="182" t="e">
        <f>#REF!</f>
        <v>#REF!</v>
      </c>
      <c r="D176" s="183" t="e">
        <f>#REF!</f>
        <v>#REF!</v>
      </c>
      <c r="E176" s="182" t="e">
        <f>#REF!</f>
        <v>#REF!</v>
      </c>
      <c r="F176" s="183" t="e">
        <f>#REF!</f>
        <v>#REF!</v>
      </c>
      <c r="G176" s="182" t="e">
        <f>#REF!</f>
        <v>#REF!</v>
      </c>
      <c r="H176" s="183" t="e">
        <f>#REF!</f>
        <v>#REF!</v>
      </c>
      <c r="I176" s="182" t="e">
        <f>#REF!</f>
        <v>#REF!</v>
      </c>
      <c r="J176" s="183" t="e">
        <f>#REF!</f>
        <v>#REF!</v>
      </c>
      <c r="K176" s="182" t="e">
        <f>#REF!</f>
        <v>#REF!</v>
      </c>
      <c r="L176" s="183" t="e">
        <f>#REF!</f>
        <v>#REF!</v>
      </c>
      <c r="M176" s="182" t="e">
        <f>#REF!</f>
        <v>#REF!</v>
      </c>
      <c r="N176" s="183" t="e">
        <f>#REF!</f>
        <v>#REF!</v>
      </c>
      <c r="O176" s="182" t="e">
        <f>#REF!</f>
        <v>#REF!</v>
      </c>
      <c r="P176" s="183" t="e">
        <f>#REF!</f>
        <v>#REF!</v>
      </c>
      <c r="Q176" s="182" t="e">
        <f>#REF!</f>
        <v>#REF!</v>
      </c>
      <c r="R176" s="183" t="e">
        <f>#REF!</f>
        <v>#REF!</v>
      </c>
      <c r="S176" s="182" t="e">
        <f>#REF!</f>
        <v>#REF!</v>
      </c>
      <c r="T176" s="183" t="e">
        <f>#REF!</f>
        <v>#REF!</v>
      </c>
      <c r="U176" s="182" t="e">
        <f>#REF!</f>
        <v>#REF!</v>
      </c>
      <c r="V176" s="73" t="e">
        <f>T176+R176+P176+N176+L176+J176+H176+F176+D176+B176</f>
        <v>#REF!</v>
      </c>
      <c r="W176" s="72" t="e">
        <f>U176+S176+Q176+O176+M176+K176+I176+G176+E176+C176</f>
        <v>#REF!</v>
      </c>
      <c r="Y176" s="184" t="e">
        <f>#REF!</f>
        <v>#REF!</v>
      </c>
      <c r="Z176" s="182" t="e">
        <f>#REF!</f>
        <v>#REF!</v>
      </c>
      <c r="AA176" s="183" t="e">
        <f>#REF!</f>
        <v>#REF!</v>
      </c>
      <c r="AB176" s="182" t="e">
        <f>#REF!</f>
        <v>#REF!</v>
      </c>
      <c r="AC176" s="183" t="e">
        <f>#REF!</f>
        <v>#REF!</v>
      </c>
      <c r="AD176" s="182" t="e">
        <f>#REF!</f>
        <v>#REF!</v>
      </c>
      <c r="AE176" s="183" t="e">
        <f>#REF!</f>
        <v>#REF!</v>
      </c>
      <c r="AF176" s="182" t="e">
        <f>#REF!</f>
        <v>#REF!</v>
      </c>
      <c r="AG176" s="183" t="e">
        <f>#REF!</f>
        <v>#REF!</v>
      </c>
      <c r="AH176" s="182" t="e">
        <f>#REF!</f>
        <v>#REF!</v>
      </c>
      <c r="AI176" s="183" t="e">
        <f>#REF!</f>
        <v>#REF!</v>
      </c>
      <c r="AJ176" s="182" t="e">
        <f>#REF!</f>
        <v>#REF!</v>
      </c>
      <c r="AK176" s="183" t="e">
        <f>#REF!</f>
        <v>#REF!</v>
      </c>
      <c r="AL176" s="182" t="e">
        <f>#REF!</f>
        <v>#REF!</v>
      </c>
      <c r="AM176" s="183" t="e">
        <f>#REF!</f>
        <v>#REF!</v>
      </c>
      <c r="AN176" s="182" t="e">
        <f>#REF!</f>
        <v>#REF!</v>
      </c>
      <c r="AO176" s="183" t="e">
        <f>#REF!</f>
        <v>#REF!</v>
      </c>
      <c r="AP176" s="182" t="e">
        <f>#REF!</f>
        <v>#REF!</v>
      </c>
      <c r="AQ176" s="183" t="e">
        <f>#REF!</f>
        <v>#REF!</v>
      </c>
      <c r="AR176" s="182" t="e">
        <f>#REF!</f>
        <v>#REF!</v>
      </c>
      <c r="AS176" s="73" t="e">
        <f>AQ176+AO176+AM176+AK176+AI176+AG176+AE176+AC176+AA176+Y176</f>
        <v>#REF!</v>
      </c>
      <c r="AT176" s="72" t="e">
        <f>AR176+AP176+AN176+AL176+AJ176+AH176+AF176+AD176+AB176+Z176</f>
        <v>#REF!</v>
      </c>
      <c r="AV176" s="184" t="e">
        <f>#REF!</f>
        <v>#REF!</v>
      </c>
      <c r="AW176" s="182" t="e">
        <f>#REF!</f>
        <v>#REF!</v>
      </c>
      <c r="AX176" s="183" t="e">
        <f>#REF!</f>
        <v>#REF!</v>
      </c>
      <c r="AY176" s="182" t="e">
        <f>#REF!</f>
        <v>#REF!</v>
      </c>
      <c r="AZ176" s="183" t="e">
        <f>#REF!</f>
        <v>#REF!</v>
      </c>
      <c r="BA176" s="182" t="e">
        <f>#REF!</f>
        <v>#REF!</v>
      </c>
      <c r="BB176" s="183" t="e">
        <f>#REF!</f>
        <v>#REF!</v>
      </c>
      <c r="BC176" s="182" t="e">
        <f>#REF!</f>
        <v>#REF!</v>
      </c>
      <c r="BD176" s="183" t="e">
        <f>#REF!</f>
        <v>#REF!</v>
      </c>
      <c r="BE176" s="182" t="e">
        <f>#REF!</f>
        <v>#REF!</v>
      </c>
      <c r="BF176" s="183" t="e">
        <f>#REF!</f>
        <v>#REF!</v>
      </c>
      <c r="BG176" s="182" t="e">
        <f>#REF!</f>
        <v>#REF!</v>
      </c>
      <c r="BH176" s="183" t="e">
        <f>#REF!</f>
        <v>#REF!</v>
      </c>
      <c r="BI176" s="182" t="e">
        <f>#REF!</f>
        <v>#REF!</v>
      </c>
      <c r="BJ176" s="183" t="e">
        <f>#REF!</f>
        <v>#REF!</v>
      </c>
      <c r="BK176" s="182" t="e">
        <f>#REF!</f>
        <v>#REF!</v>
      </c>
      <c r="BL176" s="183" t="e">
        <f>#REF!</f>
        <v>#REF!</v>
      </c>
      <c r="BM176" s="182" t="e">
        <f>#REF!</f>
        <v>#REF!</v>
      </c>
      <c r="BN176" s="183" t="e">
        <f>#REF!</f>
        <v>#REF!</v>
      </c>
      <c r="BO176" s="182" t="e">
        <f>#REF!</f>
        <v>#REF!</v>
      </c>
      <c r="BP176" s="73" t="e">
        <f>BN176+BL176+BJ176+BH176+BF176+BD176+BB176+AZ176+AX176+AV176</f>
        <v>#REF!</v>
      </c>
      <c r="BQ176" s="72" t="e">
        <f>BO176+BM176+BK176+BI176+BG176+BE176+BC176+BA176+AY176+AW176</f>
        <v>#REF!</v>
      </c>
      <c r="BS176" s="184" t="e">
        <f>#REF!</f>
        <v>#REF!</v>
      </c>
      <c r="BT176" s="182" t="e">
        <f>#REF!</f>
        <v>#REF!</v>
      </c>
      <c r="BU176" s="183" t="e">
        <f>#REF!</f>
        <v>#REF!</v>
      </c>
      <c r="BV176" s="182" t="e">
        <f>#REF!</f>
        <v>#REF!</v>
      </c>
      <c r="BW176" s="183" t="e">
        <f>#REF!</f>
        <v>#REF!</v>
      </c>
      <c r="BX176" s="182" t="e">
        <f>#REF!</f>
        <v>#REF!</v>
      </c>
      <c r="BY176" s="183" t="e">
        <f>#REF!</f>
        <v>#REF!</v>
      </c>
      <c r="BZ176" s="182" t="e">
        <f>#REF!</f>
        <v>#REF!</v>
      </c>
      <c r="CA176" s="183" t="e">
        <f>#REF!</f>
        <v>#REF!</v>
      </c>
      <c r="CB176" s="182" t="e">
        <f>#REF!</f>
        <v>#REF!</v>
      </c>
      <c r="CC176" s="183" t="e">
        <f>#REF!</f>
        <v>#REF!</v>
      </c>
      <c r="CD176" s="182" t="e">
        <f>#REF!</f>
        <v>#REF!</v>
      </c>
      <c r="CE176" s="183" t="e">
        <f>#REF!</f>
        <v>#REF!</v>
      </c>
      <c r="CF176" s="182" t="e">
        <f>#REF!</f>
        <v>#REF!</v>
      </c>
      <c r="CG176" s="183" t="e">
        <f>#REF!</f>
        <v>#REF!</v>
      </c>
      <c r="CH176" s="182" t="e">
        <f>#REF!</f>
        <v>#REF!</v>
      </c>
      <c r="CI176" s="183" t="e">
        <f>#REF!</f>
        <v>#REF!</v>
      </c>
      <c r="CJ176" s="182" t="e">
        <f>#REF!</f>
        <v>#REF!</v>
      </c>
      <c r="CK176" s="183" t="e">
        <f>#REF!</f>
        <v>#REF!</v>
      </c>
      <c r="CL176" s="182" t="e">
        <f>#REF!</f>
        <v>#REF!</v>
      </c>
      <c r="CM176" s="73" t="e">
        <f>CK176+CI176+CG176+CE176+CC176+CA176+BY176+BW176+BU176+BS176</f>
        <v>#REF!</v>
      </c>
      <c r="CN176" s="72" t="e">
        <f>CL176+CJ176+CH176+CF176+CD176+CB176+BZ176+BX176+BV176+BT176</f>
        <v>#REF!</v>
      </c>
      <c r="CP176" s="184" t="e">
        <f>#REF!</f>
        <v>#REF!</v>
      </c>
      <c r="CQ176" s="182" t="e">
        <f>#REF!</f>
        <v>#REF!</v>
      </c>
      <c r="CR176" s="183" t="e">
        <f>#REF!</f>
        <v>#REF!</v>
      </c>
      <c r="CS176" s="182" t="e">
        <f>#REF!</f>
        <v>#REF!</v>
      </c>
      <c r="CT176" s="183" t="e">
        <f>#REF!</f>
        <v>#REF!</v>
      </c>
      <c r="CU176" s="182" t="e">
        <f>#REF!</f>
        <v>#REF!</v>
      </c>
      <c r="CV176" s="183" t="e">
        <f>#REF!</f>
        <v>#REF!</v>
      </c>
      <c r="CW176" s="182" t="e">
        <f>#REF!</f>
        <v>#REF!</v>
      </c>
      <c r="CX176" s="183" t="e">
        <f>#REF!</f>
        <v>#REF!</v>
      </c>
      <c r="CY176" s="182" t="e">
        <f>#REF!</f>
        <v>#REF!</v>
      </c>
      <c r="CZ176" s="183" t="e">
        <f>#REF!</f>
        <v>#REF!</v>
      </c>
      <c r="DA176" s="182" t="e">
        <f>#REF!</f>
        <v>#REF!</v>
      </c>
      <c r="DB176" s="183" t="e">
        <f>#REF!</f>
        <v>#REF!</v>
      </c>
      <c r="DC176" s="182" t="e">
        <f>#REF!</f>
        <v>#REF!</v>
      </c>
      <c r="DD176" s="183" t="e">
        <f>#REF!</f>
        <v>#REF!</v>
      </c>
      <c r="DE176" s="182" t="e">
        <f>#REF!</f>
        <v>#REF!</v>
      </c>
      <c r="DF176" s="183" t="e">
        <f>#REF!</f>
        <v>#REF!</v>
      </c>
      <c r="DG176" s="182" t="e">
        <f>#REF!</f>
        <v>#REF!</v>
      </c>
      <c r="DH176" s="183" t="e">
        <f>#REF!</f>
        <v>#REF!</v>
      </c>
      <c r="DI176" s="182" t="e">
        <f>#REF!</f>
        <v>#REF!</v>
      </c>
      <c r="DJ176" s="73" t="e">
        <f>DH176+DF176+DD176+DB176+CZ176+CX176+CV176+CT176+CR176+CP176</f>
        <v>#REF!</v>
      </c>
      <c r="DK176" s="72" t="e">
        <f>DI176+DG176+DE176+DC176+DA176+CY176+CW176+CU176+CS176+CQ176</f>
        <v>#REF!</v>
      </c>
      <c r="DM176" s="184" t="e">
        <f>#REF!</f>
        <v>#REF!</v>
      </c>
      <c r="DN176" s="182" t="e">
        <f>#REF!</f>
        <v>#REF!</v>
      </c>
      <c r="DO176" s="183" t="e">
        <f>#REF!</f>
        <v>#REF!</v>
      </c>
      <c r="DP176" s="182" t="e">
        <f>#REF!</f>
        <v>#REF!</v>
      </c>
      <c r="DQ176" s="183" t="e">
        <f>#REF!</f>
        <v>#REF!</v>
      </c>
      <c r="DR176" s="182" t="e">
        <f>#REF!</f>
        <v>#REF!</v>
      </c>
      <c r="DS176" s="183" t="e">
        <f>#REF!</f>
        <v>#REF!</v>
      </c>
      <c r="DT176" s="182" t="e">
        <f>#REF!</f>
        <v>#REF!</v>
      </c>
      <c r="DU176" s="183" t="e">
        <f>#REF!</f>
        <v>#REF!</v>
      </c>
      <c r="DV176" s="182" t="e">
        <f>#REF!</f>
        <v>#REF!</v>
      </c>
      <c r="DW176" s="183" t="e">
        <f>#REF!</f>
        <v>#REF!</v>
      </c>
      <c r="DX176" s="182" t="e">
        <f>#REF!</f>
        <v>#REF!</v>
      </c>
      <c r="DY176" s="183" t="e">
        <f>#REF!</f>
        <v>#REF!</v>
      </c>
      <c r="DZ176" s="182" t="e">
        <f>#REF!</f>
        <v>#REF!</v>
      </c>
      <c r="EA176" s="183" t="e">
        <f>#REF!</f>
        <v>#REF!</v>
      </c>
      <c r="EB176" s="182" t="e">
        <f>#REF!</f>
        <v>#REF!</v>
      </c>
      <c r="EC176" s="183" t="e">
        <f>#REF!</f>
        <v>#REF!</v>
      </c>
      <c r="ED176" s="182" t="e">
        <f>#REF!</f>
        <v>#REF!</v>
      </c>
      <c r="EE176" s="183" t="e">
        <f>#REF!</f>
        <v>#REF!</v>
      </c>
      <c r="EF176" s="182" t="e">
        <f>#REF!</f>
        <v>#REF!</v>
      </c>
      <c r="EG176" s="73" t="e">
        <f>EE176+EC176+EA176+DY176+DW176+DU176+DS176+DQ176+DO176+DM176</f>
        <v>#REF!</v>
      </c>
      <c r="EH176" s="72" t="e">
        <f>EF176+ED176+EB176+DZ176+DX176+DV176+DT176+DR176+DP176+DN176</f>
        <v>#REF!</v>
      </c>
      <c r="EI176" s="112"/>
      <c r="EJ176" s="134">
        <f>'الصفحة 10'!$F$45</f>
        <v>0</v>
      </c>
      <c r="EK176" s="131">
        <f>'الصفحة 10'!$G$45</f>
        <v>0</v>
      </c>
      <c r="EL176" s="132">
        <f>'الصفحة 10'!$F$46</f>
        <v>0</v>
      </c>
      <c r="EM176" s="131">
        <f>'الصفحة 10'!$G$46</f>
        <v>0</v>
      </c>
      <c r="EN176" s="132">
        <f>'الصفحة 10'!$F$47</f>
        <v>0</v>
      </c>
      <c r="EO176" s="131">
        <f>'الصفحة 10'!$G$47</f>
        <v>0</v>
      </c>
      <c r="EP176" s="73">
        <f>EN176+EL176+EJ176</f>
        <v>0</v>
      </c>
      <c r="EQ176" s="89">
        <f>EO176+EM176+EK176</f>
        <v>0</v>
      </c>
      <c r="ER176" s="134">
        <f>'الصفحة 10'!$H$45</f>
        <v>0</v>
      </c>
      <c r="ES176" s="131">
        <f>'الصفحة 10'!$I$45</f>
        <v>0</v>
      </c>
      <c r="ET176" s="132">
        <f>'الصفحة 10'!$H$46</f>
        <v>0</v>
      </c>
      <c r="EU176" s="131">
        <f>'الصفحة 10'!$I$46</f>
        <v>0</v>
      </c>
      <c r="EV176" s="132">
        <f>'الصفحة 10'!$H$47</f>
        <v>0</v>
      </c>
      <c r="EW176" s="131">
        <f>'الصفحة 10'!$I$47</f>
        <v>0</v>
      </c>
      <c r="EX176" s="73">
        <f>EV176+ET176+ER176</f>
        <v>0</v>
      </c>
      <c r="EY176" s="89">
        <f>EW176+EU176+ES176</f>
        <v>0</v>
      </c>
      <c r="EZ176" s="134">
        <f>'الصفحة 10'!$J$45</f>
        <v>0</v>
      </c>
      <c r="FA176" s="131">
        <f>'الصفحة 10'!$K$45</f>
        <v>0</v>
      </c>
      <c r="FB176" s="132">
        <f>'الصفحة 10'!$J$46</f>
        <v>0</v>
      </c>
      <c r="FC176" s="131">
        <f>'الصفحة 10'!$K$46</f>
        <v>0</v>
      </c>
      <c r="FD176" s="132">
        <f>'الصفحة 10'!$J$47</f>
        <v>0</v>
      </c>
      <c r="FE176" s="131">
        <f>'الصفحة 10'!$K$47</f>
        <v>0</v>
      </c>
      <c r="FF176" s="73">
        <f>FD176+FB176+EZ176</f>
        <v>0</v>
      </c>
      <c r="FG176" s="89">
        <f>FE176+FC176+FA176</f>
        <v>0</v>
      </c>
      <c r="FH176" s="134">
        <f>'الصفحة 10'!$L$45</f>
        <v>0</v>
      </c>
      <c r="FI176" s="131">
        <f>'الصفحة 10'!$M$45</f>
        <v>0</v>
      </c>
      <c r="FJ176" s="132">
        <f>'الصفحة 10'!$L$46</f>
        <v>0</v>
      </c>
      <c r="FK176" s="131">
        <f>'الصفحة 10'!$M$46</f>
        <v>0</v>
      </c>
      <c r="FL176" s="132">
        <f>'الصفحة 10'!$L$47</f>
        <v>0</v>
      </c>
      <c r="FM176" s="131">
        <f>'الصفحة 10'!$M$47</f>
        <v>0</v>
      </c>
      <c r="FN176" s="73">
        <f>FL176+FJ176+FH176</f>
        <v>0</v>
      </c>
      <c r="FO176" s="89">
        <f>FM176+FK176+FI176</f>
        <v>0</v>
      </c>
      <c r="FP176" s="180">
        <f>EP176+EX176+FF176+FN176</f>
        <v>0</v>
      </c>
      <c r="FQ176" s="181">
        <f>EQ176+EY176+FG176+FO176</f>
        <v>0</v>
      </c>
      <c r="FR176" s="112"/>
      <c r="FS176" s="134">
        <f>'الصفحة 10'!$F$49</f>
        <v>0</v>
      </c>
      <c r="FT176" s="131">
        <f>'الصفحة 10'!$G$49</f>
        <v>0</v>
      </c>
      <c r="FU176" s="132">
        <f>'الصفحة 10'!$F$50</f>
        <v>0</v>
      </c>
      <c r="FV176" s="131">
        <f>'الصفحة 10'!$G$50</f>
        <v>0</v>
      </c>
      <c r="FW176" s="73">
        <f>FU176+FS176</f>
        <v>0</v>
      </c>
      <c r="FX176" s="89">
        <f>FV176+FT176</f>
        <v>0</v>
      </c>
      <c r="FY176" s="132">
        <f>'الصفحة 10'!$H$49</f>
        <v>0</v>
      </c>
      <c r="FZ176" s="131">
        <f>'الصفحة 10'!$I$49</f>
        <v>0</v>
      </c>
      <c r="GA176" s="132">
        <f>'الصفحة 10'!$H$50</f>
        <v>0</v>
      </c>
      <c r="GB176" s="131">
        <f>'الصفحة 10'!$I$50</f>
        <v>0</v>
      </c>
      <c r="GC176" s="73">
        <f>GA176+FY176</f>
        <v>0</v>
      </c>
      <c r="GD176" s="89">
        <f>GB176+FZ176</f>
        <v>0</v>
      </c>
      <c r="GE176" s="132">
        <f>'الصفحة 10'!$J$49</f>
        <v>0</v>
      </c>
      <c r="GF176" s="131">
        <f>'الصفحة 10'!$K$49</f>
        <v>0</v>
      </c>
      <c r="GG176" s="132">
        <f>'الصفحة 10'!$J$50</f>
        <v>0</v>
      </c>
      <c r="GH176" s="131">
        <f>'الصفحة 10'!$K$50</f>
        <v>0</v>
      </c>
      <c r="GI176" s="73">
        <f>GG176+GE176</f>
        <v>0</v>
      </c>
      <c r="GJ176" s="89">
        <f>GH176+GF176</f>
        <v>0</v>
      </c>
      <c r="GK176" s="132">
        <f>'الصفحة 10'!$L$49</f>
        <v>0</v>
      </c>
      <c r="GL176" s="131">
        <f>'الصفحة 10'!$M$49</f>
        <v>0</v>
      </c>
      <c r="GM176" s="132">
        <f>'الصفحة 10'!$L$50</f>
        <v>0</v>
      </c>
      <c r="GN176" s="131">
        <f>'الصفحة 10'!$M$50</f>
        <v>0</v>
      </c>
      <c r="GO176" s="73">
        <f>GM176+GK176</f>
        <v>0</v>
      </c>
      <c r="GP176" s="89">
        <f>GN176+GL176</f>
        <v>0</v>
      </c>
      <c r="GQ176" s="180">
        <f>GO176+GI176+GC176+FW176</f>
        <v>0</v>
      </c>
      <c r="GR176" s="161">
        <f>GP176+GJ176+GD176+FX176</f>
        <v>0</v>
      </c>
      <c r="GT176" s="134">
        <f>'الصفحة 10'!$F$59</f>
        <v>0</v>
      </c>
      <c r="GU176" s="131">
        <f>'الصفحة 10'!$G$59</f>
        <v>0</v>
      </c>
      <c r="GV176" s="132">
        <f>'الصفحة 10'!$F$60</f>
        <v>0</v>
      </c>
      <c r="GW176" s="131">
        <f>'الصفحة 10'!$G$60</f>
        <v>0</v>
      </c>
      <c r="GX176" s="132">
        <f>'الصفحة 10'!$F$61</f>
        <v>0</v>
      </c>
      <c r="GY176" s="131">
        <f>'الصفحة 10'!$G$61</f>
        <v>0</v>
      </c>
      <c r="GZ176" s="132">
        <f>'الصفحة 10'!$F$62</f>
        <v>0</v>
      </c>
      <c r="HA176" s="131">
        <f>'الصفحة 10'!$G$62</f>
        <v>0</v>
      </c>
      <c r="HB176" s="132">
        <f>'الصفحة 10'!$F$63</f>
        <v>0</v>
      </c>
      <c r="HC176" s="131">
        <f>'الصفحة 10'!$G$63</f>
        <v>0</v>
      </c>
      <c r="HD176" s="132">
        <f>'الصفحة 10'!$F$64</f>
        <v>0</v>
      </c>
      <c r="HE176" s="131">
        <f>'الصفحة 10'!$G$64</f>
        <v>0</v>
      </c>
      <c r="HF176" s="132">
        <f>'الصفحة 10'!$F$65</f>
        <v>0</v>
      </c>
      <c r="HG176" s="131">
        <f>'الصفحة 10'!$G$65</f>
        <v>0</v>
      </c>
      <c r="HH176" s="132">
        <f>'الصفحة 10'!$F$66</f>
        <v>0</v>
      </c>
      <c r="HI176" s="131">
        <f>'الصفحة 10'!$G$66</f>
        <v>0</v>
      </c>
      <c r="HJ176" s="132">
        <f>'الصفحة 10'!$F$67</f>
        <v>0</v>
      </c>
      <c r="HK176" s="131">
        <f>'الصفحة 10'!$G$67</f>
        <v>0</v>
      </c>
      <c r="HL176" s="132">
        <f>'الصفحة 10'!$F$68</f>
        <v>0</v>
      </c>
      <c r="HM176" s="133">
        <f>'الصفحة 10'!$G$68</f>
        <v>0</v>
      </c>
      <c r="HN176" s="90">
        <f>GT176+GV176+GX176+GZ176+HB176+HD176+HF176+HH176+HL176+HJ176</f>
        <v>0</v>
      </c>
      <c r="HO176" s="72">
        <f>GU176+GW176+GY176+HA176+HC176+HE176+HG176+HI176+HM176+HK176</f>
        <v>0</v>
      </c>
      <c r="HP176" s="134">
        <f>'الصفحة 10'!$F$70</f>
        <v>0</v>
      </c>
      <c r="HQ176" s="137">
        <f>'الصفحة 10'!$G$70</f>
        <v>0</v>
      </c>
      <c r="HR176" s="128"/>
      <c r="HS176" s="134">
        <f>'الصفحة 10'!$H$59</f>
        <v>0</v>
      </c>
      <c r="HT176" s="131">
        <f>'الصفحة 10'!$I$59</f>
        <v>0</v>
      </c>
      <c r="HU176" s="132">
        <f>'الصفحة 10'!$H$60</f>
        <v>0</v>
      </c>
      <c r="HV176" s="131">
        <f>'الصفحة 10'!$I$60</f>
        <v>0</v>
      </c>
      <c r="HW176" s="132">
        <f>'الصفحة 10'!$H$61</f>
        <v>0</v>
      </c>
      <c r="HX176" s="131">
        <f>'الصفحة 10'!$I$61</f>
        <v>0</v>
      </c>
      <c r="HY176" s="132">
        <f>'الصفحة 10'!$H$62</f>
        <v>0</v>
      </c>
      <c r="HZ176" s="131">
        <f>'الصفحة 10'!$I$62</f>
        <v>0</v>
      </c>
      <c r="IA176" s="132">
        <f>'الصفحة 10'!$H$63</f>
        <v>0</v>
      </c>
      <c r="IB176" s="131">
        <f>'الصفحة 10'!$I$63</f>
        <v>0</v>
      </c>
      <c r="IC176" s="132">
        <f>'الصفحة 10'!$H$64</f>
        <v>0</v>
      </c>
      <c r="ID176" s="131">
        <f>'الصفحة 10'!$I$64</f>
        <v>0</v>
      </c>
      <c r="IE176" s="132">
        <f>'الصفحة 10'!$H$65</f>
        <v>0</v>
      </c>
      <c r="IF176" s="131">
        <f>'الصفحة 10'!$I$65</f>
        <v>0</v>
      </c>
      <c r="IG176" s="132">
        <f>'الصفحة 10'!$H$66</f>
        <v>0</v>
      </c>
      <c r="IH176" s="131">
        <f>'الصفحة 10'!$I$66</f>
        <v>0</v>
      </c>
      <c r="II176" s="132">
        <f>'الصفحة 10'!$H$67</f>
        <v>0</v>
      </c>
      <c r="IJ176" s="131">
        <f>'الصفحة 10'!$I$67</f>
        <v>0</v>
      </c>
      <c r="IK176" s="132">
        <f>'الصفحة 10'!$H$68</f>
        <v>0</v>
      </c>
      <c r="IL176" s="133">
        <f>'الصفحة 10'!$I$68</f>
        <v>0</v>
      </c>
      <c r="IM176" s="90">
        <f>HS176+HU176+HW176+HY176+IA176+IC176+IE176+IG176+IK176+II176</f>
        <v>0</v>
      </c>
      <c r="IN176" s="72">
        <f>HT176+HV176+HX176+HZ176+IB176+ID176+IF176+IH176+IL176+IJ176</f>
        <v>0</v>
      </c>
      <c r="IO176" s="134">
        <f>'الصفحة 10'!$H$70</f>
        <v>0</v>
      </c>
      <c r="IP176" s="137">
        <f>'الصفحة 10'!$I$70</f>
        <v>0</v>
      </c>
      <c r="IR176" s="27"/>
      <c r="IS176" s="27"/>
      <c r="IT176" s="27"/>
      <c r="IV176" s="21"/>
    </row>
    <row r="177" spans="1:256" s="24" customFormat="1" ht="14.1" customHeight="1" thickBot="1">
      <c r="A177" s="23"/>
      <c r="Y177" s="178" t="e">
        <f>#REF!</f>
        <v>#REF!</v>
      </c>
      <c r="Z177" s="177" t="e">
        <f>#REF!</f>
        <v>#REF!</v>
      </c>
      <c r="AA177" s="177" t="e">
        <f>#REF!</f>
        <v>#REF!</v>
      </c>
      <c r="AB177" s="177" t="e">
        <f>#REF!</f>
        <v>#REF!</v>
      </c>
      <c r="AC177" s="177" t="e">
        <f>#REF!</f>
        <v>#REF!</v>
      </c>
      <c r="AD177" s="177" t="e">
        <f>#REF!</f>
        <v>#REF!</v>
      </c>
      <c r="AE177" s="177" t="e">
        <f>#REF!</f>
        <v>#REF!</v>
      </c>
      <c r="AF177" s="177" t="e">
        <f>#REF!</f>
        <v>#REF!</v>
      </c>
      <c r="AG177" s="177" t="e">
        <f>#REF!</f>
        <v>#REF!</v>
      </c>
      <c r="AH177" s="177" t="e">
        <f>#REF!</f>
        <v>#REF!</v>
      </c>
      <c r="AI177" s="177" t="e">
        <f>#REF!</f>
        <v>#REF!</v>
      </c>
      <c r="AJ177" s="177" t="e">
        <f>#REF!</f>
        <v>#REF!</v>
      </c>
      <c r="AK177" s="177" t="e">
        <f>#REF!</f>
        <v>#REF!</v>
      </c>
      <c r="AL177" s="177" t="e">
        <f>#REF!</f>
        <v>#REF!</v>
      </c>
      <c r="AM177" s="177" t="e">
        <f>#REF!</f>
        <v>#REF!</v>
      </c>
      <c r="AN177" s="177" t="e">
        <f>#REF!</f>
        <v>#REF!</v>
      </c>
      <c r="AO177" s="177" t="e">
        <f>#REF!</f>
        <v>#REF!</v>
      </c>
      <c r="AP177" s="177" t="e">
        <f>#REF!</f>
        <v>#REF!</v>
      </c>
      <c r="AQ177" s="177" t="e">
        <f>#REF!</f>
        <v>#REF!</v>
      </c>
      <c r="AR177" s="177" t="e">
        <f>#REF!</f>
        <v>#REF!</v>
      </c>
      <c r="AS177" s="45" t="e">
        <f>AQ177+AO177+AM177+AK177+AI177+AG177+AE177+AC177+AA177+Y177</f>
        <v>#REF!</v>
      </c>
      <c r="AT177" s="98" t="e">
        <f>AR177+AP177+AN177+AL177+AJ177+AH177+AF177+AD177+AB177+Z177</f>
        <v>#REF!</v>
      </c>
      <c r="AU177" s="106"/>
      <c r="AV177" s="179"/>
      <c r="AX177" s="179"/>
      <c r="AZ177" s="179"/>
      <c r="BF177" s="106"/>
      <c r="CA177" s="106"/>
      <c r="CU177" s="106"/>
      <c r="CV177" s="106"/>
      <c r="CW177" s="106"/>
      <c r="CX177" s="106"/>
      <c r="CY177" s="106"/>
      <c r="CZ177" s="106"/>
      <c r="DA177" s="106"/>
      <c r="DB177" s="106"/>
      <c r="DC177" s="106"/>
      <c r="DD177" s="106"/>
      <c r="DE177" s="106"/>
      <c r="DF177" s="106"/>
      <c r="DG177" s="106"/>
      <c r="DH177" s="106"/>
      <c r="DI177" s="106"/>
      <c r="DM177" s="178" t="e">
        <f>#REF!</f>
        <v>#REF!</v>
      </c>
      <c r="DN177" s="177" t="e">
        <f>#REF!</f>
        <v>#REF!</v>
      </c>
      <c r="DO177" s="177" t="e">
        <f>#REF!</f>
        <v>#REF!</v>
      </c>
      <c r="DP177" s="177" t="e">
        <f>#REF!</f>
        <v>#REF!</v>
      </c>
      <c r="DQ177" s="177" t="e">
        <f>#REF!</f>
        <v>#REF!</v>
      </c>
      <c r="DR177" s="177" t="e">
        <f>#REF!</f>
        <v>#REF!</v>
      </c>
      <c r="DS177" s="177" t="e">
        <f>#REF!</f>
        <v>#REF!</v>
      </c>
      <c r="DT177" s="177" t="e">
        <f>#REF!</f>
        <v>#REF!</v>
      </c>
      <c r="DU177" s="177" t="e">
        <f>#REF!</f>
        <v>#REF!</v>
      </c>
      <c r="DV177" s="177" t="e">
        <f>#REF!</f>
        <v>#REF!</v>
      </c>
      <c r="DW177" s="177" t="e">
        <f>#REF!</f>
        <v>#REF!</v>
      </c>
      <c r="DX177" s="177" t="e">
        <f>#REF!</f>
        <v>#REF!</v>
      </c>
      <c r="DY177" s="177" t="e">
        <f>#REF!</f>
        <v>#REF!</v>
      </c>
      <c r="DZ177" s="177" t="e">
        <f>#REF!</f>
        <v>#REF!</v>
      </c>
      <c r="EA177" s="177" t="e">
        <f>#REF!</f>
        <v>#REF!</v>
      </c>
      <c r="EB177" s="177" t="e">
        <f>#REF!</f>
        <v>#REF!</v>
      </c>
      <c r="EC177" s="177" t="e">
        <f>#REF!</f>
        <v>#REF!</v>
      </c>
      <c r="ED177" s="177" t="e">
        <f>#REF!</f>
        <v>#REF!</v>
      </c>
      <c r="EE177" s="177" t="e">
        <f>#REF!</f>
        <v>#REF!</v>
      </c>
      <c r="EF177" s="177" t="e">
        <f>#REF!</f>
        <v>#REF!</v>
      </c>
      <c r="EG177" s="45" t="e">
        <f>EE177+EC177+EA177+DY177+DW177+DU177+DS177+DQ177+DO177+DM177</f>
        <v>#REF!</v>
      </c>
      <c r="EH177" s="98" t="e">
        <f>EF177+ED177+EB177+DZ177+DX177+DV177+DT177+DR177+DP177+DN177</f>
        <v>#REF!</v>
      </c>
      <c r="EJ177" s="174" t="s">
        <v>274</v>
      </c>
      <c r="EL177" s="24" t="s">
        <v>273</v>
      </c>
      <c r="EN177" s="24" t="s">
        <v>275</v>
      </c>
      <c r="EP177" s="174" t="s">
        <v>25</v>
      </c>
      <c r="ER177" s="174" t="s">
        <v>274</v>
      </c>
      <c r="ET177" s="24" t="s">
        <v>273</v>
      </c>
      <c r="EV177" s="24" t="s">
        <v>275</v>
      </c>
      <c r="EX177" s="173" t="s">
        <v>191</v>
      </c>
      <c r="EZ177" s="174" t="s">
        <v>274</v>
      </c>
      <c r="FB177" s="24" t="s">
        <v>273</v>
      </c>
      <c r="FD177" s="24" t="s">
        <v>275</v>
      </c>
      <c r="FF177" s="173" t="s">
        <v>190</v>
      </c>
      <c r="FH177" s="150">
        <f t="shared" ref="FH177:FM177" si="2">EJ176+ER176+EZ176+FH176</f>
        <v>0</v>
      </c>
      <c r="FI177" s="149">
        <f t="shared" si="2"/>
        <v>0</v>
      </c>
      <c r="FJ177" s="148">
        <f t="shared" si="2"/>
        <v>0</v>
      </c>
      <c r="FK177" s="149">
        <f t="shared" si="2"/>
        <v>0</v>
      </c>
      <c r="FL177" s="148">
        <f t="shared" si="2"/>
        <v>0</v>
      </c>
      <c r="FM177" s="149">
        <f t="shared" si="2"/>
        <v>0</v>
      </c>
      <c r="FN177" s="73">
        <f>FL177+FJ177+FH177</f>
        <v>0</v>
      </c>
      <c r="FO177" s="89">
        <f>FM177+FK177+FI177</f>
        <v>0</v>
      </c>
      <c r="FP177" s="176"/>
      <c r="FQ177" s="175"/>
      <c r="FS177" s="174" t="s">
        <v>274</v>
      </c>
      <c r="FU177" s="24" t="s">
        <v>273</v>
      </c>
      <c r="FW177" s="174" t="s">
        <v>25</v>
      </c>
      <c r="FY177" s="174" t="s">
        <v>274</v>
      </c>
      <c r="GA177" s="24" t="s">
        <v>273</v>
      </c>
      <c r="GC177" s="173" t="s">
        <v>191</v>
      </c>
      <c r="GE177" s="174" t="s">
        <v>274</v>
      </c>
      <c r="GG177" s="24" t="s">
        <v>273</v>
      </c>
      <c r="GI177" s="173" t="s">
        <v>190</v>
      </c>
      <c r="GK177" s="148">
        <f>FS176+FY176+GE176+GK176</f>
        <v>0</v>
      </c>
      <c r="GL177" s="149">
        <f>FT176+FZ176+GF176+GL176</f>
        <v>0</v>
      </c>
      <c r="GM177" s="148">
        <f>FU176+GA176+GG176+GM176</f>
        <v>0</v>
      </c>
      <c r="GN177" s="149">
        <f>FV176+GB176+GH176+GN176</f>
        <v>0</v>
      </c>
      <c r="GO177" s="73">
        <f>GM177+GK177</f>
        <v>0</v>
      </c>
      <c r="GP177" s="89">
        <f>GN177+GL177</f>
        <v>0</v>
      </c>
      <c r="GT177" s="159" t="s">
        <v>263</v>
      </c>
      <c r="GU177" s="96"/>
      <c r="GV177" s="159" t="s">
        <v>262</v>
      </c>
      <c r="GW177" s="96"/>
      <c r="GX177" s="159" t="s">
        <v>261</v>
      </c>
      <c r="GY177" s="96"/>
      <c r="GZ177" s="159" t="s">
        <v>260</v>
      </c>
      <c r="HA177" s="96"/>
      <c r="HB177" s="159" t="s">
        <v>259</v>
      </c>
      <c r="HC177" s="96"/>
      <c r="HD177" s="159" t="s">
        <v>258</v>
      </c>
      <c r="HE177" s="96"/>
      <c r="HF177" s="159" t="s">
        <v>257</v>
      </c>
      <c r="HG177" s="96"/>
      <c r="HH177" s="159" t="s">
        <v>256</v>
      </c>
      <c r="HI177" s="96"/>
      <c r="HJ177" s="159" t="s">
        <v>255</v>
      </c>
      <c r="HK177" s="96"/>
      <c r="HL177" s="159" t="s">
        <v>254</v>
      </c>
      <c r="HM177" s="96"/>
      <c r="HN177" s="159" t="s">
        <v>28</v>
      </c>
      <c r="HO177" s="160"/>
      <c r="HP177" s="159" t="s">
        <v>253</v>
      </c>
      <c r="HQ177" s="96"/>
      <c r="HR177" s="128"/>
      <c r="HS177" s="159" t="s">
        <v>263</v>
      </c>
      <c r="HT177" s="96"/>
      <c r="HU177" s="159" t="s">
        <v>262</v>
      </c>
      <c r="HV177" s="96"/>
      <c r="HW177" s="159" t="s">
        <v>261</v>
      </c>
      <c r="HX177" s="96"/>
      <c r="HY177" s="159" t="s">
        <v>260</v>
      </c>
      <c r="HZ177" s="96"/>
      <c r="IA177" s="159" t="s">
        <v>259</v>
      </c>
      <c r="IB177" s="96"/>
      <c r="IC177" s="159" t="s">
        <v>258</v>
      </c>
      <c r="ID177" s="96"/>
      <c r="IE177" s="159" t="s">
        <v>257</v>
      </c>
      <c r="IF177" s="96"/>
      <c r="IG177" s="159" t="s">
        <v>256</v>
      </c>
      <c r="IH177" s="96"/>
      <c r="II177" s="159" t="s">
        <v>255</v>
      </c>
      <c r="IJ177" s="96"/>
      <c r="IK177" s="159" t="s">
        <v>254</v>
      </c>
      <c r="IL177" s="96"/>
      <c r="IM177" s="159" t="s">
        <v>28</v>
      </c>
      <c r="IN177" s="160"/>
      <c r="IO177" s="159" t="s">
        <v>253</v>
      </c>
      <c r="IP177" s="96"/>
      <c r="IV177" s="21"/>
    </row>
    <row r="178" spans="1:256" s="21" customFormat="1" ht="6" customHeight="1">
      <c r="A178" s="23"/>
      <c r="B178" s="22"/>
      <c r="C178" s="22"/>
      <c r="D178" s="22"/>
      <c r="E178" s="22"/>
      <c r="F178" s="22"/>
      <c r="G178" s="22"/>
      <c r="H178" s="22"/>
      <c r="I178" s="22"/>
      <c r="J178" s="22"/>
      <c r="K178" s="22"/>
      <c r="L178" s="22"/>
      <c r="M178" s="22"/>
      <c r="N178" s="22"/>
      <c r="O178" s="22"/>
      <c r="P178" s="22"/>
      <c r="Q178" s="22"/>
      <c r="R178" s="22"/>
      <c r="S178" s="22"/>
      <c r="T178" s="22"/>
      <c r="U178" s="22"/>
      <c r="V178" s="22"/>
    </row>
    <row r="179" spans="1:256" s="24" customFormat="1" ht="15" customHeight="1" thickBot="1">
      <c r="A179" s="23"/>
      <c r="B179" s="170" t="s">
        <v>272</v>
      </c>
      <c r="C179" s="128"/>
      <c r="D179" s="128"/>
      <c r="E179" s="128"/>
      <c r="F179" s="128"/>
      <c r="G179" s="128"/>
      <c r="H179" s="128"/>
      <c r="I179" s="128"/>
      <c r="J179" s="128"/>
      <c r="K179" s="128"/>
      <c r="L179" s="128"/>
      <c r="M179" s="128"/>
      <c r="N179" s="128"/>
      <c r="O179" s="128"/>
      <c r="P179" s="128"/>
      <c r="Q179" s="128"/>
      <c r="R179" s="128"/>
      <c r="S179" s="128"/>
      <c r="T179" s="128"/>
      <c r="U179" s="128"/>
      <c r="X179" s="5129" t="s">
        <v>190</v>
      </c>
      <c r="Y179" s="5129"/>
      <c r="Z179" s="82"/>
      <c r="AA179" s="170" t="s">
        <v>272</v>
      </c>
      <c r="AB179" s="128"/>
      <c r="AC179" s="128"/>
      <c r="AD179" s="128"/>
      <c r="AE179" s="128"/>
      <c r="AF179" s="128"/>
      <c r="AG179" s="128"/>
      <c r="AH179" s="128"/>
      <c r="AI179" s="128"/>
      <c r="AJ179" s="128"/>
      <c r="AK179" s="128"/>
      <c r="AL179" s="128"/>
      <c r="AM179" s="128"/>
      <c r="AN179" s="128"/>
      <c r="AO179" s="128"/>
      <c r="AP179" s="128"/>
      <c r="AQ179" s="128"/>
      <c r="AR179" s="128"/>
      <c r="AS179" s="128"/>
      <c r="AT179" s="128"/>
      <c r="AW179" s="5129" t="s">
        <v>188</v>
      </c>
      <c r="AX179" s="5129"/>
      <c r="AY179" s="82"/>
      <c r="AZ179" s="170" t="s">
        <v>271</v>
      </c>
      <c r="BI179" s="88"/>
      <c r="BJ179" s="170"/>
      <c r="BK179" s="82"/>
      <c r="BL179" s="78"/>
      <c r="BM179" s="78"/>
      <c r="BN179" s="78"/>
      <c r="BO179" s="78"/>
      <c r="BP179" s="78"/>
      <c r="BQ179" s="78"/>
      <c r="BR179" s="78"/>
      <c r="BS179" s="78"/>
      <c r="BT179" s="78"/>
      <c r="BU179" s="78"/>
      <c r="BV179" s="78"/>
      <c r="BW179" s="78"/>
      <c r="BX179" s="78"/>
      <c r="BY179" s="78"/>
      <c r="BZ179" s="78"/>
      <c r="CA179" s="78"/>
      <c r="CB179" s="78"/>
      <c r="CC179" s="78"/>
      <c r="CD179" s="78"/>
      <c r="CE179" s="78"/>
      <c r="CF179" s="78"/>
      <c r="CG179" s="78"/>
      <c r="CH179" s="78"/>
      <c r="CI179" s="172" t="s">
        <v>270</v>
      </c>
      <c r="CJ179" s="78"/>
      <c r="CK179" s="78"/>
      <c r="CL179" s="88"/>
      <c r="CN179" s="82"/>
      <c r="CO179" s="78"/>
      <c r="CP179" s="78"/>
      <c r="CQ179" s="78"/>
      <c r="CR179" s="171" t="s">
        <v>269</v>
      </c>
      <c r="CS179" s="78"/>
      <c r="CT179" s="78"/>
      <c r="CU179" s="78"/>
      <c r="CV179" s="78"/>
      <c r="CW179" s="88"/>
      <c r="CY179" s="82"/>
      <c r="CZ179" s="78"/>
      <c r="DA179" s="78"/>
      <c r="DB179" s="78"/>
      <c r="DC179" s="78"/>
      <c r="DD179" s="78"/>
      <c r="DE179" s="78"/>
      <c r="DF179" s="78"/>
      <c r="DG179" s="78"/>
      <c r="DH179" s="78"/>
      <c r="DI179" s="78"/>
      <c r="DJ179" s="78"/>
      <c r="DK179" s="78"/>
      <c r="DL179" s="78"/>
      <c r="DM179" s="78"/>
      <c r="DN179" s="78"/>
      <c r="DO179" s="78"/>
      <c r="DP179" s="78"/>
      <c r="DQ179" s="78"/>
      <c r="DR179" s="78"/>
      <c r="DS179" s="78"/>
      <c r="DT179" s="88"/>
      <c r="EA179" s="170" t="s">
        <v>268</v>
      </c>
      <c r="FQ179" s="82"/>
      <c r="FR179" s="38" t="s">
        <v>267</v>
      </c>
      <c r="FS179" s="153"/>
      <c r="FT179" s="153"/>
      <c r="FU179" s="146"/>
      <c r="FV179" s="146"/>
      <c r="FW179" s="146"/>
      <c r="FX179" s="146"/>
      <c r="FY179" s="146"/>
      <c r="FZ179" s="146"/>
      <c r="GA179" s="146"/>
      <c r="GB179" s="146"/>
      <c r="GC179" s="146"/>
      <c r="GD179" s="146"/>
      <c r="GE179" s="38" t="s">
        <v>266</v>
      </c>
      <c r="GF179" s="146"/>
      <c r="GG179" s="146"/>
      <c r="GH179" s="146"/>
      <c r="GI179" s="146"/>
      <c r="GJ179" s="146"/>
      <c r="GK179" s="146"/>
      <c r="GL179" s="146"/>
      <c r="GM179" s="146"/>
      <c r="GN179" s="146"/>
      <c r="GO179" s="146"/>
      <c r="GP179" s="146"/>
      <c r="GQ179" s="146"/>
      <c r="GR179" s="88"/>
      <c r="GT179" s="153"/>
      <c r="GU179" s="153"/>
      <c r="GV179" s="153"/>
      <c r="GW179" s="146"/>
      <c r="GX179" s="146"/>
      <c r="GY179" s="146"/>
      <c r="GZ179" s="146"/>
      <c r="HA179" s="146"/>
      <c r="HB179" s="146"/>
      <c r="HC179" s="146"/>
      <c r="HD179" s="38" t="s">
        <v>265</v>
      </c>
      <c r="HE179" s="146"/>
      <c r="HF179" s="146"/>
      <c r="HG179" s="146"/>
      <c r="HH179" s="146"/>
      <c r="HI179" s="146"/>
      <c r="HJ179" s="146"/>
      <c r="HK179" s="146"/>
      <c r="HL179" s="146"/>
      <c r="HM179" s="146"/>
      <c r="HN179" s="146"/>
      <c r="HO179" s="146"/>
      <c r="HP179" s="146"/>
      <c r="HQ179" s="146"/>
      <c r="HR179" s="146"/>
      <c r="HS179" s="88"/>
      <c r="HU179" s="153"/>
      <c r="HV179" s="146"/>
      <c r="HW179" s="146"/>
      <c r="HX179" s="146"/>
      <c r="HY179" s="146"/>
      <c r="HZ179" s="146"/>
      <c r="IA179" s="146"/>
      <c r="IB179" s="82"/>
      <c r="IC179" s="82"/>
      <c r="ID179" s="82"/>
      <c r="IE179" s="82"/>
      <c r="IF179" s="82"/>
      <c r="IG179" s="82"/>
      <c r="IH179" s="82"/>
      <c r="II179" s="82"/>
      <c r="IJ179" s="82"/>
      <c r="IK179" s="82"/>
      <c r="IL179" s="82"/>
      <c r="IM179" s="82"/>
      <c r="IN179" s="82"/>
      <c r="IO179" s="82"/>
      <c r="IP179" s="82"/>
      <c r="IQ179" s="82"/>
      <c r="IR179" s="82"/>
      <c r="IS179" s="82"/>
      <c r="IV179" s="21"/>
    </row>
    <row r="180" spans="1:256" s="24" customFormat="1" ht="11.25" customHeight="1" thickBot="1">
      <c r="A180" s="23"/>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12"/>
      <c r="AA180" s="159" t="s">
        <v>263</v>
      </c>
      <c r="AB180" s="96"/>
      <c r="AC180" s="159" t="s">
        <v>262</v>
      </c>
      <c r="AD180" s="96"/>
      <c r="AE180" s="159" t="s">
        <v>261</v>
      </c>
      <c r="AF180" s="96"/>
      <c r="AG180" s="159" t="s">
        <v>260</v>
      </c>
      <c r="AH180" s="96"/>
      <c r="AI180" s="159" t="s">
        <v>259</v>
      </c>
      <c r="AJ180" s="96"/>
      <c r="AK180" s="159" t="s">
        <v>258</v>
      </c>
      <c r="AL180" s="96"/>
      <c r="AM180" s="159" t="s">
        <v>257</v>
      </c>
      <c r="AN180" s="96"/>
      <c r="AO180" s="159" t="s">
        <v>256</v>
      </c>
      <c r="AP180" s="96"/>
      <c r="AQ180" s="159" t="s">
        <v>255</v>
      </c>
      <c r="AR180" s="96"/>
      <c r="AS180" s="159" t="s">
        <v>254</v>
      </c>
      <c r="AT180" s="96"/>
      <c r="AU180" s="159" t="s">
        <v>28</v>
      </c>
      <c r="AV180" s="160"/>
      <c r="AW180" s="159" t="s">
        <v>253</v>
      </c>
      <c r="AX180" s="96"/>
      <c r="AY180" s="112"/>
      <c r="AZ180" s="112"/>
      <c r="BA180" s="93"/>
      <c r="BB180" s="93"/>
      <c r="BC180" s="93"/>
      <c r="BD180" s="144"/>
      <c r="BE180" s="144"/>
      <c r="BF180" s="144"/>
      <c r="BG180" s="144"/>
      <c r="BH180" s="144"/>
      <c r="BI180" s="144"/>
      <c r="BJ180" s="93"/>
      <c r="BK180" s="93"/>
      <c r="BL180" s="93"/>
      <c r="BM180" s="93"/>
      <c r="BN180" s="144"/>
      <c r="BO180" s="144"/>
      <c r="BP180" s="144"/>
      <c r="BQ180" s="169"/>
      <c r="BR180" s="169"/>
      <c r="BS180" s="169"/>
      <c r="BT180" s="106"/>
      <c r="BU180" s="145"/>
      <c r="BV180" s="144"/>
      <c r="BW180" s="144"/>
      <c r="BX180" s="127" t="s">
        <v>252</v>
      </c>
      <c r="BY180" s="154"/>
      <c r="BZ180" s="127" t="s">
        <v>251</v>
      </c>
      <c r="CA180" s="154"/>
      <c r="CB180" s="127" t="s">
        <v>250</v>
      </c>
      <c r="CC180" s="126"/>
      <c r="CD180" s="5767" t="s">
        <v>188</v>
      </c>
      <c r="CE180" s="5767"/>
      <c r="CF180" s="144"/>
      <c r="CG180" s="144"/>
      <c r="CH180" s="144"/>
      <c r="CI180" s="93"/>
      <c r="CJ180" s="93"/>
      <c r="CK180" s="93"/>
      <c r="CL180" s="93"/>
      <c r="CM180" s="144"/>
      <c r="CN180" s="169"/>
      <c r="CO180" s="169"/>
      <c r="CP180" s="169"/>
      <c r="CQ180" s="106"/>
      <c r="CR180" s="145"/>
      <c r="CS180" s="144"/>
      <c r="CT180" s="144"/>
      <c r="CU180" s="144"/>
      <c r="CV180" s="144"/>
      <c r="CW180" s="144"/>
      <c r="CX180" s="93"/>
      <c r="CY180" s="93"/>
      <c r="CZ180" s="93"/>
      <c r="DA180" s="93"/>
      <c r="DB180" s="144"/>
      <c r="DC180" s="144"/>
      <c r="DD180" s="144"/>
      <c r="DE180" s="144"/>
      <c r="DF180" s="144"/>
      <c r="DG180" s="144"/>
      <c r="DH180" s="93"/>
      <c r="DI180" s="93"/>
      <c r="DJ180" s="93"/>
      <c r="DK180" s="169"/>
      <c r="DL180" s="169"/>
      <c r="DM180" s="169"/>
      <c r="DN180" s="106"/>
      <c r="DO180" s="145"/>
      <c r="DP180" s="127" t="s">
        <v>247</v>
      </c>
      <c r="DQ180" s="154"/>
      <c r="DR180" s="127" t="s">
        <v>246</v>
      </c>
      <c r="DS180" s="154"/>
      <c r="DT180" s="127" t="s">
        <v>244</v>
      </c>
      <c r="DV180" s="127" t="s">
        <v>264</v>
      </c>
      <c r="EX180" s="78"/>
      <c r="EY180" s="78"/>
      <c r="EZ180" s="78"/>
      <c r="FA180" s="78"/>
      <c r="FB180" s="78"/>
      <c r="FC180" s="78"/>
      <c r="FD180" s="106"/>
      <c r="FE180" s="127" t="s">
        <v>247</v>
      </c>
      <c r="FF180" s="154"/>
      <c r="FG180" s="127" t="s">
        <v>246</v>
      </c>
      <c r="FH180" s="154"/>
      <c r="FI180" s="127" t="s">
        <v>245</v>
      </c>
      <c r="FK180" s="127" t="s">
        <v>244</v>
      </c>
      <c r="FM180" s="127" t="s">
        <v>264</v>
      </c>
      <c r="FN180" s="78"/>
      <c r="FO180" s="78"/>
      <c r="FP180" s="78"/>
      <c r="FQ180" s="82"/>
      <c r="FR180" s="152"/>
      <c r="FS180" s="144"/>
      <c r="FT180" s="144"/>
      <c r="FU180" s="144"/>
      <c r="FV180" s="144"/>
      <c r="FW180" s="144"/>
      <c r="FX180" s="93"/>
      <c r="FY180" s="93"/>
      <c r="FZ180" s="93"/>
      <c r="GA180" s="553" t="s">
        <v>48</v>
      </c>
      <c r="GB180" s="552">
        <f>'الصفحة 27'!$F$57</f>
        <v>0</v>
      </c>
      <c r="GC180" s="152"/>
      <c r="GD180" s="144"/>
      <c r="GE180" s="168"/>
      <c r="GF180" s="112"/>
      <c r="GG180" s="112"/>
      <c r="GH180" s="112"/>
      <c r="GI180" s="112"/>
      <c r="GJ180" s="112"/>
      <c r="GK180" s="112"/>
      <c r="GL180" s="112"/>
      <c r="GM180" s="112"/>
      <c r="GN180" s="112"/>
      <c r="GO180" s="112"/>
      <c r="GP180" s="112"/>
      <c r="GQ180" s="112"/>
      <c r="GR180" s="112"/>
      <c r="GS180" s="112"/>
      <c r="GT180" s="112"/>
      <c r="GU180" s="112"/>
      <c r="GV180" s="93"/>
      <c r="GW180" s="93"/>
      <c r="GX180" s="93"/>
      <c r="GY180" s="93"/>
      <c r="GZ180" s="553" t="s">
        <v>48</v>
      </c>
      <c r="HA180" s="134">
        <f>'الصفحة 27'!$G$57</f>
        <v>0</v>
      </c>
      <c r="HB180" s="137">
        <f>'الصفحة 27'!$H$57</f>
        <v>0</v>
      </c>
      <c r="HC180" s="146"/>
      <c r="HD180" s="146"/>
      <c r="HE180" s="167"/>
      <c r="HF180" s="152"/>
      <c r="HG180" s="144"/>
      <c r="HH180" s="112"/>
      <c r="HI180" s="112"/>
      <c r="HJ180" s="112"/>
      <c r="HK180" s="112"/>
      <c r="HL180" s="112"/>
      <c r="HM180" s="112"/>
      <c r="HN180" s="112"/>
      <c r="HO180" s="112"/>
      <c r="HP180" s="112"/>
      <c r="HQ180" s="112"/>
      <c r="HR180" s="112"/>
      <c r="HS180" s="112"/>
      <c r="HT180" s="93"/>
      <c r="HU180" s="93"/>
      <c r="HV180" s="93"/>
      <c r="HW180" s="93"/>
      <c r="HX180" s="93"/>
      <c r="HY180" s="529" t="s">
        <v>48</v>
      </c>
      <c r="HZ180" s="134">
        <f>'الصفحة 27'!$I$57</f>
        <v>0</v>
      </c>
      <c r="IA180" s="137">
        <f>'الصفحة 27'!$J$57</f>
        <v>0</v>
      </c>
      <c r="IB180" s="82"/>
      <c r="IC180" s="82"/>
      <c r="ID180" s="82"/>
      <c r="IE180" s="82"/>
      <c r="IF180" s="82"/>
      <c r="IG180" s="82"/>
      <c r="IH180" s="82"/>
      <c r="II180" s="82"/>
      <c r="IJ180" s="82"/>
      <c r="IK180" s="82"/>
      <c r="IL180" s="82"/>
      <c r="IM180" s="82"/>
      <c r="IN180" s="82"/>
      <c r="IO180" s="82"/>
      <c r="IP180" s="82"/>
      <c r="IQ180" s="82"/>
      <c r="IR180" s="82"/>
      <c r="IS180" s="82"/>
      <c r="IT180" s="77"/>
      <c r="IV180" s="21"/>
    </row>
    <row r="181" spans="1:256" s="24" customFormat="1" ht="14.1" customHeight="1" thickBot="1">
      <c r="A181" s="35">
        <v>6</v>
      </c>
      <c r="B181" s="134">
        <f>'الصفحة 10'!$J$59</f>
        <v>0</v>
      </c>
      <c r="C181" s="131">
        <f>'الصفحة 10'!$K$59</f>
        <v>0</v>
      </c>
      <c r="D181" s="132">
        <f>'الصفحة 10'!$J$60</f>
        <v>0</v>
      </c>
      <c r="E181" s="131">
        <f>'الصفحة 10'!$K$60</f>
        <v>0</v>
      </c>
      <c r="F181" s="132">
        <f>'الصفحة 10'!$J$61</f>
        <v>0</v>
      </c>
      <c r="G181" s="131">
        <f>'الصفحة 10'!$K$61</f>
        <v>0</v>
      </c>
      <c r="H181" s="132">
        <f>'الصفحة 10'!$J$62</f>
        <v>0</v>
      </c>
      <c r="I181" s="131">
        <f>'الصفحة 10'!$K$62</f>
        <v>0</v>
      </c>
      <c r="J181" s="132">
        <f>'الصفحة 10'!$J$63</f>
        <v>0</v>
      </c>
      <c r="K181" s="131">
        <f>'الصفحة 10'!$K$63</f>
        <v>0</v>
      </c>
      <c r="L181" s="132">
        <f>'الصفحة 10'!$J$64</f>
        <v>0</v>
      </c>
      <c r="M181" s="131">
        <f>'الصفحة 10'!$K$64</f>
        <v>0</v>
      </c>
      <c r="N181" s="132">
        <f>'الصفحة 10'!$J$65</f>
        <v>0</v>
      </c>
      <c r="O181" s="131">
        <f>'الصفحة 10'!$K$65</f>
        <v>0</v>
      </c>
      <c r="P181" s="132">
        <f>'الصفحة 10'!$J$66</f>
        <v>0</v>
      </c>
      <c r="Q181" s="131">
        <f>'الصفحة 10'!$K$66</f>
        <v>0</v>
      </c>
      <c r="R181" s="132">
        <f>'الصفحة 10'!$J$67</f>
        <v>0</v>
      </c>
      <c r="S181" s="131">
        <f>'الصفحة 10'!$K$67</f>
        <v>0</v>
      </c>
      <c r="T181" s="132">
        <f>'الصفحة 10'!$J$68</f>
        <v>0</v>
      </c>
      <c r="U181" s="133">
        <f>'الصفحة 10'!$K$68</f>
        <v>0</v>
      </c>
      <c r="V181" s="90">
        <f>B181+D181+F181+H181+J181+L181+N181+P181+T181+R181</f>
        <v>0</v>
      </c>
      <c r="W181" s="72">
        <f>C181+E181+G181+I181+K181+M181+O181+Q181+U181+S181</f>
        <v>0</v>
      </c>
      <c r="X181" s="134">
        <f>'الصفحة 10'!$J$70</f>
        <v>0</v>
      </c>
      <c r="Y181" s="137">
        <f>'الصفحة 10'!$K$70</f>
        <v>0</v>
      </c>
      <c r="Z181" s="82"/>
      <c r="AA181" s="134">
        <f>'الصفحة 10'!$L$59</f>
        <v>0</v>
      </c>
      <c r="AB181" s="131">
        <f>'الصفحة 10'!$M$59</f>
        <v>0</v>
      </c>
      <c r="AC181" s="132">
        <f>'الصفحة 10'!$L$60</f>
        <v>0</v>
      </c>
      <c r="AD181" s="131">
        <f>'الصفحة 10'!$M$60</f>
        <v>0</v>
      </c>
      <c r="AE181" s="132">
        <f>'الصفحة 10'!$L$61</f>
        <v>0</v>
      </c>
      <c r="AF181" s="131">
        <f>'الصفحة 10'!$M$61</f>
        <v>0</v>
      </c>
      <c r="AG181" s="132">
        <f>'الصفحة 10'!$L$62</f>
        <v>0</v>
      </c>
      <c r="AH181" s="131">
        <f>'الصفحة 10'!$M$62</f>
        <v>0</v>
      </c>
      <c r="AI181" s="132">
        <f>'الصفحة 10'!$L$63</f>
        <v>0</v>
      </c>
      <c r="AJ181" s="131">
        <f>'الصفحة 10'!$M$63</f>
        <v>0</v>
      </c>
      <c r="AK181" s="132">
        <f>'الصفحة 10'!$L$64</f>
        <v>0</v>
      </c>
      <c r="AL181" s="131">
        <f>'الصفحة 10'!$M$64</f>
        <v>0</v>
      </c>
      <c r="AM181" s="132">
        <f>'الصفحة 10'!$L$65</f>
        <v>0</v>
      </c>
      <c r="AN181" s="131">
        <f>'الصفحة 10'!$M$65</f>
        <v>0</v>
      </c>
      <c r="AO181" s="132">
        <f>'الصفحة 10'!$L$66</f>
        <v>0</v>
      </c>
      <c r="AP181" s="131">
        <f>'الصفحة 10'!$M$66</f>
        <v>0</v>
      </c>
      <c r="AQ181" s="132">
        <f>'الصفحة 10'!$L$67</f>
        <v>0</v>
      </c>
      <c r="AR181" s="131">
        <f>'الصفحة 10'!$M$67</f>
        <v>0</v>
      </c>
      <c r="AS181" s="132">
        <f>'الصفحة 10'!$L$68</f>
        <v>0</v>
      </c>
      <c r="AT181" s="133">
        <f>'الصفحة 10'!$M$68</f>
        <v>0</v>
      </c>
      <c r="AU181" s="90">
        <f>AA181+AC181+AE181+AG181+AI181+AK181+AM181+AO181+AS181+AQ181</f>
        <v>0</v>
      </c>
      <c r="AV181" s="72">
        <f>AB181+AD181+AF181+AH181+AJ181+AL181+AN181+AP181+AT181+AR181</f>
        <v>0</v>
      </c>
      <c r="AW181" s="134">
        <f>'الصفحة 10'!$L$70</f>
        <v>0</v>
      </c>
      <c r="AX181" s="137">
        <f>'الصفحة 10'!$M$70</f>
        <v>0</v>
      </c>
      <c r="AY181" s="82"/>
      <c r="AZ181" s="134">
        <f>'الصفحة 10'!$F$76</f>
        <v>0</v>
      </c>
      <c r="BA181" s="131">
        <f>'الصفحة 10'!$G$76</f>
        <v>0</v>
      </c>
      <c r="BB181" s="132">
        <f>'الصفحة 10'!$F$77</f>
        <v>0</v>
      </c>
      <c r="BC181" s="131">
        <f>'الصفحة 10'!$G$77</f>
        <v>0</v>
      </c>
      <c r="BD181" s="132">
        <f>'الصفحة 10'!$F$78</f>
        <v>0</v>
      </c>
      <c r="BE181" s="131">
        <f>'الصفحة 10'!$G$78</f>
        <v>0</v>
      </c>
      <c r="BF181" s="73">
        <f>BD181+BB181+AZ181</f>
        <v>0</v>
      </c>
      <c r="BG181" s="89">
        <f>BE181+BC181+BA181</f>
        <v>0</v>
      </c>
      <c r="BH181" s="134">
        <f>'الصفحة 10'!$H$76</f>
        <v>0</v>
      </c>
      <c r="BI181" s="131">
        <f>'الصفحة 10'!$I$76</f>
        <v>0</v>
      </c>
      <c r="BJ181" s="132">
        <f>'الصفحة 10'!$H$77</f>
        <v>0</v>
      </c>
      <c r="BK181" s="131">
        <f>'الصفحة 10'!$I$77</f>
        <v>0</v>
      </c>
      <c r="BL181" s="132">
        <f>'الصفحة 10'!$H$78</f>
        <v>0</v>
      </c>
      <c r="BM181" s="131">
        <f>'الصفحة 10'!$I$78</f>
        <v>0</v>
      </c>
      <c r="BN181" s="73">
        <f>BL181+BJ181+BH181</f>
        <v>0</v>
      </c>
      <c r="BO181" s="89">
        <f>BM181+BK181+BI181</f>
        <v>0</v>
      </c>
      <c r="BP181" s="134">
        <f>'الصفحة 10'!$J$76</f>
        <v>0</v>
      </c>
      <c r="BQ181" s="131">
        <f>'الصفحة 10'!$K$76</f>
        <v>0</v>
      </c>
      <c r="BR181" s="132">
        <f>'الصفحة 10'!$J$77</f>
        <v>0</v>
      </c>
      <c r="BS181" s="131">
        <f>'الصفحة 10'!$K$77</f>
        <v>0</v>
      </c>
      <c r="BT181" s="132">
        <f>'الصفحة 10'!$J$78</f>
        <v>0</v>
      </c>
      <c r="BU181" s="131">
        <f>'الصفحة 10'!$K$78</f>
        <v>0</v>
      </c>
      <c r="BV181" s="166">
        <f>BT181+BR181+BP181</f>
        <v>0</v>
      </c>
      <c r="BW181" s="165">
        <f>BU181+BS181+BQ181</f>
        <v>0</v>
      </c>
      <c r="BX181" s="134">
        <f>'الصفحة 10'!$L$76</f>
        <v>0</v>
      </c>
      <c r="BY181" s="131">
        <f>'الصفحة 10'!$M$76</f>
        <v>0</v>
      </c>
      <c r="BZ181" s="132">
        <f>'الصفحة 10'!$L$77</f>
        <v>0</v>
      </c>
      <c r="CA181" s="131">
        <f>'الصفحة 10'!$M$77</f>
        <v>0</v>
      </c>
      <c r="CB181" s="132">
        <f>'الصفحة 10'!$L$78</f>
        <v>0</v>
      </c>
      <c r="CC181" s="131">
        <f>'الصفحة 10'!$M$78</f>
        <v>0</v>
      </c>
      <c r="CD181" s="164">
        <f>CB181+BZ181+BX181</f>
        <v>0</v>
      </c>
      <c r="CE181" s="163">
        <f>CC181+CA181+BY181</f>
        <v>0</v>
      </c>
      <c r="CF181" s="162">
        <f>CD181+BV181+BN181+BF181</f>
        <v>0</v>
      </c>
      <c r="CG181" s="161">
        <f>CE181+BW181+BO181+BG181</f>
        <v>0</v>
      </c>
      <c r="CI181" s="134">
        <f>'الصفحة 10'!$P$76</f>
        <v>0</v>
      </c>
      <c r="CJ181" s="131">
        <f>'الصفحة 10'!$Q$76</f>
        <v>0</v>
      </c>
      <c r="CK181" s="132">
        <f>'الصفحة 10'!$P$77</f>
        <v>0</v>
      </c>
      <c r="CL181" s="131">
        <f>'الصفحة 10'!$Q$77</f>
        <v>0</v>
      </c>
      <c r="CM181" s="132">
        <f>'الصفحة 10'!$P$78</f>
        <v>0</v>
      </c>
      <c r="CN181" s="131">
        <f>'الصفحة 10'!$Q$78</f>
        <v>0</v>
      </c>
      <c r="CO181" s="73">
        <f>CM181+CK181+CI181</f>
        <v>0</v>
      </c>
      <c r="CP181" s="72">
        <f>CN181+CL181+CJ181</f>
        <v>0</v>
      </c>
      <c r="CR181" s="134" t="e">
        <f>'الصفحة 12'!#REF!</f>
        <v>#REF!</v>
      </c>
      <c r="CS181" s="131" t="e">
        <f>'الصفحة 12'!#REF!</f>
        <v>#REF!</v>
      </c>
      <c r="CT181" s="132" t="e">
        <f>'الصفحة 12'!#REF!</f>
        <v>#REF!</v>
      </c>
      <c r="CU181" s="131" t="e">
        <f>'الصفحة 12'!#REF!</f>
        <v>#REF!</v>
      </c>
      <c r="CV181" s="132" t="e">
        <f>'الصفحة 12'!#REF!</f>
        <v>#REF!</v>
      </c>
      <c r="CW181" s="133" t="e">
        <f>'الصفحة 12'!#REF!</f>
        <v>#REF!</v>
      </c>
      <c r="CX181" s="73" t="e">
        <f>CV181+CT181+CR181</f>
        <v>#REF!</v>
      </c>
      <c r="CY181" s="89" t="e">
        <f>CW181+CU181+CS181</f>
        <v>#REF!</v>
      </c>
      <c r="CZ181" s="134" t="e">
        <f>'الصفحة 12'!#REF!</f>
        <v>#REF!</v>
      </c>
      <c r="DA181" s="131" t="e">
        <f>'الصفحة 12'!#REF!</f>
        <v>#REF!</v>
      </c>
      <c r="DB181" s="132" t="e">
        <f>'الصفحة 12'!#REF!</f>
        <v>#REF!</v>
      </c>
      <c r="DC181" s="131" t="e">
        <f>'الصفحة 12'!#REF!</f>
        <v>#REF!</v>
      </c>
      <c r="DD181" s="132" t="e">
        <f>'الصفحة 12'!#REF!</f>
        <v>#REF!</v>
      </c>
      <c r="DE181" s="133" t="e">
        <f>'الصفحة 12'!#REF!</f>
        <v>#REF!</v>
      </c>
      <c r="DF181" s="73" t="e">
        <f>DD181+DB181+CZ181</f>
        <v>#REF!</v>
      </c>
      <c r="DG181" s="89" t="e">
        <f>DE181+DC181+DA181</f>
        <v>#REF!</v>
      </c>
      <c r="DH181" s="134" t="e">
        <f>'الصفحة 12'!#REF!</f>
        <v>#REF!</v>
      </c>
      <c r="DI181" s="131" t="e">
        <f>'الصفحة 12'!#REF!</f>
        <v>#REF!</v>
      </c>
      <c r="DJ181" s="132" t="e">
        <f>'الصفحة 12'!#REF!</f>
        <v>#REF!</v>
      </c>
      <c r="DK181" s="131" t="e">
        <f>'الصفحة 12'!#REF!</f>
        <v>#REF!</v>
      </c>
      <c r="DL181" s="132" t="e">
        <f>'الصفحة 12'!#REF!</f>
        <v>#REF!</v>
      </c>
      <c r="DM181" s="133" t="e">
        <f>'الصفحة 12'!#REF!</f>
        <v>#REF!</v>
      </c>
      <c r="DN181" s="73" t="e">
        <f>DL181+DJ181+DH181</f>
        <v>#REF!</v>
      </c>
      <c r="DO181" s="89" t="e">
        <f>DM181+DK181+DI181</f>
        <v>#REF!</v>
      </c>
      <c r="DP181" s="134" t="e">
        <f>'الصفحة 12'!#REF!</f>
        <v>#REF!</v>
      </c>
      <c r="DQ181" s="131" t="e">
        <f>'الصفحة 12'!#REF!</f>
        <v>#REF!</v>
      </c>
      <c r="DR181" s="132" t="e">
        <f>'الصفحة 12'!#REF!</f>
        <v>#REF!</v>
      </c>
      <c r="DS181" s="131" t="e">
        <f>'الصفحة 12'!#REF!</f>
        <v>#REF!</v>
      </c>
      <c r="DT181" s="132" t="e">
        <f>'الصفحة 12'!#REF!</f>
        <v>#REF!</v>
      </c>
      <c r="DU181" s="133" t="e">
        <f>'الصفحة 12'!#REF!</f>
        <v>#REF!</v>
      </c>
      <c r="DV181" s="73" t="e">
        <f>DT181+DR181+DP181</f>
        <v>#REF!</v>
      </c>
      <c r="DW181" s="89" t="e">
        <f>DU181+DS181+DQ181</f>
        <v>#REF!</v>
      </c>
      <c r="DX181" s="162" t="e">
        <f>DV181+DN181+DF181+CX181</f>
        <v>#REF!</v>
      </c>
      <c r="DY181" s="161" t="e">
        <f>DW181+DO181+DG181+CY181</f>
        <v>#REF!</v>
      </c>
      <c r="EA181" s="134">
        <f>'الصفحة 12'!$F$48</f>
        <v>0</v>
      </c>
      <c r="EB181" s="131">
        <f>'الصفحة 12'!$G$48</f>
        <v>0</v>
      </c>
      <c r="EC181" s="132" t="str">
        <f>'الصفحة 12'!$F$49</f>
        <v/>
      </c>
      <c r="ED181" s="131" t="str">
        <f>'الصفحة 12'!$G$49</f>
        <v/>
      </c>
      <c r="EE181" s="132">
        <f>'الصفحة 12'!$F$50</f>
        <v>0</v>
      </c>
      <c r="EF181" s="133">
        <f>'الصفحة 12'!$G$50</f>
        <v>0</v>
      </c>
      <c r="EG181" s="132">
        <f>'الصفحة 12'!$F$54</f>
        <v>0</v>
      </c>
      <c r="EH181" s="133">
        <f>'الصفحة 12'!$G$54</f>
        <v>0</v>
      </c>
      <c r="EI181" s="73" t="e">
        <f>EG181+EE181+EC181+EA181</f>
        <v>#VALUE!</v>
      </c>
      <c r="EJ181" s="89" t="e">
        <f>EH181+EF181+ED181+EB181</f>
        <v>#VALUE!</v>
      </c>
      <c r="EK181" s="134">
        <f>'الصفحة 12'!$I$48</f>
        <v>0</v>
      </c>
      <c r="EL181" s="131" t="e">
        <f>'الصفحة 12'!#REF!</f>
        <v>#REF!</v>
      </c>
      <c r="EM181" s="132" t="str">
        <f>'الصفحة 12'!$I$49</f>
        <v/>
      </c>
      <c r="EN181" s="131" t="e">
        <f>'الصفحة 12'!#REF!</f>
        <v>#REF!</v>
      </c>
      <c r="EO181" s="132">
        <f>'الصفحة 12'!$I$50</f>
        <v>0</v>
      </c>
      <c r="EP181" s="133" t="e">
        <f>'الصفحة 12'!#REF!</f>
        <v>#REF!</v>
      </c>
      <c r="EQ181" s="132">
        <f>'الصفحة 12'!$I$54</f>
        <v>0</v>
      </c>
      <c r="ER181" s="133" t="e">
        <f>'الصفحة 12'!#REF!</f>
        <v>#REF!</v>
      </c>
      <c r="ES181" s="73" t="e">
        <f>EQ181+EO181+EM181+EK181</f>
        <v>#VALUE!</v>
      </c>
      <c r="ET181" s="89" t="e">
        <f>ER181+EP181+EN181+EL181</f>
        <v>#REF!</v>
      </c>
      <c r="EU181" s="134" t="e">
        <f>'الصفحة 12'!#REF!</f>
        <v>#REF!</v>
      </c>
      <c r="EV181" s="131" t="e">
        <f>'الصفحة 12'!#REF!</f>
        <v>#REF!</v>
      </c>
      <c r="EW181" s="132" t="e">
        <f>'الصفحة 12'!#REF!</f>
        <v>#REF!</v>
      </c>
      <c r="EX181" s="131" t="e">
        <f>'الصفحة 12'!#REF!</f>
        <v>#REF!</v>
      </c>
      <c r="EY181" s="132" t="e">
        <f>'الصفحة 12'!#REF!</f>
        <v>#REF!</v>
      </c>
      <c r="EZ181" s="133" t="e">
        <f>'الصفحة 12'!#REF!</f>
        <v>#REF!</v>
      </c>
      <c r="FA181" s="132" t="e">
        <f>'الصفحة 12'!#REF!</f>
        <v>#REF!</v>
      </c>
      <c r="FB181" s="133" t="e">
        <f>'الصفحة 12'!#REF!</f>
        <v>#REF!</v>
      </c>
      <c r="FC181" s="73" t="e">
        <f>FA181+EY181+EW181+EU181</f>
        <v>#REF!</v>
      </c>
      <c r="FD181" s="89" t="e">
        <f>FB181+EZ181+EX181+EV181</f>
        <v>#REF!</v>
      </c>
      <c r="FE181" s="134">
        <f>'الصفحة 12'!$J$48</f>
        <v>0</v>
      </c>
      <c r="FF181" s="131">
        <f>'الصفحة 12'!$K$48</f>
        <v>0</v>
      </c>
      <c r="FG181" s="132" t="str">
        <f>'الصفحة 12'!$J$49</f>
        <v/>
      </c>
      <c r="FH181" s="131" t="str">
        <f>'الصفحة 12'!$K$49</f>
        <v/>
      </c>
      <c r="FI181" s="132">
        <f>'الصفحة 12'!$J$50</f>
        <v>0</v>
      </c>
      <c r="FJ181" s="133">
        <f>'الصفحة 12'!$K$50</f>
        <v>0</v>
      </c>
      <c r="FK181" s="132">
        <f>'الصفحة 12'!$J$54</f>
        <v>0</v>
      </c>
      <c r="FL181" s="133">
        <f>'الصفحة 12'!$K$54</f>
        <v>0</v>
      </c>
      <c r="FM181" s="73" t="e">
        <f>FK181+FI181+FG181+FE181</f>
        <v>#VALUE!</v>
      </c>
      <c r="FN181" s="89" t="e">
        <f>FL181+FJ181+FH181+FF181</f>
        <v>#VALUE!</v>
      </c>
      <c r="FO181" s="162" t="e">
        <f>FM181+FC181+ES181+EI181</f>
        <v>#VALUE!</v>
      </c>
      <c r="FP181" s="161" t="e">
        <f>FN181+FD181+ET181+EJ181</f>
        <v>#VALUE!</v>
      </c>
      <c r="FQ181" s="112"/>
      <c r="FR181" s="134">
        <f>'الصفحة 27'!$F$46</f>
        <v>7</v>
      </c>
      <c r="FS181" s="151">
        <f>'الصفحة 27'!$F$47</f>
        <v>0</v>
      </c>
      <c r="FT181" s="151">
        <f>'الصفحة 27'!$F$48</f>
        <v>3</v>
      </c>
      <c r="FU181" s="151">
        <f>'الصفحة 27'!$F$49</f>
        <v>6</v>
      </c>
      <c r="FV181" s="151">
        <f>'الصفحة 27'!$F$50</f>
        <v>4</v>
      </c>
      <c r="FW181" s="151">
        <f>'الصفحة 27'!$F$51</f>
        <v>6</v>
      </c>
      <c r="FX181" s="151">
        <f>'الصفحة 27'!$F$52</f>
        <v>3</v>
      </c>
      <c r="FY181" s="151">
        <f>'الصفحة 27'!$F$53</f>
        <v>3</v>
      </c>
      <c r="FZ181" s="151">
        <f>'الصفحة 27'!$F$54</f>
        <v>0</v>
      </c>
      <c r="GA181" s="151">
        <f>'الصفحة 27'!$F$55</f>
        <v>0</v>
      </c>
      <c r="GB181" s="151">
        <f>'الصفحة 27'!$F$56</f>
        <v>2</v>
      </c>
      <c r="GC181" s="69">
        <f>SUM(FR181:GB181)+(GB180)</f>
        <v>34</v>
      </c>
      <c r="GE181" s="134">
        <f>'الصفحة 27'!$G$46</f>
        <v>5</v>
      </c>
      <c r="GF181" s="133">
        <f>'الصفحة 27'!$H$46</f>
        <v>4</v>
      </c>
      <c r="GG181" s="132">
        <f>'الصفحة 27'!$G$47</f>
        <v>0</v>
      </c>
      <c r="GH181" s="131">
        <f>'الصفحة 27'!$H$47</f>
        <v>0</v>
      </c>
      <c r="GI181" s="132">
        <f>'الصفحة 27'!$G$48</f>
        <v>3</v>
      </c>
      <c r="GJ181" s="131">
        <f>'الصفحة 27'!$H$48</f>
        <v>2</v>
      </c>
      <c r="GK181" s="132">
        <f>'الصفحة 27'!$G$49</f>
        <v>4</v>
      </c>
      <c r="GL181" s="131">
        <f>'الصفحة 27'!$H$49</f>
        <v>4</v>
      </c>
      <c r="GM181" s="132">
        <f>'الصفحة 27'!$G$50</f>
        <v>3</v>
      </c>
      <c r="GN181" s="131">
        <f>'الصفحة 27'!$H$50</f>
        <v>2</v>
      </c>
      <c r="GO181" s="132">
        <f>'الصفحة 27'!$G$51</f>
        <v>5</v>
      </c>
      <c r="GP181" s="131">
        <f>'الصفحة 27'!$H$51</f>
        <v>3</v>
      </c>
      <c r="GQ181" s="132">
        <f>'الصفحة 27'!$G$52</f>
        <v>3</v>
      </c>
      <c r="GR181" s="131">
        <f>'الصفحة 27'!$H$52</f>
        <v>2</v>
      </c>
      <c r="GS181" s="132">
        <f>'الصفحة 27'!$G$53</f>
        <v>3</v>
      </c>
      <c r="GT181" s="131">
        <f>'الصفحة 27'!$H$53</f>
        <v>3</v>
      </c>
      <c r="GU181" s="132">
        <f>'الصفحة 27'!$G$54</f>
        <v>0</v>
      </c>
      <c r="GV181" s="131">
        <f>'الصفحة 27'!$H$54</f>
        <v>0</v>
      </c>
      <c r="GW181" s="132">
        <f>'الصفحة 27'!$G$55</f>
        <v>0</v>
      </c>
      <c r="GX181" s="131">
        <f>'الصفحة 27'!$H$55</f>
        <v>0</v>
      </c>
      <c r="GY181" s="132">
        <f>'الصفحة 27'!$G$56</f>
        <v>2</v>
      </c>
      <c r="GZ181" s="133">
        <f>'الصفحة 27'!$H$56</f>
        <v>0</v>
      </c>
      <c r="HA181" s="90">
        <f>GY181+GW181+GU181+GS181+GQ181+GO181+GM181+GK181+GI181+GG181+GE181+HA180</f>
        <v>28</v>
      </c>
      <c r="HB181" s="89">
        <f>GZ181+GX181+GV181+GT181+GR181+GP181+GN181+GL181+GJ181+GH181+GF181+HB180</f>
        <v>20</v>
      </c>
      <c r="HD181" s="134">
        <f>'الصفحة 27'!$I$46</f>
        <v>0</v>
      </c>
      <c r="HE181" s="133">
        <f>'الصفحة 27'!$J$46</f>
        <v>0</v>
      </c>
      <c r="HF181" s="132">
        <f>'الصفحة 27'!$I$47</f>
        <v>0</v>
      </c>
      <c r="HG181" s="131">
        <f>'الصفحة 27'!$J$47</f>
        <v>0</v>
      </c>
      <c r="HH181" s="132">
        <f>'الصفحة 27'!$I$48</f>
        <v>0</v>
      </c>
      <c r="HI181" s="131">
        <f>'الصفحة 27'!$J$48</f>
        <v>0</v>
      </c>
      <c r="HJ181" s="132">
        <f>'الصفحة 27'!$I$49</f>
        <v>0</v>
      </c>
      <c r="HK181" s="131">
        <f>'الصفحة 27'!$J$49</f>
        <v>0</v>
      </c>
      <c r="HL181" s="132">
        <f>'الصفحة 27'!$I$50</f>
        <v>0</v>
      </c>
      <c r="HM181" s="131">
        <f>'الصفحة 27'!$J$50</f>
        <v>0</v>
      </c>
      <c r="HN181" s="132">
        <f>'الصفحة 27'!$I$51</f>
        <v>0</v>
      </c>
      <c r="HO181" s="131">
        <f>'الصفحة 27'!$J$51</f>
        <v>0</v>
      </c>
      <c r="HP181" s="132">
        <f>'الصفحة 27'!$I$52</f>
        <v>0</v>
      </c>
      <c r="HQ181" s="131">
        <f>'الصفحة 27'!$J$52</f>
        <v>0</v>
      </c>
      <c r="HR181" s="132">
        <f>'الصفحة 27'!$I$53</f>
        <v>0</v>
      </c>
      <c r="HS181" s="131">
        <f>'الصفحة 27'!$J$53</f>
        <v>0</v>
      </c>
      <c r="HT181" s="132">
        <f>'الصفحة 27'!$I$54</f>
        <v>0</v>
      </c>
      <c r="HU181" s="131">
        <f>'الصفحة 27'!$J$54</f>
        <v>0</v>
      </c>
      <c r="HV181" s="132">
        <f>'الصفحة 27'!$I$55</f>
        <v>0</v>
      </c>
      <c r="HW181" s="131">
        <f>'الصفحة 27'!$J$55</f>
        <v>0</v>
      </c>
      <c r="HX181" s="132">
        <f>'الصفحة 27'!$I$56</f>
        <v>0</v>
      </c>
      <c r="HY181" s="133">
        <f>'الصفحة 27'!$J$56</f>
        <v>0</v>
      </c>
      <c r="HZ181" s="90">
        <f>HX181+HV181+HT181+HR181+HP181+HN181+HL181+HJ181+HH181+HF181+HD181+HZ180</f>
        <v>0</v>
      </c>
      <c r="IA181" s="89">
        <f>HY181+HW181+HU181+HS181+HQ181+HO181+HM181+HK181+HI181+HG181+HE181+IA180</f>
        <v>0</v>
      </c>
      <c r="IB181" s="112"/>
      <c r="IC181" s="27"/>
      <c r="ID181" s="27"/>
      <c r="IE181" s="27"/>
      <c r="IF181" s="27"/>
      <c r="IG181" s="27"/>
      <c r="IH181" s="27"/>
      <c r="II181" s="27"/>
      <c r="IJ181" s="27"/>
      <c r="IK181" s="27"/>
      <c r="IL181" s="27"/>
      <c r="IM181" s="27"/>
      <c r="IN181" s="27"/>
      <c r="IO181" s="27"/>
      <c r="IP181" s="27"/>
      <c r="IQ181" s="27"/>
      <c r="IR181" s="27"/>
      <c r="IS181" s="27"/>
      <c r="IT181" s="27"/>
      <c r="IV181" s="21"/>
    </row>
    <row r="182" spans="1:256" s="24" customFormat="1" ht="25.5" customHeight="1" thickBot="1">
      <c r="A182" s="23"/>
      <c r="B182" s="159" t="s">
        <v>263</v>
      </c>
      <c r="C182" s="96"/>
      <c r="D182" s="159" t="s">
        <v>262</v>
      </c>
      <c r="E182" s="96"/>
      <c r="F182" s="159" t="s">
        <v>261</v>
      </c>
      <c r="G182" s="96"/>
      <c r="H182" s="159" t="s">
        <v>260</v>
      </c>
      <c r="I182" s="96"/>
      <c r="J182" s="159" t="s">
        <v>259</v>
      </c>
      <c r="K182" s="96"/>
      <c r="L182" s="159" t="s">
        <v>258</v>
      </c>
      <c r="M182" s="96"/>
      <c r="N182" s="159" t="s">
        <v>257</v>
      </c>
      <c r="O182" s="96"/>
      <c r="P182" s="159" t="s">
        <v>256</v>
      </c>
      <c r="Q182" s="96"/>
      <c r="R182" s="159" t="s">
        <v>255</v>
      </c>
      <c r="S182" s="96"/>
      <c r="T182" s="159" t="s">
        <v>254</v>
      </c>
      <c r="U182" s="96"/>
      <c r="V182" s="159" t="s">
        <v>28</v>
      </c>
      <c r="W182" s="160"/>
      <c r="X182" s="159" t="s">
        <v>253</v>
      </c>
      <c r="Y182" s="96"/>
      <c r="AA182" s="150">
        <f t="shared" ref="AA182:AT182" si="3">GT176+HS176+B181+AA181</f>
        <v>0</v>
      </c>
      <c r="AB182" s="149">
        <f t="shared" si="3"/>
        <v>0</v>
      </c>
      <c r="AC182" s="148">
        <f t="shared" si="3"/>
        <v>0</v>
      </c>
      <c r="AD182" s="149">
        <f t="shared" si="3"/>
        <v>0</v>
      </c>
      <c r="AE182" s="148">
        <f t="shared" si="3"/>
        <v>0</v>
      </c>
      <c r="AF182" s="149">
        <f t="shared" si="3"/>
        <v>0</v>
      </c>
      <c r="AG182" s="148">
        <f t="shared" si="3"/>
        <v>0</v>
      </c>
      <c r="AH182" s="149">
        <f t="shared" si="3"/>
        <v>0</v>
      </c>
      <c r="AI182" s="148">
        <f t="shared" si="3"/>
        <v>0</v>
      </c>
      <c r="AJ182" s="149">
        <f t="shared" si="3"/>
        <v>0</v>
      </c>
      <c r="AK182" s="148">
        <f t="shared" si="3"/>
        <v>0</v>
      </c>
      <c r="AL182" s="149">
        <f t="shared" si="3"/>
        <v>0</v>
      </c>
      <c r="AM182" s="148">
        <f t="shared" si="3"/>
        <v>0</v>
      </c>
      <c r="AN182" s="149">
        <f t="shared" si="3"/>
        <v>0</v>
      </c>
      <c r="AO182" s="148">
        <f t="shared" si="3"/>
        <v>0</v>
      </c>
      <c r="AP182" s="149">
        <f t="shared" si="3"/>
        <v>0</v>
      </c>
      <c r="AQ182" s="148">
        <f t="shared" si="3"/>
        <v>0</v>
      </c>
      <c r="AR182" s="149">
        <f t="shared" si="3"/>
        <v>0</v>
      </c>
      <c r="AS182" s="148">
        <f t="shared" si="3"/>
        <v>0</v>
      </c>
      <c r="AT182" s="147">
        <f t="shared" si="3"/>
        <v>0</v>
      </c>
      <c r="AU182" s="90">
        <f>AA182+AC182+AE182+AG182+AI182+AK182+AM182+AO182+AS182+AQ182</f>
        <v>0</v>
      </c>
      <c r="AV182" s="72">
        <f>AB182+AD182+AF182+AH182+AJ182+AL182+AN182+AP182+AT182+AR182</f>
        <v>0</v>
      </c>
      <c r="AW182" s="150">
        <f>HP176+IO176+X181+AW181</f>
        <v>0</v>
      </c>
      <c r="AX182" s="158">
        <f>HQ176+IP176+Y181+AX181</f>
        <v>0</v>
      </c>
      <c r="AZ182" s="127" t="s">
        <v>252</v>
      </c>
      <c r="BA182" s="154"/>
      <c r="BB182" s="127" t="s">
        <v>251</v>
      </c>
      <c r="BC182" s="154"/>
      <c r="BD182" s="127" t="s">
        <v>250</v>
      </c>
      <c r="BE182" s="126"/>
      <c r="BF182" s="5768" t="s">
        <v>25</v>
      </c>
      <c r="BG182" s="5768"/>
      <c r="BH182" s="127" t="s">
        <v>252</v>
      </c>
      <c r="BI182" s="154"/>
      <c r="BJ182" s="127" t="s">
        <v>251</v>
      </c>
      <c r="BK182" s="154"/>
      <c r="BL182" s="127" t="s">
        <v>250</v>
      </c>
      <c r="BM182" s="126"/>
      <c r="BN182" s="5768" t="s">
        <v>191</v>
      </c>
      <c r="BO182" s="5768"/>
      <c r="BP182" s="127" t="s">
        <v>252</v>
      </c>
      <c r="BQ182" s="154"/>
      <c r="BR182" s="127" t="s">
        <v>251</v>
      </c>
      <c r="BS182" s="154"/>
      <c r="BT182" s="127" t="s">
        <v>250</v>
      </c>
      <c r="BU182" s="126"/>
      <c r="BV182" s="5768" t="s">
        <v>190</v>
      </c>
      <c r="BW182" s="5768"/>
      <c r="BX182" s="157">
        <f t="shared" ref="BX182:CC182" si="4">AZ181+BH181+BP181+BX181</f>
        <v>0</v>
      </c>
      <c r="BY182" s="155">
        <f t="shared" si="4"/>
        <v>0</v>
      </c>
      <c r="BZ182" s="156">
        <f t="shared" si="4"/>
        <v>0</v>
      </c>
      <c r="CA182" s="155">
        <f t="shared" si="4"/>
        <v>0</v>
      </c>
      <c r="CB182" s="156">
        <f t="shared" si="4"/>
        <v>0</v>
      </c>
      <c r="CC182" s="155">
        <f t="shared" si="4"/>
        <v>0</v>
      </c>
      <c r="CD182" s="73">
        <f>CB182+BZ182+BX182</f>
        <v>0</v>
      </c>
      <c r="CE182" s="89">
        <f>CC182+CA182+BY182</f>
        <v>0</v>
      </c>
      <c r="CF182" s="5141" t="s">
        <v>187</v>
      </c>
      <c r="CG182" s="5141"/>
      <c r="CI182" s="127" t="s">
        <v>252</v>
      </c>
      <c r="CJ182" s="154"/>
      <c r="CK182" s="127" t="s">
        <v>251</v>
      </c>
      <c r="CL182" s="154"/>
      <c r="CM182" s="127" t="s">
        <v>250</v>
      </c>
      <c r="CO182" s="127" t="s">
        <v>28</v>
      </c>
      <c r="CR182" s="127" t="s">
        <v>247</v>
      </c>
      <c r="CS182" s="154"/>
      <c r="CT182" s="127" t="s">
        <v>246</v>
      </c>
      <c r="CU182" s="154"/>
      <c r="CV182" s="127" t="s">
        <v>244</v>
      </c>
      <c r="CX182" s="127" t="s">
        <v>249</v>
      </c>
      <c r="CZ182" s="127" t="s">
        <v>247</v>
      </c>
      <c r="DA182" s="154"/>
      <c r="DB182" s="127" t="s">
        <v>246</v>
      </c>
      <c r="DC182" s="154"/>
      <c r="DD182" s="127" t="s">
        <v>244</v>
      </c>
      <c r="DF182" s="127" t="s">
        <v>248</v>
      </c>
      <c r="DH182" s="127" t="s">
        <v>247</v>
      </c>
      <c r="DI182" s="154"/>
      <c r="DJ182" s="127" t="s">
        <v>246</v>
      </c>
      <c r="DK182" s="154"/>
      <c r="DL182" s="127" t="s">
        <v>244</v>
      </c>
      <c r="DN182" s="127" t="s">
        <v>243</v>
      </c>
      <c r="DP182" s="150" t="e">
        <f t="shared" ref="DP182:DU182" si="5">CR181+CZ181+DH181+DP181</f>
        <v>#REF!</v>
      </c>
      <c r="DQ182" s="149" t="e">
        <f t="shared" si="5"/>
        <v>#REF!</v>
      </c>
      <c r="DR182" s="148" t="e">
        <f t="shared" si="5"/>
        <v>#REF!</v>
      </c>
      <c r="DS182" s="149" t="e">
        <f t="shared" si="5"/>
        <v>#REF!</v>
      </c>
      <c r="DT182" s="148" t="e">
        <f t="shared" si="5"/>
        <v>#REF!</v>
      </c>
      <c r="DU182" s="147" t="e">
        <f t="shared" si="5"/>
        <v>#REF!</v>
      </c>
      <c r="DV182" s="73" t="e">
        <f>DT182+DR182+DP182</f>
        <v>#REF!</v>
      </c>
      <c r="DW182" s="89" t="e">
        <f>DU182+DS182+DQ182</f>
        <v>#REF!</v>
      </c>
      <c r="DX182" s="5141" t="s">
        <v>187</v>
      </c>
      <c r="DY182" s="5141"/>
      <c r="EA182" s="127" t="s">
        <v>247</v>
      </c>
      <c r="EB182" s="154"/>
      <c r="EC182" s="127" t="s">
        <v>246</v>
      </c>
      <c r="ED182" s="154"/>
      <c r="EE182" s="127" t="s">
        <v>245</v>
      </c>
      <c r="EG182" s="127" t="s">
        <v>244</v>
      </c>
      <c r="EI182" s="127" t="s">
        <v>249</v>
      </c>
      <c r="EK182" s="127" t="s">
        <v>247</v>
      </c>
      <c r="EL182" s="154"/>
      <c r="EM182" s="127" t="s">
        <v>246</v>
      </c>
      <c r="EN182" s="154"/>
      <c r="EO182" s="127" t="s">
        <v>245</v>
      </c>
      <c r="EQ182" s="127" t="s">
        <v>244</v>
      </c>
      <c r="ES182" s="127" t="s">
        <v>248</v>
      </c>
      <c r="EU182" s="127" t="s">
        <v>247</v>
      </c>
      <c r="EV182" s="154"/>
      <c r="EW182" s="127" t="s">
        <v>246</v>
      </c>
      <c r="EX182" s="154"/>
      <c r="EY182" s="127" t="s">
        <v>245</v>
      </c>
      <c r="FA182" s="127" t="s">
        <v>244</v>
      </c>
      <c r="FC182" s="127" t="s">
        <v>243</v>
      </c>
      <c r="FE182" s="150" t="e">
        <f t="shared" ref="FE182:FL182" si="6">EA181+EK181+EU181+FE181</f>
        <v>#REF!</v>
      </c>
      <c r="FF182" s="149" t="e">
        <f t="shared" si="6"/>
        <v>#REF!</v>
      </c>
      <c r="FG182" s="148" t="e">
        <f t="shared" si="6"/>
        <v>#VALUE!</v>
      </c>
      <c r="FH182" s="149" t="e">
        <f t="shared" si="6"/>
        <v>#VALUE!</v>
      </c>
      <c r="FI182" s="148" t="e">
        <f t="shared" si="6"/>
        <v>#REF!</v>
      </c>
      <c r="FJ182" s="147" t="e">
        <f t="shared" si="6"/>
        <v>#REF!</v>
      </c>
      <c r="FK182" s="148" t="e">
        <f t="shared" si="6"/>
        <v>#REF!</v>
      </c>
      <c r="FL182" s="147" t="e">
        <f t="shared" si="6"/>
        <v>#REF!</v>
      </c>
      <c r="FM182" s="73" t="e">
        <f>FK182+FI182+FG182+FE182</f>
        <v>#REF!</v>
      </c>
      <c r="FN182" s="89" t="e">
        <f>FL182+FJ182+FH182+FF182</f>
        <v>#REF!</v>
      </c>
      <c r="FO182" s="5141" t="s">
        <v>187</v>
      </c>
      <c r="FP182" s="5141"/>
      <c r="FR182" s="529" t="s">
        <v>47</v>
      </c>
      <c r="FS182" s="529" t="s">
        <v>612</v>
      </c>
      <c r="FT182" s="529" t="s">
        <v>45</v>
      </c>
      <c r="FU182" s="529" t="s">
        <v>611</v>
      </c>
      <c r="FV182" s="529" t="s">
        <v>613</v>
      </c>
      <c r="FW182" s="529" t="s">
        <v>614</v>
      </c>
      <c r="FX182" s="529" t="s">
        <v>615</v>
      </c>
      <c r="FY182" s="529" t="s">
        <v>40</v>
      </c>
      <c r="FZ182" s="529" t="s">
        <v>616</v>
      </c>
      <c r="GA182" s="529" t="s">
        <v>617</v>
      </c>
      <c r="GB182" s="529" t="s">
        <v>618</v>
      </c>
      <c r="GE182" s="529" t="s">
        <v>47</v>
      </c>
      <c r="GG182" s="529" t="s">
        <v>612</v>
      </c>
      <c r="GI182" s="529" t="s">
        <v>45</v>
      </c>
      <c r="GK182" s="529" t="s">
        <v>611</v>
      </c>
      <c r="GM182" s="529" t="s">
        <v>613</v>
      </c>
      <c r="GO182" s="529" t="s">
        <v>614</v>
      </c>
      <c r="GQ182" s="529" t="s">
        <v>615</v>
      </c>
      <c r="GS182" s="529" t="s">
        <v>40</v>
      </c>
      <c r="GU182" s="529" t="s">
        <v>616</v>
      </c>
      <c r="GW182" s="529" t="s">
        <v>617</v>
      </c>
      <c r="GY182" s="529" t="s">
        <v>618</v>
      </c>
      <c r="HD182" s="529" t="s">
        <v>47</v>
      </c>
      <c r="HF182" s="529" t="s">
        <v>612</v>
      </c>
      <c r="HH182" s="529" t="s">
        <v>45</v>
      </c>
      <c r="HJ182" s="529" t="s">
        <v>611</v>
      </c>
      <c r="HL182" s="529" t="s">
        <v>613</v>
      </c>
      <c r="HN182" s="529" t="s">
        <v>614</v>
      </c>
      <c r="HP182" s="529" t="s">
        <v>615</v>
      </c>
      <c r="HR182" s="529" t="s">
        <v>40</v>
      </c>
      <c r="HT182" s="529" t="s">
        <v>616</v>
      </c>
      <c r="HV182" s="529" t="s">
        <v>617</v>
      </c>
      <c r="HX182" s="529" t="s">
        <v>618</v>
      </c>
      <c r="IV182" s="21"/>
    </row>
    <row r="183" spans="1:256" s="21" customFormat="1" ht="6" customHeight="1">
      <c r="A183" s="23"/>
      <c r="B183" s="22"/>
      <c r="C183" s="22"/>
      <c r="D183" s="22"/>
      <c r="E183" s="22"/>
      <c r="F183" s="22"/>
      <c r="G183" s="22"/>
      <c r="H183" s="22"/>
      <c r="I183" s="22"/>
      <c r="J183" s="22"/>
      <c r="K183" s="22"/>
      <c r="L183" s="22"/>
      <c r="M183" s="22"/>
      <c r="N183" s="22"/>
      <c r="O183" s="22"/>
      <c r="P183" s="22"/>
      <c r="Q183" s="22"/>
      <c r="R183" s="22"/>
      <c r="S183" s="22"/>
      <c r="T183" s="22"/>
      <c r="U183" s="22"/>
      <c r="V183" s="22"/>
    </row>
    <row r="184" spans="1:256" s="24" customFormat="1" ht="15" customHeight="1" thickBot="1">
      <c r="A184" s="23"/>
      <c r="B184" s="38" t="s">
        <v>242</v>
      </c>
      <c r="C184" s="146"/>
      <c r="D184" s="146"/>
      <c r="E184" s="146"/>
      <c r="F184" s="146"/>
      <c r="G184" s="146"/>
      <c r="H184" s="146"/>
      <c r="I184" s="146"/>
      <c r="J184" s="146"/>
      <c r="K184" s="146"/>
      <c r="L184" s="146"/>
      <c r="M184" s="146"/>
      <c r="N184" s="146"/>
      <c r="O184" s="146"/>
      <c r="P184" s="146"/>
      <c r="Q184" s="146"/>
      <c r="R184" s="146"/>
      <c r="S184" s="88"/>
      <c r="U184" s="153"/>
      <c r="V184" s="153"/>
      <c r="W184" s="5141" t="s">
        <v>241</v>
      </c>
      <c r="X184" s="5141"/>
      <c r="Y184" s="5141"/>
      <c r="Z184" s="146"/>
      <c r="AA184" s="38" t="s">
        <v>240</v>
      </c>
      <c r="AB184" s="146"/>
      <c r="AC184" s="146"/>
      <c r="AD184" s="146"/>
      <c r="AE184" s="146"/>
      <c r="AF184" s="146"/>
      <c r="AG184" s="146"/>
      <c r="AH184" s="146"/>
      <c r="AI184" s="146"/>
      <c r="AJ184" s="146"/>
      <c r="AK184" s="146"/>
      <c r="AL184" s="146"/>
      <c r="AM184" s="146"/>
      <c r="AN184" s="38" t="s">
        <v>239</v>
      </c>
      <c r="AO184" s="146"/>
      <c r="AP184" s="146"/>
      <c r="AQ184" s="146"/>
      <c r="AR184" s="146"/>
      <c r="AS184" s="146"/>
      <c r="AT184" s="146"/>
      <c r="AU184" s="146"/>
      <c r="AV184" s="146"/>
      <c r="AW184" s="146"/>
      <c r="AX184" s="146"/>
      <c r="AY184" s="146"/>
      <c r="AZ184" s="146"/>
      <c r="BA184" s="146"/>
      <c r="BB184" s="146"/>
      <c r="BC184" s="146"/>
      <c r="BD184" s="5134" t="s">
        <v>28</v>
      </c>
      <c r="BE184" s="5134"/>
      <c r="BF184" s="5134"/>
      <c r="BG184" s="5134"/>
      <c r="BH184" s="146"/>
      <c r="BI184" s="104" t="s">
        <v>238</v>
      </c>
      <c r="BJ184" s="146"/>
      <c r="BK184" s="146"/>
      <c r="BL184" s="146"/>
      <c r="BM184" s="146"/>
      <c r="BN184" s="146"/>
      <c r="BO184" s="146"/>
      <c r="BP184" s="146"/>
      <c r="BQ184" s="146"/>
      <c r="BR184" s="146"/>
      <c r="BS184" s="146"/>
      <c r="BT184" s="146"/>
      <c r="BU184" s="146"/>
      <c r="BV184" s="146"/>
      <c r="BW184" s="146"/>
      <c r="BX184" s="146"/>
      <c r="BY184" s="5134" t="s">
        <v>215</v>
      </c>
      <c r="BZ184" s="5134"/>
      <c r="CA184" s="5134"/>
      <c r="CB184" s="5134"/>
      <c r="CC184" s="146"/>
      <c r="CD184" s="104" t="s">
        <v>238</v>
      </c>
      <c r="CE184" s="146"/>
      <c r="CF184" s="146"/>
      <c r="CG184" s="146"/>
      <c r="CH184" s="146"/>
      <c r="CI184" s="146"/>
      <c r="CJ184" s="146"/>
      <c r="CK184" s="146"/>
      <c r="CL184" s="146"/>
      <c r="CM184" s="146"/>
      <c r="CN184" s="146"/>
      <c r="CO184" s="146"/>
      <c r="CP184" s="146"/>
      <c r="CQ184" s="146"/>
      <c r="CR184" s="146"/>
      <c r="CS184" s="146"/>
      <c r="CT184" s="5134" t="s">
        <v>46</v>
      </c>
      <c r="CU184" s="5134"/>
      <c r="CV184" s="5134"/>
      <c r="CW184" s="5134"/>
      <c r="CX184" s="146"/>
      <c r="CY184" s="104" t="s">
        <v>238</v>
      </c>
      <c r="CZ184" s="146"/>
      <c r="DA184" s="146"/>
      <c r="DB184" s="146"/>
      <c r="DC184" s="146"/>
      <c r="DD184" s="146"/>
      <c r="DE184" s="146"/>
      <c r="DF184" s="146"/>
      <c r="DG184" s="146"/>
      <c r="DH184" s="146"/>
      <c r="DI184" s="146"/>
      <c r="DJ184" s="146"/>
      <c r="DK184" s="146"/>
      <c r="DL184" s="146"/>
      <c r="DM184" s="146"/>
      <c r="DN184" s="146"/>
      <c r="DO184" s="5134" t="s">
        <v>45</v>
      </c>
      <c r="DP184" s="5134"/>
      <c r="DQ184" s="5134"/>
      <c r="DR184" s="5134"/>
      <c r="DS184" s="146"/>
      <c r="DT184" s="104" t="s">
        <v>238</v>
      </c>
      <c r="DU184" s="146"/>
      <c r="DV184" s="146"/>
      <c r="DW184" s="146"/>
      <c r="DX184" s="146"/>
      <c r="DY184" s="146"/>
      <c r="DZ184" s="146"/>
      <c r="EA184" s="146"/>
      <c r="EB184" s="146"/>
      <c r="EC184" s="146"/>
      <c r="ED184" s="146"/>
      <c r="EE184" s="146"/>
      <c r="EF184" s="146"/>
      <c r="EG184" s="146"/>
      <c r="EH184" s="146"/>
      <c r="EI184" s="146"/>
      <c r="EJ184" s="5134" t="s">
        <v>44</v>
      </c>
      <c r="EK184" s="5134"/>
      <c r="EL184" s="5134"/>
      <c r="EM184" s="5134"/>
      <c r="EN184" s="146"/>
      <c r="EO184" s="104" t="s">
        <v>238</v>
      </c>
      <c r="EP184" s="146"/>
      <c r="EQ184" s="146"/>
      <c r="ER184" s="146"/>
      <c r="ES184" s="146"/>
      <c r="ET184" s="146"/>
      <c r="EU184" s="146"/>
      <c r="EV184" s="146"/>
      <c r="EW184" s="146"/>
      <c r="EX184" s="146"/>
      <c r="EY184" s="146"/>
      <c r="EZ184" s="146"/>
      <c r="FA184" s="146"/>
      <c r="FB184" s="146"/>
      <c r="FC184" s="146"/>
      <c r="FD184" s="146"/>
      <c r="FE184" s="5134" t="s">
        <v>43</v>
      </c>
      <c r="FF184" s="5134"/>
      <c r="FG184" s="5134"/>
      <c r="FH184" s="5134"/>
      <c r="FI184" s="146"/>
      <c r="FJ184" s="104" t="s">
        <v>238</v>
      </c>
      <c r="FK184" s="146"/>
      <c r="FL184" s="146"/>
      <c r="FM184" s="146"/>
      <c r="FN184" s="146"/>
      <c r="FO184" s="146"/>
      <c r="FP184" s="146"/>
      <c r="FQ184" s="146"/>
      <c r="FR184" s="146"/>
      <c r="FS184" s="146"/>
      <c r="FT184" s="146"/>
      <c r="FU184" s="146"/>
      <c r="FV184" s="146"/>
      <c r="FW184" s="146"/>
      <c r="FX184" s="146"/>
      <c r="FY184" s="146"/>
      <c r="FZ184" s="5134" t="s">
        <v>42</v>
      </c>
      <c r="GA184" s="5134"/>
      <c r="GB184" s="5134"/>
      <c r="GC184" s="5134"/>
      <c r="GE184" s="104" t="s">
        <v>238</v>
      </c>
      <c r="GF184" s="146"/>
      <c r="GG184" s="146"/>
      <c r="GH184" s="146"/>
      <c r="GI184" s="146"/>
      <c r="GJ184" s="146"/>
      <c r="GK184" s="146"/>
      <c r="GL184" s="146"/>
      <c r="GM184" s="146"/>
      <c r="GN184" s="146"/>
      <c r="GO184" s="146"/>
      <c r="GP184" s="146"/>
      <c r="GQ184" s="146"/>
      <c r="GR184" s="146"/>
      <c r="GS184" s="146"/>
      <c r="GT184" s="146"/>
      <c r="GU184" s="5140" t="s">
        <v>41</v>
      </c>
      <c r="GV184" s="5140"/>
      <c r="GW184" s="5140"/>
      <c r="GX184" s="5140"/>
      <c r="GY184" s="88"/>
      <c r="GZ184" s="104" t="s">
        <v>238</v>
      </c>
      <c r="HA184" s="146"/>
      <c r="HB184" s="146"/>
      <c r="HC184" s="146"/>
      <c r="HD184" s="146"/>
      <c r="HE184" s="146"/>
      <c r="HF184" s="146"/>
      <c r="HG184" s="146"/>
      <c r="HH184" s="146"/>
      <c r="HI184" s="146"/>
      <c r="HJ184" s="146"/>
      <c r="HK184" s="146"/>
      <c r="HL184" s="146"/>
      <c r="HM184" s="146"/>
      <c r="HN184" s="146"/>
      <c r="HO184" s="146"/>
      <c r="HP184" s="5134" t="s">
        <v>40</v>
      </c>
      <c r="HQ184" s="5134"/>
      <c r="HR184" s="5134"/>
      <c r="HS184" s="5134"/>
      <c r="HU184" s="104" t="s">
        <v>238</v>
      </c>
      <c r="HV184" s="146"/>
      <c r="HW184" s="146"/>
      <c r="HX184" s="146"/>
      <c r="HY184" s="146"/>
      <c r="HZ184" s="146"/>
      <c r="IA184" s="146"/>
      <c r="IB184" s="146"/>
      <c r="IC184" s="146"/>
      <c r="ID184" s="146"/>
      <c r="IE184" s="146"/>
      <c r="IF184" s="146"/>
      <c r="IG184" s="146"/>
      <c r="IH184" s="146"/>
      <c r="II184" s="146"/>
      <c r="IJ184" s="146"/>
      <c r="IK184" s="5134" t="s">
        <v>39</v>
      </c>
      <c r="IL184" s="5134"/>
      <c r="IM184" s="5134"/>
      <c r="IN184" s="5134"/>
      <c r="IV184" s="21"/>
    </row>
    <row r="185" spans="1:256" s="24" customFormat="1" ht="25.5" customHeight="1" thickBot="1">
      <c r="A185" s="23"/>
      <c r="B185" s="529" t="s">
        <v>47</v>
      </c>
      <c r="D185" s="529" t="s">
        <v>612</v>
      </c>
      <c r="F185" s="529" t="s">
        <v>45</v>
      </c>
      <c r="H185" s="529" t="s">
        <v>611</v>
      </c>
      <c r="J185" s="529" t="s">
        <v>613</v>
      </c>
      <c r="L185" s="529" t="s">
        <v>614</v>
      </c>
      <c r="N185" s="529" t="s">
        <v>615</v>
      </c>
      <c r="P185" s="529" t="s">
        <v>40</v>
      </c>
      <c r="R185" s="529" t="s">
        <v>616</v>
      </c>
      <c r="T185" s="529" t="s">
        <v>617</v>
      </c>
      <c r="V185" s="529" t="s">
        <v>618</v>
      </c>
      <c r="W185" s="529" t="s">
        <v>48</v>
      </c>
      <c r="X185" s="132">
        <f>'الصفحة 27'!$K$57</f>
        <v>0</v>
      </c>
      <c r="Y185" s="131">
        <f>'الصفحة 27'!$L$57</f>
        <v>0</v>
      </c>
      <c r="Z185" s="93"/>
      <c r="AA185" s="93"/>
      <c r="AB185" s="93"/>
      <c r="AC185" s="93"/>
      <c r="AD185" s="144"/>
      <c r="AE185" s="144"/>
      <c r="AF185" s="144"/>
      <c r="AG185" s="146"/>
      <c r="AH185" s="146"/>
      <c r="AI185" s="146"/>
      <c r="AJ185" s="529" t="s">
        <v>48</v>
      </c>
      <c r="AK185" s="151">
        <f>'الصفحة 27'!$O$57</f>
        <v>0</v>
      </c>
      <c r="AL185" s="144"/>
      <c r="AM185" s="93"/>
      <c r="AN185" s="134" t="str">
        <f>'الصفحة 27'!$F$37</f>
        <v/>
      </c>
      <c r="AO185" s="133" t="str">
        <f>'الصفحة 27'!$F$38</f>
        <v/>
      </c>
      <c r="AP185" s="132" t="str">
        <f>'الصفحة 27'!$G$37</f>
        <v/>
      </c>
      <c r="AQ185" s="131" t="str">
        <f>'الصفحة 27'!$G$38</f>
        <v/>
      </c>
      <c r="AR185" s="132" t="str">
        <f>'الصفحة 27'!$H$37</f>
        <v/>
      </c>
      <c r="AS185" s="131" t="str">
        <f>'الصفحة 27'!$H$38</f>
        <v/>
      </c>
      <c r="AT185" s="132" t="str">
        <f>'الصفحة 27'!$I$37</f>
        <v/>
      </c>
      <c r="AU185" s="131" t="str">
        <f>'الصفحة 27'!$I$38</f>
        <v/>
      </c>
      <c r="AV185" s="132" t="str">
        <f>'الصفحة 27'!$J$37</f>
        <v/>
      </c>
      <c r="AW185" s="131" t="str">
        <f>'الصفحة 27'!$J$38</f>
        <v/>
      </c>
      <c r="AX185" s="132" t="e">
        <f>'الصفحة 27'!#REF!</f>
        <v>#REF!</v>
      </c>
      <c r="AY185" s="131" t="e">
        <f>'الصفحة 27'!#REF!</f>
        <v>#REF!</v>
      </c>
      <c r="AZ185" s="132" t="e">
        <f>'الصفحة 27'!#REF!</f>
        <v>#REF!</v>
      </c>
      <c r="BA185" s="131" t="e">
        <f>'الصفحة 27'!#REF!</f>
        <v>#REF!</v>
      </c>
      <c r="BB185" s="73" t="e">
        <f>AZ185+AX185+AV185+AT185+AR185+AP185+AN185</f>
        <v>#REF!</v>
      </c>
      <c r="BC185" s="89" t="e">
        <f>BA185+AY185+AW185+AU185+AS185+AQ185+AO185</f>
        <v>#REF!</v>
      </c>
      <c r="BD185" s="554" t="s">
        <v>629</v>
      </c>
      <c r="BE185" s="555"/>
      <c r="BF185" s="398"/>
      <c r="BG185" s="144"/>
      <c r="BH185" s="144"/>
      <c r="BI185" s="134" t="str">
        <f>'الصفحة 27'!$F$39</f>
        <v/>
      </c>
      <c r="BJ185" s="133" t="str">
        <f>'الصفحة 27'!$F$40</f>
        <v/>
      </c>
      <c r="BK185" s="132" t="str">
        <f>'الصفحة 27'!$G$39</f>
        <v/>
      </c>
      <c r="BL185" s="131" t="str">
        <f>'الصفحة 27'!$G$40</f>
        <v/>
      </c>
      <c r="BM185" s="132" t="str">
        <f>'الصفحة 27'!$H$39</f>
        <v/>
      </c>
      <c r="BN185" s="131" t="str">
        <f>'الصفحة 27'!$H$40</f>
        <v/>
      </c>
      <c r="BO185" s="132" t="str">
        <f>'الصفحة 27'!$I$39</f>
        <v/>
      </c>
      <c r="BP185" s="131" t="str">
        <f>'الصفحة 27'!$I$40</f>
        <v/>
      </c>
      <c r="BQ185" s="132" t="str">
        <f>'الصفحة 27'!$J$39</f>
        <v/>
      </c>
      <c r="BR185" s="131" t="str">
        <f>'الصفحة 27'!$J$40</f>
        <v/>
      </c>
      <c r="BS185" s="132" t="e">
        <f>'الصفحة 27'!#REF!</f>
        <v>#REF!</v>
      </c>
      <c r="BT185" s="131" t="e">
        <f>'الصفحة 27'!#REF!</f>
        <v>#REF!</v>
      </c>
      <c r="BU185" s="132" t="e">
        <f>'الصفحة 27'!#REF!</f>
        <v>#REF!</v>
      </c>
      <c r="BV185" s="131" t="e">
        <f>'الصفحة 27'!#REF!</f>
        <v>#REF!</v>
      </c>
      <c r="BW185" s="73" t="e">
        <f>BU185+BS185+BQ185+BO185+BM185+BK185+BI185</f>
        <v>#REF!</v>
      </c>
      <c r="BX185" s="89" t="e">
        <f>BV185+BT185+BR185+BP185+BN185+BL185+BJ185</f>
        <v>#REF!</v>
      </c>
      <c r="BY185" s="554" t="s">
        <v>630</v>
      </c>
      <c r="BZ185" s="555"/>
      <c r="CA185" s="398"/>
      <c r="CB185" s="145"/>
      <c r="CC185" s="144"/>
      <c r="CD185" s="144"/>
      <c r="CE185" s="146"/>
      <c r="CF185" s="146"/>
      <c r="CG185" s="146"/>
      <c r="CH185" s="106"/>
      <c r="CI185" s="145"/>
      <c r="CJ185" s="144"/>
      <c r="CK185" s="93"/>
      <c r="CL185" s="93"/>
      <c r="CM185" s="93"/>
      <c r="CN185" s="93"/>
      <c r="CO185" s="144"/>
      <c r="CP185" s="144"/>
      <c r="CQ185" s="144"/>
      <c r="CR185" s="144"/>
      <c r="CS185" s="146"/>
      <c r="CT185" s="146"/>
      <c r="CU185" s="146"/>
      <c r="CV185" s="106"/>
      <c r="CW185" s="145"/>
      <c r="CX185" s="144"/>
      <c r="CY185" s="144"/>
      <c r="CZ185" s="146"/>
      <c r="DA185" s="146"/>
      <c r="DB185" s="146"/>
      <c r="DC185" s="106"/>
      <c r="DD185" s="145"/>
      <c r="DE185" s="144"/>
      <c r="DF185" s="93"/>
      <c r="DG185" s="93"/>
      <c r="DH185" s="93"/>
      <c r="DI185" s="93"/>
      <c r="DJ185" s="144"/>
      <c r="DK185" s="144"/>
      <c r="DL185" s="144"/>
      <c r="DM185" s="144"/>
      <c r="DN185" s="146"/>
      <c r="DO185" s="146"/>
      <c r="DP185" s="146"/>
      <c r="DQ185" s="106"/>
      <c r="DR185" s="145"/>
      <c r="DS185" s="144"/>
      <c r="DT185" s="144"/>
      <c r="DU185" s="146"/>
      <c r="DV185" s="146"/>
      <c r="DW185" s="146"/>
      <c r="DX185" s="106"/>
      <c r="DY185" s="145"/>
      <c r="DZ185" s="144"/>
      <c r="EA185" s="93"/>
      <c r="EB185" s="93"/>
      <c r="EC185" s="93"/>
      <c r="ED185" s="93"/>
      <c r="EE185" s="144"/>
      <c r="EF185" s="144"/>
      <c r="EG185" s="144"/>
      <c r="EH185" s="144"/>
      <c r="EI185" s="146"/>
      <c r="EJ185" s="146"/>
      <c r="EK185" s="146"/>
      <c r="EL185" s="106"/>
      <c r="EM185" s="145"/>
      <c r="EN185" s="144"/>
      <c r="EO185" s="144"/>
      <c r="EP185" s="146"/>
      <c r="EQ185" s="146"/>
      <c r="ER185" s="146"/>
      <c r="ES185" s="106"/>
      <c r="ET185" s="145"/>
      <c r="EU185" s="144"/>
      <c r="EV185" s="93"/>
      <c r="EW185" s="93"/>
      <c r="EX185" s="93"/>
      <c r="EY185" s="93"/>
      <c r="EZ185" s="144"/>
      <c r="FA185" s="144"/>
      <c r="FB185" s="144"/>
      <c r="FC185" s="144"/>
      <c r="FD185" s="146"/>
      <c r="FE185" s="146"/>
      <c r="FF185" s="146"/>
      <c r="FG185" s="106"/>
      <c r="FH185" s="145"/>
      <c r="FI185" s="144"/>
      <c r="FJ185" s="144"/>
      <c r="FK185" s="146"/>
      <c r="FL185" s="146"/>
      <c r="FM185" s="146"/>
      <c r="FN185" s="106"/>
      <c r="FO185" s="145"/>
      <c r="FP185" s="144"/>
      <c r="FQ185" s="93"/>
      <c r="FR185" s="93"/>
      <c r="FS185" s="93"/>
      <c r="FT185" s="93"/>
      <c r="FU185" s="144"/>
      <c r="FV185" s="144"/>
      <c r="FW185" s="144"/>
      <c r="FX185" s="144"/>
      <c r="FY185" s="146"/>
      <c r="FZ185" s="146"/>
      <c r="GA185" s="146"/>
      <c r="GB185" s="106"/>
      <c r="GC185" s="145"/>
      <c r="GE185" s="144"/>
      <c r="GF185" s="146"/>
      <c r="GG185" s="146"/>
      <c r="GH185" s="146"/>
      <c r="GI185" s="106"/>
      <c r="GJ185" s="145"/>
      <c r="GK185" s="144"/>
      <c r="GL185" s="93"/>
      <c r="GM185" s="93"/>
      <c r="GN185" s="93"/>
      <c r="GO185" s="93"/>
      <c r="GP185" s="144"/>
      <c r="GQ185" s="144"/>
      <c r="GR185" s="144"/>
      <c r="GS185" s="144"/>
      <c r="GT185" s="146"/>
      <c r="GU185" s="146"/>
      <c r="GV185" s="146"/>
      <c r="GW185" s="106"/>
      <c r="GX185" s="145"/>
      <c r="GY185" s="112"/>
      <c r="GZ185" s="144"/>
      <c r="HA185" s="146"/>
      <c r="HB185" s="146"/>
      <c r="HC185" s="146"/>
      <c r="HD185" s="106"/>
      <c r="HE185" s="145"/>
      <c r="HF185" s="144"/>
      <c r="HG185" s="93"/>
      <c r="HH185" s="93"/>
      <c r="HI185" s="93"/>
      <c r="HJ185" s="93"/>
      <c r="HK185" s="144"/>
      <c r="HL185" s="144"/>
      <c r="HM185" s="144"/>
      <c r="HN185" s="144"/>
      <c r="HO185" s="146"/>
      <c r="HP185" s="146"/>
      <c r="HQ185" s="146"/>
      <c r="HR185" s="106"/>
      <c r="HS185" s="145"/>
      <c r="HT185" s="78"/>
      <c r="HU185" s="144"/>
      <c r="HV185" s="146"/>
      <c r="HW185" s="146"/>
      <c r="HX185" s="146"/>
      <c r="HY185" s="106"/>
      <c r="HZ185" s="145"/>
      <c r="IA185" s="144"/>
      <c r="IB185" s="93"/>
      <c r="IC185" s="93"/>
      <c r="ID185" s="93"/>
      <c r="IE185" s="93"/>
      <c r="IF185" s="144"/>
      <c r="IG185" s="144"/>
      <c r="IH185" s="144"/>
      <c r="II185" s="144"/>
      <c r="IJ185" s="146"/>
      <c r="IK185" s="146"/>
      <c r="IL185" s="146"/>
      <c r="IM185" s="106"/>
      <c r="IN185" s="145"/>
      <c r="IO185" s="78"/>
      <c r="IP185" s="77"/>
      <c r="IQ185" s="77"/>
      <c r="IR185" s="77"/>
      <c r="IS185" s="77"/>
      <c r="IT185" s="77"/>
      <c r="IV185" s="21"/>
    </row>
    <row r="186" spans="1:256" s="24" customFormat="1" ht="18" customHeight="1" thickBot="1">
      <c r="A186" s="35">
        <v>7</v>
      </c>
      <c r="B186" s="134">
        <f>'الصفحة 27'!$K$46</f>
        <v>2</v>
      </c>
      <c r="C186" s="133">
        <f>'الصفحة 27'!$L$46</f>
        <v>2</v>
      </c>
      <c r="D186" s="132">
        <f>'الصفحة 27'!$K$47</f>
        <v>0</v>
      </c>
      <c r="E186" s="131">
        <f>'الصفحة 27'!$L$47</f>
        <v>0</v>
      </c>
      <c r="F186" s="132">
        <f>'الصفحة 27'!$K$48</f>
        <v>0</v>
      </c>
      <c r="G186" s="131">
        <f>'الصفحة 27'!$L$48</f>
        <v>0</v>
      </c>
      <c r="H186" s="132">
        <f>'الصفحة 27'!$K$49</f>
        <v>2</v>
      </c>
      <c r="I186" s="131">
        <f>'الصفحة 27'!$L$49</f>
        <v>2</v>
      </c>
      <c r="J186" s="132">
        <f>'الصفحة 27'!$K$50</f>
        <v>1</v>
      </c>
      <c r="K186" s="131">
        <f>'الصفحة 27'!$L$50</f>
        <v>1</v>
      </c>
      <c r="L186" s="132">
        <f>'الصفحة 27'!$K$51</f>
        <v>1</v>
      </c>
      <c r="M186" s="131">
        <f>'الصفحة 27'!$L$51</f>
        <v>1</v>
      </c>
      <c r="N186" s="132">
        <f>'الصفحة 27'!$K$52</f>
        <v>0</v>
      </c>
      <c r="O186" s="131">
        <f>'الصفحة 27'!$L$52</f>
        <v>0</v>
      </c>
      <c r="P186" s="132">
        <f>'الصفحة 27'!$K$53</f>
        <v>0</v>
      </c>
      <c r="Q186" s="131">
        <f>'الصفحة 27'!$L$53</f>
        <v>0</v>
      </c>
      <c r="R186" s="132">
        <f>'الصفحة 27'!$K$54</f>
        <v>0</v>
      </c>
      <c r="S186" s="131">
        <f>'الصفحة 27'!$L$54</f>
        <v>0</v>
      </c>
      <c r="T186" s="132">
        <f>'الصفحة 27'!$K$55</f>
        <v>0</v>
      </c>
      <c r="U186" s="131">
        <f>'الصفحة 27'!$L$55</f>
        <v>0</v>
      </c>
      <c r="V186" s="132">
        <f>'الصفحة 27'!$K$56</f>
        <v>0</v>
      </c>
      <c r="W186" s="133">
        <f>'الصفحة 27'!$L$56</f>
        <v>0</v>
      </c>
      <c r="X186" s="90">
        <f>V186+T186+R186+P186+N186+L186+J186+H186+F186+D186+B186+X185</f>
        <v>6</v>
      </c>
      <c r="Y186" s="197">
        <f>W186+U186+S186+Q186+O186+M186+K186+I186+G186+E186+C186+Y185</f>
        <v>6</v>
      </c>
      <c r="AA186" s="134">
        <f>'الصفحة 27'!$O$46</f>
        <v>0</v>
      </c>
      <c r="AB186" s="151">
        <f>'الصفحة 27'!$O$47</f>
        <v>0</v>
      </c>
      <c r="AC186" s="151">
        <f>'الصفحة 27'!$O$48</f>
        <v>0</v>
      </c>
      <c r="AD186" s="151">
        <f>'الصفحة 27'!$O$49</f>
        <v>0</v>
      </c>
      <c r="AE186" s="151">
        <f>'الصفحة 27'!$O$50</f>
        <v>0</v>
      </c>
      <c r="AF186" s="151">
        <f>'الصفحة 27'!$O$51</f>
        <v>0</v>
      </c>
      <c r="AG186" s="151">
        <f>'الصفحة 27'!$O$52</f>
        <v>0</v>
      </c>
      <c r="AH186" s="151">
        <f>'الصفحة 27'!$O$53</f>
        <v>0</v>
      </c>
      <c r="AI186" s="151">
        <f>'الصفحة 27'!$O$54</f>
        <v>0</v>
      </c>
      <c r="AJ186" s="151">
        <f>'الصفحة 27'!$O$55</f>
        <v>0</v>
      </c>
      <c r="AK186" s="151">
        <f>'الصفحة 27'!$O$56</f>
        <v>0</v>
      </c>
      <c r="AL186" s="69">
        <f>SUM(AA186:AK186)+(AK185)</f>
        <v>0</v>
      </c>
      <c r="AN186" s="134">
        <f>'الصفحة 27'!$F$35</f>
        <v>11</v>
      </c>
      <c r="AO186" s="133">
        <f>'الصفحة 27'!$F$36</f>
        <v>8</v>
      </c>
      <c r="AP186" s="132">
        <f>'الصفحة 27'!$G$35</f>
        <v>7</v>
      </c>
      <c r="AQ186" s="131">
        <f>'الصفحة 27'!$G$36</f>
        <v>4</v>
      </c>
      <c r="AR186" s="132">
        <f>'الصفحة 27'!$H$35</f>
        <v>0</v>
      </c>
      <c r="AS186" s="131">
        <f>'الصفحة 27'!$H$36</f>
        <v>0</v>
      </c>
      <c r="AT186" s="132">
        <f>'الصفحة 27'!$I$35</f>
        <v>10</v>
      </c>
      <c r="AU186" s="131">
        <f>'الصفحة 27'!$I$36</f>
        <v>8</v>
      </c>
      <c r="AV186" s="132">
        <f>'الصفحة 27'!$J$35</f>
        <v>0</v>
      </c>
      <c r="AW186" s="131">
        <f>'الصفحة 27'!$J$36</f>
        <v>0</v>
      </c>
      <c r="AX186" s="132" t="e">
        <f>'الصفحة 27'!#REF!</f>
        <v>#REF!</v>
      </c>
      <c r="AY186" s="131" t="e">
        <f>'الصفحة 27'!#REF!</f>
        <v>#REF!</v>
      </c>
      <c r="AZ186" s="132" t="e">
        <f>'الصفحة 27'!#REF!</f>
        <v>#REF!</v>
      </c>
      <c r="BA186" s="131" t="e">
        <f>'الصفحة 27'!#REF!</f>
        <v>#REF!</v>
      </c>
      <c r="BB186" s="73" t="e">
        <f>AZ186+AX186+AV186+AT186+AR186+AP186+AN186</f>
        <v>#REF!</v>
      </c>
      <c r="BC186" s="89" t="e">
        <f>BA186+AY186+AW186+AU186+AS186+AQ186+AO186</f>
        <v>#REF!</v>
      </c>
      <c r="BD186" s="132">
        <f>'الصفحة 27'!$L$35</f>
        <v>6</v>
      </c>
      <c r="BE186" s="131">
        <f>'الصفحة 27'!$L$36</f>
        <v>6</v>
      </c>
      <c r="BF186" s="132">
        <f>'الصفحة 27'!$N$35</f>
        <v>0</v>
      </c>
      <c r="BG186" s="137">
        <f>'الصفحة 27'!$N$36</f>
        <v>0</v>
      </c>
      <c r="BI186" s="134">
        <f>'الصفحة 27'!$F$11</f>
        <v>0</v>
      </c>
      <c r="BJ186" s="133">
        <f>'الصفحة 27'!$F$12</f>
        <v>0</v>
      </c>
      <c r="BK186" s="132">
        <f>'الصفحة 27'!$G$11</f>
        <v>2</v>
      </c>
      <c r="BL186" s="131">
        <f>'الصفحة 27'!$G$12</f>
        <v>2</v>
      </c>
      <c r="BM186" s="132">
        <f>'الصفحة 27'!$H$11</f>
        <v>0</v>
      </c>
      <c r="BN186" s="131">
        <f>'الصفحة 27'!$H$12</f>
        <v>0</v>
      </c>
      <c r="BO186" s="132">
        <f>'الصفحة 27'!$I$11</f>
        <v>3</v>
      </c>
      <c r="BP186" s="131">
        <f>'الصفحة 27'!$I$12</f>
        <v>2</v>
      </c>
      <c r="BQ186" s="132">
        <f>'الصفحة 27'!$J$11</f>
        <v>0</v>
      </c>
      <c r="BR186" s="131">
        <f>'الصفحة 27'!$J$12</f>
        <v>0</v>
      </c>
      <c r="BS186" s="132" t="e">
        <f>'الصفحة 27'!#REF!</f>
        <v>#REF!</v>
      </c>
      <c r="BT186" s="131" t="e">
        <f>'الصفحة 27'!#REF!</f>
        <v>#REF!</v>
      </c>
      <c r="BU186" s="132" t="e">
        <f>'الصفحة 27'!#REF!</f>
        <v>#REF!</v>
      </c>
      <c r="BV186" s="131" t="e">
        <f>'الصفحة 27'!#REF!</f>
        <v>#REF!</v>
      </c>
      <c r="BW186" s="73" t="e">
        <f>BU186+BS186+BQ186+BO186+BM186+BK186+BI186</f>
        <v>#REF!</v>
      </c>
      <c r="BX186" s="89" t="e">
        <f>BV186+BT186+BR186+BP186+BN186+BL186+BJ186</f>
        <v>#REF!</v>
      </c>
      <c r="BY186" s="132">
        <f>'الصفحة 27'!$L$11</f>
        <v>2</v>
      </c>
      <c r="BZ186" s="131">
        <f>'الصفحة 27'!$L$12</f>
        <v>2</v>
      </c>
      <c r="CA186" s="132">
        <f>'الصفحة 27'!$N$11</f>
        <v>0</v>
      </c>
      <c r="CB186" s="137">
        <f>'الصفحة 27'!$N$12</f>
        <v>0</v>
      </c>
      <c r="CD186" s="134">
        <f>'الصفحة 27'!$F$13</f>
        <v>0</v>
      </c>
      <c r="CE186" s="133">
        <f>'الصفحة 27'!$F$14</f>
        <v>0</v>
      </c>
      <c r="CF186" s="132">
        <f>'الصفحة 27'!$G$13</f>
        <v>0</v>
      </c>
      <c r="CG186" s="131">
        <f>'الصفحة 27'!$G$14</f>
        <v>0</v>
      </c>
      <c r="CH186" s="132">
        <f>'الصفحة 27'!$H$13</f>
        <v>0</v>
      </c>
      <c r="CI186" s="131">
        <f>'الصفحة 27'!$H$14</f>
        <v>0</v>
      </c>
      <c r="CJ186" s="132">
        <f>'الصفحة 27'!$I$13</f>
        <v>0</v>
      </c>
      <c r="CK186" s="131">
        <f>'الصفحة 27'!$I$14</f>
        <v>0</v>
      </c>
      <c r="CL186" s="132">
        <f>'الصفحة 27'!$J$13</f>
        <v>0</v>
      </c>
      <c r="CM186" s="131">
        <f>'الصفحة 27'!$J$14</f>
        <v>0</v>
      </c>
      <c r="CN186" s="132" t="e">
        <f>'الصفحة 27'!#REF!</f>
        <v>#REF!</v>
      </c>
      <c r="CO186" s="131" t="e">
        <f>'الصفحة 27'!#REF!</f>
        <v>#REF!</v>
      </c>
      <c r="CP186" s="132" t="e">
        <f>'الصفحة 27'!#REF!</f>
        <v>#REF!</v>
      </c>
      <c r="CQ186" s="131" t="e">
        <f>'الصفحة 27'!#REF!</f>
        <v>#REF!</v>
      </c>
      <c r="CR186" s="73" t="e">
        <f>CP186+CN186+CL186+CJ186+CH186+CF186+CD186</f>
        <v>#REF!</v>
      </c>
      <c r="CS186" s="89" t="e">
        <f>CQ186+CO186+CM186+CK186+CI186+CG186+CE186</f>
        <v>#REF!</v>
      </c>
      <c r="CT186" s="132">
        <f>'الصفحة 27'!$L$13</f>
        <v>0</v>
      </c>
      <c r="CU186" s="131">
        <f>'الصفحة 27'!$L$14</f>
        <v>0</v>
      </c>
      <c r="CV186" s="132">
        <f>'الصفحة 27'!$N$13</f>
        <v>0</v>
      </c>
      <c r="CW186" s="137">
        <f>'الصفحة 27'!$N$14</f>
        <v>0</v>
      </c>
      <c r="CY186" s="134">
        <f>'الصفحة 27'!$F$15</f>
        <v>2</v>
      </c>
      <c r="CZ186" s="133">
        <f>'الصفحة 27'!$F$16</f>
        <v>2</v>
      </c>
      <c r="DA186" s="132">
        <f>'الصفحة 27'!$G$15</f>
        <v>1</v>
      </c>
      <c r="DB186" s="131">
        <f>'الصفحة 27'!$G$16</f>
        <v>0</v>
      </c>
      <c r="DC186" s="132">
        <f>'الصفحة 27'!$H$15</f>
        <v>0</v>
      </c>
      <c r="DD186" s="131">
        <f>'الصفحة 27'!$H$16</f>
        <v>0</v>
      </c>
      <c r="DE186" s="132">
        <f>'الصفحة 27'!$I$15</f>
        <v>0</v>
      </c>
      <c r="DF186" s="131">
        <f>'الصفحة 27'!$I$16</f>
        <v>0</v>
      </c>
      <c r="DG186" s="132">
        <f>'الصفحة 27'!$J$15</f>
        <v>0</v>
      </c>
      <c r="DH186" s="131">
        <f>'الصفحة 27'!$J$16</f>
        <v>0</v>
      </c>
      <c r="DI186" s="132" t="e">
        <f>'الصفحة 27'!#REF!</f>
        <v>#REF!</v>
      </c>
      <c r="DJ186" s="131" t="e">
        <f>'الصفحة 27'!#REF!</f>
        <v>#REF!</v>
      </c>
      <c r="DK186" s="132" t="e">
        <f>'الصفحة 27'!#REF!</f>
        <v>#REF!</v>
      </c>
      <c r="DL186" s="131" t="e">
        <f>'الصفحة 27'!#REF!</f>
        <v>#REF!</v>
      </c>
      <c r="DM186" s="73" t="e">
        <f>DK186+DI186+DG186+DE186+DC186+DA186+CY186</f>
        <v>#REF!</v>
      </c>
      <c r="DN186" s="89" t="e">
        <f>DL186+DJ186+DH186+DF186+DD186+DB186+CZ186</f>
        <v>#REF!</v>
      </c>
      <c r="DO186" s="132">
        <f>'الصفحة 27'!$L$15</f>
        <v>0</v>
      </c>
      <c r="DP186" s="131">
        <f>'الصفحة 27'!$L$16</f>
        <v>0</v>
      </c>
      <c r="DQ186" s="132">
        <f>'الصفحة 27'!$N$15</f>
        <v>0</v>
      </c>
      <c r="DR186" s="137">
        <f>'الصفحة 27'!$N$16</f>
        <v>0</v>
      </c>
      <c r="DT186" s="134">
        <f>'الصفحة 27'!$F$17</f>
        <v>2</v>
      </c>
      <c r="DU186" s="133">
        <f>'الصفحة 27'!$F$18</f>
        <v>2</v>
      </c>
      <c r="DV186" s="132">
        <f>'الصفحة 27'!$G$17</f>
        <v>1</v>
      </c>
      <c r="DW186" s="131">
        <f>'الصفحة 27'!$G$18</f>
        <v>1</v>
      </c>
      <c r="DX186" s="132">
        <f>'الصفحة 27'!$H$17</f>
        <v>0</v>
      </c>
      <c r="DY186" s="131">
        <f>'الصفحة 27'!$H$18</f>
        <v>0</v>
      </c>
      <c r="DZ186" s="132">
        <f>'الصفحة 27'!$I$17</f>
        <v>1</v>
      </c>
      <c r="EA186" s="131">
        <f>'الصفحة 27'!$I$18</f>
        <v>1</v>
      </c>
      <c r="EB186" s="132">
        <f>'الصفحة 27'!$J$17</f>
        <v>0</v>
      </c>
      <c r="EC186" s="131">
        <f>'الصفحة 27'!$J$18</f>
        <v>0</v>
      </c>
      <c r="ED186" s="132" t="e">
        <f>'الصفحة 27'!#REF!</f>
        <v>#REF!</v>
      </c>
      <c r="EE186" s="131" t="e">
        <f>'الصفحة 27'!#REF!</f>
        <v>#REF!</v>
      </c>
      <c r="EF186" s="132" t="e">
        <f>'الصفحة 27'!#REF!</f>
        <v>#REF!</v>
      </c>
      <c r="EG186" s="131" t="e">
        <f>'الصفحة 27'!#REF!</f>
        <v>#REF!</v>
      </c>
      <c r="EH186" s="73" t="e">
        <f>EF186+ED186+EB186+DZ186+DX186+DV186+DT186</f>
        <v>#REF!</v>
      </c>
      <c r="EI186" s="89" t="e">
        <f>EG186+EE186+EC186+EA186+DY186+DW186+DU186</f>
        <v>#REF!</v>
      </c>
      <c r="EJ186" s="132">
        <f>'الصفحة 27'!$L$17</f>
        <v>2</v>
      </c>
      <c r="EK186" s="131">
        <f>'الصفحة 27'!$L$18</f>
        <v>2</v>
      </c>
      <c r="EL186" s="132">
        <f>'الصفحة 27'!$N$17</f>
        <v>0</v>
      </c>
      <c r="EM186" s="137">
        <f>'الصفحة 27'!$N$18</f>
        <v>0</v>
      </c>
      <c r="EO186" s="134">
        <f>'الصفحة 27'!$F$19</f>
        <v>0</v>
      </c>
      <c r="EP186" s="133">
        <f>'الصفحة 27'!$F$20</f>
        <v>0</v>
      </c>
      <c r="EQ186" s="132">
        <f>'الصفحة 27'!$G$19</f>
        <v>0</v>
      </c>
      <c r="ER186" s="131">
        <f>'الصفحة 27'!$G$20</f>
        <v>0</v>
      </c>
      <c r="ES186" s="132">
        <f>'الصفحة 27'!$H$19</f>
        <v>0</v>
      </c>
      <c r="ET186" s="131">
        <f>'الصفحة 27'!$H$20</f>
        <v>0</v>
      </c>
      <c r="EU186" s="132">
        <f>'الصفحة 27'!$I$19</f>
        <v>3</v>
      </c>
      <c r="EV186" s="131">
        <f>'الصفحة 27'!$I$20</f>
        <v>2</v>
      </c>
      <c r="EW186" s="132">
        <f>'الصفحة 27'!$J$19</f>
        <v>0</v>
      </c>
      <c r="EX186" s="131">
        <f>'الصفحة 27'!$J$20</f>
        <v>0</v>
      </c>
      <c r="EY186" s="132" t="e">
        <f>'الصفحة 27'!#REF!</f>
        <v>#REF!</v>
      </c>
      <c r="EZ186" s="131" t="e">
        <f>'الصفحة 27'!#REF!</f>
        <v>#REF!</v>
      </c>
      <c r="FA186" s="132" t="e">
        <f>'الصفحة 27'!#REF!</f>
        <v>#REF!</v>
      </c>
      <c r="FB186" s="131" t="e">
        <f>'الصفحة 27'!#REF!</f>
        <v>#REF!</v>
      </c>
      <c r="FC186" s="73" t="e">
        <f>FA186+EY186+EW186+EU186+ES186+EQ186+EO186</f>
        <v>#REF!</v>
      </c>
      <c r="FD186" s="89" t="e">
        <f>FB186+EZ186+EX186+EV186+ET186+ER186+EP186</f>
        <v>#REF!</v>
      </c>
      <c r="FE186" s="132">
        <f>'الصفحة 27'!$L$19</f>
        <v>1</v>
      </c>
      <c r="FF186" s="131">
        <f>'الصفحة 27'!$L$20</f>
        <v>1</v>
      </c>
      <c r="FG186" s="132">
        <f>'الصفحة 27'!$N$19</f>
        <v>0</v>
      </c>
      <c r="FH186" s="137">
        <f>'الصفحة 27'!$N$20</f>
        <v>0</v>
      </c>
      <c r="FJ186" s="134">
        <f>'الصفحة 27'!$F$21</f>
        <v>2</v>
      </c>
      <c r="FK186" s="133">
        <f>'الصفحة 27'!$F$22</f>
        <v>0</v>
      </c>
      <c r="FL186" s="132">
        <f>'الصفحة 27'!$G$21</f>
        <v>0</v>
      </c>
      <c r="FM186" s="131">
        <f>'الصفحة 27'!$G$22</f>
        <v>0</v>
      </c>
      <c r="FN186" s="132">
        <f>'الصفحة 27'!$H$21</f>
        <v>0</v>
      </c>
      <c r="FO186" s="131">
        <f>'الصفحة 27'!$H$22</f>
        <v>0</v>
      </c>
      <c r="FP186" s="132">
        <f>'الصفحة 27'!$I$21</f>
        <v>3</v>
      </c>
      <c r="FQ186" s="131">
        <f>'الصفحة 27'!$I$22</f>
        <v>3</v>
      </c>
      <c r="FR186" s="132">
        <f>'الصفحة 27'!$J$21</f>
        <v>0</v>
      </c>
      <c r="FS186" s="131">
        <f>'الصفحة 27'!$J$22</f>
        <v>0</v>
      </c>
      <c r="FT186" s="132" t="e">
        <f>'الصفحة 27'!#REF!</f>
        <v>#REF!</v>
      </c>
      <c r="FU186" s="131" t="e">
        <f>'الصفحة 27'!#REF!</f>
        <v>#REF!</v>
      </c>
      <c r="FV186" s="132" t="e">
        <f>'الصفحة 27'!#REF!</f>
        <v>#REF!</v>
      </c>
      <c r="FW186" s="131" t="e">
        <f>'الصفحة 27'!#REF!</f>
        <v>#REF!</v>
      </c>
      <c r="FX186" s="73" t="e">
        <f>FV186+FT186+FR186+FP186+FN186+FL186+FJ186</f>
        <v>#REF!</v>
      </c>
      <c r="FY186" s="89" t="e">
        <f>FW186+FU186+FS186+FQ186+FO186+FM186+FK186</f>
        <v>#REF!</v>
      </c>
      <c r="FZ186" s="132">
        <f>'الصفحة 27'!$L$21</f>
        <v>1</v>
      </c>
      <c r="GA186" s="131">
        <f>'الصفحة 27'!$L$22</f>
        <v>1</v>
      </c>
      <c r="GB186" s="132">
        <f>'الصفحة 27'!$N$21</f>
        <v>0</v>
      </c>
      <c r="GC186" s="137">
        <f>'الصفحة 27'!$N$22</f>
        <v>0</v>
      </c>
      <c r="GE186" s="134">
        <f>'الصفحة 27'!$F$23</f>
        <v>1</v>
      </c>
      <c r="GF186" s="133">
        <f>'الصفحة 27'!$F$24</f>
        <v>1</v>
      </c>
      <c r="GG186" s="132">
        <f>'الصفحة 27'!$G$23</f>
        <v>2</v>
      </c>
      <c r="GH186" s="131">
        <f>'الصفحة 27'!$G$24</f>
        <v>1</v>
      </c>
      <c r="GI186" s="132">
        <f>'الصفحة 27'!$H$23</f>
        <v>0</v>
      </c>
      <c r="GJ186" s="131">
        <f>'الصفحة 27'!$H$24</f>
        <v>0</v>
      </c>
      <c r="GK186" s="132">
        <f>'الصفحة 27'!$I$23</f>
        <v>0</v>
      </c>
      <c r="GL186" s="131">
        <f>'الصفحة 27'!$I$24</f>
        <v>0</v>
      </c>
      <c r="GM186" s="132">
        <f>'الصفحة 27'!$J$23</f>
        <v>0</v>
      </c>
      <c r="GN186" s="131">
        <f>'الصفحة 27'!$J$24</f>
        <v>0</v>
      </c>
      <c r="GO186" s="132" t="e">
        <f>'الصفحة 27'!#REF!</f>
        <v>#REF!</v>
      </c>
      <c r="GP186" s="131" t="e">
        <f>'الصفحة 27'!#REF!</f>
        <v>#REF!</v>
      </c>
      <c r="GQ186" s="132" t="e">
        <f>'الصفحة 27'!#REF!</f>
        <v>#REF!</v>
      </c>
      <c r="GR186" s="131" t="e">
        <f>'الصفحة 27'!#REF!</f>
        <v>#REF!</v>
      </c>
      <c r="GS186" s="73" t="e">
        <f>GQ186+GO186+GM186+GK186+GI186+GG186+GE186</f>
        <v>#REF!</v>
      </c>
      <c r="GT186" s="89" t="e">
        <f>GR186+GP186+GN186+GL186+GJ186+GH186+GF186</f>
        <v>#REF!</v>
      </c>
      <c r="GU186" s="132">
        <f>'الصفحة 27'!$L$23</f>
        <v>0</v>
      </c>
      <c r="GV186" s="131">
        <f>'الصفحة 27'!$L$24</f>
        <v>0</v>
      </c>
      <c r="GW186" s="132">
        <f>'الصفحة 27'!$N$23</f>
        <v>0</v>
      </c>
      <c r="GX186" s="137">
        <f>'الصفحة 27'!$N$24</f>
        <v>0</v>
      </c>
      <c r="GZ186" s="134">
        <f>'الصفحة 27'!$F$25</f>
        <v>3</v>
      </c>
      <c r="HA186" s="133">
        <f>'الصفحة 27'!$F$26</f>
        <v>3</v>
      </c>
      <c r="HB186" s="132">
        <f>'الصفحة 27'!$G$25</f>
        <v>0</v>
      </c>
      <c r="HC186" s="131">
        <f>'الصفحة 27'!$G$26</f>
        <v>0</v>
      </c>
      <c r="HD186" s="132">
        <f>'الصفحة 27'!$H$25</f>
        <v>0</v>
      </c>
      <c r="HE186" s="131">
        <f>'الصفحة 27'!$H$26</f>
        <v>0</v>
      </c>
      <c r="HF186" s="132">
        <f>'الصفحة 27'!$I$25</f>
        <v>0</v>
      </c>
      <c r="HG186" s="131">
        <f>'الصفحة 27'!$I$26</f>
        <v>0</v>
      </c>
      <c r="HH186" s="132">
        <f>'الصفحة 27'!$J$25</f>
        <v>0</v>
      </c>
      <c r="HI186" s="131">
        <f>'الصفحة 27'!$J$26</f>
        <v>0</v>
      </c>
      <c r="HJ186" s="132" t="e">
        <f>'الصفحة 27'!#REF!</f>
        <v>#REF!</v>
      </c>
      <c r="HK186" s="131" t="e">
        <f>'الصفحة 27'!#REF!</f>
        <v>#REF!</v>
      </c>
      <c r="HL186" s="132" t="e">
        <f>'الصفحة 27'!#REF!</f>
        <v>#REF!</v>
      </c>
      <c r="HM186" s="131" t="e">
        <f>'الصفحة 27'!#REF!</f>
        <v>#REF!</v>
      </c>
      <c r="HN186" s="73" t="e">
        <f>HL186+HJ186+HH186+HF186+HD186+HB186+GZ186</f>
        <v>#REF!</v>
      </c>
      <c r="HO186" s="89" t="e">
        <f>HM186+HK186+HI186+HG186+HE186+HC186+HA186</f>
        <v>#REF!</v>
      </c>
      <c r="HP186" s="132">
        <f>'الصفحة 27'!$L$25</f>
        <v>0</v>
      </c>
      <c r="HQ186" s="131">
        <f>'الصفحة 27'!$L$26</f>
        <v>0</v>
      </c>
      <c r="HR186" s="132">
        <f>'الصفحة 27'!$N$25</f>
        <v>0</v>
      </c>
      <c r="HS186" s="137">
        <f>'الصفحة 27'!$N$26</f>
        <v>0</v>
      </c>
      <c r="HU186" s="134">
        <f>'الصفحة 27'!$F$27</f>
        <v>0</v>
      </c>
      <c r="HV186" s="133">
        <f>'الصفحة 27'!$F$28</f>
        <v>0</v>
      </c>
      <c r="HW186" s="132">
        <f>'الصفحة 27'!$G$27</f>
        <v>0</v>
      </c>
      <c r="HX186" s="131">
        <f>'الصفحة 27'!$G$28</f>
        <v>0</v>
      </c>
      <c r="HY186" s="132">
        <f>'الصفحة 27'!$H$27</f>
        <v>0</v>
      </c>
      <c r="HZ186" s="131">
        <f>'الصفحة 27'!$H$28</f>
        <v>0</v>
      </c>
      <c r="IA186" s="132">
        <f>'الصفحة 27'!$I$27</f>
        <v>0</v>
      </c>
      <c r="IB186" s="131">
        <f>'الصفحة 27'!$I$28</f>
        <v>0</v>
      </c>
      <c r="IC186" s="132">
        <f>'الصفحة 27'!$J$27</f>
        <v>0</v>
      </c>
      <c r="ID186" s="131">
        <f>'الصفحة 27'!$J$28</f>
        <v>0</v>
      </c>
      <c r="IE186" s="132" t="e">
        <f>'الصفحة 27'!#REF!</f>
        <v>#REF!</v>
      </c>
      <c r="IF186" s="131" t="e">
        <f>'الصفحة 27'!#REF!</f>
        <v>#REF!</v>
      </c>
      <c r="IG186" s="132" t="e">
        <f>'الصفحة 27'!#REF!</f>
        <v>#REF!</v>
      </c>
      <c r="IH186" s="131" t="e">
        <f>'الصفحة 27'!#REF!</f>
        <v>#REF!</v>
      </c>
      <c r="II186" s="73" t="e">
        <f>IG186+IE186+IC186+IA186+HY186+HW186+HU186</f>
        <v>#REF!</v>
      </c>
      <c r="IJ186" s="89" t="e">
        <f>IH186+IF186+ID186+IB186+HZ186+HX186+HV186</f>
        <v>#REF!</v>
      </c>
      <c r="IK186" s="132">
        <f>'الصفحة 27'!$L$27</f>
        <v>0</v>
      </c>
      <c r="IL186" s="131">
        <f>'الصفحة 27'!$L$28</f>
        <v>0</v>
      </c>
      <c r="IM186" s="132">
        <f>'الصفحة 27'!$N$27</f>
        <v>0</v>
      </c>
      <c r="IN186" s="137">
        <f>'الصفحة 27'!$N$28</f>
        <v>0</v>
      </c>
      <c r="IP186" s="27"/>
      <c r="IQ186" s="27"/>
      <c r="IR186" s="27"/>
      <c r="IS186" s="27"/>
      <c r="IT186" s="27"/>
      <c r="IV186" s="21"/>
    </row>
    <row r="187" spans="1:256" s="24" customFormat="1" ht="13.5" customHeight="1" thickBot="1">
      <c r="A187" s="23"/>
      <c r="B187" s="150">
        <f t="shared" ref="B187:W187" si="7">GE181+HD181+B186</f>
        <v>7</v>
      </c>
      <c r="C187" s="147">
        <f t="shared" si="7"/>
        <v>6</v>
      </c>
      <c r="D187" s="148">
        <f t="shared" si="7"/>
        <v>0</v>
      </c>
      <c r="E187" s="149">
        <f t="shared" si="7"/>
        <v>0</v>
      </c>
      <c r="F187" s="148">
        <f t="shared" si="7"/>
        <v>3</v>
      </c>
      <c r="G187" s="149">
        <f t="shared" si="7"/>
        <v>2</v>
      </c>
      <c r="H187" s="148">
        <f t="shared" si="7"/>
        <v>6</v>
      </c>
      <c r="I187" s="149">
        <f t="shared" si="7"/>
        <v>6</v>
      </c>
      <c r="J187" s="148">
        <f t="shared" si="7"/>
        <v>4</v>
      </c>
      <c r="K187" s="149">
        <f t="shared" si="7"/>
        <v>3</v>
      </c>
      <c r="L187" s="148">
        <f t="shared" si="7"/>
        <v>6</v>
      </c>
      <c r="M187" s="149">
        <f t="shared" si="7"/>
        <v>4</v>
      </c>
      <c r="N187" s="148">
        <f t="shared" si="7"/>
        <v>3</v>
      </c>
      <c r="O187" s="149">
        <f t="shared" si="7"/>
        <v>2</v>
      </c>
      <c r="P187" s="148">
        <f t="shared" si="7"/>
        <v>3</v>
      </c>
      <c r="Q187" s="149">
        <f t="shared" si="7"/>
        <v>3</v>
      </c>
      <c r="R187" s="148">
        <f t="shared" si="7"/>
        <v>0</v>
      </c>
      <c r="S187" s="149">
        <f t="shared" si="7"/>
        <v>0</v>
      </c>
      <c r="T187" s="148">
        <f t="shared" si="7"/>
        <v>0</v>
      </c>
      <c r="U187" s="149">
        <f t="shared" si="7"/>
        <v>0</v>
      </c>
      <c r="V187" s="148">
        <f t="shared" si="7"/>
        <v>2</v>
      </c>
      <c r="W187" s="147">
        <f t="shared" si="7"/>
        <v>0</v>
      </c>
      <c r="X187" s="90">
        <f>V187+T187+R187+P187+N187+L187+J187+H187+F187+D187+B187+X188</f>
        <v>34</v>
      </c>
      <c r="Y187" s="197">
        <f>W187+U187+S187+Q187+O187+M187+K187+I187+G187+E187+C187+Y188</f>
        <v>26</v>
      </c>
      <c r="AA187" s="529" t="s">
        <v>47</v>
      </c>
      <c r="AB187" s="529" t="s">
        <v>612</v>
      </c>
      <c r="AC187" s="529" t="s">
        <v>45</v>
      </c>
      <c r="AD187" s="529" t="s">
        <v>611</v>
      </c>
      <c r="AE187" s="529" t="s">
        <v>613</v>
      </c>
      <c r="AF187" s="529" t="s">
        <v>614</v>
      </c>
      <c r="AG187" s="529" t="s">
        <v>615</v>
      </c>
      <c r="AH187" s="529" t="s">
        <v>40</v>
      </c>
      <c r="AI187" s="529" t="s">
        <v>616</v>
      </c>
      <c r="AJ187" s="529" t="s">
        <v>617</v>
      </c>
      <c r="AK187" s="529" t="s">
        <v>618</v>
      </c>
      <c r="AN187" s="127" t="s">
        <v>623</v>
      </c>
      <c r="AO187" s="126"/>
      <c r="AP187" s="127" t="s">
        <v>230</v>
      </c>
      <c r="AQ187" s="126"/>
      <c r="AR187" s="127" t="s">
        <v>229</v>
      </c>
      <c r="AS187" s="126"/>
      <c r="AT187" s="127" t="s">
        <v>228</v>
      </c>
      <c r="AU187" s="126"/>
      <c r="AV187" s="127" t="s">
        <v>227</v>
      </c>
      <c r="AW187" s="126"/>
      <c r="AX187" s="127" t="s">
        <v>226</v>
      </c>
      <c r="AY187" s="126"/>
      <c r="AZ187" s="127" t="s">
        <v>225</v>
      </c>
      <c r="BA187" s="126"/>
      <c r="BB187" s="127" t="s">
        <v>28</v>
      </c>
      <c r="BC187" s="126"/>
      <c r="BD187" s="127" t="s">
        <v>224</v>
      </c>
      <c r="BE187" s="126"/>
      <c r="BF187" s="127" t="s">
        <v>27</v>
      </c>
      <c r="BG187" s="126"/>
      <c r="BI187" s="127" t="s">
        <v>623</v>
      </c>
      <c r="BJ187" s="126"/>
      <c r="BK187" s="127" t="s">
        <v>230</v>
      </c>
      <c r="BL187" s="126"/>
      <c r="BM187" s="127" t="s">
        <v>229</v>
      </c>
      <c r="BN187" s="126"/>
      <c r="BO187" s="127" t="s">
        <v>228</v>
      </c>
      <c r="BP187" s="126"/>
      <c r="BQ187" s="127" t="s">
        <v>227</v>
      </c>
      <c r="BR187" s="126"/>
      <c r="BS187" s="127" t="s">
        <v>226</v>
      </c>
      <c r="BT187" s="126"/>
      <c r="BU187" s="127" t="s">
        <v>225</v>
      </c>
      <c r="BV187" s="126"/>
      <c r="BW187" s="127" t="s">
        <v>28</v>
      </c>
      <c r="BX187" s="126"/>
      <c r="BY187" s="127" t="s">
        <v>224</v>
      </c>
      <c r="BZ187" s="126"/>
      <c r="CA187" s="127" t="s">
        <v>27</v>
      </c>
      <c r="CB187" s="126"/>
      <c r="CD187" s="127" t="s">
        <v>623</v>
      </c>
      <c r="CE187" s="126"/>
      <c r="CF187" s="127" t="s">
        <v>230</v>
      </c>
      <c r="CG187" s="126"/>
      <c r="CH187" s="127" t="s">
        <v>229</v>
      </c>
      <c r="CI187" s="126"/>
      <c r="CJ187" s="127" t="s">
        <v>228</v>
      </c>
      <c r="CK187" s="126"/>
      <c r="CL187" s="127" t="s">
        <v>227</v>
      </c>
      <c r="CM187" s="126"/>
      <c r="CN187" s="127" t="s">
        <v>226</v>
      </c>
      <c r="CO187" s="126"/>
      <c r="CP187" s="127" t="s">
        <v>225</v>
      </c>
      <c r="CQ187" s="126"/>
      <c r="CR187" s="127" t="s">
        <v>28</v>
      </c>
      <c r="CS187" s="126"/>
      <c r="CT187" s="127" t="s">
        <v>224</v>
      </c>
      <c r="CU187" s="126"/>
      <c r="CV187" s="127" t="s">
        <v>27</v>
      </c>
      <c r="CW187" s="126"/>
      <c r="CY187" s="127" t="s">
        <v>623</v>
      </c>
      <c r="CZ187" s="126"/>
      <c r="DA187" s="127" t="s">
        <v>230</v>
      </c>
      <c r="DB187" s="126"/>
      <c r="DC187" s="127" t="s">
        <v>229</v>
      </c>
      <c r="DD187" s="126"/>
      <c r="DE187" s="127" t="s">
        <v>228</v>
      </c>
      <c r="DF187" s="126"/>
      <c r="DG187" s="127" t="s">
        <v>227</v>
      </c>
      <c r="DH187" s="126"/>
      <c r="DI187" s="127" t="s">
        <v>226</v>
      </c>
      <c r="DJ187" s="126"/>
      <c r="DK187" s="127" t="s">
        <v>225</v>
      </c>
      <c r="DL187" s="126"/>
      <c r="DM187" s="127" t="s">
        <v>28</v>
      </c>
      <c r="DN187" s="126"/>
      <c r="DO187" s="127" t="s">
        <v>224</v>
      </c>
      <c r="DP187" s="126"/>
      <c r="DQ187" s="127" t="s">
        <v>27</v>
      </c>
      <c r="DR187" s="126"/>
      <c r="DT187" s="127" t="s">
        <v>623</v>
      </c>
      <c r="DU187" s="126"/>
      <c r="DV187" s="127" t="s">
        <v>230</v>
      </c>
      <c r="DW187" s="126"/>
      <c r="DX187" s="127" t="s">
        <v>229</v>
      </c>
      <c r="DY187" s="126"/>
      <c r="DZ187" s="127" t="s">
        <v>228</v>
      </c>
      <c r="EA187" s="126"/>
      <c r="EB187" s="127" t="s">
        <v>227</v>
      </c>
      <c r="EC187" s="126"/>
      <c r="ED187" s="127" t="s">
        <v>226</v>
      </c>
      <c r="EE187" s="126"/>
      <c r="EF187" s="127" t="s">
        <v>225</v>
      </c>
      <c r="EG187" s="126"/>
      <c r="EH187" s="127" t="s">
        <v>28</v>
      </c>
      <c r="EI187" s="126"/>
      <c r="EJ187" s="127" t="s">
        <v>224</v>
      </c>
      <c r="EK187" s="126"/>
      <c r="EL187" s="127" t="s">
        <v>27</v>
      </c>
      <c r="EM187" s="126"/>
      <c r="EO187" s="127" t="s">
        <v>623</v>
      </c>
      <c r="EP187" s="126"/>
      <c r="EQ187" s="127" t="s">
        <v>230</v>
      </c>
      <c r="ER187" s="126"/>
      <c r="ES187" s="127" t="s">
        <v>229</v>
      </c>
      <c r="ET187" s="126"/>
      <c r="EU187" s="127" t="s">
        <v>228</v>
      </c>
      <c r="EV187" s="126"/>
      <c r="EW187" s="127" t="s">
        <v>227</v>
      </c>
      <c r="EX187" s="126"/>
      <c r="EY187" s="127" t="s">
        <v>226</v>
      </c>
      <c r="EZ187" s="126"/>
      <c r="FA187" s="127" t="s">
        <v>225</v>
      </c>
      <c r="FB187" s="126"/>
      <c r="FC187" s="127" t="s">
        <v>28</v>
      </c>
      <c r="FD187" s="126"/>
      <c r="FE187" s="127" t="s">
        <v>224</v>
      </c>
      <c r="FF187" s="126"/>
      <c r="FG187" s="127" t="s">
        <v>27</v>
      </c>
      <c r="FH187" s="126"/>
      <c r="FJ187" s="127" t="s">
        <v>623</v>
      </c>
      <c r="FK187" s="126"/>
      <c r="FL187" s="127" t="s">
        <v>230</v>
      </c>
      <c r="FM187" s="126"/>
      <c r="FN187" s="127" t="s">
        <v>229</v>
      </c>
      <c r="FO187" s="126"/>
      <c r="FP187" s="127" t="s">
        <v>228</v>
      </c>
      <c r="FQ187" s="126"/>
      <c r="FR187" s="127" t="s">
        <v>227</v>
      </c>
      <c r="FS187" s="126"/>
      <c r="FT187" s="127" t="s">
        <v>226</v>
      </c>
      <c r="FU187" s="126"/>
      <c r="FV187" s="127" t="s">
        <v>225</v>
      </c>
      <c r="FW187" s="126"/>
      <c r="FX187" s="127" t="s">
        <v>28</v>
      </c>
      <c r="FY187" s="126"/>
      <c r="FZ187" s="127" t="s">
        <v>224</v>
      </c>
      <c r="GA187" s="126"/>
      <c r="GB187" s="127" t="s">
        <v>27</v>
      </c>
      <c r="GC187" s="126"/>
      <c r="GE187" s="127" t="s">
        <v>623</v>
      </c>
      <c r="GF187" s="126"/>
      <c r="GG187" s="127" t="s">
        <v>230</v>
      </c>
      <c r="GH187" s="126"/>
      <c r="GI187" s="127" t="s">
        <v>229</v>
      </c>
      <c r="GJ187" s="126"/>
      <c r="GK187" s="127" t="s">
        <v>228</v>
      </c>
      <c r="GL187" s="126"/>
      <c r="GM187" s="127" t="s">
        <v>227</v>
      </c>
      <c r="GN187" s="126"/>
      <c r="GO187" s="127" t="s">
        <v>226</v>
      </c>
      <c r="GP187" s="126"/>
      <c r="GQ187" s="127" t="s">
        <v>225</v>
      </c>
      <c r="GR187" s="126"/>
      <c r="GS187" s="127" t="s">
        <v>28</v>
      </c>
      <c r="GT187" s="126"/>
      <c r="GU187" s="127" t="s">
        <v>224</v>
      </c>
      <c r="GV187" s="126"/>
      <c r="GW187" s="127" t="s">
        <v>27</v>
      </c>
      <c r="GX187" s="126"/>
      <c r="GZ187" s="127" t="s">
        <v>623</v>
      </c>
      <c r="HA187" s="126"/>
      <c r="HB187" s="127" t="s">
        <v>230</v>
      </c>
      <c r="HC187" s="126"/>
      <c r="HD187" s="127" t="s">
        <v>229</v>
      </c>
      <c r="HE187" s="126"/>
      <c r="HF187" s="127" t="s">
        <v>228</v>
      </c>
      <c r="HG187" s="126"/>
      <c r="HH187" s="127" t="s">
        <v>227</v>
      </c>
      <c r="HI187" s="126"/>
      <c r="HJ187" s="127" t="s">
        <v>226</v>
      </c>
      <c r="HK187" s="126"/>
      <c r="HL187" s="127" t="s">
        <v>225</v>
      </c>
      <c r="HM187" s="126"/>
      <c r="HN187" s="127" t="s">
        <v>28</v>
      </c>
      <c r="HO187" s="126"/>
      <c r="HP187" s="127" t="s">
        <v>224</v>
      </c>
      <c r="HQ187" s="126"/>
      <c r="HR187" s="127" t="s">
        <v>27</v>
      </c>
      <c r="HS187" s="126"/>
      <c r="HU187" s="127" t="s">
        <v>623</v>
      </c>
      <c r="HV187" s="126"/>
      <c r="HW187" s="127" t="s">
        <v>230</v>
      </c>
      <c r="HX187" s="126"/>
      <c r="HY187" s="127" t="s">
        <v>229</v>
      </c>
      <c r="HZ187" s="126"/>
      <c r="IA187" s="127" t="s">
        <v>228</v>
      </c>
      <c r="IB187" s="126"/>
      <c r="IC187" s="127" t="s">
        <v>227</v>
      </c>
      <c r="ID187" s="126"/>
      <c r="IE187" s="127" t="s">
        <v>226</v>
      </c>
      <c r="IF187" s="126"/>
      <c r="IG187" s="127" t="s">
        <v>225</v>
      </c>
      <c r="IH187" s="126"/>
      <c r="II187" s="127" t="s">
        <v>28</v>
      </c>
      <c r="IJ187" s="126"/>
      <c r="IK187" s="127" t="s">
        <v>224</v>
      </c>
      <c r="IL187" s="126"/>
      <c r="IM187" s="127" t="s">
        <v>27</v>
      </c>
      <c r="IN187" s="126"/>
      <c r="IV187" s="21"/>
    </row>
    <row r="188" spans="1:256" s="21" customFormat="1" ht="6" customHeight="1" thickBot="1">
      <c r="A188" s="23"/>
      <c r="B188" s="22"/>
      <c r="C188" s="22"/>
      <c r="D188" s="22"/>
      <c r="E188" s="22"/>
      <c r="F188" s="22"/>
      <c r="G188" s="22"/>
      <c r="H188" s="22"/>
      <c r="I188" s="22"/>
      <c r="J188" s="22"/>
      <c r="K188" s="22"/>
      <c r="L188" s="22"/>
      <c r="M188" s="22"/>
      <c r="N188" s="22"/>
      <c r="O188" s="22"/>
      <c r="P188" s="22"/>
      <c r="Q188" s="22"/>
      <c r="R188" s="22"/>
      <c r="S188" s="22"/>
      <c r="T188" s="22"/>
      <c r="U188" s="22"/>
      <c r="V188" s="22"/>
      <c r="X188" s="148">
        <f>HA180+HZ180+X185</f>
        <v>0</v>
      </c>
      <c r="Y188" s="149">
        <f>HB180+IA180+Y185</f>
        <v>0</v>
      </c>
    </row>
    <row r="189" spans="1:256" s="24" customFormat="1" ht="15" customHeight="1" thickBot="1">
      <c r="A189" s="23"/>
      <c r="B189" s="104" t="s">
        <v>238</v>
      </c>
      <c r="C189" s="146"/>
      <c r="D189" s="146"/>
      <c r="E189" s="146"/>
      <c r="F189" s="146"/>
      <c r="G189" s="146"/>
      <c r="H189" s="146"/>
      <c r="I189" s="146"/>
      <c r="J189" s="146"/>
      <c r="K189" s="146"/>
      <c r="L189" s="146"/>
      <c r="M189" s="146"/>
      <c r="N189" s="146"/>
      <c r="O189" s="146"/>
      <c r="P189" s="146"/>
      <c r="Q189" s="146"/>
      <c r="R189" s="5134" t="s">
        <v>38</v>
      </c>
      <c r="S189" s="5134"/>
      <c r="T189" s="5134"/>
      <c r="U189" s="5134"/>
      <c r="V189" s="88"/>
      <c r="W189" s="104" t="s">
        <v>238</v>
      </c>
      <c r="X189" s="146"/>
      <c r="Y189" s="146"/>
      <c r="Z189" s="146"/>
      <c r="AA189" s="146"/>
      <c r="AB189" s="146"/>
      <c r="AC189" s="146"/>
      <c r="AD189" s="146"/>
      <c r="AE189" s="146"/>
      <c r="AF189" s="146"/>
      <c r="AG189" s="146"/>
      <c r="AH189" s="146"/>
      <c r="AI189" s="146"/>
      <c r="AJ189" s="146"/>
      <c r="AK189" s="146"/>
      <c r="AL189" s="146"/>
      <c r="AM189" s="5134" t="s">
        <v>37</v>
      </c>
      <c r="AN189" s="5134"/>
      <c r="AO189" s="5134"/>
      <c r="AP189" s="5134"/>
      <c r="AQ189" s="88"/>
      <c r="AR189" s="104" t="s">
        <v>235</v>
      </c>
      <c r="AS189" s="121"/>
      <c r="AT189" s="121"/>
      <c r="AU189" s="121"/>
      <c r="AV189" s="121"/>
      <c r="AW189" s="121"/>
      <c r="AX189" s="121"/>
      <c r="AY189" s="121"/>
      <c r="AZ189" s="121"/>
      <c r="BA189" s="121"/>
      <c r="BB189" s="121"/>
      <c r="BC189" s="121"/>
      <c r="BD189" s="5129" t="s">
        <v>237</v>
      </c>
      <c r="BE189" s="5129"/>
      <c r="BF189" s="121"/>
      <c r="BG189" s="104" t="s">
        <v>235</v>
      </c>
      <c r="BH189" s="121"/>
      <c r="BI189" s="121"/>
      <c r="BJ189" s="121"/>
      <c r="BK189" s="121"/>
      <c r="BL189" s="121"/>
      <c r="BM189" s="121"/>
      <c r="BN189" s="121"/>
      <c r="BO189" s="121"/>
      <c r="BP189" s="121"/>
      <c r="BQ189" s="121"/>
      <c r="BR189" s="121"/>
      <c r="BS189" s="5129" t="s">
        <v>236</v>
      </c>
      <c r="BT189" s="5129"/>
      <c r="BU189" s="121"/>
      <c r="BV189" s="104" t="s">
        <v>235</v>
      </c>
      <c r="BW189" s="121"/>
      <c r="BX189" s="121"/>
      <c r="BY189" s="121"/>
      <c r="BZ189" s="121"/>
      <c r="CA189" s="121"/>
      <c r="CB189" s="121"/>
      <c r="CC189" s="121"/>
      <c r="CD189" s="121"/>
      <c r="CE189" s="121"/>
      <c r="CF189" s="121"/>
      <c r="CG189" s="121"/>
      <c r="CH189" s="5129" t="s">
        <v>234</v>
      </c>
      <c r="CI189" s="5129"/>
      <c r="CJ189" s="121"/>
      <c r="CK189" s="38" t="s">
        <v>231</v>
      </c>
      <c r="CL189" s="121"/>
      <c r="CM189" s="121"/>
      <c r="CN189" s="121"/>
      <c r="CO189" s="121"/>
      <c r="CP189" s="121"/>
      <c r="CQ189" s="121"/>
      <c r="CR189" s="121"/>
      <c r="CS189" s="121"/>
      <c r="CT189" s="121"/>
      <c r="CU189" s="121"/>
      <c r="CV189" s="121"/>
      <c r="CW189" s="121"/>
      <c r="CX189" s="121"/>
      <c r="CY189" s="121"/>
      <c r="CZ189" s="121"/>
      <c r="DA189" s="121"/>
      <c r="DB189" s="121"/>
      <c r="DC189" s="121"/>
      <c r="DD189" s="121"/>
      <c r="DE189" s="5140" t="s">
        <v>619</v>
      </c>
      <c r="DF189" s="5140"/>
      <c r="DG189" s="5140"/>
      <c r="DH189" s="5140"/>
      <c r="DI189" s="121"/>
      <c r="DJ189" s="38" t="s">
        <v>231</v>
      </c>
      <c r="DK189" s="121"/>
      <c r="DL189" s="121"/>
      <c r="DM189" s="121"/>
      <c r="DN189" s="121"/>
      <c r="DO189" s="121"/>
      <c r="DP189" s="121"/>
      <c r="DQ189" s="121"/>
      <c r="DR189" s="121"/>
      <c r="DS189" s="121"/>
      <c r="DT189" s="121"/>
      <c r="DU189" s="121"/>
      <c r="DV189" s="121"/>
      <c r="DW189" s="121"/>
      <c r="DX189" s="121"/>
      <c r="DY189" s="121"/>
      <c r="DZ189" s="121"/>
      <c r="EA189" s="121"/>
      <c r="EB189" s="121"/>
      <c r="EC189" s="121"/>
      <c r="ED189" s="5140" t="s">
        <v>233</v>
      </c>
      <c r="EE189" s="5140"/>
      <c r="EF189" s="5140"/>
      <c r="EG189" s="5140"/>
      <c r="EH189" s="121"/>
      <c r="EI189" s="38" t="s">
        <v>231</v>
      </c>
      <c r="EJ189" s="121"/>
      <c r="EK189" s="121"/>
      <c r="EL189" s="121"/>
      <c r="EM189" s="121"/>
      <c r="EN189" s="121"/>
      <c r="EO189" s="121"/>
      <c r="EP189" s="121"/>
      <c r="EQ189" s="121"/>
      <c r="ER189" s="121"/>
      <c r="ES189" s="121"/>
      <c r="ET189" s="121"/>
      <c r="EU189" s="121"/>
      <c r="EV189" s="121"/>
      <c r="EW189" s="121"/>
      <c r="EX189" s="121"/>
      <c r="EY189" s="121"/>
      <c r="EZ189" s="121"/>
      <c r="FA189" s="121"/>
      <c r="FB189" s="121"/>
      <c r="FC189" s="5134" t="s">
        <v>620</v>
      </c>
      <c r="FD189" s="5134"/>
      <c r="FE189" s="5134"/>
      <c r="FF189" s="5134"/>
      <c r="FG189" s="121"/>
      <c r="FH189" s="38" t="s">
        <v>231</v>
      </c>
      <c r="FI189" s="121"/>
      <c r="FJ189" s="121"/>
      <c r="FK189" s="121"/>
      <c r="FL189" s="121"/>
      <c r="FM189" s="121"/>
      <c r="FN189" s="121"/>
      <c r="FO189" s="121"/>
      <c r="FP189" s="121"/>
      <c r="FQ189" s="121"/>
      <c r="FR189" s="121"/>
      <c r="FS189" s="121"/>
      <c r="FT189" s="121"/>
      <c r="FU189" s="121"/>
      <c r="FV189" s="121"/>
      <c r="FW189" s="121"/>
      <c r="FX189" s="121"/>
      <c r="FY189" s="121"/>
      <c r="FZ189" s="121"/>
      <c r="GA189" s="121"/>
      <c r="GB189" s="5134" t="s">
        <v>621</v>
      </c>
      <c r="GC189" s="5134"/>
      <c r="GD189" s="5134"/>
      <c r="GE189" s="5134"/>
      <c r="GG189" s="38" t="s">
        <v>231</v>
      </c>
      <c r="GH189" s="121"/>
      <c r="GI189" s="121"/>
      <c r="GJ189" s="121"/>
      <c r="GK189" s="121"/>
      <c r="GL189" s="121"/>
      <c r="GM189" s="121"/>
      <c r="GN189" s="121"/>
      <c r="GO189" s="121"/>
      <c r="GP189" s="121"/>
      <c r="GQ189" s="121"/>
      <c r="GR189" s="121"/>
      <c r="GS189" s="121"/>
      <c r="GT189" s="121"/>
      <c r="GU189" s="121"/>
      <c r="GV189" s="121"/>
      <c r="GW189" s="121"/>
      <c r="GX189" s="121"/>
      <c r="GY189" s="121"/>
      <c r="GZ189" s="121"/>
      <c r="HA189" s="5766" t="s">
        <v>232</v>
      </c>
      <c r="HB189" s="5766" t="s">
        <v>232</v>
      </c>
      <c r="HC189" s="5766" t="s">
        <v>232</v>
      </c>
      <c r="HD189" s="5766" t="s">
        <v>232</v>
      </c>
      <c r="HE189" s="128"/>
      <c r="HF189" s="38" t="s">
        <v>231</v>
      </c>
      <c r="HG189" s="121"/>
      <c r="HH189" s="121"/>
      <c r="HI189" s="121"/>
      <c r="HJ189" s="121"/>
      <c r="HK189" s="121"/>
      <c r="HL189" s="121"/>
      <c r="HM189" s="121"/>
      <c r="HN189" s="121"/>
      <c r="HO189" s="121"/>
      <c r="HP189" s="121"/>
      <c r="HQ189" s="121"/>
      <c r="HR189" s="121"/>
      <c r="HS189" s="121"/>
      <c r="HT189" s="121"/>
      <c r="HU189" s="121"/>
      <c r="HV189" s="121"/>
      <c r="HW189" s="121"/>
      <c r="HX189" s="121"/>
      <c r="HY189" s="121"/>
      <c r="HZ189" s="5766" t="s">
        <v>622</v>
      </c>
      <c r="IA189" s="5766"/>
      <c r="IB189" s="5766"/>
      <c r="IC189" s="5766"/>
      <c r="IV189" s="21"/>
    </row>
    <row r="190" spans="1:256" s="24" customFormat="1" ht="12" customHeight="1" thickBot="1">
      <c r="A190" s="23"/>
      <c r="B190" s="144"/>
      <c r="C190" s="146"/>
      <c r="D190" s="146"/>
      <c r="E190" s="146"/>
      <c r="F190" s="106"/>
      <c r="G190" s="145"/>
      <c r="H190" s="144"/>
      <c r="I190" s="93"/>
      <c r="J190" s="93"/>
      <c r="K190" s="93"/>
      <c r="L190" s="93"/>
      <c r="M190" s="144"/>
      <c r="N190" s="144"/>
      <c r="O190" s="144"/>
      <c r="P190" s="144"/>
      <c r="Q190" s="146"/>
      <c r="R190" s="146"/>
      <c r="S190" s="146"/>
      <c r="T190" s="106"/>
      <c r="U190" s="145"/>
      <c r="V190" s="93"/>
      <c r="W190" s="127" t="s">
        <v>623</v>
      </c>
      <c r="X190" s="126"/>
      <c r="Y190" s="127" t="s">
        <v>230</v>
      </c>
      <c r="Z190" s="126"/>
      <c r="AA190" s="127" t="s">
        <v>229</v>
      </c>
      <c r="AB190" s="126"/>
      <c r="AC190" s="127" t="s">
        <v>228</v>
      </c>
      <c r="AD190" s="126"/>
      <c r="AE190" s="127" t="s">
        <v>227</v>
      </c>
      <c r="AF190" s="126"/>
      <c r="AG190" s="127" t="s">
        <v>226</v>
      </c>
      <c r="AH190" s="126"/>
      <c r="AI190" s="127" t="s">
        <v>225</v>
      </c>
      <c r="AJ190" s="126"/>
      <c r="AK190" s="127" t="s">
        <v>28</v>
      </c>
      <c r="AL190" s="126"/>
      <c r="AM190" s="127" t="s">
        <v>224</v>
      </c>
      <c r="AN190" s="126"/>
      <c r="AO190" s="127" t="s">
        <v>27</v>
      </c>
      <c r="AP190" s="126"/>
      <c r="AQ190" s="144"/>
      <c r="AR190" s="127" t="s">
        <v>623</v>
      </c>
      <c r="AS190" s="126"/>
      <c r="AT190" s="127" t="s">
        <v>230</v>
      </c>
      <c r="AU190" s="126"/>
      <c r="AV190" s="127" t="s">
        <v>229</v>
      </c>
      <c r="AW190" s="126"/>
      <c r="AX190" s="127" t="s">
        <v>228</v>
      </c>
      <c r="AY190" s="126"/>
      <c r="AZ190" s="127" t="s">
        <v>227</v>
      </c>
      <c r="BA190" s="126"/>
      <c r="BB190" s="127" t="s">
        <v>226</v>
      </c>
      <c r="BC190" s="126"/>
      <c r="BD190" s="127" t="s">
        <v>225</v>
      </c>
      <c r="BE190" s="121"/>
      <c r="BF190" s="121"/>
      <c r="BG190" s="127" t="s">
        <v>623</v>
      </c>
      <c r="BH190" s="126"/>
      <c r="BI190" s="127" t="s">
        <v>230</v>
      </c>
      <c r="BJ190" s="126"/>
      <c r="BK190" s="127" t="s">
        <v>229</v>
      </c>
      <c r="BL190" s="126"/>
      <c r="BM190" s="127" t="s">
        <v>228</v>
      </c>
      <c r="BN190" s="126"/>
      <c r="BO190" s="127" t="s">
        <v>227</v>
      </c>
      <c r="BP190" s="126"/>
      <c r="BQ190" s="127" t="s">
        <v>226</v>
      </c>
      <c r="BR190" s="126"/>
      <c r="BS190" s="127" t="s">
        <v>225</v>
      </c>
      <c r="BT190" s="121"/>
      <c r="BU190" s="121"/>
      <c r="BV190" s="143">
        <f t="shared" ref="BV190:CI190" si="8">AR191+BG191+BV191</f>
        <v>11</v>
      </c>
      <c r="BW190" s="142">
        <f t="shared" si="8"/>
        <v>8</v>
      </c>
      <c r="BX190" s="141">
        <f t="shared" si="8"/>
        <v>7</v>
      </c>
      <c r="BY190" s="140">
        <f t="shared" si="8"/>
        <v>4</v>
      </c>
      <c r="BZ190" s="141">
        <f t="shared" si="8"/>
        <v>0</v>
      </c>
      <c r="CA190" s="140">
        <f t="shared" si="8"/>
        <v>0</v>
      </c>
      <c r="CB190" s="141">
        <f t="shared" si="8"/>
        <v>16</v>
      </c>
      <c r="CC190" s="140">
        <f t="shared" si="8"/>
        <v>14</v>
      </c>
      <c r="CD190" s="141">
        <f t="shared" si="8"/>
        <v>0</v>
      </c>
      <c r="CE190" s="140">
        <f t="shared" si="8"/>
        <v>0</v>
      </c>
      <c r="CF190" s="141" t="e">
        <f t="shared" si="8"/>
        <v>#REF!</v>
      </c>
      <c r="CG190" s="140" t="e">
        <f t="shared" si="8"/>
        <v>#REF!</v>
      </c>
      <c r="CH190" s="139" t="e">
        <f t="shared" si="8"/>
        <v>#REF!</v>
      </c>
      <c r="CI190" s="138" t="e">
        <f t="shared" si="8"/>
        <v>#REF!</v>
      </c>
      <c r="CJ190" s="121"/>
      <c r="CK190" s="121"/>
      <c r="CL190" s="121"/>
      <c r="CM190" s="121"/>
      <c r="CN190" s="121"/>
      <c r="CO190" s="121"/>
      <c r="CP190" s="121"/>
      <c r="CQ190" s="121"/>
      <c r="CR190" s="121"/>
      <c r="CS190" s="121"/>
      <c r="CT190" s="121"/>
      <c r="CU190" s="121"/>
      <c r="CV190" s="121"/>
      <c r="CW190" s="121"/>
      <c r="CX190" s="121"/>
      <c r="CY190" s="121"/>
      <c r="CZ190" s="121"/>
      <c r="DA190" s="121"/>
      <c r="DB190" s="121"/>
      <c r="DC190" s="121"/>
      <c r="DD190" s="121"/>
      <c r="DE190" s="121"/>
      <c r="DF190" s="121"/>
      <c r="DG190" s="5141" t="s">
        <v>20</v>
      </c>
      <c r="DH190" s="5141"/>
      <c r="DI190" s="121"/>
      <c r="DJ190" s="121"/>
      <c r="DK190" s="121"/>
      <c r="DL190" s="121"/>
      <c r="DM190" s="121"/>
      <c r="DN190" s="121"/>
      <c r="DO190" s="121"/>
      <c r="DP190" s="121"/>
      <c r="DQ190" s="121"/>
      <c r="DR190" s="121"/>
      <c r="DS190" s="121"/>
      <c r="DT190" s="121"/>
      <c r="DU190" s="121"/>
      <c r="DV190" s="121"/>
      <c r="DW190" s="121"/>
      <c r="DX190" s="121"/>
      <c r="DY190" s="121"/>
      <c r="DZ190" s="121"/>
      <c r="EA190" s="121"/>
      <c r="EB190" s="121"/>
      <c r="EC190" s="121"/>
      <c r="ED190" s="121"/>
      <c r="EE190" s="121"/>
      <c r="EF190" s="5141" t="s">
        <v>27</v>
      </c>
      <c r="EG190" s="5141"/>
      <c r="EH190" s="121"/>
      <c r="EI190" s="121"/>
      <c r="EJ190" s="121"/>
      <c r="EK190" s="121"/>
      <c r="EL190" s="121"/>
      <c r="EM190" s="121"/>
      <c r="EN190" s="121"/>
      <c r="EO190" s="121"/>
      <c r="EP190" s="121"/>
      <c r="EQ190" s="121"/>
      <c r="ER190" s="121"/>
      <c r="ES190" s="121"/>
      <c r="ET190" s="121"/>
      <c r="EU190" s="121"/>
      <c r="EV190" s="121"/>
      <c r="EW190" s="121"/>
      <c r="EX190" s="121"/>
      <c r="EY190" s="121"/>
      <c r="EZ190" s="121"/>
      <c r="FA190" s="121"/>
      <c r="FB190" s="121"/>
      <c r="FC190" s="121"/>
      <c r="FD190" s="121"/>
      <c r="FE190" s="121"/>
      <c r="FF190" s="121"/>
      <c r="FG190" s="121"/>
      <c r="FH190" s="121"/>
      <c r="FI190" s="121"/>
      <c r="FJ190" s="121"/>
      <c r="FK190" s="121"/>
      <c r="FL190" s="121"/>
      <c r="FM190" s="121"/>
      <c r="FN190" s="121"/>
      <c r="FO190" s="121"/>
      <c r="FP190" s="121"/>
      <c r="FQ190" s="121"/>
      <c r="FR190" s="121"/>
      <c r="FS190" s="121"/>
      <c r="FT190" s="121"/>
      <c r="FU190" s="121"/>
      <c r="FV190" s="121"/>
      <c r="FW190" s="121"/>
      <c r="FX190" s="121"/>
      <c r="FY190" s="121"/>
      <c r="FZ190" s="121"/>
      <c r="GA190" s="121"/>
      <c r="GB190" s="121"/>
      <c r="GC190" s="121"/>
      <c r="GD190" s="121"/>
      <c r="GE190" s="121"/>
      <c r="GG190" s="121"/>
      <c r="GH190" s="121"/>
      <c r="GI190" s="121"/>
      <c r="GJ190" s="121"/>
      <c r="GK190" s="121"/>
      <c r="GL190" s="121"/>
      <c r="GM190" s="121"/>
      <c r="GN190" s="121"/>
      <c r="GO190" s="121"/>
      <c r="GP190" s="121"/>
      <c r="GQ190" s="121"/>
      <c r="GR190" s="121"/>
      <c r="GS190" s="121"/>
      <c r="GT190" s="121"/>
      <c r="GU190" s="121"/>
      <c r="GV190" s="121"/>
      <c r="GW190" s="121"/>
      <c r="GX190" s="121"/>
      <c r="GY190" s="121"/>
      <c r="GZ190" s="121"/>
      <c r="HA190" s="121"/>
      <c r="HB190" s="121"/>
      <c r="HC190" s="121"/>
      <c r="HD190" s="121"/>
      <c r="HE190" s="128"/>
      <c r="HF190" s="121"/>
      <c r="HG190" s="121"/>
      <c r="HH190" s="121"/>
      <c r="HI190" s="121"/>
      <c r="HJ190" s="121"/>
      <c r="HK190" s="121"/>
      <c r="HL190" s="121"/>
      <c r="HM190" s="121"/>
      <c r="HN190" s="121"/>
      <c r="HO190" s="121"/>
      <c r="HP190" s="121"/>
      <c r="HQ190" s="121"/>
      <c r="HR190" s="121"/>
      <c r="HS190" s="121"/>
      <c r="HT190" s="121"/>
      <c r="HU190" s="121"/>
      <c r="HV190" s="121"/>
      <c r="HW190" s="121"/>
      <c r="HX190" s="121"/>
      <c r="HY190" s="121"/>
      <c r="HZ190" s="121"/>
      <c r="IA190" s="121"/>
      <c r="IB190" s="121"/>
      <c r="IC190" s="121"/>
      <c r="IO190" s="78"/>
      <c r="IP190" s="77"/>
      <c r="IQ190" s="77"/>
      <c r="IR190" s="77"/>
      <c r="IS190" s="77"/>
      <c r="IT190" s="77"/>
      <c r="IV190" s="21"/>
    </row>
    <row r="191" spans="1:256" s="24" customFormat="1" ht="14.1" customHeight="1" thickBot="1">
      <c r="A191" s="35">
        <v>8</v>
      </c>
      <c r="B191" s="134">
        <f>'الصفحة 27'!$F$29</f>
        <v>0</v>
      </c>
      <c r="C191" s="133">
        <f>'الصفحة 27'!$F$30</f>
        <v>0</v>
      </c>
      <c r="D191" s="132">
        <f>'الصفحة 27'!$G$29</f>
        <v>0</v>
      </c>
      <c r="E191" s="131">
        <f>'الصفحة 27'!$G$30</f>
        <v>0</v>
      </c>
      <c r="F191" s="132">
        <f>'الصفحة 27'!$H$29</f>
        <v>0</v>
      </c>
      <c r="G191" s="131">
        <f>'الصفحة 27'!$H$30</f>
        <v>0</v>
      </c>
      <c r="H191" s="132">
        <f>'الصفحة 27'!$I$29</f>
        <v>0</v>
      </c>
      <c r="I191" s="131">
        <f>'الصفحة 27'!$I$30</f>
        <v>0</v>
      </c>
      <c r="J191" s="132">
        <f>'الصفحة 27'!$J$29</f>
        <v>0</v>
      </c>
      <c r="K191" s="131">
        <f>'الصفحة 27'!$J$30</f>
        <v>0</v>
      </c>
      <c r="L191" s="132" t="e">
        <f>'الصفحة 27'!#REF!</f>
        <v>#REF!</v>
      </c>
      <c r="M191" s="131" t="e">
        <f>'الصفحة 27'!#REF!</f>
        <v>#REF!</v>
      </c>
      <c r="N191" s="132" t="e">
        <f>'الصفحة 27'!#REF!</f>
        <v>#REF!</v>
      </c>
      <c r="O191" s="131" t="e">
        <f>'الصفحة 27'!#REF!</f>
        <v>#REF!</v>
      </c>
      <c r="P191" s="73" t="e">
        <f>N191+L191+J191+H191+F191+D191+B191</f>
        <v>#REF!</v>
      </c>
      <c r="Q191" s="89" t="e">
        <f>O191+M191+K191+I191+G191+E191+C191</f>
        <v>#REF!</v>
      </c>
      <c r="R191" s="132">
        <f>'الصفحة 27'!$L$29</f>
        <v>0</v>
      </c>
      <c r="S191" s="131">
        <f>'الصفحة 27'!$L$30</f>
        <v>0</v>
      </c>
      <c r="T191" s="132">
        <f>'الصفحة 27'!$N$29</f>
        <v>0</v>
      </c>
      <c r="U191" s="137">
        <f>'الصفحة 27'!$N$30</f>
        <v>0</v>
      </c>
      <c r="W191" s="134">
        <f>'الصفحة 27'!$F$31</f>
        <v>1</v>
      </c>
      <c r="X191" s="133">
        <f>'الصفحة 27'!$F$32</f>
        <v>0</v>
      </c>
      <c r="Y191" s="132">
        <f>'الصفحة 27'!$G$31</f>
        <v>1</v>
      </c>
      <c r="Z191" s="131">
        <f>'الصفحة 27'!$G$32</f>
        <v>0</v>
      </c>
      <c r="AA191" s="132">
        <f>'الصفحة 27'!$H$31</f>
        <v>0</v>
      </c>
      <c r="AB191" s="131">
        <f>'الصفحة 27'!$H$32</f>
        <v>0</v>
      </c>
      <c r="AC191" s="132">
        <f>'الصفحة 27'!$I$31</f>
        <v>0</v>
      </c>
      <c r="AD191" s="131">
        <f>'الصفحة 27'!$I$32</f>
        <v>0</v>
      </c>
      <c r="AE191" s="132">
        <f>'الصفحة 27'!$J$31</f>
        <v>0</v>
      </c>
      <c r="AF191" s="131">
        <f>'الصفحة 27'!$J$32</f>
        <v>0</v>
      </c>
      <c r="AG191" s="132" t="e">
        <f>'الصفحة 27'!#REF!</f>
        <v>#REF!</v>
      </c>
      <c r="AH191" s="131" t="e">
        <f>'الصفحة 27'!#REF!</f>
        <v>#REF!</v>
      </c>
      <c r="AI191" s="132" t="e">
        <f>'الصفحة 27'!#REF!</f>
        <v>#REF!</v>
      </c>
      <c r="AJ191" s="131" t="e">
        <f>'الصفحة 27'!#REF!</f>
        <v>#REF!</v>
      </c>
      <c r="AK191" s="73" t="e">
        <f>AI191+AG191+AE191+AC191+AA191+Y191+W191</f>
        <v>#REF!</v>
      </c>
      <c r="AL191" s="89" t="e">
        <f>AJ191+AH191+AF191+AD191+AB191+Z191+X191</f>
        <v>#REF!</v>
      </c>
      <c r="AM191" s="132">
        <f>'الصفحة 27'!$L$31</f>
        <v>0</v>
      </c>
      <c r="AN191" s="131">
        <f>'الصفحة 27'!$L$32</f>
        <v>0</v>
      </c>
      <c r="AO191" s="132">
        <f>'الصفحة 27'!$N$31</f>
        <v>0</v>
      </c>
      <c r="AP191" s="137">
        <f>'الصفحة 27'!$N$32</f>
        <v>0</v>
      </c>
      <c r="AR191" s="134">
        <f>'الصفحة 29'!$H$10</f>
        <v>11</v>
      </c>
      <c r="AS191" s="133">
        <f>'الصفحة 29'!$H$11</f>
        <v>8</v>
      </c>
      <c r="AT191" s="132">
        <f>'الصفحة 29'!$H$12</f>
        <v>7</v>
      </c>
      <c r="AU191" s="131">
        <f>'الصفحة 29'!$H$13</f>
        <v>4</v>
      </c>
      <c r="AV191" s="132">
        <f>'الصفحة 29'!$H$14</f>
        <v>0</v>
      </c>
      <c r="AW191" s="131">
        <f>'الصفحة 29'!$H$15</f>
        <v>0</v>
      </c>
      <c r="AX191" s="132">
        <f>'الصفحة 29'!$H$16</f>
        <v>10</v>
      </c>
      <c r="AY191" s="131">
        <f>'الصفحة 29'!$H$17</f>
        <v>8</v>
      </c>
      <c r="AZ191" s="132">
        <f>'الصفحة 29'!$H$18</f>
        <v>0</v>
      </c>
      <c r="BA191" s="131">
        <f>'الصفحة 29'!$H$19</f>
        <v>0</v>
      </c>
      <c r="BB191" s="132" t="e">
        <f>'الصفحة 29'!#REF!</f>
        <v>#REF!</v>
      </c>
      <c r="BC191" s="131" t="e">
        <f>'الصفحة 29'!#REF!</f>
        <v>#REF!</v>
      </c>
      <c r="BD191" s="136" t="e">
        <f>'الصفحة 29'!#REF!</f>
        <v>#REF!</v>
      </c>
      <c r="BE191" s="135" t="e">
        <f>'الصفحة 29'!#REF!</f>
        <v>#REF!</v>
      </c>
      <c r="BG191" s="134">
        <f>'الصفحة 29'!$J$10</f>
        <v>0</v>
      </c>
      <c r="BH191" s="133">
        <f>'الصفحة 29'!$J$11</f>
        <v>0</v>
      </c>
      <c r="BI191" s="132">
        <f>'الصفحة 29'!$J$12</f>
        <v>0</v>
      </c>
      <c r="BJ191" s="131">
        <f>'الصفحة 29'!$J$13</f>
        <v>0</v>
      </c>
      <c r="BK191" s="132">
        <f>'الصفحة 29'!$J$14</f>
        <v>0</v>
      </c>
      <c r="BL191" s="131">
        <f>'الصفحة 29'!$J$15</f>
        <v>0</v>
      </c>
      <c r="BM191" s="132">
        <f>'الصفحة 29'!$J$16</f>
        <v>0</v>
      </c>
      <c r="BN191" s="131">
        <f>'الصفحة 29'!$J$17</f>
        <v>0</v>
      </c>
      <c r="BO191" s="132">
        <f>'الصفحة 29'!$J$18</f>
        <v>0</v>
      </c>
      <c r="BP191" s="131">
        <f>'الصفحة 29'!$J$19</f>
        <v>0</v>
      </c>
      <c r="BQ191" s="132" t="e">
        <f>'الصفحة 29'!#REF!</f>
        <v>#REF!</v>
      </c>
      <c r="BR191" s="131" t="e">
        <f>'الصفحة 29'!#REF!</f>
        <v>#REF!</v>
      </c>
      <c r="BS191" s="130" t="e">
        <f>'الصفحة 29'!#REF!</f>
        <v>#REF!</v>
      </c>
      <c r="BT191" s="129" t="e">
        <f>'الصفحة 29'!#REF!</f>
        <v>#REF!</v>
      </c>
      <c r="BU191" s="121"/>
      <c r="BV191" s="134">
        <f>'الصفحة 29'!$N$10</f>
        <v>0</v>
      </c>
      <c r="BW191" s="133">
        <f>'الصفحة 29'!$N$11</f>
        <v>0</v>
      </c>
      <c r="BX191" s="132">
        <f>'الصفحة 29'!$N$12</f>
        <v>0</v>
      </c>
      <c r="BY191" s="131">
        <f>'الصفحة 29'!$N$13</f>
        <v>0</v>
      </c>
      <c r="BZ191" s="132">
        <f>'الصفحة 29'!$N$14</f>
        <v>0</v>
      </c>
      <c r="CA191" s="131">
        <f>'الصفحة 29'!$N$15</f>
        <v>0</v>
      </c>
      <c r="CB191" s="132">
        <f>'الصفحة 29'!$N$16</f>
        <v>6</v>
      </c>
      <c r="CC191" s="131">
        <f>'الصفحة 29'!$N$17</f>
        <v>6</v>
      </c>
      <c r="CD191" s="132">
        <f>'الصفحة 29'!$N$18</f>
        <v>0</v>
      </c>
      <c r="CE191" s="131">
        <f>'الصفحة 29'!$N$19</f>
        <v>0</v>
      </c>
      <c r="CF191" s="132" t="e">
        <f>'الصفحة 29'!#REF!</f>
        <v>#REF!</v>
      </c>
      <c r="CG191" s="131" t="e">
        <f>'الصفحة 29'!#REF!</f>
        <v>#REF!</v>
      </c>
      <c r="CH191" s="130" t="e">
        <f>'الصفحة 29'!#REF!</f>
        <v>#REF!</v>
      </c>
      <c r="CI191" s="129" t="e">
        <f>'الصفحة 29'!#REF!</f>
        <v>#REF!</v>
      </c>
      <c r="CJ191" s="121"/>
      <c r="CK191" s="71">
        <f>'الصفحة 29'!$G$29</f>
        <v>0</v>
      </c>
      <c r="CL191" s="31">
        <f>'الصفحة 29'!$G$30</f>
        <v>0</v>
      </c>
      <c r="CM191" s="30">
        <f>'الصفحة 29'!$H$29</f>
        <v>0</v>
      </c>
      <c r="CN191" s="111">
        <f>'الصفحة 29'!$H$30</f>
        <v>0</v>
      </c>
      <c r="CO191" s="30">
        <f>'الصفحة 29'!$I$29</f>
        <v>0</v>
      </c>
      <c r="CP191" s="111">
        <f>'الصفحة 29'!$I$30</f>
        <v>0</v>
      </c>
      <c r="CQ191" s="30">
        <f>'الصفحة 29'!$J$29</f>
        <v>2</v>
      </c>
      <c r="CR191" s="111">
        <f>'الصفحة 29'!$J$30</f>
        <v>2</v>
      </c>
      <c r="CS191" s="30">
        <f>'الصفحة 29'!$K$29</f>
        <v>5</v>
      </c>
      <c r="CT191" s="111">
        <f>'الصفحة 29'!$K$30</f>
        <v>3</v>
      </c>
      <c r="CU191" s="30">
        <f>'الصفحة 29'!$L$29</f>
        <v>1</v>
      </c>
      <c r="CV191" s="111">
        <f>'الصفحة 29'!$L$30</f>
        <v>1</v>
      </c>
      <c r="CW191" s="30">
        <f>'الصفحة 29'!$M$29</f>
        <v>1</v>
      </c>
      <c r="CX191" s="111">
        <f>'الصفحة 29'!$M$30</f>
        <v>0</v>
      </c>
      <c r="CY191" s="30">
        <f>'الصفحة 29'!$N$29</f>
        <v>1</v>
      </c>
      <c r="CZ191" s="111">
        <f>'الصفحة 29'!$N$30</f>
        <v>1</v>
      </c>
      <c r="DA191" s="30">
        <f>'الصفحة 29'!$O$29</f>
        <v>0</v>
      </c>
      <c r="DB191" s="111">
        <f>'الصفحة 29'!$O$30</f>
        <v>0</v>
      </c>
      <c r="DC191" s="30">
        <f>'الصفحة 29'!$P$29</f>
        <v>0</v>
      </c>
      <c r="DD191" s="111">
        <f>'الصفحة 29'!$P$30</f>
        <v>0</v>
      </c>
      <c r="DE191" s="30">
        <f>'الصفحة 29'!$Q$29</f>
        <v>1</v>
      </c>
      <c r="DF191" s="111">
        <f>'الصفحة 29'!$Q$30</f>
        <v>1</v>
      </c>
      <c r="DG191" s="73">
        <f>DE191+DC191+DA191+CY191+CW191+CU191+CS191+CQ191+CO191+CM191+CK191</f>
        <v>11</v>
      </c>
      <c r="DH191" s="89">
        <f>DF191+DD191+DB191+CZ191+CX191+CV191+CT191+CR191+CP191+CN191+CL191</f>
        <v>8</v>
      </c>
      <c r="DI191" s="121"/>
      <c r="DJ191" s="71">
        <f>'الصفحة 29'!$G$31</f>
        <v>1</v>
      </c>
      <c r="DK191" s="31">
        <f>'الصفحة 29'!$G$32</f>
        <v>1</v>
      </c>
      <c r="DL191" s="30">
        <f>'الصفحة 29'!$H$31</f>
        <v>2</v>
      </c>
      <c r="DM191" s="111">
        <f>'الصفحة 29'!$H$32</f>
        <v>1</v>
      </c>
      <c r="DN191" s="30">
        <f>'الصفحة 29'!$I$31</f>
        <v>2</v>
      </c>
      <c r="DO191" s="111">
        <f>'الصفحة 29'!$I$32</f>
        <v>1</v>
      </c>
      <c r="DP191" s="30">
        <f>'الصفحة 29'!$J$31</f>
        <v>2</v>
      </c>
      <c r="DQ191" s="111">
        <f>'الصفحة 29'!$J$32</f>
        <v>1</v>
      </c>
      <c r="DR191" s="30">
        <f>'الصفحة 29'!$K$31</f>
        <v>0</v>
      </c>
      <c r="DS191" s="111">
        <f>'الصفحة 29'!$K$32</f>
        <v>0</v>
      </c>
      <c r="DT191" s="30">
        <f>'الصفحة 29'!$L$31</f>
        <v>0</v>
      </c>
      <c r="DU191" s="111">
        <f>'الصفحة 29'!$L$32</f>
        <v>0</v>
      </c>
      <c r="DV191" s="30">
        <f>'الصفحة 29'!$M$31</f>
        <v>0</v>
      </c>
      <c r="DW191" s="111">
        <f>'الصفحة 29'!$M$32</f>
        <v>0</v>
      </c>
      <c r="DX191" s="30">
        <f>'الصفحة 29'!$N$31</f>
        <v>0</v>
      </c>
      <c r="DY191" s="111">
        <f>'الصفحة 29'!$N$32</f>
        <v>0</v>
      </c>
      <c r="DZ191" s="30">
        <f>'الصفحة 29'!$O$31</f>
        <v>0</v>
      </c>
      <c r="EA191" s="111">
        <f>'الصفحة 29'!$O$32</f>
        <v>0</v>
      </c>
      <c r="EB191" s="30">
        <f>'الصفحة 29'!$P$31</f>
        <v>0</v>
      </c>
      <c r="EC191" s="111">
        <f>'الصفحة 29'!$P$32</f>
        <v>0</v>
      </c>
      <c r="ED191" s="30">
        <f>'الصفحة 29'!$Q$31</f>
        <v>0</v>
      </c>
      <c r="EE191" s="111">
        <f>'الصفحة 29'!$Q$32</f>
        <v>0</v>
      </c>
      <c r="EF191" s="73">
        <f>ED191+EB191+DZ191+DX191+DV191+DT191+DR191+DP191+DN191+DL191+DJ191</f>
        <v>7</v>
      </c>
      <c r="EG191" s="89">
        <f>EE191+EC191+EA191+DY191+DW191+DU191+DS191+DQ191+DO191+DM191+DK191</f>
        <v>4</v>
      </c>
      <c r="EH191" s="121"/>
      <c r="EI191" s="71">
        <f>'الصفحة 29'!$G$33</f>
        <v>0</v>
      </c>
      <c r="EJ191" s="31">
        <f>'الصفحة 29'!$G$34</f>
        <v>0</v>
      </c>
      <c r="EK191" s="30">
        <f>'الصفحة 29'!$H$33</f>
        <v>0</v>
      </c>
      <c r="EL191" s="111">
        <f>'الصفحة 29'!$H$34</f>
        <v>0</v>
      </c>
      <c r="EM191" s="30">
        <f>'الصفحة 29'!$I$33</f>
        <v>0</v>
      </c>
      <c r="EN191" s="111">
        <f>'الصفحة 29'!$I$34</f>
        <v>0</v>
      </c>
      <c r="EO191" s="30">
        <f>'الصفحة 29'!$J$33</f>
        <v>0</v>
      </c>
      <c r="EP191" s="111">
        <f>'الصفحة 29'!$J$34</f>
        <v>0</v>
      </c>
      <c r="EQ191" s="30">
        <f>'الصفحة 29'!$K$33</f>
        <v>0</v>
      </c>
      <c r="ER191" s="111">
        <f>'الصفحة 29'!$K$34</f>
        <v>0</v>
      </c>
      <c r="ES191" s="30">
        <f>'الصفحة 29'!$L$33</f>
        <v>0</v>
      </c>
      <c r="ET191" s="111">
        <f>'الصفحة 29'!$L$34</f>
        <v>0</v>
      </c>
      <c r="EU191" s="30">
        <f>'الصفحة 29'!$M$33</f>
        <v>0</v>
      </c>
      <c r="EV191" s="111">
        <f>'الصفحة 29'!$M$34</f>
        <v>0</v>
      </c>
      <c r="EW191" s="30">
        <f>'الصفحة 29'!$N$33</f>
        <v>0</v>
      </c>
      <c r="EX191" s="111">
        <f>'الصفحة 29'!$N$34</f>
        <v>0</v>
      </c>
      <c r="EY191" s="30">
        <f>'الصفحة 29'!$O$33</f>
        <v>0</v>
      </c>
      <c r="EZ191" s="111">
        <f>'الصفحة 29'!$O$34</f>
        <v>0</v>
      </c>
      <c r="FA191" s="30">
        <f>'الصفحة 29'!$P$33</f>
        <v>0</v>
      </c>
      <c r="FB191" s="111">
        <f>'الصفحة 29'!$P$34</f>
        <v>0</v>
      </c>
      <c r="FC191" s="30">
        <f>'الصفحة 29'!$Q$33</f>
        <v>0</v>
      </c>
      <c r="FD191" s="111">
        <f>'الصفحة 29'!$Q$34</f>
        <v>0</v>
      </c>
      <c r="FE191" s="73">
        <f>FC191+FA191+EY191+EW191+EU191+ES191+EQ191+EO191+EM191+EK191+EI191</f>
        <v>0</v>
      </c>
      <c r="FF191" s="89">
        <f>FD191+FB191+EZ191+EX191+EV191+ET191+ER191+EP191+EN191+EL191+EJ191</f>
        <v>0</v>
      </c>
      <c r="FG191" s="121"/>
      <c r="FH191" s="71">
        <f>'الصفحة 29'!$G$35</f>
        <v>9</v>
      </c>
      <c r="FI191" s="31">
        <f>'الصفحة 29'!$G$36</f>
        <v>7</v>
      </c>
      <c r="FJ191" s="30">
        <f>'الصفحة 29'!$H$35</f>
        <v>1</v>
      </c>
      <c r="FK191" s="111">
        <f>'الصفحة 29'!$H$36</f>
        <v>1</v>
      </c>
      <c r="FL191" s="30">
        <f>'الصفحة 29'!$I$35</f>
        <v>0</v>
      </c>
      <c r="FM191" s="111">
        <f>'الصفحة 29'!$I$36</f>
        <v>0</v>
      </c>
      <c r="FN191" s="30">
        <f>'الصفحة 29'!$J$35</f>
        <v>0</v>
      </c>
      <c r="FO191" s="111">
        <f>'الصفحة 29'!$J$36</f>
        <v>0</v>
      </c>
      <c r="FP191" s="30">
        <f>'الصفحة 29'!$K$35</f>
        <v>0</v>
      </c>
      <c r="FQ191" s="111">
        <f>'الصفحة 29'!$K$36</f>
        <v>0</v>
      </c>
      <c r="FR191" s="30">
        <f>'الصفحة 29'!$L$35</f>
        <v>0</v>
      </c>
      <c r="FS191" s="111">
        <f>'الصفحة 29'!$L$36</f>
        <v>0</v>
      </c>
      <c r="FT191" s="30">
        <f>'الصفحة 29'!$M$35</f>
        <v>0</v>
      </c>
      <c r="FU191" s="111">
        <f>'الصفحة 29'!$M$36</f>
        <v>0</v>
      </c>
      <c r="FV191" s="30">
        <f>'الصفحة 29'!$N$35</f>
        <v>0</v>
      </c>
      <c r="FW191" s="111">
        <f>'الصفحة 29'!$N$36</f>
        <v>0</v>
      </c>
      <c r="FX191" s="30">
        <f>'الصفحة 29'!$O$35</f>
        <v>0</v>
      </c>
      <c r="FY191" s="111">
        <f>'الصفحة 29'!$O$36</f>
        <v>0</v>
      </c>
      <c r="FZ191" s="30">
        <f>'الصفحة 29'!$P$35</f>
        <v>0</v>
      </c>
      <c r="GA191" s="111">
        <f>'الصفحة 29'!$P$36</f>
        <v>0</v>
      </c>
      <c r="GB191" s="30">
        <f>'الصفحة 29'!$Q$35</f>
        <v>0</v>
      </c>
      <c r="GC191" s="111">
        <f>'الصفحة 29'!$Q$36</f>
        <v>0</v>
      </c>
      <c r="GD191" s="73">
        <f>GB191+FZ191+FX191+FV191+FT191+FR191+FP191+FN191+FL191+FJ191+FH191</f>
        <v>10</v>
      </c>
      <c r="GE191" s="89">
        <f>GC191+GA191+FY191+FW191+FU191+FS191+FQ191+FO191+FM191+FK191+FI191</f>
        <v>8</v>
      </c>
      <c r="GG191" s="71">
        <f>'الصفحة 29'!$G$37</f>
        <v>0</v>
      </c>
      <c r="GH191" s="31">
        <f>'الصفحة 29'!$G$38</f>
        <v>0</v>
      </c>
      <c r="GI191" s="30">
        <f>'الصفحة 29'!$H$37</f>
        <v>0</v>
      </c>
      <c r="GJ191" s="111">
        <f>'الصفحة 29'!$H$38</f>
        <v>0</v>
      </c>
      <c r="GK191" s="30">
        <f>'الصفحة 29'!$I$37</f>
        <v>0</v>
      </c>
      <c r="GL191" s="111">
        <f>'الصفحة 29'!$I$38</f>
        <v>0</v>
      </c>
      <c r="GM191" s="30">
        <f>'الصفحة 29'!$J$37</f>
        <v>0</v>
      </c>
      <c r="GN191" s="111">
        <f>'الصفحة 29'!$J$38</f>
        <v>0</v>
      </c>
      <c r="GO191" s="30">
        <f>'الصفحة 29'!$K$37</f>
        <v>0</v>
      </c>
      <c r="GP191" s="111">
        <f>'الصفحة 29'!$K$38</f>
        <v>0</v>
      </c>
      <c r="GQ191" s="30">
        <f>'الصفحة 29'!$L$37</f>
        <v>0</v>
      </c>
      <c r="GR191" s="111">
        <f>'الصفحة 29'!$L$38</f>
        <v>0</v>
      </c>
      <c r="GS191" s="30">
        <f>'الصفحة 29'!$M$37</f>
        <v>0</v>
      </c>
      <c r="GT191" s="111">
        <f>'الصفحة 29'!$M$38</f>
        <v>0</v>
      </c>
      <c r="GU191" s="30">
        <f>'الصفحة 29'!$N$37</f>
        <v>0</v>
      </c>
      <c r="GV191" s="111">
        <f>'الصفحة 29'!$N$38</f>
        <v>0</v>
      </c>
      <c r="GW191" s="30">
        <f>'الصفحة 29'!$O$37</f>
        <v>0</v>
      </c>
      <c r="GX191" s="111">
        <f>'الصفحة 29'!$O$38</f>
        <v>0</v>
      </c>
      <c r="GY191" s="30">
        <f>'الصفحة 29'!$P$37</f>
        <v>0</v>
      </c>
      <c r="GZ191" s="111">
        <f>'الصفحة 29'!$P$38</f>
        <v>0</v>
      </c>
      <c r="HA191" s="30">
        <f>'الصفحة 29'!$Q$37</f>
        <v>0</v>
      </c>
      <c r="HB191" s="111">
        <f>'الصفحة 29'!$Q$38</f>
        <v>0</v>
      </c>
      <c r="HC191" s="73">
        <f>HA191+GY191+GW191+GU191+GS191+GQ191+GO191+GM191+GK191+GI191+GG191</f>
        <v>0</v>
      </c>
      <c r="HD191" s="89">
        <f>HB191+GZ191+GX191+GV191+GT191+GR191+GP191+GN191+GL191+GJ191+GH191</f>
        <v>0</v>
      </c>
      <c r="HE191" s="128"/>
      <c r="HF191" s="71" t="e">
        <f>'الصفحة 29'!#REF!</f>
        <v>#REF!</v>
      </c>
      <c r="HG191" s="31" t="e">
        <f>'الصفحة 29'!#REF!</f>
        <v>#REF!</v>
      </c>
      <c r="HH191" s="30" t="e">
        <f>'الصفحة 29'!#REF!</f>
        <v>#REF!</v>
      </c>
      <c r="HI191" s="111" t="e">
        <f>'الصفحة 29'!#REF!</f>
        <v>#REF!</v>
      </c>
      <c r="HJ191" s="30" t="e">
        <f>'الصفحة 29'!#REF!</f>
        <v>#REF!</v>
      </c>
      <c r="HK191" s="111" t="e">
        <f>'الصفحة 29'!#REF!</f>
        <v>#REF!</v>
      </c>
      <c r="HL191" s="30" t="e">
        <f>'الصفحة 29'!#REF!</f>
        <v>#REF!</v>
      </c>
      <c r="HM191" s="111" t="e">
        <f>'الصفحة 29'!#REF!</f>
        <v>#REF!</v>
      </c>
      <c r="HN191" s="30" t="e">
        <f>'الصفحة 29'!#REF!</f>
        <v>#REF!</v>
      </c>
      <c r="HO191" s="111" t="e">
        <f>'الصفحة 29'!#REF!</f>
        <v>#REF!</v>
      </c>
      <c r="HP191" s="30" t="e">
        <f>'الصفحة 29'!#REF!</f>
        <v>#REF!</v>
      </c>
      <c r="HQ191" s="111" t="e">
        <f>'الصفحة 29'!#REF!</f>
        <v>#REF!</v>
      </c>
      <c r="HR191" s="30" t="e">
        <f>'الصفحة 29'!#REF!</f>
        <v>#REF!</v>
      </c>
      <c r="HS191" s="111" t="e">
        <f>'الصفحة 29'!#REF!</f>
        <v>#REF!</v>
      </c>
      <c r="HT191" s="30" t="e">
        <f>'الصفحة 29'!#REF!</f>
        <v>#REF!</v>
      </c>
      <c r="HU191" s="111" t="e">
        <f>'الصفحة 29'!#REF!</f>
        <v>#REF!</v>
      </c>
      <c r="HV191" s="30" t="e">
        <f>'الصفحة 29'!#REF!</f>
        <v>#REF!</v>
      </c>
      <c r="HW191" s="111" t="e">
        <f>'الصفحة 29'!#REF!</f>
        <v>#REF!</v>
      </c>
      <c r="HX191" s="30" t="e">
        <f>'الصفحة 29'!#REF!</f>
        <v>#REF!</v>
      </c>
      <c r="HY191" s="111" t="e">
        <f>'الصفحة 29'!#REF!</f>
        <v>#REF!</v>
      </c>
      <c r="HZ191" s="30" t="e">
        <f>'الصفحة 29'!#REF!</f>
        <v>#REF!</v>
      </c>
      <c r="IA191" s="111" t="e">
        <f>'الصفحة 29'!#REF!</f>
        <v>#REF!</v>
      </c>
      <c r="IB191" s="73" t="e">
        <f>HZ191+HX191+HV191+HT191+HR191+HP191+HN191+HL191+HJ191+HH191+HF191</f>
        <v>#REF!</v>
      </c>
      <c r="IC191" s="89" t="e">
        <f>IA191+HY191+HW191+HU191+HS191+HQ191+HO191+HM191+HK191+HI191+HG191</f>
        <v>#REF!</v>
      </c>
      <c r="IE191" s="27"/>
      <c r="IF191" s="27"/>
      <c r="IG191" s="27"/>
      <c r="IH191" s="27"/>
      <c r="II191" s="27"/>
      <c r="IJ191" s="27"/>
      <c r="IK191" s="27"/>
      <c r="IL191" s="27"/>
      <c r="IM191" s="27"/>
      <c r="IN191" s="27"/>
      <c r="IO191" s="27"/>
      <c r="IP191" s="27"/>
      <c r="IQ191" s="27"/>
      <c r="IR191" s="27"/>
      <c r="IS191" s="27"/>
      <c r="IT191" s="27"/>
      <c r="IV191" s="21"/>
    </row>
    <row r="192" spans="1:256" s="24" customFormat="1" ht="14.1" customHeight="1" thickBot="1">
      <c r="A192" s="23"/>
      <c r="B192" s="127" t="s">
        <v>623</v>
      </c>
      <c r="C192" s="126"/>
      <c r="D192" s="127" t="s">
        <v>230</v>
      </c>
      <c r="E192" s="126"/>
      <c r="F192" s="127" t="s">
        <v>229</v>
      </c>
      <c r="G192" s="126"/>
      <c r="H192" s="127" t="s">
        <v>228</v>
      </c>
      <c r="I192" s="126"/>
      <c r="J192" s="127" t="s">
        <v>227</v>
      </c>
      <c r="K192" s="126"/>
      <c r="L192" s="127" t="s">
        <v>226</v>
      </c>
      <c r="M192" s="126"/>
      <c r="N192" s="127" t="s">
        <v>225</v>
      </c>
      <c r="O192" s="126"/>
      <c r="P192" s="127" t="s">
        <v>28</v>
      </c>
      <c r="Q192" s="126"/>
      <c r="R192" s="127" t="s">
        <v>224</v>
      </c>
      <c r="S192" s="126"/>
      <c r="T192" s="127" t="s">
        <v>27</v>
      </c>
      <c r="U192" s="126"/>
      <c r="W192" s="134">
        <f>'الصفحة 27'!$F$33</f>
        <v>0</v>
      </c>
      <c r="X192" s="133">
        <f>'الصفحة 27'!$F$34</f>
        <v>0</v>
      </c>
      <c r="Y192" s="132">
        <f>'الصفحة 27'!$G$33</f>
        <v>0</v>
      </c>
      <c r="Z192" s="131">
        <f>'الصفحة 27'!$G$34</f>
        <v>0</v>
      </c>
      <c r="AA192" s="132">
        <f>'الصفحة 27'!$H$33</f>
        <v>0</v>
      </c>
      <c r="AB192" s="131">
        <f>'الصفحة 27'!$H$34</f>
        <v>0</v>
      </c>
      <c r="AC192" s="132">
        <f>'الصفحة 27'!$I$33</f>
        <v>0</v>
      </c>
      <c r="AD192" s="131">
        <f>'الصفحة 27'!$I$34</f>
        <v>0</v>
      </c>
      <c r="AE192" s="132">
        <f>'الصفحة 27'!$J$33</f>
        <v>0</v>
      </c>
      <c r="AF192" s="131">
        <f>'الصفحة 27'!$J$34</f>
        <v>0</v>
      </c>
      <c r="AG192" s="132" t="e">
        <f>'الصفحة 27'!#REF!</f>
        <v>#REF!</v>
      </c>
      <c r="AH192" s="131" t="e">
        <f>'الصفحة 27'!#REF!</f>
        <v>#REF!</v>
      </c>
      <c r="AI192" s="132" t="e">
        <f>'الصفحة 27'!#REF!</f>
        <v>#REF!</v>
      </c>
      <c r="AJ192" s="131" t="e">
        <f>'الصفحة 27'!#REF!</f>
        <v>#REF!</v>
      </c>
      <c r="AK192" s="73" t="e">
        <f>AI192+AG192+AE192+AC192+AA192+Y192+W192</f>
        <v>#REF!</v>
      </c>
      <c r="AL192" s="89" t="e">
        <f>AJ192+AH192+AF192+AD192+AB192+Z192+X192</f>
        <v>#REF!</v>
      </c>
      <c r="AM192" s="132">
        <f>'الصفحة 27'!$L$33</f>
        <v>0</v>
      </c>
      <c r="AN192" s="131">
        <f>'الصفحة 27'!$L$34</f>
        <v>0</v>
      </c>
      <c r="AO192" s="132">
        <f>'الصفحة 27'!$N$33</f>
        <v>0</v>
      </c>
      <c r="AP192" s="137">
        <f>'الصفحة 27'!$N$34</f>
        <v>0</v>
      </c>
      <c r="BA192" s="558" t="s">
        <v>27</v>
      </c>
      <c r="BB192" s="556">
        <f>'الصفحة 29'!$H$22</f>
        <v>0</v>
      </c>
      <c r="BC192" s="557">
        <f>'الصفحة 29'!$H$23</f>
        <v>0</v>
      </c>
      <c r="BD192" s="125">
        <f>'الصفحة 29'!$H$20</f>
        <v>28</v>
      </c>
      <c r="BE192" s="105">
        <f>'الصفحة 29'!$H$21</f>
        <v>20</v>
      </c>
      <c r="BP192" s="558" t="s">
        <v>27</v>
      </c>
      <c r="BQ192" s="556">
        <f>'الصفحة 29'!$J$22</f>
        <v>0</v>
      </c>
      <c r="BR192" s="557">
        <f>'الصفحة 29'!$J$23</f>
        <v>0</v>
      </c>
      <c r="BS192" s="125">
        <f>'الصفحة 29'!$J$20</f>
        <v>0</v>
      </c>
      <c r="BT192" s="105">
        <f>'الصفحة 29'!$J$21</f>
        <v>0</v>
      </c>
      <c r="CB192" s="558" t="s">
        <v>27</v>
      </c>
      <c r="CC192" s="143">
        <f>+BB192+BQ192+CF192</f>
        <v>0</v>
      </c>
      <c r="CD192" s="559">
        <f>+BC192+BR192+CG192</f>
        <v>0</v>
      </c>
      <c r="CE192" s="558" t="s">
        <v>27</v>
      </c>
      <c r="CF192" s="556">
        <f>'الصفحة 29'!$N$22</f>
        <v>0</v>
      </c>
      <c r="CG192" s="557">
        <f>'الصفحة 29'!$N$23</f>
        <v>0</v>
      </c>
      <c r="CH192" s="124">
        <f>'الصفحة 29'!$N$20</f>
        <v>6</v>
      </c>
      <c r="CI192" s="123">
        <f>'الصفحة 29'!$N$21</f>
        <v>6</v>
      </c>
      <c r="CK192" s="560">
        <f>'الصفحة 29'!$G$39</f>
        <v>10</v>
      </c>
      <c r="CL192" s="561">
        <f>'الصفحة 29'!$G$40</f>
        <v>8</v>
      </c>
      <c r="CM192" s="562">
        <f>'الصفحة 29'!$H$39</f>
        <v>3</v>
      </c>
      <c r="CN192" s="563">
        <f>'الصفحة 29'!$H$40</f>
        <v>2</v>
      </c>
      <c r="CO192" s="562">
        <f>'الصفحة 29'!$I$39</f>
        <v>2</v>
      </c>
      <c r="CP192" s="563">
        <f>'الصفحة 29'!$I$40</f>
        <v>1</v>
      </c>
      <c r="CQ192" s="562">
        <f>'الصفحة 29'!$J$39</f>
        <v>4</v>
      </c>
      <c r="CR192" s="563">
        <f>'الصفحة 29'!$J$40</f>
        <v>3</v>
      </c>
      <c r="CS192" s="562">
        <f>'الصفحة 29'!$K$39</f>
        <v>5</v>
      </c>
      <c r="CT192" s="563">
        <f>'الصفحة 29'!$K$40</f>
        <v>3</v>
      </c>
      <c r="CU192" s="562">
        <f>'الصفحة 29'!$L$39</f>
        <v>1</v>
      </c>
      <c r="CV192" s="563">
        <f>'الصفحة 29'!$L$40</f>
        <v>1</v>
      </c>
      <c r="CW192" s="562">
        <f>'الصفحة 29'!$M$39</f>
        <v>1</v>
      </c>
      <c r="CX192" s="563">
        <f>'الصفحة 29'!$M$40</f>
        <v>0</v>
      </c>
      <c r="CY192" s="562">
        <f>'الصفحة 29'!$N$39</f>
        <v>1</v>
      </c>
      <c r="CZ192" s="563">
        <f>'الصفحة 29'!$N$40</f>
        <v>1</v>
      </c>
      <c r="DA192" s="562">
        <f>'الصفحة 29'!$O$39</f>
        <v>0</v>
      </c>
      <c r="DB192" s="563">
        <f>'الصفحة 29'!$O$40</f>
        <v>0</v>
      </c>
      <c r="DC192" s="562">
        <f>'الصفحة 29'!$P$39</f>
        <v>0</v>
      </c>
      <c r="DD192" s="563">
        <f>'الصفحة 29'!$P$40</f>
        <v>0</v>
      </c>
      <c r="DE192" s="562">
        <f>'الصفحة 29'!$Q$39</f>
        <v>1</v>
      </c>
      <c r="DF192" s="563">
        <f>'الصفحة 29'!$Q$40</f>
        <v>1</v>
      </c>
      <c r="DG192" s="73">
        <f>DE192+DC192+DA192+CY192+CW192+CU192+CS192+CQ192+CO192+CM192+CK192</f>
        <v>28</v>
      </c>
      <c r="DH192" s="89">
        <f>DF192+DD192+DB192+CZ192+CX192+CV192+CT192+CR192+CP192+CN192+CL192</f>
        <v>20</v>
      </c>
      <c r="DJ192" s="560">
        <f>'الصفحة 29'!$G$41</f>
        <v>0</v>
      </c>
      <c r="DK192" s="561">
        <f>'الصفحة 29'!$G$42</f>
        <v>0</v>
      </c>
      <c r="DL192" s="562">
        <f>'الصفحة 29'!$H$41</f>
        <v>0</v>
      </c>
      <c r="DM192" s="563">
        <f>'الصفحة 29'!$H$42</f>
        <v>0</v>
      </c>
      <c r="DN192" s="562">
        <f>'الصفحة 29'!$I$41</f>
        <v>0</v>
      </c>
      <c r="DO192" s="563">
        <f>'الصفحة 29'!$I$42</f>
        <v>0</v>
      </c>
      <c r="DP192" s="562">
        <f>'الصفحة 29'!$J$41</f>
        <v>0</v>
      </c>
      <c r="DQ192" s="563">
        <f>'الصفحة 29'!$J$42</f>
        <v>0</v>
      </c>
      <c r="DR192" s="562">
        <f>'الصفحة 29'!$K$41</f>
        <v>0</v>
      </c>
      <c r="DS192" s="563">
        <f>'الصفحة 29'!$K$42</f>
        <v>0</v>
      </c>
      <c r="DT192" s="562">
        <f>'الصفحة 29'!$L$41</f>
        <v>0</v>
      </c>
      <c r="DU192" s="563">
        <f>'الصفحة 29'!$L$42</f>
        <v>0</v>
      </c>
      <c r="DV192" s="562">
        <f>'الصفحة 29'!$M$41</f>
        <v>0</v>
      </c>
      <c r="DW192" s="563">
        <f>'الصفحة 29'!$M$42</f>
        <v>0</v>
      </c>
      <c r="DX192" s="562">
        <f>'الصفحة 29'!$N$41</f>
        <v>0</v>
      </c>
      <c r="DY192" s="563">
        <f>'الصفحة 29'!$N$42</f>
        <v>0</v>
      </c>
      <c r="DZ192" s="562">
        <f>'الصفحة 29'!$O$41</f>
        <v>0</v>
      </c>
      <c r="EA192" s="563">
        <f>'الصفحة 29'!$O$42</f>
        <v>0</v>
      </c>
      <c r="EB192" s="562">
        <f>'الصفحة 29'!$P$41</f>
        <v>0</v>
      </c>
      <c r="EC192" s="563">
        <f>'الصفحة 29'!$P$42</f>
        <v>0</v>
      </c>
      <c r="ED192" s="562">
        <f>'الصفحة 29'!$Q$41</f>
        <v>0</v>
      </c>
      <c r="EE192" s="563">
        <f>'الصفحة 29'!$Q$42</f>
        <v>0</v>
      </c>
      <c r="EF192" s="73">
        <f>ED192+EB192+DZ192+DX192+DV192+DT192+DR192+DP192+DN192+DL192+DJ192</f>
        <v>0</v>
      </c>
      <c r="EG192" s="89">
        <f>EE192+EC192+EA192+DY192+DW192+DU192+DS192+DQ192+DO192+DM192+DK192</f>
        <v>0</v>
      </c>
      <c r="GL192" s="106"/>
      <c r="GM192" s="106"/>
      <c r="GN192" s="106"/>
      <c r="GO192" s="106"/>
      <c r="GP192" s="106"/>
      <c r="GQ192" s="106"/>
      <c r="GR192" s="106"/>
      <c r="GS192" s="106"/>
      <c r="GT192" s="106"/>
      <c r="GU192" s="106"/>
      <c r="GV192" s="106"/>
      <c r="GW192" s="106"/>
      <c r="GX192" s="106"/>
      <c r="GY192" s="106"/>
      <c r="GZ192" s="106"/>
      <c r="HA192" s="106"/>
      <c r="HF192" s="71" t="e">
        <f>'الصفحة 29'!#REF!</f>
        <v>#REF!</v>
      </c>
      <c r="HG192" s="31" t="e">
        <f>'الصفحة 29'!#REF!</f>
        <v>#REF!</v>
      </c>
      <c r="HH192" s="30" t="e">
        <f>'الصفحة 29'!#REF!</f>
        <v>#REF!</v>
      </c>
      <c r="HI192" s="111" t="e">
        <f>'الصفحة 29'!#REF!</f>
        <v>#REF!</v>
      </c>
      <c r="HJ192" s="30" t="e">
        <f>'الصفحة 29'!#REF!</f>
        <v>#REF!</v>
      </c>
      <c r="HK192" s="111" t="e">
        <f>'الصفحة 29'!#REF!</f>
        <v>#REF!</v>
      </c>
      <c r="HL192" s="30" t="e">
        <f>'الصفحة 29'!#REF!</f>
        <v>#REF!</v>
      </c>
      <c r="HM192" s="111" t="e">
        <f>'الصفحة 29'!#REF!</f>
        <v>#REF!</v>
      </c>
      <c r="HN192" s="30" t="e">
        <f>'الصفحة 29'!#REF!</f>
        <v>#REF!</v>
      </c>
      <c r="HO192" s="111" t="e">
        <f>'الصفحة 29'!#REF!</f>
        <v>#REF!</v>
      </c>
      <c r="HP192" s="30" t="e">
        <f>'الصفحة 29'!#REF!</f>
        <v>#REF!</v>
      </c>
      <c r="HQ192" s="111" t="e">
        <f>'الصفحة 29'!#REF!</f>
        <v>#REF!</v>
      </c>
      <c r="HR192" s="30" t="e">
        <f>'الصفحة 29'!#REF!</f>
        <v>#REF!</v>
      </c>
      <c r="HS192" s="111" t="e">
        <f>'الصفحة 29'!#REF!</f>
        <v>#REF!</v>
      </c>
      <c r="HT192" s="30" t="e">
        <f>'الصفحة 29'!#REF!</f>
        <v>#REF!</v>
      </c>
      <c r="HU192" s="111" t="e">
        <f>'الصفحة 29'!#REF!</f>
        <v>#REF!</v>
      </c>
      <c r="HV192" s="30" t="e">
        <f>'الصفحة 29'!#REF!</f>
        <v>#REF!</v>
      </c>
      <c r="HW192" s="111" t="e">
        <f>'الصفحة 29'!#REF!</f>
        <v>#REF!</v>
      </c>
      <c r="HX192" s="30" t="e">
        <f>'الصفحة 29'!#REF!</f>
        <v>#REF!</v>
      </c>
      <c r="HY192" s="111" t="e">
        <f>'الصفحة 29'!#REF!</f>
        <v>#REF!</v>
      </c>
      <c r="HZ192" s="30" t="e">
        <f>'الصفحة 29'!#REF!</f>
        <v>#REF!</v>
      </c>
      <c r="IA192" s="111" t="e">
        <f>'الصفحة 29'!#REF!</f>
        <v>#REF!</v>
      </c>
      <c r="IB192" s="73" t="e">
        <f>HZ192+HX192+HV192+HT192+HR192+HP192+HN192+HL192+HJ192+HH192+HF192</f>
        <v>#REF!</v>
      </c>
      <c r="IC192" s="89" t="e">
        <f>IA192+HY192+HW192+HU192+HS192+HQ192+HO192+HM192+HK192+HI192+HG192</f>
        <v>#REF!</v>
      </c>
      <c r="ID192" s="5134" t="s">
        <v>225</v>
      </c>
      <c r="IE192" s="5134"/>
      <c r="IF192" s="5134"/>
      <c r="IG192" s="5134"/>
      <c r="IV192" s="21"/>
    </row>
    <row r="193" spans="1:256" s="21" customFormat="1" ht="12" customHeight="1">
      <c r="A193" s="23"/>
      <c r="B193" s="22"/>
      <c r="C193" s="22"/>
      <c r="D193" s="22"/>
      <c r="E193" s="22"/>
      <c r="F193" s="22"/>
      <c r="G193" s="22"/>
      <c r="H193" s="22"/>
      <c r="I193" s="22"/>
      <c r="J193" s="22"/>
      <c r="K193" s="22"/>
      <c r="L193" s="22"/>
      <c r="M193" s="22"/>
      <c r="N193" s="22"/>
      <c r="O193" s="22"/>
      <c r="P193" s="22"/>
      <c r="Q193" s="22"/>
      <c r="R193" s="22"/>
      <c r="S193" s="22"/>
      <c r="T193" s="22"/>
      <c r="U193" s="22"/>
      <c r="V193" s="22"/>
      <c r="AO193" s="5141" t="s">
        <v>48</v>
      </c>
      <c r="AP193" s="5141"/>
    </row>
    <row r="194" spans="1:256" s="24" customFormat="1" ht="15" customHeight="1">
      <c r="A194" s="23"/>
      <c r="B194" s="104" t="s">
        <v>223</v>
      </c>
      <c r="V194" s="5138" t="s">
        <v>150</v>
      </c>
      <c r="W194" s="5138"/>
      <c r="X194" s="5138"/>
      <c r="Y194" s="5138"/>
      <c r="AA194" s="104" t="s">
        <v>222</v>
      </c>
      <c r="AU194" s="5138" t="s">
        <v>149</v>
      </c>
      <c r="AV194" s="5138"/>
      <c r="AW194" s="5138"/>
      <c r="AX194" s="5138"/>
      <c r="AZ194" s="104" t="s">
        <v>222</v>
      </c>
      <c r="BT194" s="5138" t="s">
        <v>148</v>
      </c>
      <c r="BU194" s="5138"/>
      <c r="BV194" s="5138"/>
      <c r="BW194" s="5138"/>
      <c r="BY194" s="104" t="s">
        <v>222</v>
      </c>
      <c r="CS194" s="5138" t="s">
        <v>147</v>
      </c>
      <c r="CT194" s="5138"/>
      <c r="CU194" s="5138"/>
      <c r="CV194" s="5138"/>
      <c r="CX194" s="104" t="s">
        <v>222</v>
      </c>
      <c r="DR194" s="37" t="s">
        <v>146</v>
      </c>
      <c r="DS194" s="37"/>
      <c r="DT194" s="5141" t="s">
        <v>130</v>
      </c>
      <c r="DU194" s="5141"/>
      <c r="DV194" s="76"/>
      <c r="DW194" s="38" t="s">
        <v>631</v>
      </c>
      <c r="EQ194" s="5134" t="s">
        <v>47</v>
      </c>
      <c r="ER194" s="5134"/>
      <c r="ES194" s="5134"/>
      <c r="ET194" s="5134"/>
      <c r="EU194" s="103"/>
      <c r="EV194" s="38" t="s">
        <v>632</v>
      </c>
      <c r="FP194" s="5134" t="s">
        <v>46</v>
      </c>
      <c r="FQ194" s="5134"/>
      <c r="FR194" s="5134"/>
      <c r="FS194" s="5134"/>
      <c r="FU194" s="38" t="s">
        <v>632</v>
      </c>
      <c r="GO194" s="5134" t="s">
        <v>45</v>
      </c>
      <c r="GP194" s="5134"/>
      <c r="GQ194" s="5134"/>
      <c r="GR194" s="5134"/>
      <c r="GT194" s="38" t="s">
        <v>632</v>
      </c>
      <c r="HN194" s="5134" t="s">
        <v>44</v>
      </c>
      <c r="HO194" s="5134"/>
      <c r="HP194" s="5134"/>
      <c r="HQ194" s="5134"/>
      <c r="HS194" s="38" t="s">
        <v>632</v>
      </c>
      <c r="IM194" s="5134" t="s">
        <v>43</v>
      </c>
      <c r="IN194" s="5134"/>
      <c r="IO194" s="5134"/>
      <c r="IP194" s="5134"/>
      <c r="IQ194" s="121"/>
      <c r="IR194" s="121"/>
      <c r="IS194" s="121"/>
      <c r="IT194" s="121"/>
      <c r="IV194" s="21"/>
    </row>
    <row r="195" spans="1:256" s="24" customFormat="1" ht="8.1" customHeight="1" thickBot="1">
      <c r="A195" s="23"/>
      <c r="B195" s="112"/>
      <c r="C195" s="112"/>
      <c r="D195" s="112"/>
      <c r="E195" s="112"/>
      <c r="F195" s="112"/>
      <c r="G195" s="112"/>
      <c r="H195" s="112"/>
      <c r="I195" s="112"/>
      <c r="J195" s="112"/>
      <c r="K195" s="112"/>
      <c r="L195" s="112"/>
      <c r="M195" s="112"/>
      <c r="N195" s="112"/>
      <c r="AA195" s="112"/>
      <c r="AB195" s="112"/>
      <c r="AC195" s="112"/>
      <c r="AD195" s="112"/>
      <c r="AE195" s="112"/>
      <c r="AF195" s="112"/>
      <c r="AG195" s="112"/>
      <c r="AH195" s="112"/>
      <c r="AI195" s="112"/>
      <c r="AJ195" s="112"/>
      <c r="AK195" s="112"/>
      <c r="AL195" s="112"/>
      <c r="AM195" s="112"/>
      <c r="AZ195" s="112"/>
      <c r="BA195" s="112"/>
      <c r="BB195" s="112"/>
      <c r="BC195" s="112"/>
      <c r="BD195" s="112"/>
      <c r="BE195" s="112"/>
      <c r="BF195" s="112"/>
      <c r="BG195" s="112"/>
      <c r="BH195" s="112"/>
      <c r="BI195" s="112"/>
      <c r="BJ195" s="112"/>
      <c r="BK195" s="112"/>
      <c r="BL195" s="112"/>
      <c r="BY195" s="112"/>
      <c r="BZ195" s="112"/>
      <c r="CA195" s="112"/>
      <c r="CB195" s="112"/>
      <c r="CC195" s="112"/>
      <c r="CD195" s="112"/>
      <c r="CE195" s="112"/>
      <c r="CF195" s="112"/>
      <c r="CG195" s="112"/>
      <c r="CH195" s="112"/>
      <c r="CI195" s="112"/>
      <c r="CJ195" s="112"/>
      <c r="CK195" s="112"/>
      <c r="CX195" s="112"/>
      <c r="CY195" s="112"/>
      <c r="CZ195" s="112"/>
      <c r="DA195" s="112"/>
      <c r="DB195" s="112"/>
      <c r="DC195" s="112"/>
      <c r="DD195" s="112"/>
      <c r="DE195" s="112"/>
      <c r="DF195" s="112"/>
      <c r="DG195" s="112"/>
      <c r="DH195" s="112"/>
      <c r="DI195" s="112"/>
      <c r="DJ195" s="112"/>
      <c r="DV195" s="76"/>
      <c r="EH195" s="112"/>
      <c r="FG195" s="112"/>
      <c r="GF195" s="112"/>
      <c r="HE195" s="112"/>
      <c r="HR195" s="93"/>
      <c r="ID195" s="112"/>
      <c r="IQ195" s="121"/>
      <c r="IR195" s="121"/>
      <c r="IS195" s="121"/>
      <c r="IT195" s="121"/>
      <c r="IV195" s="21"/>
    </row>
    <row r="196" spans="1:256" s="24" customFormat="1" ht="14.1" customHeight="1" thickBot="1">
      <c r="A196" s="35">
        <v>9</v>
      </c>
      <c r="B196" s="564"/>
      <c r="C196" s="565"/>
      <c r="D196" s="566"/>
      <c r="E196" s="567"/>
      <c r="F196" s="566"/>
      <c r="G196" s="567"/>
      <c r="H196" s="566"/>
      <c r="I196" s="567"/>
      <c r="J196" s="566"/>
      <c r="K196" s="567"/>
      <c r="L196" s="566"/>
      <c r="M196" s="567"/>
      <c r="N196" s="566"/>
      <c r="O196" s="567"/>
      <c r="P196" s="566"/>
      <c r="Q196" s="567"/>
      <c r="R196" s="566"/>
      <c r="S196" s="567"/>
      <c r="T196" s="566"/>
      <c r="U196" s="567"/>
      <c r="V196" s="566"/>
      <c r="W196" s="567"/>
      <c r="X196" s="568"/>
      <c r="Y196" s="569"/>
      <c r="Z196" s="570"/>
      <c r="AA196" s="564"/>
      <c r="AB196" s="565"/>
      <c r="AC196" s="566"/>
      <c r="AD196" s="567"/>
      <c r="AE196" s="566"/>
      <c r="AF196" s="567"/>
      <c r="AG196" s="566"/>
      <c r="AH196" s="567"/>
      <c r="AI196" s="566"/>
      <c r="AJ196" s="567"/>
      <c r="AK196" s="566"/>
      <c r="AL196" s="567"/>
      <c r="AM196" s="566"/>
      <c r="AN196" s="567"/>
      <c r="AO196" s="566"/>
      <c r="AP196" s="567"/>
      <c r="AQ196" s="566"/>
      <c r="AR196" s="567"/>
      <c r="AS196" s="566"/>
      <c r="AT196" s="567"/>
      <c r="AU196" s="566"/>
      <c r="AV196" s="567"/>
      <c r="AW196" s="568"/>
      <c r="AX196" s="569"/>
      <c r="AY196" s="570"/>
      <c r="AZ196" s="564"/>
      <c r="BA196" s="565"/>
      <c r="BB196" s="566"/>
      <c r="BC196" s="567"/>
      <c r="BD196" s="566"/>
      <c r="BE196" s="567"/>
      <c r="BF196" s="566"/>
      <c r="BG196" s="567"/>
      <c r="BH196" s="566"/>
      <c r="BI196" s="567"/>
      <c r="BJ196" s="566"/>
      <c r="BK196" s="567"/>
      <c r="BL196" s="566"/>
      <c r="BM196" s="567"/>
      <c r="BN196" s="566"/>
      <c r="BO196" s="567"/>
      <c r="BP196" s="566"/>
      <c r="BQ196" s="567"/>
      <c r="BR196" s="566"/>
      <c r="BS196" s="567"/>
      <c r="BT196" s="566"/>
      <c r="BU196" s="567"/>
      <c r="BV196" s="568"/>
      <c r="BW196" s="569"/>
      <c r="BX196" s="570"/>
      <c r="BY196" s="564"/>
      <c r="BZ196" s="565"/>
      <c r="CA196" s="566"/>
      <c r="CB196" s="567"/>
      <c r="CC196" s="566"/>
      <c r="CD196" s="567"/>
      <c r="CE196" s="566"/>
      <c r="CF196" s="567"/>
      <c r="CG196" s="566"/>
      <c r="CH196" s="567"/>
      <c r="CI196" s="566"/>
      <c r="CJ196" s="567"/>
      <c r="CK196" s="566"/>
      <c r="CL196" s="567"/>
      <c r="CM196" s="566"/>
      <c r="CN196" s="567"/>
      <c r="CO196" s="566"/>
      <c r="CP196" s="567"/>
      <c r="CQ196" s="566"/>
      <c r="CR196" s="567"/>
      <c r="CS196" s="566"/>
      <c r="CT196" s="567"/>
      <c r="CU196" s="568"/>
      <c r="CV196" s="569"/>
      <c r="CW196" s="570"/>
      <c r="CX196" s="571"/>
      <c r="CY196" s="572"/>
      <c r="CZ196" s="573"/>
      <c r="DA196" s="574"/>
      <c r="DB196" s="573"/>
      <c r="DC196" s="574"/>
      <c r="DD196" s="573"/>
      <c r="DE196" s="574"/>
      <c r="DF196" s="573"/>
      <c r="DG196" s="574"/>
      <c r="DH196" s="573"/>
      <c r="DI196" s="574"/>
      <c r="DJ196" s="573"/>
      <c r="DK196" s="574"/>
      <c r="DL196" s="573"/>
      <c r="DM196" s="574"/>
      <c r="DN196" s="573"/>
      <c r="DO196" s="574"/>
      <c r="DP196" s="573"/>
      <c r="DQ196" s="574"/>
      <c r="DR196" s="573"/>
      <c r="DS196" s="574"/>
      <c r="DT196" s="575"/>
      <c r="DU196" s="576"/>
      <c r="DV196" s="76"/>
      <c r="DW196" s="71">
        <f>'الصفحة 30'!$E$10</f>
        <v>3</v>
      </c>
      <c r="DX196" s="31">
        <f>'الصفحة 30'!$F$10</f>
        <v>2</v>
      </c>
      <c r="DY196" s="30">
        <f>'الصفحة 30'!$G$10</f>
        <v>1</v>
      </c>
      <c r="DZ196" s="111">
        <f>'الصفحة 30'!$H$10</f>
        <v>1</v>
      </c>
      <c r="EA196" s="30">
        <f>'الصفحة 30'!$I$10</f>
        <v>1</v>
      </c>
      <c r="EB196" s="111">
        <f>'الصفحة 30'!$J$10</f>
        <v>1</v>
      </c>
      <c r="EC196" s="30">
        <f>'الصفحة 30'!$K$10</f>
        <v>0</v>
      </c>
      <c r="ED196" s="111">
        <f>'الصفحة 30'!$L$10</f>
        <v>0</v>
      </c>
      <c r="EE196" s="30">
        <f>'الصفحة 30'!$M$10</f>
        <v>0</v>
      </c>
      <c r="EF196" s="111">
        <f>'الصفحة 30'!$N$10</f>
        <v>0</v>
      </c>
      <c r="EG196" s="30">
        <f>'الصفحة 30'!$O$10</f>
        <v>0</v>
      </c>
      <c r="EH196" s="111">
        <f>'الصفحة 30'!$P$10</f>
        <v>0</v>
      </c>
      <c r="EI196" s="30">
        <f>'الصفحة 30'!$Q$10</f>
        <v>0</v>
      </c>
      <c r="EJ196" s="111">
        <f>'الصفحة 30'!$R$10</f>
        <v>0</v>
      </c>
      <c r="EK196" s="30">
        <f>'الصفحة 30'!$S$10</f>
        <v>0</v>
      </c>
      <c r="EL196" s="111">
        <f>'الصفحة 30'!$T$10</f>
        <v>0</v>
      </c>
      <c r="EM196" s="30">
        <f>'الصفحة 30'!$U$10</f>
        <v>0</v>
      </c>
      <c r="EN196" s="111">
        <f>'الصفحة 30'!$V$10</f>
        <v>0</v>
      </c>
      <c r="EO196" s="30">
        <f>'الصفحة 30'!$W$10</f>
        <v>0</v>
      </c>
      <c r="EP196" s="111">
        <f>'الصفحة 30'!$X$10</f>
        <v>0</v>
      </c>
      <c r="EQ196" s="30">
        <f>'الصفحة 30'!$Y$10</f>
        <v>0</v>
      </c>
      <c r="ER196" s="111">
        <f>'الصفحة 30'!$Z$10</f>
        <v>0</v>
      </c>
      <c r="ES196" s="90">
        <f>EQ196+EO196+EM196+EK196+EI196+EG196+EE196+EC196+EA196+DY196+DW196</f>
        <v>5</v>
      </c>
      <c r="ET196" s="72">
        <f>ER196+EP196+EN196+EL196+EJ196+EH196+EF196+ED196+EB196+DZ196+DX196</f>
        <v>4</v>
      </c>
      <c r="EV196" s="71">
        <f>'الصفحة 30'!$E$11</f>
        <v>0</v>
      </c>
      <c r="EW196" s="31">
        <f>'الصفحة 30'!$F$11</f>
        <v>0</v>
      </c>
      <c r="EX196" s="30">
        <f>'الصفحة 30'!$G$11</f>
        <v>0</v>
      </c>
      <c r="EY196" s="111">
        <f>'الصفحة 30'!$H$11</f>
        <v>0</v>
      </c>
      <c r="EZ196" s="30">
        <f>'الصفحة 30'!$I$11</f>
        <v>0</v>
      </c>
      <c r="FA196" s="111">
        <f>'الصفحة 30'!$J$11</f>
        <v>0</v>
      </c>
      <c r="FB196" s="30">
        <f>'الصفحة 30'!$K$11</f>
        <v>0</v>
      </c>
      <c r="FC196" s="111">
        <f>'الصفحة 30'!$L$11</f>
        <v>0</v>
      </c>
      <c r="FD196" s="30">
        <f>'الصفحة 30'!$M$11</f>
        <v>0</v>
      </c>
      <c r="FE196" s="111">
        <f>'الصفحة 30'!$N$11</f>
        <v>0</v>
      </c>
      <c r="FF196" s="30">
        <f>'الصفحة 30'!$O$11</f>
        <v>0</v>
      </c>
      <c r="FG196" s="111">
        <f>'الصفحة 30'!$P$11</f>
        <v>0</v>
      </c>
      <c r="FH196" s="30">
        <f>'الصفحة 30'!$Q$11</f>
        <v>0</v>
      </c>
      <c r="FI196" s="111">
        <f>'الصفحة 30'!$R$11</f>
        <v>0</v>
      </c>
      <c r="FJ196" s="30">
        <f>'الصفحة 30'!$S$11</f>
        <v>0</v>
      </c>
      <c r="FK196" s="111">
        <f>'الصفحة 30'!$T$11</f>
        <v>0</v>
      </c>
      <c r="FL196" s="30">
        <f>'الصفحة 30'!$U$11</f>
        <v>0</v>
      </c>
      <c r="FM196" s="111">
        <f>'الصفحة 30'!$V$11</f>
        <v>0</v>
      </c>
      <c r="FN196" s="30">
        <f>'الصفحة 30'!$W$11</f>
        <v>0</v>
      </c>
      <c r="FO196" s="111">
        <f>'الصفحة 30'!$X$11</f>
        <v>0</v>
      </c>
      <c r="FP196" s="30">
        <f>'الصفحة 30'!$Y$11</f>
        <v>0</v>
      </c>
      <c r="FQ196" s="111">
        <f>'الصفحة 30'!$Z$11</f>
        <v>0</v>
      </c>
      <c r="FR196" s="90">
        <f>FP196+FN196+FL196+FJ196+FH196+FF196+FD196+FB196+EZ196+EX196+EV196</f>
        <v>0</v>
      </c>
      <c r="FS196" s="72">
        <f>FQ196+FO196+FM196+FK196+FI196+FG196+FE196+FC196+FA196+EY196+EW196</f>
        <v>0</v>
      </c>
      <c r="FU196" s="71">
        <f>'الصفحة 30'!$E$12</f>
        <v>0</v>
      </c>
      <c r="FV196" s="31">
        <f>'الصفحة 30'!$F$12</f>
        <v>0</v>
      </c>
      <c r="FW196" s="30">
        <f>'الصفحة 30'!$G$12</f>
        <v>0</v>
      </c>
      <c r="FX196" s="111">
        <f>'الصفحة 30'!$H$12</f>
        <v>0</v>
      </c>
      <c r="FY196" s="30">
        <f>'الصفحة 30'!$I$12</f>
        <v>0</v>
      </c>
      <c r="FZ196" s="111">
        <f>'الصفحة 30'!$J$12</f>
        <v>0</v>
      </c>
      <c r="GA196" s="30">
        <f>'الصفحة 30'!$K$12</f>
        <v>2</v>
      </c>
      <c r="GB196" s="111">
        <f>'الصفحة 30'!$L$12</f>
        <v>1</v>
      </c>
      <c r="GC196" s="30">
        <f>'الصفحة 30'!$M$12</f>
        <v>1</v>
      </c>
      <c r="GD196" s="111">
        <f>'الصفحة 30'!$N$12</f>
        <v>1</v>
      </c>
      <c r="GE196" s="30">
        <f>'الصفحة 30'!$O$12</f>
        <v>0</v>
      </c>
      <c r="GF196" s="111">
        <f>'الصفحة 30'!$P$12</f>
        <v>0</v>
      </c>
      <c r="GG196" s="30">
        <f>'الصفحة 30'!$Q$12</f>
        <v>0</v>
      </c>
      <c r="GH196" s="111">
        <f>'الصفحة 30'!$R$12</f>
        <v>0</v>
      </c>
      <c r="GI196" s="30">
        <f>'الصفحة 30'!$S$12</f>
        <v>0</v>
      </c>
      <c r="GJ196" s="111">
        <f>'الصفحة 30'!$T$12</f>
        <v>0</v>
      </c>
      <c r="GK196" s="30">
        <f>'الصفحة 30'!$U$12</f>
        <v>0</v>
      </c>
      <c r="GL196" s="111">
        <f>'الصفحة 30'!$V$12</f>
        <v>0</v>
      </c>
      <c r="GM196" s="30">
        <f>'الصفحة 30'!$W$12</f>
        <v>0</v>
      </c>
      <c r="GN196" s="111">
        <f>'الصفحة 30'!$X$12</f>
        <v>0</v>
      </c>
      <c r="GO196" s="30">
        <f>'الصفحة 30'!$Y$12</f>
        <v>0</v>
      </c>
      <c r="GP196" s="111">
        <f>'الصفحة 30'!$Z$12</f>
        <v>0</v>
      </c>
      <c r="GQ196" s="90">
        <f>GO196+GM196+GK196+GI196+GG196+GE196+GC196+GA196+FY196+FW196+FU196</f>
        <v>3</v>
      </c>
      <c r="GR196" s="72">
        <f>GP196+GN196+GL196+GJ196+GH196+GF196+GD196+GB196+FZ196+FX196+FV196</f>
        <v>2</v>
      </c>
      <c r="GT196" s="71">
        <f>'الصفحة 30'!$E$13</f>
        <v>1</v>
      </c>
      <c r="GU196" s="31">
        <f>'الصفحة 30'!$F$13</f>
        <v>1</v>
      </c>
      <c r="GV196" s="30">
        <f>'الصفحة 30'!$G$13</f>
        <v>0</v>
      </c>
      <c r="GW196" s="111">
        <f>'الصفحة 30'!$H$13</f>
        <v>0</v>
      </c>
      <c r="GX196" s="30">
        <f>'الصفحة 30'!$I$13</f>
        <v>0</v>
      </c>
      <c r="GY196" s="111">
        <f>'الصفحة 30'!$J$13</f>
        <v>0</v>
      </c>
      <c r="GZ196" s="30">
        <f>'الصفحة 30'!$K$13</f>
        <v>2</v>
      </c>
      <c r="HA196" s="111">
        <f>'الصفحة 30'!$L$13</f>
        <v>2</v>
      </c>
      <c r="HB196" s="30">
        <f>'الصفحة 30'!$M$13</f>
        <v>1</v>
      </c>
      <c r="HC196" s="111">
        <f>'الصفحة 30'!$N$13</f>
        <v>1</v>
      </c>
      <c r="HD196" s="30">
        <f>'الصفحة 30'!$O$13</f>
        <v>0</v>
      </c>
      <c r="HE196" s="111">
        <f>'الصفحة 30'!$P$13</f>
        <v>0</v>
      </c>
      <c r="HF196" s="30">
        <f>'الصفحة 30'!$Q$13</f>
        <v>0</v>
      </c>
      <c r="HG196" s="111">
        <f>'الصفحة 30'!$R$13</f>
        <v>0</v>
      </c>
      <c r="HH196" s="30">
        <f>'الصفحة 30'!$S$13</f>
        <v>0</v>
      </c>
      <c r="HI196" s="111">
        <f>'الصفحة 30'!$T$13</f>
        <v>0</v>
      </c>
      <c r="HJ196" s="30">
        <f>'الصفحة 30'!$U$13</f>
        <v>0</v>
      </c>
      <c r="HK196" s="111">
        <f>'الصفحة 30'!$V$13</f>
        <v>0</v>
      </c>
      <c r="HL196" s="30">
        <f>'الصفحة 30'!$W$13</f>
        <v>0</v>
      </c>
      <c r="HM196" s="111">
        <f>'الصفحة 30'!$X$13</f>
        <v>0</v>
      </c>
      <c r="HN196" s="30">
        <f>'الصفحة 30'!$Y$13</f>
        <v>0</v>
      </c>
      <c r="HO196" s="111">
        <f>'الصفحة 30'!$Z$13</f>
        <v>0</v>
      </c>
      <c r="HP196" s="90">
        <f>HN196+HL196+HJ196+HH196+HF196+HD196+HB196+GZ196+GX196+GV196+GT196</f>
        <v>4</v>
      </c>
      <c r="HQ196" s="72">
        <f>HO196+HM196+HK196+HI196+HG196+HE196+HC196+HA196+GY196+GW196+GU196</f>
        <v>4</v>
      </c>
      <c r="HS196" s="71">
        <f>'الصفحة 30'!$E$14</f>
        <v>3</v>
      </c>
      <c r="HT196" s="31">
        <f>'الصفحة 30'!$F$14</f>
        <v>2</v>
      </c>
      <c r="HU196" s="30">
        <f>'الصفحة 30'!$G$14</f>
        <v>0</v>
      </c>
      <c r="HV196" s="111">
        <f>'الصفحة 30'!$H$14</f>
        <v>0</v>
      </c>
      <c r="HW196" s="30">
        <f>'الصفحة 30'!$I$14</f>
        <v>0</v>
      </c>
      <c r="HX196" s="111">
        <f>'الصفحة 30'!$J$14</f>
        <v>0</v>
      </c>
      <c r="HY196" s="30">
        <f>'الصفحة 30'!$K$14</f>
        <v>0</v>
      </c>
      <c r="HZ196" s="111">
        <f>'الصفحة 30'!$L$14</f>
        <v>0</v>
      </c>
      <c r="IA196" s="30">
        <f>'الصفحة 30'!$M$14</f>
        <v>0</v>
      </c>
      <c r="IB196" s="111">
        <f>'الصفحة 30'!$N$14</f>
        <v>0</v>
      </c>
      <c r="IC196" s="30">
        <f>'الصفحة 30'!$O$14</f>
        <v>0</v>
      </c>
      <c r="ID196" s="111">
        <f>'الصفحة 30'!$P$14</f>
        <v>0</v>
      </c>
      <c r="IE196" s="30">
        <f>'الصفحة 30'!$Q$14</f>
        <v>0</v>
      </c>
      <c r="IF196" s="111">
        <f>'الصفحة 30'!$R$14</f>
        <v>0</v>
      </c>
      <c r="IG196" s="30">
        <f>'الصفحة 30'!$S$14</f>
        <v>0</v>
      </c>
      <c r="IH196" s="111">
        <f>'الصفحة 30'!$T$14</f>
        <v>0</v>
      </c>
      <c r="II196" s="30">
        <f>'الصفحة 30'!$U$14</f>
        <v>0</v>
      </c>
      <c r="IJ196" s="111">
        <f>'الصفحة 30'!$V$14</f>
        <v>0</v>
      </c>
      <c r="IK196" s="30">
        <f>'الصفحة 30'!$W$14</f>
        <v>0</v>
      </c>
      <c r="IL196" s="111">
        <f>'الصفحة 30'!$X$14</f>
        <v>0</v>
      </c>
      <c r="IM196" s="30">
        <f>'الصفحة 30'!$Y$14</f>
        <v>0</v>
      </c>
      <c r="IN196" s="111">
        <f>'الصفحة 30'!$Z$14</f>
        <v>0</v>
      </c>
      <c r="IO196" s="90">
        <f>IM196+IK196+II196+IG196+IE196+IC196+IA196+HY196+HW196+HU196+HS196</f>
        <v>3</v>
      </c>
      <c r="IP196" s="72">
        <f>IN196+IL196+IJ196+IH196+IF196+ID196+IB196+HZ196+HX196+HV196+HT196</f>
        <v>2</v>
      </c>
      <c r="IQ196" s="121"/>
      <c r="IR196" s="27"/>
      <c r="IS196" s="27"/>
      <c r="IT196" s="27"/>
      <c r="IV196" s="21"/>
    </row>
    <row r="197" spans="1:256" s="24" customFormat="1" ht="14.1" customHeight="1" thickBot="1">
      <c r="A197" s="23"/>
      <c r="B197" s="570"/>
      <c r="C197" s="570"/>
      <c r="D197" s="570"/>
      <c r="E197" s="570"/>
      <c r="F197" s="570"/>
      <c r="G197" s="570"/>
      <c r="H197" s="570"/>
      <c r="I197" s="570"/>
      <c r="J197" s="570"/>
      <c r="K197" s="570"/>
      <c r="L197" s="570"/>
      <c r="M197" s="570"/>
      <c r="N197" s="570"/>
      <c r="O197" s="570"/>
      <c r="P197" s="570"/>
      <c r="Q197" s="570"/>
      <c r="R197" s="570"/>
      <c r="S197" s="570"/>
      <c r="T197" s="570"/>
      <c r="U197" s="570"/>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7"/>
      <c r="CY197" s="578"/>
      <c r="CZ197" s="578"/>
      <c r="DA197" s="578"/>
      <c r="DB197" s="578"/>
      <c r="DC197" s="578"/>
      <c r="DD197" s="578"/>
      <c r="DE197" s="578"/>
      <c r="DF197" s="578"/>
      <c r="DG197" s="578"/>
      <c r="DH197" s="578"/>
      <c r="DI197" s="578"/>
      <c r="DJ197" s="578"/>
      <c r="DK197" s="578"/>
      <c r="DL197" s="578"/>
      <c r="DM197" s="578"/>
      <c r="DN197" s="578"/>
      <c r="DO197" s="578"/>
      <c r="DP197" s="578"/>
      <c r="DQ197" s="578"/>
      <c r="DR197" s="578"/>
      <c r="DS197" s="578"/>
      <c r="DT197" s="579"/>
      <c r="DU197" s="580"/>
      <c r="DV197" s="76"/>
      <c r="HP197" s="118"/>
      <c r="IV197" s="21"/>
    </row>
    <row r="198" spans="1:256" s="21" customFormat="1" ht="6" customHeight="1">
      <c r="A198" s="23"/>
      <c r="B198" s="22"/>
      <c r="C198" s="22"/>
      <c r="D198" s="22"/>
      <c r="E198" s="22"/>
      <c r="F198" s="22"/>
      <c r="G198" s="22"/>
      <c r="H198" s="22"/>
      <c r="I198" s="22"/>
      <c r="J198" s="22"/>
      <c r="K198" s="22"/>
      <c r="L198" s="22"/>
      <c r="M198" s="22"/>
      <c r="N198" s="22"/>
      <c r="O198" s="22"/>
      <c r="P198" s="22"/>
      <c r="Q198" s="22"/>
      <c r="R198" s="22"/>
      <c r="S198" s="22"/>
      <c r="T198" s="22"/>
      <c r="U198" s="22"/>
      <c r="V198" s="22"/>
    </row>
    <row r="199" spans="1:256" s="24" customFormat="1" ht="15" customHeight="1">
      <c r="A199" s="23"/>
      <c r="B199" s="38" t="s">
        <v>632</v>
      </c>
      <c r="V199" s="5134" t="s">
        <v>42</v>
      </c>
      <c r="W199" s="5134"/>
      <c r="X199" s="5134"/>
      <c r="Y199" s="5134"/>
      <c r="AA199" s="38" t="s">
        <v>632</v>
      </c>
      <c r="AU199" s="5766" t="s">
        <v>41</v>
      </c>
      <c r="AV199" s="5766"/>
      <c r="AW199" s="5766"/>
      <c r="AX199" s="5766"/>
      <c r="AZ199" s="38" t="s">
        <v>632</v>
      </c>
      <c r="BT199" s="5134" t="s">
        <v>40</v>
      </c>
      <c r="BU199" s="5134"/>
      <c r="BV199" s="5134"/>
      <c r="BW199" s="5134"/>
      <c r="BY199" s="38" t="s">
        <v>632</v>
      </c>
      <c r="CO199" s="5139" t="s">
        <v>27</v>
      </c>
      <c r="CP199" s="5139"/>
      <c r="CQ199" s="5139"/>
      <c r="CS199" s="5134" t="s">
        <v>39</v>
      </c>
      <c r="CT199" s="5134"/>
      <c r="CU199" s="5134"/>
      <c r="CV199" s="5134"/>
      <c r="CX199" s="38" t="s">
        <v>632</v>
      </c>
      <c r="DN199" s="5139" t="s">
        <v>48</v>
      </c>
      <c r="DO199" s="5139"/>
      <c r="DP199" s="5139"/>
      <c r="DR199" s="5134" t="s">
        <v>38</v>
      </c>
      <c r="DS199" s="5134"/>
      <c r="DT199" s="5134"/>
      <c r="DU199" s="5134"/>
      <c r="DV199" s="117"/>
      <c r="DW199" s="38" t="s">
        <v>632</v>
      </c>
      <c r="EP199" s="116" t="s">
        <v>37</v>
      </c>
      <c r="EQ199" s="116" t="s">
        <v>37</v>
      </c>
      <c r="ER199" s="116" t="s">
        <v>37</v>
      </c>
      <c r="ES199" s="5141" t="s">
        <v>130</v>
      </c>
      <c r="ET199" s="5141"/>
      <c r="EU199" s="76"/>
      <c r="EV199" s="38" t="s">
        <v>221</v>
      </c>
      <c r="FP199" s="5134" t="s">
        <v>47</v>
      </c>
      <c r="FQ199" s="5134"/>
      <c r="FR199" s="5134"/>
      <c r="FS199" s="5134"/>
      <c r="FT199" s="103"/>
      <c r="FU199" s="38" t="s">
        <v>220</v>
      </c>
      <c r="GO199" s="5134" t="s">
        <v>46</v>
      </c>
      <c r="GP199" s="5134"/>
      <c r="GQ199" s="5134"/>
      <c r="GR199" s="5134"/>
      <c r="GT199" s="38" t="s">
        <v>220</v>
      </c>
      <c r="HN199" s="5134" t="s">
        <v>45</v>
      </c>
      <c r="HO199" s="5134"/>
      <c r="HP199" s="5134"/>
      <c r="HQ199" s="5134"/>
      <c r="HS199" s="38" t="s">
        <v>220</v>
      </c>
      <c r="IM199" s="5134" t="s">
        <v>44</v>
      </c>
      <c r="IN199" s="5134"/>
      <c r="IO199" s="5134"/>
      <c r="IP199" s="5134"/>
      <c r="IV199" s="21"/>
    </row>
    <row r="200" spans="1:256" s="24" customFormat="1" ht="8.1" customHeight="1" thickBot="1">
      <c r="A200" s="23"/>
      <c r="M200" s="112"/>
      <c r="Z200" s="78"/>
      <c r="AL200" s="112"/>
      <c r="BK200" s="112"/>
      <c r="BX200" s="93"/>
      <c r="CJ200" s="112"/>
      <c r="CW200" s="112"/>
      <c r="DI200" s="112"/>
      <c r="DV200" s="117"/>
      <c r="EH200" s="112"/>
      <c r="EU200" s="76"/>
      <c r="FG200" s="112"/>
      <c r="GF200" s="112"/>
      <c r="HE200" s="112"/>
      <c r="HR200" s="112"/>
      <c r="ID200" s="112"/>
      <c r="IQ200" s="77"/>
      <c r="IR200" s="77"/>
      <c r="IS200" s="77"/>
      <c r="IT200" s="77"/>
      <c r="IV200" s="21"/>
    </row>
    <row r="201" spans="1:256" s="24" customFormat="1" ht="14.1" customHeight="1" thickBot="1">
      <c r="A201" s="35">
        <v>10</v>
      </c>
      <c r="B201" s="71">
        <f>'الصفحة 30'!$E$15</f>
        <v>2</v>
      </c>
      <c r="C201" s="31">
        <f>'الصفحة 30'!$F$15</f>
        <v>2</v>
      </c>
      <c r="D201" s="30">
        <f>'الصفحة 30'!$G$15</f>
        <v>1</v>
      </c>
      <c r="E201" s="111">
        <f>'الصفحة 30'!$H$15</f>
        <v>1</v>
      </c>
      <c r="F201" s="30">
        <f>'الصفحة 30'!$I$15</f>
        <v>0</v>
      </c>
      <c r="G201" s="111">
        <f>'الصفحة 30'!$J$15</f>
        <v>0</v>
      </c>
      <c r="H201" s="30">
        <f>'الصفحة 30'!$K$15</f>
        <v>0</v>
      </c>
      <c r="I201" s="111">
        <f>'الصفحة 30'!$L$15</f>
        <v>0</v>
      </c>
      <c r="J201" s="30">
        <f>'الصفحة 30'!$M$15</f>
        <v>1</v>
      </c>
      <c r="K201" s="111">
        <f>'الصفحة 30'!$N$15</f>
        <v>0</v>
      </c>
      <c r="L201" s="30">
        <f>'الصفحة 30'!$O$15</f>
        <v>0</v>
      </c>
      <c r="M201" s="111">
        <f>'الصفحة 30'!$P$15</f>
        <v>0</v>
      </c>
      <c r="N201" s="30">
        <f>'الصفحة 30'!$Q$15</f>
        <v>1</v>
      </c>
      <c r="O201" s="111">
        <f>'الصفحة 30'!$R$15</f>
        <v>0</v>
      </c>
      <c r="P201" s="30">
        <f>'الصفحة 30'!$S$15</f>
        <v>0</v>
      </c>
      <c r="Q201" s="111">
        <f>'الصفحة 30'!$T$15</f>
        <v>0</v>
      </c>
      <c r="R201" s="30">
        <f>'الصفحة 30'!$U$15</f>
        <v>0</v>
      </c>
      <c r="S201" s="111">
        <f>'الصفحة 30'!$V$15</f>
        <v>0</v>
      </c>
      <c r="T201" s="30">
        <f>'الصفحة 30'!$W$15</f>
        <v>0</v>
      </c>
      <c r="U201" s="111">
        <f>'الصفحة 30'!$X$15</f>
        <v>0</v>
      </c>
      <c r="V201" s="30">
        <f>'الصفحة 30'!$Y$15</f>
        <v>0</v>
      </c>
      <c r="W201" s="111">
        <f>'الصفحة 30'!$Z$15</f>
        <v>0</v>
      </c>
      <c r="X201" s="90">
        <f>V201+T201+R201+P201+N201+L201+J201+H201+F201+D201+B201</f>
        <v>5</v>
      </c>
      <c r="Y201" s="72">
        <f>W201+U201+S201+Q201+O201+M201+K201+I201+G201+E201+C201</f>
        <v>3</v>
      </c>
      <c r="AA201" s="71">
        <f>'الصفحة 30'!$E$16</f>
        <v>1</v>
      </c>
      <c r="AB201" s="31">
        <f>'الصفحة 30'!$F$16</f>
        <v>1</v>
      </c>
      <c r="AC201" s="30">
        <f>'الصفحة 30'!$G$16</f>
        <v>0</v>
      </c>
      <c r="AD201" s="111">
        <f>'الصفحة 30'!$H$16</f>
        <v>0</v>
      </c>
      <c r="AE201" s="30">
        <f>'الصفحة 30'!$I$16</f>
        <v>1</v>
      </c>
      <c r="AF201" s="111">
        <f>'الصفحة 30'!$J$16</f>
        <v>0</v>
      </c>
      <c r="AG201" s="30">
        <f>'الصفحة 30'!$K$16</f>
        <v>0</v>
      </c>
      <c r="AH201" s="111">
        <f>'الصفحة 30'!$L$16</f>
        <v>0</v>
      </c>
      <c r="AI201" s="30">
        <f>'الصفحة 30'!$M$16</f>
        <v>0</v>
      </c>
      <c r="AJ201" s="111">
        <f>'الصفحة 30'!$N$16</f>
        <v>0</v>
      </c>
      <c r="AK201" s="30">
        <f>'الصفحة 30'!$O$16</f>
        <v>1</v>
      </c>
      <c r="AL201" s="111">
        <f>'الصفحة 30'!$P$16</f>
        <v>1</v>
      </c>
      <c r="AM201" s="30">
        <f>'الصفحة 30'!$Q$16</f>
        <v>0</v>
      </c>
      <c r="AN201" s="111">
        <f>'الصفحة 30'!$R$16</f>
        <v>0</v>
      </c>
      <c r="AO201" s="30">
        <f>'الصفحة 30'!$S$16</f>
        <v>0</v>
      </c>
      <c r="AP201" s="111">
        <f>'الصفحة 30'!$T$16</f>
        <v>0</v>
      </c>
      <c r="AQ201" s="30">
        <f>'الصفحة 30'!$U$16</f>
        <v>0</v>
      </c>
      <c r="AR201" s="111">
        <f>'الصفحة 30'!$V$16</f>
        <v>0</v>
      </c>
      <c r="AS201" s="30">
        <f>'الصفحة 30'!$W$16</f>
        <v>0</v>
      </c>
      <c r="AT201" s="111">
        <f>'الصفحة 30'!$X$16</f>
        <v>0</v>
      </c>
      <c r="AU201" s="30">
        <f>'الصفحة 30'!$Y$16</f>
        <v>0</v>
      </c>
      <c r="AV201" s="111">
        <f>'الصفحة 30'!$Z$16</f>
        <v>0</v>
      </c>
      <c r="AW201" s="90">
        <f>AU201+AS201+AQ201+AO201+AM201+AK201+AI201+AG201+AE201+AC201+AA201</f>
        <v>3</v>
      </c>
      <c r="AX201" s="72">
        <f>AV201+AT201+AR201+AP201+AN201+AL201+AJ201+AH201+AF201+AD201+AB201</f>
        <v>2</v>
      </c>
      <c r="AZ201" s="71">
        <f>'الصفحة 30'!$E$17</f>
        <v>0</v>
      </c>
      <c r="BA201" s="31">
        <f>'الصفحة 30'!$F$17</f>
        <v>0</v>
      </c>
      <c r="BB201" s="30">
        <f>'الصفحة 30'!$G$17</f>
        <v>0</v>
      </c>
      <c r="BC201" s="111">
        <f>'الصفحة 30'!$H$17</f>
        <v>0</v>
      </c>
      <c r="BD201" s="30">
        <f>'الصفحة 30'!$I$17</f>
        <v>0</v>
      </c>
      <c r="BE201" s="111">
        <f>'الصفحة 30'!$J$17</f>
        <v>0</v>
      </c>
      <c r="BF201" s="30">
        <f>'الصفحة 30'!$K$17</f>
        <v>0</v>
      </c>
      <c r="BG201" s="111">
        <f>'الصفحة 30'!$L$17</f>
        <v>0</v>
      </c>
      <c r="BH201" s="30">
        <f>'الصفحة 30'!$M$17</f>
        <v>1</v>
      </c>
      <c r="BI201" s="111">
        <f>'الصفحة 30'!$N$17</f>
        <v>1</v>
      </c>
      <c r="BJ201" s="30">
        <f>'الصفحة 30'!$O$17</f>
        <v>0</v>
      </c>
      <c r="BK201" s="111">
        <f>'الصفحة 30'!$P$17</f>
        <v>0</v>
      </c>
      <c r="BL201" s="30">
        <f>'الصفحة 30'!$Q$17</f>
        <v>0</v>
      </c>
      <c r="BM201" s="111">
        <f>'الصفحة 30'!$R$17</f>
        <v>0</v>
      </c>
      <c r="BN201" s="30">
        <f>'الصفحة 30'!$S$17</f>
        <v>1</v>
      </c>
      <c r="BO201" s="111">
        <f>'الصفحة 30'!$T$17</f>
        <v>1</v>
      </c>
      <c r="BP201" s="30">
        <f>'الصفحة 30'!$U$17</f>
        <v>0</v>
      </c>
      <c r="BQ201" s="111">
        <f>'الصفحة 30'!$V$17</f>
        <v>0</v>
      </c>
      <c r="BR201" s="30">
        <f>'الصفحة 30'!$W$17</f>
        <v>0</v>
      </c>
      <c r="BS201" s="111">
        <f>'الصفحة 30'!$X$17</f>
        <v>0</v>
      </c>
      <c r="BT201" s="30">
        <f>'الصفحة 30'!$Y$17</f>
        <v>1</v>
      </c>
      <c r="BU201" s="111">
        <f>'الصفحة 30'!$Z$17</f>
        <v>1</v>
      </c>
      <c r="BV201" s="90">
        <f>BT201+BR201+BP201+BN201+BL201+BJ201+BH201+BF201+BD201+BB201+AZ201</f>
        <v>3</v>
      </c>
      <c r="BW201" s="72">
        <f>BU201+BS201+BQ201+BO201+BM201+BK201+BI201+BG201+BE201+BC201+BA201</f>
        <v>3</v>
      </c>
      <c r="BY201" s="71">
        <f>'الصفحة 30'!$E$18</f>
        <v>0</v>
      </c>
      <c r="BZ201" s="31">
        <f>'الصفحة 30'!$F$18</f>
        <v>0</v>
      </c>
      <c r="CA201" s="30">
        <f>'الصفحة 30'!$G$18</f>
        <v>0</v>
      </c>
      <c r="CB201" s="111">
        <f>'الصفحة 30'!$H$18</f>
        <v>0</v>
      </c>
      <c r="CC201" s="30">
        <f>'الصفحة 30'!$I$18</f>
        <v>0</v>
      </c>
      <c r="CD201" s="111">
        <f>'الصفحة 30'!$J$18</f>
        <v>0</v>
      </c>
      <c r="CE201" s="30">
        <f>'الصفحة 30'!$K$18</f>
        <v>0</v>
      </c>
      <c r="CF201" s="111">
        <f>'الصفحة 30'!$L$18</f>
        <v>0</v>
      </c>
      <c r="CG201" s="30">
        <f>'الصفحة 30'!$M$18</f>
        <v>0</v>
      </c>
      <c r="CH201" s="111">
        <f>'الصفحة 30'!$N$18</f>
        <v>0</v>
      </c>
      <c r="CI201" s="30">
        <f>'الصفحة 30'!$O$18</f>
        <v>0</v>
      </c>
      <c r="CJ201" s="111">
        <f>'الصفحة 30'!$P$18</f>
        <v>0</v>
      </c>
      <c r="CK201" s="30">
        <f>'الصفحة 30'!$Q$18</f>
        <v>0</v>
      </c>
      <c r="CL201" s="111">
        <f>'الصفحة 30'!$R$18</f>
        <v>0</v>
      </c>
      <c r="CM201" s="30">
        <f>'الصفحة 30'!$S$18</f>
        <v>0</v>
      </c>
      <c r="CN201" s="111">
        <f>'الصفحة 30'!$T$18</f>
        <v>0</v>
      </c>
      <c r="CO201" s="30">
        <f>'الصفحة 30'!$U$18</f>
        <v>0</v>
      </c>
      <c r="CP201" s="111">
        <f>'الصفحة 30'!$V$18</f>
        <v>0</v>
      </c>
      <c r="CQ201" s="30">
        <f>'الصفحة 30'!$W$18</f>
        <v>0</v>
      </c>
      <c r="CR201" s="111">
        <f>'الصفحة 30'!$X$18</f>
        <v>0</v>
      </c>
      <c r="CS201" s="30">
        <f>'الصفحة 30'!$Y$18</f>
        <v>0</v>
      </c>
      <c r="CT201" s="111">
        <f>'الصفحة 30'!$Z$18</f>
        <v>0</v>
      </c>
      <c r="CU201" s="90">
        <f>CS201+CQ201+CO201+CM201+CK201+CI201+CG201+CE201+CC201+CA201+BY201</f>
        <v>0</v>
      </c>
      <c r="CV201" s="72">
        <f>CT201+CR201+CP201+CN201+CL201+CJ201+CH201+CF201+CD201+CB201+BZ201</f>
        <v>0</v>
      </c>
      <c r="CX201" s="71">
        <f>'الصفحة 30'!$E$19</f>
        <v>0</v>
      </c>
      <c r="CY201" s="31">
        <f>'الصفحة 30'!$F$19</f>
        <v>0</v>
      </c>
      <c r="CZ201" s="30">
        <f>'الصفحة 30'!$G$19</f>
        <v>0</v>
      </c>
      <c r="DA201" s="111">
        <f>'الصفحة 30'!$H$19</f>
        <v>0</v>
      </c>
      <c r="DB201" s="30">
        <f>'الصفحة 30'!$I$19</f>
        <v>0</v>
      </c>
      <c r="DC201" s="111">
        <f>'الصفحة 30'!$J$19</f>
        <v>0</v>
      </c>
      <c r="DD201" s="30">
        <f>'الصفحة 30'!$K$19</f>
        <v>0</v>
      </c>
      <c r="DE201" s="111">
        <f>'الصفحة 30'!$L$19</f>
        <v>0</v>
      </c>
      <c r="DF201" s="30">
        <f>'الصفحة 30'!$M$19</f>
        <v>0</v>
      </c>
      <c r="DG201" s="111">
        <f>'الصفحة 30'!$N$19</f>
        <v>0</v>
      </c>
      <c r="DH201" s="30">
        <f>'الصفحة 30'!$O$19</f>
        <v>0</v>
      </c>
      <c r="DI201" s="111">
        <f>'الصفحة 30'!$P$19</f>
        <v>0</v>
      </c>
      <c r="DJ201" s="30">
        <f>'الصفحة 30'!$Q$19</f>
        <v>0</v>
      </c>
      <c r="DK201" s="111">
        <f>'الصفحة 30'!$R$19</f>
        <v>0</v>
      </c>
      <c r="DL201" s="30">
        <f>'الصفحة 30'!$S$19</f>
        <v>0</v>
      </c>
      <c r="DM201" s="111">
        <f>'الصفحة 30'!$T$19</f>
        <v>0</v>
      </c>
      <c r="DN201" s="30">
        <f>'الصفحة 30'!$U$19</f>
        <v>0</v>
      </c>
      <c r="DO201" s="111">
        <f>'الصفحة 30'!$V$19</f>
        <v>0</v>
      </c>
      <c r="DP201" s="30">
        <f>'الصفحة 30'!$W$19</f>
        <v>0</v>
      </c>
      <c r="DQ201" s="111">
        <f>'الصفحة 30'!$X$19</f>
        <v>0</v>
      </c>
      <c r="DR201" s="30">
        <f>'الصفحة 30'!$Y$19</f>
        <v>0</v>
      </c>
      <c r="DS201" s="111">
        <f>'الصفحة 30'!$Z$19</f>
        <v>0</v>
      </c>
      <c r="DT201" s="90">
        <f>DR201+DP201+DN201+DL201+DJ201+DH201+DF201+DD201+DB201+CZ201+CX201</f>
        <v>0</v>
      </c>
      <c r="DU201" s="72">
        <f>DS201+DQ201+DO201+DM201+DK201+DI201+DG201+DE201+DC201+DA201+CY201</f>
        <v>0</v>
      </c>
      <c r="DV201" s="117"/>
      <c r="DW201" s="101">
        <f>'الصفحة 30'!$E$20</f>
        <v>0</v>
      </c>
      <c r="DX201" s="52">
        <f>'الصفحة 30'!$F$20</f>
        <v>0</v>
      </c>
      <c r="DY201" s="49">
        <f>'الصفحة 30'!$G$20</f>
        <v>1</v>
      </c>
      <c r="DZ201" s="110">
        <f>'الصفحة 30'!$H$20</f>
        <v>0</v>
      </c>
      <c r="EA201" s="49">
        <f>'الصفحة 30'!$I$20</f>
        <v>0</v>
      </c>
      <c r="EB201" s="110">
        <f>'الصفحة 30'!$J$20</f>
        <v>0</v>
      </c>
      <c r="EC201" s="49">
        <f>'الصفحة 30'!$K$20</f>
        <v>0</v>
      </c>
      <c r="ED201" s="110">
        <f>'الصفحة 30'!$L$20</f>
        <v>0</v>
      </c>
      <c r="EE201" s="49">
        <f>'الصفحة 30'!$M$20</f>
        <v>1</v>
      </c>
      <c r="EF201" s="110">
        <f>'الصفحة 30'!$N$20</f>
        <v>0</v>
      </c>
      <c r="EG201" s="49">
        <f>'الصفحة 30'!$O$20</f>
        <v>0</v>
      </c>
      <c r="EH201" s="110">
        <f>'الصفحة 30'!$P$20</f>
        <v>0</v>
      </c>
      <c r="EI201" s="49">
        <f>'الصفحة 30'!$Q$20</f>
        <v>0</v>
      </c>
      <c r="EJ201" s="110">
        <f>'الصفحة 30'!$R$20</f>
        <v>0</v>
      </c>
      <c r="EK201" s="49">
        <f>'الصفحة 30'!$S$20</f>
        <v>0</v>
      </c>
      <c r="EL201" s="110">
        <f>'الصفحة 30'!$T$20</f>
        <v>0</v>
      </c>
      <c r="EM201" s="49">
        <f>'الصفحة 30'!$U$20</f>
        <v>0</v>
      </c>
      <c r="EN201" s="110">
        <f>'الصفحة 30'!$V$20</f>
        <v>0</v>
      </c>
      <c r="EO201" s="49">
        <f>'الصفحة 30'!$W$20</f>
        <v>0</v>
      </c>
      <c r="EP201" s="110">
        <f>'الصفحة 30'!$X$20</f>
        <v>0</v>
      </c>
      <c r="EQ201" s="49">
        <f>'الصفحة 30'!$Y$20</f>
        <v>0</v>
      </c>
      <c r="ER201" s="110">
        <f>'الصفحة 30'!$Z$20</f>
        <v>0</v>
      </c>
      <c r="ES201" s="100">
        <f>EQ201+EO201+EM201+EK201+EI201+EG201+EE201+EC201+EA201+DY201+DW201</f>
        <v>2</v>
      </c>
      <c r="ET201" s="99">
        <f>ER201+EP201+EN201+EL201+EJ201+EH201+EF201+ED201+EB201+DZ201+DX201</f>
        <v>0</v>
      </c>
      <c r="EU201" s="76"/>
      <c r="EV201" s="71">
        <f>'الصفحة 30'!$E$29</f>
        <v>1</v>
      </c>
      <c r="EW201" s="31">
        <f>'الصفحة 30'!$F$29</f>
        <v>1</v>
      </c>
      <c r="EX201" s="30">
        <f>'الصفحة 30'!$G$29</f>
        <v>1</v>
      </c>
      <c r="EY201" s="111">
        <f>'الصفحة 30'!$H$29</f>
        <v>1</v>
      </c>
      <c r="EZ201" s="30">
        <f>'الصفحة 30'!$I$29</f>
        <v>0</v>
      </c>
      <c r="FA201" s="111">
        <f>'الصفحة 30'!$J$29</f>
        <v>0</v>
      </c>
      <c r="FB201" s="30">
        <f>'الصفحة 30'!$K$29</f>
        <v>0</v>
      </c>
      <c r="FC201" s="111">
        <f>'الصفحة 30'!$L$29</f>
        <v>0</v>
      </c>
      <c r="FD201" s="30">
        <f>'الصفحة 30'!$M$29</f>
        <v>0</v>
      </c>
      <c r="FE201" s="111">
        <f>'الصفحة 30'!$N$29</f>
        <v>0</v>
      </c>
      <c r="FF201" s="30">
        <f>'الصفحة 30'!$O$29</f>
        <v>0</v>
      </c>
      <c r="FG201" s="111">
        <f>'الصفحة 30'!$P$29</f>
        <v>0</v>
      </c>
      <c r="FH201" s="30">
        <f>'الصفحة 30'!$Q$29</f>
        <v>0</v>
      </c>
      <c r="FI201" s="111">
        <f>'الصفحة 30'!$R$29</f>
        <v>0</v>
      </c>
      <c r="FJ201" s="30">
        <f>'الصفحة 30'!$S$29</f>
        <v>0</v>
      </c>
      <c r="FK201" s="111">
        <f>'الصفحة 30'!$T$29</f>
        <v>0</v>
      </c>
      <c r="FL201" s="30">
        <f>'الصفحة 30'!$U$29</f>
        <v>0</v>
      </c>
      <c r="FM201" s="111">
        <f>'الصفحة 30'!$V$29</f>
        <v>0</v>
      </c>
      <c r="FN201" s="30">
        <f>'الصفحة 30'!$W$29</f>
        <v>0</v>
      </c>
      <c r="FO201" s="111">
        <f>'الصفحة 30'!$X$29</f>
        <v>0</v>
      </c>
      <c r="FP201" s="30">
        <f>'الصفحة 30'!$Y$29</f>
        <v>0</v>
      </c>
      <c r="FQ201" s="111">
        <f>'الصفحة 30'!$Z$29</f>
        <v>0</v>
      </c>
      <c r="FR201" s="90">
        <f>FP201+FN201+FL201+FJ201+FH201+FF201+FD201+FB201+EZ201+EX201+EV201</f>
        <v>2</v>
      </c>
      <c r="FS201" s="72">
        <f>FQ201+FO201+FM201+FK201+FI201+FG201+FE201+FC201+FA201+EY201+EW201</f>
        <v>2</v>
      </c>
      <c r="FU201" s="71">
        <f>'الصفحة 30'!$E$30</f>
        <v>0</v>
      </c>
      <c r="FV201" s="31">
        <f>'الصفحة 30'!$F$30</f>
        <v>0</v>
      </c>
      <c r="FW201" s="30">
        <f>'الصفحة 30'!$G$30</f>
        <v>0</v>
      </c>
      <c r="FX201" s="111">
        <f>'الصفحة 30'!$H$30</f>
        <v>0</v>
      </c>
      <c r="FY201" s="30">
        <f>'الصفحة 30'!$I$30</f>
        <v>0</v>
      </c>
      <c r="FZ201" s="111">
        <f>'الصفحة 30'!$J$30</f>
        <v>0</v>
      </c>
      <c r="GA201" s="30">
        <f>'الصفحة 30'!$K$30</f>
        <v>0</v>
      </c>
      <c r="GB201" s="111">
        <f>'الصفحة 30'!$L$30</f>
        <v>0</v>
      </c>
      <c r="GC201" s="30">
        <f>'الصفحة 30'!$M$30</f>
        <v>0</v>
      </c>
      <c r="GD201" s="111">
        <f>'الصفحة 30'!$N$30</f>
        <v>0</v>
      </c>
      <c r="GE201" s="30">
        <f>'الصفحة 30'!$O$30</f>
        <v>0</v>
      </c>
      <c r="GF201" s="111">
        <f>'الصفحة 30'!$P$30</f>
        <v>0</v>
      </c>
      <c r="GG201" s="30">
        <f>'الصفحة 30'!$Q$30</f>
        <v>0</v>
      </c>
      <c r="GH201" s="111">
        <f>'الصفحة 30'!$R$30</f>
        <v>0</v>
      </c>
      <c r="GI201" s="30">
        <f>'الصفحة 30'!$S$30</f>
        <v>0</v>
      </c>
      <c r="GJ201" s="111">
        <f>'الصفحة 30'!$T$30</f>
        <v>0</v>
      </c>
      <c r="GK201" s="30">
        <f>'الصفحة 30'!$U$30</f>
        <v>0</v>
      </c>
      <c r="GL201" s="111">
        <f>'الصفحة 30'!$V$30</f>
        <v>0</v>
      </c>
      <c r="GM201" s="30">
        <f>'الصفحة 30'!$W$30</f>
        <v>0</v>
      </c>
      <c r="GN201" s="111">
        <f>'الصفحة 30'!$X$30</f>
        <v>0</v>
      </c>
      <c r="GO201" s="30">
        <f>'الصفحة 30'!$Y$30</f>
        <v>0</v>
      </c>
      <c r="GP201" s="111">
        <f>'الصفحة 30'!$Z$30</f>
        <v>0</v>
      </c>
      <c r="GQ201" s="90">
        <f>GO201+GM201+GK201+GI201+GG201+GE201+GC201+GA201+FY201+FW201+FU201</f>
        <v>0</v>
      </c>
      <c r="GR201" s="72">
        <f>GP201+GN201+GL201+GJ201+GH201+GF201+GD201+GB201+FZ201+FX201+FV201</f>
        <v>0</v>
      </c>
      <c r="GT201" s="71">
        <f>'الصفحة 30'!$E$31</f>
        <v>0</v>
      </c>
      <c r="GU201" s="31">
        <f>'الصفحة 30'!$F$31</f>
        <v>0</v>
      </c>
      <c r="GV201" s="30">
        <f>'الصفحة 30'!$G$31</f>
        <v>0</v>
      </c>
      <c r="GW201" s="111">
        <f>'الصفحة 30'!$H$31</f>
        <v>0</v>
      </c>
      <c r="GX201" s="30">
        <f>'الصفحة 30'!$I$31</f>
        <v>0</v>
      </c>
      <c r="GY201" s="111">
        <f>'الصفحة 30'!$J$31</f>
        <v>0</v>
      </c>
      <c r="GZ201" s="30">
        <f>'الصفحة 30'!$K$31</f>
        <v>0</v>
      </c>
      <c r="HA201" s="111">
        <f>'الصفحة 30'!$L$31</f>
        <v>0</v>
      </c>
      <c r="HB201" s="30">
        <f>'الصفحة 30'!$M$31</f>
        <v>0</v>
      </c>
      <c r="HC201" s="111">
        <f>'الصفحة 30'!$N$31</f>
        <v>0</v>
      </c>
      <c r="HD201" s="30">
        <f>'الصفحة 30'!$O$31</f>
        <v>0</v>
      </c>
      <c r="HE201" s="111">
        <f>'الصفحة 30'!$P$31</f>
        <v>0</v>
      </c>
      <c r="HF201" s="30">
        <f>'الصفحة 30'!$Q$31</f>
        <v>0</v>
      </c>
      <c r="HG201" s="111">
        <f>'الصفحة 30'!$R$31</f>
        <v>0</v>
      </c>
      <c r="HH201" s="30">
        <f>'الصفحة 30'!$S$31</f>
        <v>0</v>
      </c>
      <c r="HI201" s="111">
        <f>'الصفحة 30'!$T$31</f>
        <v>0</v>
      </c>
      <c r="HJ201" s="30">
        <f>'الصفحة 30'!$U$31</f>
        <v>0</v>
      </c>
      <c r="HK201" s="111">
        <f>'الصفحة 30'!$V$31</f>
        <v>0</v>
      </c>
      <c r="HL201" s="30">
        <f>'الصفحة 30'!$W$31</f>
        <v>0</v>
      </c>
      <c r="HM201" s="111">
        <f>'الصفحة 30'!$X$31</f>
        <v>0</v>
      </c>
      <c r="HN201" s="30">
        <f>'الصفحة 30'!$Y$31</f>
        <v>0</v>
      </c>
      <c r="HO201" s="111">
        <f>'الصفحة 30'!$Z$31</f>
        <v>0</v>
      </c>
      <c r="HP201" s="90">
        <f>HN201+HL201+HJ201+HH201+HF201+HD201+HB201+GZ201+GX201+GV201+GT201</f>
        <v>0</v>
      </c>
      <c r="HQ201" s="72">
        <f>HO201+HM201+HK201+HI201+HG201+HE201+HC201+HA201+GY201+GW201+GU201</f>
        <v>0</v>
      </c>
      <c r="HS201" s="71">
        <f>'الصفحة 30'!$E$32</f>
        <v>2</v>
      </c>
      <c r="HT201" s="31">
        <f>'الصفحة 30'!$F$32</f>
        <v>2</v>
      </c>
      <c r="HU201" s="30">
        <f>'الصفحة 30'!$G$32</f>
        <v>0</v>
      </c>
      <c r="HV201" s="111">
        <f>'الصفحة 30'!$H$32</f>
        <v>0</v>
      </c>
      <c r="HW201" s="30">
        <f>'الصفحة 30'!$I$32</f>
        <v>0</v>
      </c>
      <c r="HX201" s="111">
        <f>'الصفحة 30'!$J$32</f>
        <v>0</v>
      </c>
      <c r="HY201" s="30">
        <f>'الصفحة 30'!$K$32</f>
        <v>0</v>
      </c>
      <c r="HZ201" s="111">
        <f>'الصفحة 30'!$L$32</f>
        <v>0</v>
      </c>
      <c r="IA201" s="30">
        <f>'الصفحة 30'!$M$32</f>
        <v>0</v>
      </c>
      <c r="IB201" s="111">
        <f>'الصفحة 30'!$N$32</f>
        <v>0</v>
      </c>
      <c r="IC201" s="30">
        <f>'الصفحة 30'!$O$32</f>
        <v>0</v>
      </c>
      <c r="ID201" s="111">
        <f>'الصفحة 30'!$P$32</f>
        <v>0</v>
      </c>
      <c r="IE201" s="30">
        <f>'الصفحة 30'!$Q$32</f>
        <v>0</v>
      </c>
      <c r="IF201" s="111">
        <f>'الصفحة 30'!$R$32</f>
        <v>0</v>
      </c>
      <c r="IG201" s="30">
        <f>'الصفحة 30'!$S$32</f>
        <v>0</v>
      </c>
      <c r="IH201" s="111">
        <f>'الصفحة 30'!$T$32</f>
        <v>0</v>
      </c>
      <c r="II201" s="30">
        <f>'الصفحة 30'!$U$32</f>
        <v>0</v>
      </c>
      <c r="IJ201" s="111">
        <f>'الصفحة 30'!$V$32</f>
        <v>0</v>
      </c>
      <c r="IK201" s="30">
        <f>'الصفحة 30'!$W$32</f>
        <v>0</v>
      </c>
      <c r="IL201" s="111">
        <f>'الصفحة 30'!$X$32</f>
        <v>0</v>
      </c>
      <c r="IM201" s="30">
        <f>'الصفحة 30'!$Y$32</f>
        <v>0</v>
      </c>
      <c r="IN201" s="111">
        <f>'الصفحة 30'!$Z$32</f>
        <v>0</v>
      </c>
      <c r="IO201" s="90">
        <f>IM201+IK201+II201+IG201+IE201+IC201+IA201+HY201+HW201+HU201+HS201</f>
        <v>2</v>
      </c>
      <c r="IP201" s="72">
        <f>IN201+IL201+IJ201+IH201+IF201+ID201+IB201+HZ201+HX201+HV201+HT201</f>
        <v>2</v>
      </c>
      <c r="IR201" s="27"/>
      <c r="IS201" s="27"/>
      <c r="IT201" s="27"/>
      <c r="IV201" s="21"/>
    </row>
    <row r="202" spans="1:256" s="24" customFormat="1" ht="14.1" customHeight="1" thickBot="1">
      <c r="A202" s="23"/>
      <c r="BY202" s="581">
        <f>'الصفحة 30'!$E$23</f>
        <v>0</v>
      </c>
      <c r="BZ202" s="582">
        <f>'الصفحة 30'!$F$23</f>
        <v>0</v>
      </c>
      <c r="CA202" s="583">
        <f>'الصفحة 30'!$G$23</f>
        <v>0</v>
      </c>
      <c r="CB202" s="584">
        <f>'الصفحة 30'!$H$23</f>
        <v>0</v>
      </c>
      <c r="CC202" s="583">
        <f>'الصفحة 30'!$I$23</f>
        <v>0</v>
      </c>
      <c r="CD202" s="584">
        <f>'الصفحة 30'!$J$23</f>
        <v>0</v>
      </c>
      <c r="CE202" s="583">
        <f>'الصفحة 30'!$K$23</f>
        <v>0</v>
      </c>
      <c r="CF202" s="584">
        <f>'الصفحة 30'!$L$23</f>
        <v>0</v>
      </c>
      <c r="CG202" s="583">
        <f>'الصفحة 30'!$M$23</f>
        <v>0</v>
      </c>
      <c r="CH202" s="584">
        <f>'الصفحة 30'!$N$23</f>
        <v>0</v>
      </c>
      <c r="CI202" s="583">
        <f>'الصفحة 30'!$O$23</f>
        <v>0</v>
      </c>
      <c r="CJ202" s="584">
        <f>'الصفحة 30'!$P$23</f>
        <v>0</v>
      </c>
      <c r="CK202" s="583">
        <f>'الصفحة 30'!$Q$23</f>
        <v>0</v>
      </c>
      <c r="CL202" s="584">
        <f>'الصفحة 30'!$R$23</f>
        <v>0</v>
      </c>
      <c r="CM202" s="583">
        <f>'الصفحة 30'!$S$23</f>
        <v>0</v>
      </c>
      <c r="CN202" s="584">
        <f>'الصفحة 30'!$T$23</f>
        <v>0</v>
      </c>
      <c r="CO202" s="583">
        <f>'الصفحة 30'!$U$23</f>
        <v>0</v>
      </c>
      <c r="CP202" s="584">
        <f>'الصفحة 30'!$V$23</f>
        <v>0</v>
      </c>
      <c r="CQ202" s="583">
        <f>'الصفحة 30'!$W$23</f>
        <v>0</v>
      </c>
      <c r="CR202" s="584">
        <f>'الصفحة 30'!$X$23</f>
        <v>0</v>
      </c>
      <c r="CS202" s="583">
        <f>'الصفحة 30'!$Y$23</f>
        <v>0</v>
      </c>
      <c r="CT202" s="584">
        <f>'الصفحة 30'!$Z$23</f>
        <v>0</v>
      </c>
      <c r="CU202" s="585">
        <f>CS202+CQ202+CO202+CM202+CK202+CI202+CG202+CE202+CC202+CA202+BY202</f>
        <v>0</v>
      </c>
      <c r="CV202" s="586">
        <f>CT202+CR202+CP202+CN202+CL202+CJ202+CH202+CF202+CD202+CB202+BZ202</f>
        <v>0</v>
      </c>
      <c r="CX202" s="581">
        <f>'الصفحة 30'!$E$21</f>
        <v>0</v>
      </c>
      <c r="CY202" s="582">
        <f>'الصفحة 30'!$F$21</f>
        <v>0</v>
      </c>
      <c r="CZ202" s="583">
        <f>'الصفحة 30'!$G$21</f>
        <v>0</v>
      </c>
      <c r="DA202" s="584">
        <f>'الصفحة 30'!$H$21</f>
        <v>0</v>
      </c>
      <c r="DB202" s="583">
        <f>'الصفحة 30'!$I$21</f>
        <v>0</v>
      </c>
      <c r="DC202" s="584">
        <f>'الصفحة 30'!$J$21</f>
        <v>0</v>
      </c>
      <c r="DD202" s="583">
        <f>'الصفحة 30'!$K$21</f>
        <v>0</v>
      </c>
      <c r="DE202" s="584">
        <f>'الصفحة 30'!$L$21</f>
        <v>0</v>
      </c>
      <c r="DF202" s="583">
        <f>'الصفحة 30'!$M$21</f>
        <v>0</v>
      </c>
      <c r="DG202" s="584">
        <f>'الصفحة 30'!$N$21</f>
        <v>0</v>
      </c>
      <c r="DH202" s="583">
        <f>'الصفحة 30'!$O$21</f>
        <v>0</v>
      </c>
      <c r="DI202" s="584">
        <f>'الصفحة 30'!$P$21</f>
        <v>0</v>
      </c>
      <c r="DJ202" s="583">
        <f>'الصفحة 30'!$Q$21</f>
        <v>0</v>
      </c>
      <c r="DK202" s="584">
        <f>'الصفحة 30'!$R$21</f>
        <v>0</v>
      </c>
      <c r="DL202" s="583">
        <f>'الصفحة 30'!$S$21</f>
        <v>0</v>
      </c>
      <c r="DM202" s="584">
        <f>'الصفحة 30'!$T$21</f>
        <v>0</v>
      </c>
      <c r="DN202" s="583">
        <f>'الصفحة 30'!$U$21</f>
        <v>0</v>
      </c>
      <c r="DO202" s="584">
        <f>'الصفحة 30'!$V$21</f>
        <v>0</v>
      </c>
      <c r="DP202" s="583">
        <f>'الصفحة 30'!$W$21</f>
        <v>0</v>
      </c>
      <c r="DQ202" s="584">
        <f>'الصفحة 30'!$X$21</f>
        <v>0</v>
      </c>
      <c r="DR202" s="583">
        <f>'الصفحة 30'!$Y$21</f>
        <v>0</v>
      </c>
      <c r="DS202" s="584">
        <f>'الصفحة 30'!$Z$21</f>
        <v>0</v>
      </c>
      <c r="DT202" s="585">
        <f>DR202+DP202+DN202+DL202+DJ202+DH202+DF202+DD202+DB202+CZ202+CX202</f>
        <v>0</v>
      </c>
      <c r="DU202" s="586">
        <f>DS202+DQ202+DO202+DM202+DK202+DI202+DG202+DE202+DC202+DA202+CY202</f>
        <v>0</v>
      </c>
      <c r="DV202" s="117"/>
      <c r="DW202" s="46">
        <f>'الصفحة 30'!$E$22</f>
        <v>10</v>
      </c>
      <c r="DX202" s="43">
        <f>'الصفحة 30'!$F$22</f>
        <v>8</v>
      </c>
      <c r="DY202" s="43">
        <f>'الصفحة 30'!$G$22</f>
        <v>3</v>
      </c>
      <c r="DZ202" s="43">
        <f>'الصفحة 30'!$H$22</f>
        <v>2</v>
      </c>
      <c r="EA202" s="43">
        <f>'الصفحة 30'!$I$22</f>
        <v>2</v>
      </c>
      <c r="EB202" s="43">
        <f>'الصفحة 30'!$J$22</f>
        <v>1</v>
      </c>
      <c r="EC202" s="43">
        <f>'الصفحة 30'!$K$22</f>
        <v>4</v>
      </c>
      <c r="ED202" s="43">
        <f>'الصفحة 30'!$L$22</f>
        <v>3</v>
      </c>
      <c r="EE202" s="43">
        <f>'الصفحة 30'!$M$22</f>
        <v>5</v>
      </c>
      <c r="EF202" s="43">
        <f>'الصفحة 30'!$N$22</f>
        <v>3</v>
      </c>
      <c r="EG202" s="43">
        <f>'الصفحة 30'!$O$22</f>
        <v>1</v>
      </c>
      <c r="EH202" s="43">
        <f>'الصفحة 30'!$P$22</f>
        <v>1</v>
      </c>
      <c r="EI202" s="43">
        <f>'الصفحة 30'!$Q$22</f>
        <v>1</v>
      </c>
      <c r="EJ202" s="43">
        <f>'الصفحة 30'!$R$22</f>
        <v>0</v>
      </c>
      <c r="EK202" s="43">
        <f>'الصفحة 30'!$S$22</f>
        <v>1</v>
      </c>
      <c r="EL202" s="43">
        <f>'الصفحة 30'!$T$22</f>
        <v>1</v>
      </c>
      <c r="EM202" s="43">
        <f>'الصفحة 30'!$U$22</f>
        <v>0</v>
      </c>
      <c r="EN202" s="43">
        <f>'الصفحة 30'!$V$22</f>
        <v>0</v>
      </c>
      <c r="EO202" s="43">
        <f>'الصفحة 30'!$W$22</f>
        <v>0</v>
      </c>
      <c r="EP202" s="43">
        <f>'الصفحة 30'!$X$22</f>
        <v>0</v>
      </c>
      <c r="EQ202" s="43">
        <f>'الصفحة 30'!$Y$22</f>
        <v>1</v>
      </c>
      <c r="ER202" s="43">
        <f>'الصفحة 30'!$Z$22</f>
        <v>1</v>
      </c>
      <c r="ES202" s="45">
        <f>EQ202+EO202+EM202+EK202+EI202+EG202+EE202+EC202+EA202+DY202+DW202</f>
        <v>28</v>
      </c>
      <c r="ET202" s="98">
        <f>ER202+EP202+EN202+EL202+EJ202+EH202+EF202+ED202+EB202+DZ202+DX202</f>
        <v>20</v>
      </c>
      <c r="EU202" s="76"/>
      <c r="EV202" s="117"/>
      <c r="EW202" s="117"/>
      <c r="EX202" s="117"/>
      <c r="EY202" s="117"/>
      <c r="EZ202" s="117"/>
      <c r="FA202" s="117"/>
      <c r="FB202" s="117"/>
      <c r="FC202" s="117"/>
      <c r="FD202" s="117"/>
      <c r="FE202" s="117"/>
      <c r="FF202" s="117"/>
      <c r="FG202" s="117"/>
      <c r="FH202" s="117"/>
      <c r="FI202" s="117"/>
      <c r="FJ202" s="117"/>
      <c r="FK202" s="117"/>
      <c r="FL202" s="117"/>
      <c r="FM202" s="117"/>
      <c r="FN202" s="117"/>
      <c r="FO202" s="117"/>
      <c r="FP202" s="117"/>
      <c r="FQ202" s="117"/>
      <c r="FR202" s="117"/>
      <c r="FS202" s="117"/>
      <c r="FT202" s="117"/>
      <c r="FU202" s="117"/>
      <c r="FV202" s="117"/>
      <c r="FW202" s="117"/>
      <c r="FX202" s="117"/>
      <c r="FY202" s="117"/>
      <c r="FZ202" s="117"/>
      <c r="GA202" s="117"/>
      <c r="GB202" s="117"/>
      <c r="GC202" s="117"/>
      <c r="GD202" s="117"/>
      <c r="GE202" s="117"/>
      <c r="GF202" s="117"/>
      <c r="GG202" s="117"/>
      <c r="GH202" s="117"/>
      <c r="GI202" s="117"/>
      <c r="GJ202" s="117"/>
      <c r="GK202" s="117"/>
      <c r="GL202" s="117"/>
      <c r="GM202" s="117"/>
      <c r="GN202" s="117"/>
      <c r="GO202" s="117"/>
      <c r="GP202" s="117"/>
      <c r="GQ202" s="117"/>
      <c r="GR202" s="117"/>
      <c r="IV202" s="21"/>
    </row>
    <row r="203" spans="1:256" s="24" customFormat="1" ht="6" customHeight="1">
      <c r="A203" s="23"/>
      <c r="B203" s="22"/>
      <c r="C203" s="22"/>
      <c r="D203" s="22"/>
      <c r="E203" s="22"/>
      <c r="F203" s="22"/>
      <c r="G203" s="22"/>
      <c r="H203" s="22"/>
      <c r="I203" s="22"/>
      <c r="J203" s="22"/>
      <c r="K203" s="22"/>
      <c r="L203" s="22"/>
      <c r="M203" s="22"/>
      <c r="N203" s="22"/>
      <c r="O203" s="22"/>
      <c r="P203" s="22"/>
      <c r="Q203" s="22"/>
      <c r="R203" s="22"/>
      <c r="S203" s="22"/>
      <c r="T203" s="22"/>
      <c r="U203" s="22"/>
      <c r="V203" s="22"/>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c r="CV203" s="21"/>
      <c r="CW203" s="21"/>
      <c r="CX203" s="21"/>
      <c r="CY203" s="21"/>
      <c r="CZ203" s="21"/>
      <c r="DA203" s="21"/>
      <c r="DB203" s="21"/>
      <c r="DC203" s="21"/>
      <c r="DD203" s="21"/>
      <c r="DE203" s="21"/>
      <c r="DF203" s="21"/>
      <c r="DG203" s="21"/>
      <c r="DH203" s="21"/>
      <c r="DI203" s="21"/>
      <c r="DJ203" s="21"/>
      <c r="DK203" s="21"/>
      <c r="DL203" s="21"/>
      <c r="DM203" s="21"/>
      <c r="DN203" s="21"/>
      <c r="DO203" s="21"/>
      <c r="DP203" s="21"/>
      <c r="DQ203" s="21"/>
      <c r="DR203" s="21"/>
      <c r="DS203" s="21"/>
      <c r="DT203" s="21"/>
      <c r="DU203" s="21"/>
      <c r="DV203" s="21"/>
      <c r="DW203" s="21"/>
      <c r="DX203" s="21"/>
      <c r="DY203" s="21"/>
      <c r="DZ203" s="21"/>
      <c r="EA203" s="21"/>
      <c r="EB203" s="21"/>
      <c r="EC203" s="21"/>
      <c r="ED203" s="21"/>
      <c r="EE203" s="21"/>
      <c r="EF203" s="21"/>
      <c r="EG203" s="21"/>
      <c r="EH203" s="21"/>
      <c r="EI203" s="21"/>
      <c r="EJ203" s="21"/>
      <c r="EK203" s="21"/>
      <c r="EL203" s="21"/>
      <c r="EM203" s="21"/>
      <c r="EN203" s="21"/>
      <c r="EO203" s="21"/>
      <c r="EP203" s="21"/>
      <c r="EQ203" s="21"/>
      <c r="ER203" s="21"/>
      <c r="ES203" s="21"/>
      <c r="ET203" s="21"/>
      <c r="EU203" s="21"/>
      <c r="EV203" s="21"/>
      <c r="EW203" s="21"/>
      <c r="EX203" s="21"/>
      <c r="EY203" s="21"/>
      <c r="EZ203" s="21"/>
      <c r="FA203" s="21"/>
      <c r="FB203" s="21"/>
      <c r="FC203" s="21"/>
      <c r="FD203" s="21"/>
      <c r="FE203" s="21"/>
      <c r="FF203" s="21"/>
      <c r="FG203" s="21"/>
      <c r="FH203" s="21"/>
      <c r="FI203" s="21"/>
      <c r="FJ203" s="21"/>
      <c r="FK203" s="21"/>
      <c r="FL203" s="21"/>
      <c r="FM203" s="21"/>
      <c r="FN203" s="21"/>
      <c r="FO203" s="21"/>
      <c r="FP203" s="21"/>
      <c r="FQ203" s="21"/>
      <c r="FR203" s="21"/>
      <c r="FS203" s="21"/>
      <c r="FT203" s="21"/>
      <c r="FU203" s="21"/>
      <c r="FV203" s="21"/>
      <c r="FW203" s="21"/>
      <c r="FX203" s="21"/>
      <c r="FY203" s="21"/>
      <c r="FZ203" s="21"/>
      <c r="GA203" s="21"/>
      <c r="GB203" s="21"/>
      <c r="GC203" s="21"/>
      <c r="GD203" s="21"/>
      <c r="GE203" s="21"/>
      <c r="GF203" s="21"/>
      <c r="GG203" s="21"/>
      <c r="GH203" s="21"/>
      <c r="GI203" s="21"/>
      <c r="GJ203" s="21"/>
      <c r="GK203" s="21"/>
      <c r="GL203" s="21"/>
      <c r="GM203" s="21"/>
      <c r="GN203" s="21"/>
      <c r="GO203" s="21"/>
      <c r="GP203" s="21"/>
      <c r="GQ203" s="21"/>
      <c r="GR203" s="21"/>
      <c r="GS203" s="21"/>
      <c r="GT203" s="21"/>
      <c r="GU203" s="21"/>
      <c r="GV203" s="21"/>
      <c r="GW203" s="21"/>
      <c r="GX203" s="21"/>
      <c r="GY203" s="21"/>
      <c r="GZ203" s="21"/>
      <c r="HA203" s="21"/>
      <c r="HB203" s="21"/>
      <c r="HC203" s="21"/>
      <c r="HD203" s="21"/>
      <c r="HE203" s="21"/>
      <c r="HF203" s="21"/>
      <c r="HG203" s="21"/>
      <c r="HH203" s="21"/>
      <c r="HI203" s="21"/>
      <c r="HJ203" s="21"/>
      <c r="HK203" s="21"/>
      <c r="HL203" s="21"/>
      <c r="HM203" s="21"/>
      <c r="HN203" s="21"/>
      <c r="HO203" s="21"/>
      <c r="HP203" s="21"/>
      <c r="HQ203" s="21"/>
      <c r="HR203" s="21"/>
      <c r="HS203" s="21"/>
      <c r="HT203" s="21"/>
      <c r="HU203" s="21"/>
      <c r="HV203" s="21"/>
      <c r="HW203" s="21"/>
      <c r="HX203" s="21"/>
      <c r="HY203" s="21"/>
      <c r="HZ203" s="21"/>
      <c r="IA203" s="21"/>
      <c r="IB203" s="21"/>
      <c r="IC203" s="21"/>
      <c r="ID203" s="21"/>
      <c r="IE203" s="21"/>
      <c r="IF203" s="21"/>
      <c r="IG203" s="21"/>
      <c r="IH203" s="21"/>
      <c r="II203" s="21"/>
      <c r="IJ203" s="21"/>
      <c r="IK203" s="21"/>
      <c r="IL203" s="21"/>
      <c r="IM203" s="21"/>
      <c r="IN203" s="21"/>
      <c r="IO203" s="21"/>
      <c r="IP203" s="21"/>
      <c r="IQ203" s="21"/>
      <c r="IR203" s="21"/>
      <c r="IS203" s="21"/>
      <c r="IT203" s="21"/>
      <c r="IV203" s="21"/>
    </row>
    <row r="204" spans="1:256" s="24" customFormat="1" ht="15" customHeight="1">
      <c r="A204" s="23"/>
      <c r="B204" s="38" t="s">
        <v>220</v>
      </c>
      <c r="V204" s="5134" t="s">
        <v>43</v>
      </c>
      <c r="W204" s="5134"/>
      <c r="X204" s="5134"/>
      <c r="Y204" s="5134"/>
      <c r="AA204" s="38" t="s">
        <v>220</v>
      </c>
      <c r="AU204" s="5134" t="s">
        <v>42</v>
      </c>
      <c r="AV204" s="5134"/>
      <c r="AW204" s="5134"/>
      <c r="AX204" s="5134"/>
      <c r="AZ204" s="38" t="s">
        <v>220</v>
      </c>
      <c r="BT204" s="5766" t="s">
        <v>41</v>
      </c>
      <c r="BU204" s="5766"/>
      <c r="BV204" s="5766"/>
      <c r="BW204" s="5766"/>
      <c r="BY204" s="38" t="s">
        <v>220</v>
      </c>
      <c r="CS204" s="5134" t="s">
        <v>40</v>
      </c>
      <c r="CT204" s="5134"/>
      <c r="CU204" s="5134"/>
      <c r="CV204" s="5134"/>
      <c r="CX204" s="38" t="s">
        <v>220</v>
      </c>
      <c r="DN204" s="5139" t="s">
        <v>27</v>
      </c>
      <c r="DO204" s="5139"/>
      <c r="DP204" s="5139"/>
      <c r="DR204" s="5134" t="s">
        <v>39</v>
      </c>
      <c r="DS204" s="5134"/>
      <c r="DT204" s="5134"/>
      <c r="DU204" s="5134"/>
      <c r="DW204" s="38" t="s">
        <v>220</v>
      </c>
      <c r="EM204" s="5139" t="s">
        <v>48</v>
      </c>
      <c r="EN204" s="5139"/>
      <c r="EO204" s="5139"/>
      <c r="EQ204" s="5134" t="s">
        <v>38</v>
      </c>
      <c r="ER204" s="5134"/>
      <c r="ES204" s="5134"/>
      <c r="ET204" s="5134"/>
      <c r="EV204" s="38" t="s">
        <v>220</v>
      </c>
      <c r="FN204" s="116" t="s">
        <v>37</v>
      </c>
      <c r="FO204" s="116"/>
      <c r="FP204" s="116"/>
      <c r="FQ204" s="116"/>
      <c r="FR204" s="5141" t="s">
        <v>130</v>
      </c>
      <c r="FS204" s="5141"/>
      <c r="FT204" s="120"/>
      <c r="FU204" s="38" t="s">
        <v>219</v>
      </c>
      <c r="GN204" s="103"/>
      <c r="GQ204" s="5134" t="s">
        <v>215</v>
      </c>
      <c r="GR204" s="5134"/>
      <c r="GS204" s="5134"/>
      <c r="GT204" s="5134"/>
      <c r="GV204" s="38" t="s">
        <v>218</v>
      </c>
      <c r="GW204" s="103"/>
      <c r="HR204" s="5134" t="s">
        <v>46</v>
      </c>
      <c r="HS204" s="5134"/>
      <c r="HT204" s="5134"/>
      <c r="HU204" s="5134"/>
      <c r="IQ204" s="117"/>
      <c r="IR204" s="117"/>
      <c r="IS204" s="117"/>
      <c r="IT204" s="117"/>
      <c r="IV204" s="21"/>
    </row>
    <row r="205" spans="1:256" s="24" customFormat="1" ht="8.1" customHeight="1" thickBot="1">
      <c r="A205" s="23"/>
      <c r="M205" s="112"/>
      <c r="Z205" s="112"/>
      <c r="AL205" s="112"/>
      <c r="BK205" s="112"/>
      <c r="BX205" s="93"/>
      <c r="CJ205" s="112"/>
      <c r="CW205" s="93"/>
      <c r="DI205" s="112"/>
      <c r="DV205" s="112"/>
      <c r="EH205" s="112"/>
      <c r="FG205" s="112"/>
      <c r="FT205" s="76"/>
      <c r="GF205" s="112"/>
      <c r="HI205" s="112"/>
      <c r="IQ205" s="117"/>
      <c r="IR205" s="117"/>
      <c r="IS205" s="117"/>
      <c r="IT205" s="117"/>
      <c r="IV205" s="21"/>
    </row>
    <row r="206" spans="1:256" s="24" customFormat="1" ht="14.1" customHeight="1" thickBot="1">
      <c r="A206" s="35">
        <v>11</v>
      </c>
      <c r="B206" s="71">
        <f>'الصفحة 30'!$E$33</f>
        <v>1</v>
      </c>
      <c r="C206" s="31">
        <f>'الصفحة 30'!$F$33</f>
        <v>1</v>
      </c>
      <c r="D206" s="30">
        <f>'الصفحة 30'!$G$33</f>
        <v>0</v>
      </c>
      <c r="E206" s="111">
        <f>'الصفحة 30'!$H$33</f>
        <v>0</v>
      </c>
      <c r="F206" s="30">
        <f>'الصفحة 30'!$I$33</f>
        <v>0</v>
      </c>
      <c r="G206" s="111">
        <f>'الصفحة 30'!$J$33</f>
        <v>0</v>
      </c>
      <c r="H206" s="30">
        <f>'الصفحة 30'!$K$33</f>
        <v>0</v>
      </c>
      <c r="I206" s="111">
        <f>'الصفحة 30'!$L$33</f>
        <v>0</v>
      </c>
      <c r="J206" s="30">
        <f>'الصفحة 30'!$M$33</f>
        <v>0</v>
      </c>
      <c r="K206" s="111">
        <f>'الصفحة 30'!$N$33</f>
        <v>0</v>
      </c>
      <c r="L206" s="30">
        <f>'الصفحة 30'!$O$33</f>
        <v>0</v>
      </c>
      <c r="M206" s="111">
        <f>'الصفحة 30'!$P$33</f>
        <v>0</v>
      </c>
      <c r="N206" s="30">
        <f>'الصفحة 30'!$Q$33</f>
        <v>0</v>
      </c>
      <c r="O206" s="111">
        <f>'الصفحة 30'!$R$33</f>
        <v>0</v>
      </c>
      <c r="P206" s="30">
        <f>'الصفحة 30'!$S$33</f>
        <v>0</v>
      </c>
      <c r="Q206" s="111">
        <f>'الصفحة 30'!$T$33</f>
        <v>0</v>
      </c>
      <c r="R206" s="30">
        <f>'الصفحة 30'!$U$33</f>
        <v>0</v>
      </c>
      <c r="S206" s="111">
        <f>'الصفحة 30'!$V$33</f>
        <v>0</v>
      </c>
      <c r="T206" s="30">
        <f>'الصفحة 30'!$W$33</f>
        <v>0</v>
      </c>
      <c r="U206" s="111">
        <f>'الصفحة 30'!$X$33</f>
        <v>0</v>
      </c>
      <c r="V206" s="30">
        <f>'الصفحة 30'!$Y$33</f>
        <v>0</v>
      </c>
      <c r="W206" s="111">
        <f>'الصفحة 30'!$Z$33</f>
        <v>0</v>
      </c>
      <c r="X206" s="90">
        <f>V206+T206+R206+P206+N206+L206+J206+H206+F206+D206+B206</f>
        <v>1</v>
      </c>
      <c r="Y206" s="72">
        <f>W206+U206+S206+Q206+O206+M206+K206+I206+G206+E206+C206</f>
        <v>1</v>
      </c>
      <c r="AA206" s="71">
        <f>'الصفحة 30'!$E$34</f>
        <v>1</v>
      </c>
      <c r="AB206" s="31">
        <f>'الصفحة 30'!$F$34</f>
        <v>1</v>
      </c>
      <c r="AC206" s="30">
        <f>'الصفحة 30'!$G$34</f>
        <v>0</v>
      </c>
      <c r="AD206" s="111">
        <f>'الصفحة 30'!$H$34</f>
        <v>0</v>
      </c>
      <c r="AE206" s="30">
        <f>'الصفحة 30'!$I$34</f>
        <v>0</v>
      </c>
      <c r="AF206" s="111">
        <f>'الصفحة 30'!$J$34</f>
        <v>0</v>
      </c>
      <c r="AG206" s="30">
        <f>'الصفحة 30'!$K$34</f>
        <v>0</v>
      </c>
      <c r="AH206" s="111">
        <f>'الصفحة 30'!$L$34</f>
        <v>0</v>
      </c>
      <c r="AI206" s="30">
        <f>'الصفحة 30'!$M$34</f>
        <v>0</v>
      </c>
      <c r="AJ206" s="111">
        <f>'الصفحة 30'!$N$34</f>
        <v>0</v>
      </c>
      <c r="AK206" s="30">
        <f>'الصفحة 30'!$O$34</f>
        <v>0</v>
      </c>
      <c r="AL206" s="111">
        <f>'الصفحة 30'!$P$34</f>
        <v>0</v>
      </c>
      <c r="AM206" s="30">
        <f>'الصفحة 30'!$Q$34</f>
        <v>0</v>
      </c>
      <c r="AN206" s="111">
        <f>'الصفحة 30'!$R$34</f>
        <v>0</v>
      </c>
      <c r="AO206" s="30">
        <f>'الصفحة 30'!$S$34</f>
        <v>0</v>
      </c>
      <c r="AP206" s="111">
        <f>'الصفحة 30'!$T$34</f>
        <v>0</v>
      </c>
      <c r="AQ206" s="30">
        <f>'الصفحة 30'!$U$34</f>
        <v>0</v>
      </c>
      <c r="AR206" s="111">
        <f>'الصفحة 30'!$V$34</f>
        <v>0</v>
      </c>
      <c r="AS206" s="30">
        <f>'الصفحة 30'!$W$34</f>
        <v>0</v>
      </c>
      <c r="AT206" s="111">
        <f>'الصفحة 30'!$X$34</f>
        <v>0</v>
      </c>
      <c r="AU206" s="30">
        <f>'الصفحة 30'!$Y$34</f>
        <v>0</v>
      </c>
      <c r="AV206" s="111">
        <f>'الصفحة 30'!$Z$34</f>
        <v>0</v>
      </c>
      <c r="AW206" s="90">
        <f>AU206+AS206+AQ206+AO206+AM206+AK206+AI206+AG206+AE206+AC206+AA206</f>
        <v>1</v>
      </c>
      <c r="AX206" s="72">
        <f>AV206+AT206+AR206+AP206+AN206+AL206+AJ206+AH206+AF206+AD206+AB206</f>
        <v>1</v>
      </c>
      <c r="AZ206" s="71">
        <f>'الصفحة 30'!$E$35</f>
        <v>0</v>
      </c>
      <c r="BA206" s="31">
        <f>'الصفحة 30'!$F$35</f>
        <v>0</v>
      </c>
      <c r="BB206" s="30">
        <f>'الصفحة 30'!$G$35</f>
        <v>0</v>
      </c>
      <c r="BC206" s="111">
        <f>'الصفحة 30'!$H$35</f>
        <v>0</v>
      </c>
      <c r="BD206" s="30">
        <f>'الصفحة 30'!$I$35</f>
        <v>0</v>
      </c>
      <c r="BE206" s="111">
        <f>'الصفحة 30'!$J$35</f>
        <v>0</v>
      </c>
      <c r="BF206" s="30">
        <f>'الصفحة 30'!$K$35</f>
        <v>0</v>
      </c>
      <c r="BG206" s="111">
        <f>'الصفحة 30'!$L$35</f>
        <v>0</v>
      </c>
      <c r="BH206" s="30">
        <f>'الصفحة 30'!$M$35</f>
        <v>0</v>
      </c>
      <c r="BI206" s="111">
        <f>'الصفحة 30'!$N$35</f>
        <v>0</v>
      </c>
      <c r="BJ206" s="30">
        <f>'الصفحة 30'!$O$35</f>
        <v>0</v>
      </c>
      <c r="BK206" s="111">
        <f>'الصفحة 30'!$P$35</f>
        <v>0</v>
      </c>
      <c r="BL206" s="30">
        <f>'الصفحة 30'!$Q$35</f>
        <v>0</v>
      </c>
      <c r="BM206" s="111">
        <f>'الصفحة 30'!$R$35</f>
        <v>0</v>
      </c>
      <c r="BN206" s="30">
        <f>'الصفحة 30'!$S$35</f>
        <v>0</v>
      </c>
      <c r="BO206" s="111">
        <f>'الصفحة 30'!$T$35</f>
        <v>0</v>
      </c>
      <c r="BP206" s="30">
        <f>'الصفحة 30'!$U$35</f>
        <v>0</v>
      </c>
      <c r="BQ206" s="111">
        <f>'الصفحة 30'!$V$35</f>
        <v>0</v>
      </c>
      <c r="BR206" s="30">
        <f>'الصفحة 30'!$W$35</f>
        <v>0</v>
      </c>
      <c r="BS206" s="111">
        <f>'الصفحة 30'!$X$35</f>
        <v>0</v>
      </c>
      <c r="BT206" s="30">
        <f>'الصفحة 30'!$Y$35</f>
        <v>0</v>
      </c>
      <c r="BU206" s="111">
        <f>'الصفحة 30'!$Z$35</f>
        <v>0</v>
      </c>
      <c r="BV206" s="90">
        <f>BT206+BR206+BP206+BN206+BL206+BJ206+BH206+BF206+BD206+BB206+AZ206</f>
        <v>0</v>
      </c>
      <c r="BW206" s="72">
        <f>BU206+BS206+BQ206+BO206+BM206+BK206+BI206+BG206+BE206+BC206+BA206</f>
        <v>0</v>
      </c>
      <c r="BY206" s="71">
        <f>'الصفحة 30'!$E$36</f>
        <v>0</v>
      </c>
      <c r="BZ206" s="31">
        <f>'الصفحة 30'!$F$36</f>
        <v>0</v>
      </c>
      <c r="CA206" s="30">
        <f>'الصفحة 30'!$G$36</f>
        <v>0</v>
      </c>
      <c r="CB206" s="111">
        <f>'الصفحة 30'!$H$36</f>
        <v>0</v>
      </c>
      <c r="CC206" s="30">
        <f>'الصفحة 30'!$I$36</f>
        <v>0</v>
      </c>
      <c r="CD206" s="111">
        <f>'الصفحة 30'!$J$36</f>
        <v>0</v>
      </c>
      <c r="CE206" s="30">
        <f>'الصفحة 30'!$K$36</f>
        <v>0</v>
      </c>
      <c r="CF206" s="111">
        <f>'الصفحة 30'!$L$36</f>
        <v>0</v>
      </c>
      <c r="CG206" s="30">
        <f>'الصفحة 30'!$M$36</f>
        <v>0</v>
      </c>
      <c r="CH206" s="111">
        <f>'الصفحة 30'!$N$36</f>
        <v>0</v>
      </c>
      <c r="CI206" s="30">
        <f>'الصفحة 30'!$O$36</f>
        <v>0</v>
      </c>
      <c r="CJ206" s="111">
        <f>'الصفحة 30'!$P$36</f>
        <v>0</v>
      </c>
      <c r="CK206" s="30">
        <f>'الصفحة 30'!$Q$36</f>
        <v>0</v>
      </c>
      <c r="CL206" s="111">
        <f>'الصفحة 30'!$R$36</f>
        <v>0</v>
      </c>
      <c r="CM206" s="30">
        <f>'الصفحة 30'!$S$36</f>
        <v>0</v>
      </c>
      <c r="CN206" s="111">
        <f>'الصفحة 30'!$T$36</f>
        <v>0</v>
      </c>
      <c r="CO206" s="30">
        <f>'الصفحة 30'!$U$36</f>
        <v>0</v>
      </c>
      <c r="CP206" s="111">
        <f>'الصفحة 30'!$V$36</f>
        <v>0</v>
      </c>
      <c r="CQ206" s="30">
        <f>'الصفحة 30'!$W$36</f>
        <v>0</v>
      </c>
      <c r="CR206" s="111">
        <f>'الصفحة 30'!$X$36</f>
        <v>0</v>
      </c>
      <c r="CS206" s="30">
        <f>'الصفحة 30'!$Y$36</f>
        <v>0</v>
      </c>
      <c r="CT206" s="111">
        <f>'الصفحة 30'!$Z$36</f>
        <v>0</v>
      </c>
      <c r="CU206" s="90">
        <f>CS206+CQ206+CO206+CM206+CK206+CI206+CG206+CE206+CC206+CA206+BY206</f>
        <v>0</v>
      </c>
      <c r="CV206" s="72">
        <f>CT206+CR206+CP206+CN206+CL206+CJ206+CH206+CF206+CD206+CB206+BZ206</f>
        <v>0</v>
      </c>
      <c r="CX206" s="71">
        <f>'الصفحة 30'!$E$37</f>
        <v>0</v>
      </c>
      <c r="CY206" s="31">
        <f>'الصفحة 30'!$F$37</f>
        <v>0</v>
      </c>
      <c r="CZ206" s="30">
        <f>'الصفحة 30'!$G$37</f>
        <v>0</v>
      </c>
      <c r="DA206" s="111">
        <f>'الصفحة 30'!$H$37</f>
        <v>0</v>
      </c>
      <c r="DB206" s="30">
        <f>'الصفحة 30'!$I$37</f>
        <v>0</v>
      </c>
      <c r="DC206" s="111">
        <f>'الصفحة 30'!$J$37</f>
        <v>0</v>
      </c>
      <c r="DD206" s="30">
        <f>'الصفحة 30'!$K$37</f>
        <v>0</v>
      </c>
      <c r="DE206" s="111">
        <f>'الصفحة 30'!$L$37</f>
        <v>0</v>
      </c>
      <c r="DF206" s="30">
        <f>'الصفحة 30'!$M$37</f>
        <v>0</v>
      </c>
      <c r="DG206" s="111">
        <f>'الصفحة 30'!$N$37</f>
        <v>0</v>
      </c>
      <c r="DH206" s="30">
        <f>'الصفحة 30'!$O$37</f>
        <v>0</v>
      </c>
      <c r="DI206" s="111">
        <f>'الصفحة 30'!$P$37</f>
        <v>0</v>
      </c>
      <c r="DJ206" s="30">
        <f>'الصفحة 30'!$Q$37</f>
        <v>0</v>
      </c>
      <c r="DK206" s="111">
        <f>'الصفحة 30'!$R$37</f>
        <v>0</v>
      </c>
      <c r="DL206" s="30">
        <f>'الصفحة 30'!$S$37</f>
        <v>0</v>
      </c>
      <c r="DM206" s="111">
        <f>'الصفحة 30'!$T$37</f>
        <v>0</v>
      </c>
      <c r="DN206" s="30">
        <f>'الصفحة 30'!$U$37</f>
        <v>0</v>
      </c>
      <c r="DO206" s="111">
        <f>'الصفحة 30'!$V$37</f>
        <v>0</v>
      </c>
      <c r="DP206" s="30">
        <f>'الصفحة 30'!$W$37</f>
        <v>0</v>
      </c>
      <c r="DQ206" s="111">
        <f>'الصفحة 30'!$X$37</f>
        <v>0</v>
      </c>
      <c r="DR206" s="30">
        <f>'الصفحة 30'!$Y$37</f>
        <v>0</v>
      </c>
      <c r="DS206" s="111">
        <f>'الصفحة 30'!$Z$37</f>
        <v>0</v>
      </c>
      <c r="DT206" s="90">
        <f>DR206+DP206+DN206+DL206+DJ206+DH206+DF206+DD206+DB206+CZ206+CX206</f>
        <v>0</v>
      </c>
      <c r="DU206" s="72">
        <f>DS206+DQ206+DO206+DM206+DK206+DI206+DG206+DE206+DC206+DA206+CY206</f>
        <v>0</v>
      </c>
      <c r="DW206" s="71">
        <f>'الصفحة 30'!$E$38</f>
        <v>0</v>
      </c>
      <c r="DX206" s="31">
        <f>'الصفحة 30'!$F$38</f>
        <v>0</v>
      </c>
      <c r="DY206" s="30">
        <f>'الصفحة 30'!$G$38</f>
        <v>0</v>
      </c>
      <c r="DZ206" s="111">
        <f>'الصفحة 30'!$H$38</f>
        <v>0</v>
      </c>
      <c r="EA206" s="30">
        <f>'الصفحة 30'!$I$38</f>
        <v>0</v>
      </c>
      <c r="EB206" s="111">
        <f>'الصفحة 30'!$J$38</f>
        <v>0</v>
      </c>
      <c r="EC206" s="30">
        <f>'الصفحة 30'!$K$38</f>
        <v>0</v>
      </c>
      <c r="ED206" s="111">
        <f>'الصفحة 30'!$L$38</f>
        <v>0</v>
      </c>
      <c r="EE206" s="30">
        <f>'الصفحة 30'!$M$38</f>
        <v>0</v>
      </c>
      <c r="EF206" s="111">
        <f>'الصفحة 30'!$N$38</f>
        <v>0</v>
      </c>
      <c r="EG206" s="30">
        <f>'الصفحة 30'!$O$38</f>
        <v>0</v>
      </c>
      <c r="EH206" s="111">
        <f>'الصفحة 30'!$P$38</f>
        <v>0</v>
      </c>
      <c r="EI206" s="30">
        <f>'الصفحة 30'!$Q$38</f>
        <v>0</v>
      </c>
      <c r="EJ206" s="111">
        <f>'الصفحة 30'!$R$38</f>
        <v>0</v>
      </c>
      <c r="EK206" s="30">
        <f>'الصفحة 30'!$S$38</f>
        <v>0</v>
      </c>
      <c r="EL206" s="111">
        <f>'الصفحة 30'!$T$38</f>
        <v>0</v>
      </c>
      <c r="EM206" s="30">
        <f>'الصفحة 30'!$U$38</f>
        <v>0</v>
      </c>
      <c r="EN206" s="111">
        <f>'الصفحة 30'!$V$38</f>
        <v>0</v>
      </c>
      <c r="EO206" s="30">
        <f>'الصفحة 30'!$W$38</f>
        <v>0</v>
      </c>
      <c r="EP206" s="111">
        <f>'الصفحة 30'!$X$38</f>
        <v>0</v>
      </c>
      <c r="EQ206" s="30">
        <f>'الصفحة 30'!$Y$38</f>
        <v>0</v>
      </c>
      <c r="ER206" s="111">
        <f>'الصفحة 30'!$Z$38</f>
        <v>0</v>
      </c>
      <c r="ES206" s="90">
        <f>EQ206+EO206+EM206+EK206+EI206+EG206+EE206+EC206+EA206+DY206+DW206</f>
        <v>0</v>
      </c>
      <c r="ET206" s="72">
        <f>ER206+EP206+EN206+EL206+EJ206+EH206+EF206+ED206+EB206+DZ206+DX206</f>
        <v>0</v>
      </c>
      <c r="EV206" s="71">
        <f>'الصفحة 30'!$E$39</f>
        <v>0</v>
      </c>
      <c r="EW206" s="31">
        <f>'الصفحة 30'!$F$39</f>
        <v>0</v>
      </c>
      <c r="EX206" s="30">
        <f>'الصفحة 30'!$G$39</f>
        <v>0</v>
      </c>
      <c r="EY206" s="111">
        <f>'الصفحة 30'!$H$39</f>
        <v>0</v>
      </c>
      <c r="EZ206" s="30">
        <f>'الصفحة 30'!$I$39</f>
        <v>0</v>
      </c>
      <c r="FA206" s="111">
        <f>'الصفحة 30'!$J$39</f>
        <v>0</v>
      </c>
      <c r="FB206" s="30">
        <f>'الصفحة 30'!$K$39</f>
        <v>0</v>
      </c>
      <c r="FC206" s="111">
        <f>'الصفحة 30'!$L$39</f>
        <v>0</v>
      </c>
      <c r="FD206" s="30">
        <f>'الصفحة 30'!$M$39</f>
        <v>0</v>
      </c>
      <c r="FE206" s="111">
        <f>'الصفحة 30'!$N$39</f>
        <v>0</v>
      </c>
      <c r="FF206" s="30">
        <f>'الصفحة 30'!$O$39</f>
        <v>0</v>
      </c>
      <c r="FG206" s="111">
        <f>'الصفحة 30'!$P$39</f>
        <v>0</v>
      </c>
      <c r="FH206" s="30">
        <f>'الصفحة 30'!$Q$39</f>
        <v>0</v>
      </c>
      <c r="FI206" s="111">
        <f>'الصفحة 30'!$R$39</f>
        <v>0</v>
      </c>
      <c r="FJ206" s="30">
        <f>'الصفحة 30'!$S$39</f>
        <v>0</v>
      </c>
      <c r="FK206" s="111">
        <f>'الصفحة 30'!$T$39</f>
        <v>0</v>
      </c>
      <c r="FL206" s="30">
        <f>'الصفحة 30'!$U$39</f>
        <v>0</v>
      </c>
      <c r="FM206" s="111">
        <f>'الصفحة 30'!$V$39</f>
        <v>0</v>
      </c>
      <c r="FN206" s="30">
        <f>'الصفحة 30'!$W$39</f>
        <v>0</v>
      </c>
      <c r="FO206" s="111">
        <f>'الصفحة 30'!$X$39</f>
        <v>0</v>
      </c>
      <c r="FP206" s="30">
        <f>'الصفحة 30'!$Y$39</f>
        <v>0</v>
      </c>
      <c r="FQ206" s="111">
        <f>'الصفحة 30'!$Z$39</f>
        <v>0</v>
      </c>
      <c r="FR206" s="90">
        <f>FP206+FN206+FL206+FJ206+FH206+FF206+FD206+FB206+EZ206+EX206+EV206</f>
        <v>0</v>
      </c>
      <c r="FS206" s="72">
        <f>FQ206+FO206+FM206+FK206+FI206+FG206+FE206+FC206+FA206+EY206+EW206</f>
        <v>0</v>
      </c>
      <c r="FT206" s="76"/>
      <c r="FU206" s="71">
        <f>'الصفحة 31'!$F$11</f>
        <v>0</v>
      </c>
      <c r="FV206" s="31">
        <f>'الصفحة 31'!$F$12</f>
        <v>0</v>
      </c>
      <c r="FW206" s="30">
        <f>'الصفحة 31'!$G$11</f>
        <v>0</v>
      </c>
      <c r="FX206" s="111">
        <f>'الصفحة 31'!$G$12</f>
        <v>0</v>
      </c>
      <c r="FY206" s="30">
        <f>'الصفحة 31'!$H$11</f>
        <v>0</v>
      </c>
      <c r="FZ206" s="111">
        <f>'الصفحة 31'!$H$12</f>
        <v>0</v>
      </c>
      <c r="GA206" s="30">
        <f>'الصفحة 31'!$I$11</f>
        <v>0</v>
      </c>
      <c r="GB206" s="111">
        <f>'الصفحة 31'!$I$12</f>
        <v>0</v>
      </c>
      <c r="GC206" s="30">
        <f>'الصفحة 31'!$J$11</f>
        <v>0</v>
      </c>
      <c r="GD206" s="111">
        <f>'الصفحة 31'!$J$12</f>
        <v>0</v>
      </c>
      <c r="GE206" s="30">
        <f>'الصفحة 31'!$K$11</f>
        <v>0</v>
      </c>
      <c r="GF206" s="111">
        <f>'الصفحة 31'!$K$12</f>
        <v>0</v>
      </c>
      <c r="GG206" s="30">
        <f>'الصفحة 31'!$L$11</f>
        <v>0</v>
      </c>
      <c r="GH206" s="111">
        <f>'الصفحة 31'!$L$12</f>
        <v>0</v>
      </c>
      <c r="GI206" s="30">
        <f>'الصفحة 31'!$M$11</f>
        <v>0</v>
      </c>
      <c r="GJ206" s="111">
        <f>'الصفحة 31'!$M$12</f>
        <v>0</v>
      </c>
      <c r="GK206" s="30">
        <f>'الصفحة 31'!$N$11</f>
        <v>0</v>
      </c>
      <c r="GL206" s="111">
        <f>'الصفحة 31'!$N$12</f>
        <v>0</v>
      </c>
      <c r="GM206" s="30">
        <f>'الصفحة 31'!$O$11</f>
        <v>0</v>
      </c>
      <c r="GN206" s="111">
        <f>'الصفحة 31'!$O$12</f>
        <v>0</v>
      </c>
      <c r="GO206" s="30">
        <f>'الصفحة 31'!$P$11</f>
        <v>0</v>
      </c>
      <c r="GP206" s="111">
        <f>'الصفحة 31'!$P$12</f>
        <v>0</v>
      </c>
      <c r="GQ206" s="30">
        <f>'الصفحة 31'!$Q$11</f>
        <v>0</v>
      </c>
      <c r="GR206" s="111">
        <f>'الصفحة 31'!$Q$12</f>
        <v>0</v>
      </c>
      <c r="GS206" s="119">
        <f>GQ206+GO206+GM206+GK206+GI206+GG206+GE206+GC206+GA206+FY206+FW206+FU206</f>
        <v>0</v>
      </c>
      <c r="GT206" s="89">
        <f>GR206+GP206+GN206+GL206+GJ206+GH206+GF206+GD206+GB206+FZ206+FX206+FV206</f>
        <v>0</v>
      </c>
      <c r="GV206" s="71">
        <f>'الصفحة 31'!$F$13</f>
        <v>0</v>
      </c>
      <c r="GW206" s="31">
        <f>'الصفحة 31'!$F$14</f>
        <v>0</v>
      </c>
      <c r="GX206" s="30">
        <f>'الصفحة 31'!$G$13</f>
        <v>0</v>
      </c>
      <c r="GY206" s="111">
        <f>'الصفحة 31'!$G$14</f>
        <v>0</v>
      </c>
      <c r="GZ206" s="30">
        <f>'الصفحة 31'!$H$13</f>
        <v>0</v>
      </c>
      <c r="HA206" s="111">
        <f>'الصفحة 31'!$H$14</f>
        <v>0</v>
      </c>
      <c r="HB206" s="30">
        <f>'الصفحة 31'!$I$13</f>
        <v>0</v>
      </c>
      <c r="HC206" s="111">
        <f>'الصفحة 31'!$I$14</f>
        <v>0</v>
      </c>
      <c r="HD206" s="30">
        <f>'الصفحة 31'!$J$13</f>
        <v>0</v>
      </c>
      <c r="HE206" s="111">
        <f>'الصفحة 31'!$J$14</f>
        <v>0</v>
      </c>
      <c r="HF206" s="30">
        <f>'الصفحة 31'!$K$13</f>
        <v>0</v>
      </c>
      <c r="HG206" s="111">
        <f>'الصفحة 31'!$K$14</f>
        <v>0</v>
      </c>
      <c r="HH206" s="30">
        <f>'الصفحة 31'!$L$13</f>
        <v>0</v>
      </c>
      <c r="HI206" s="111">
        <f>'الصفحة 31'!$L$14</f>
        <v>0</v>
      </c>
      <c r="HJ206" s="30">
        <f>'الصفحة 31'!$M$13</f>
        <v>0</v>
      </c>
      <c r="HK206" s="111">
        <f>'الصفحة 31'!$M$14</f>
        <v>0</v>
      </c>
      <c r="HL206" s="30">
        <f>'الصفحة 31'!$N$13</f>
        <v>0</v>
      </c>
      <c r="HM206" s="111">
        <f>'الصفحة 31'!$N$14</f>
        <v>0</v>
      </c>
      <c r="HN206" s="30">
        <f>'الصفحة 31'!$O$13</f>
        <v>0</v>
      </c>
      <c r="HO206" s="111">
        <f>'الصفحة 31'!$O$14</f>
        <v>0</v>
      </c>
      <c r="HP206" s="30">
        <f>'الصفحة 31'!$P$13</f>
        <v>0</v>
      </c>
      <c r="HQ206" s="111">
        <f>'الصفحة 31'!$P$14</f>
        <v>0</v>
      </c>
      <c r="HR206" s="30">
        <f>'الصفحة 31'!$Q$13</f>
        <v>0</v>
      </c>
      <c r="HS206" s="111">
        <f>'الصفحة 31'!$Q$14</f>
        <v>0</v>
      </c>
      <c r="HT206" s="119">
        <f>HR206+HP206+HN206+HL206+HJ206+HH206+HF206+HD206+HB206+GZ206+GX206+GV206</f>
        <v>0</v>
      </c>
      <c r="HU206" s="89">
        <f>HS206+HQ206+HO206+HM206+HK206+HI206+HG206+HE206+HC206+HA206+GY206+GW206</f>
        <v>0</v>
      </c>
      <c r="HW206" s="27"/>
      <c r="HX206" s="27"/>
      <c r="HY206" s="27"/>
      <c r="HZ206" s="27"/>
      <c r="IA206" s="27"/>
      <c r="IB206" s="27"/>
      <c r="IC206" s="27"/>
      <c r="ID206" s="27"/>
      <c r="IE206" s="27"/>
      <c r="IF206" s="27"/>
      <c r="IG206" s="27"/>
      <c r="IH206" s="27"/>
      <c r="II206" s="27"/>
      <c r="IJ206" s="27"/>
      <c r="IK206" s="27"/>
      <c r="IL206" s="27"/>
      <c r="IM206" s="27"/>
      <c r="IN206" s="27"/>
      <c r="IO206" s="27"/>
      <c r="IP206" s="27"/>
      <c r="IQ206" s="27"/>
      <c r="IR206" s="27"/>
      <c r="IS206" s="27"/>
      <c r="IT206" s="27"/>
      <c r="IV206" s="21"/>
    </row>
    <row r="207" spans="1:256" s="24" customFormat="1" ht="14.1" customHeight="1" thickBot="1">
      <c r="A207" s="23"/>
      <c r="BV207" s="118"/>
      <c r="CX207" s="581">
        <f>'الصفحة 30'!$E$42</f>
        <v>0</v>
      </c>
      <c r="CY207" s="582">
        <f>'الصفحة 30'!$F$42</f>
        <v>0</v>
      </c>
      <c r="CZ207" s="583">
        <f>'الصفحة 30'!$G$42</f>
        <v>0</v>
      </c>
      <c r="DA207" s="584">
        <f>'الصفحة 30'!$H$42</f>
        <v>0</v>
      </c>
      <c r="DB207" s="583">
        <f>'الصفحة 30'!$I$42</f>
        <v>0</v>
      </c>
      <c r="DC207" s="584">
        <f>'الصفحة 30'!$J$42</f>
        <v>0</v>
      </c>
      <c r="DD207" s="583">
        <f>'الصفحة 30'!$K$42</f>
        <v>0</v>
      </c>
      <c r="DE207" s="584">
        <f>'الصفحة 30'!$L$42</f>
        <v>0</v>
      </c>
      <c r="DF207" s="583">
        <f>'الصفحة 30'!$M$42</f>
        <v>0</v>
      </c>
      <c r="DG207" s="584">
        <f>'الصفحة 30'!$N$42</f>
        <v>0</v>
      </c>
      <c r="DH207" s="583">
        <f>'الصفحة 30'!$O$42</f>
        <v>0</v>
      </c>
      <c r="DI207" s="584">
        <f>'الصفحة 30'!$P$42</f>
        <v>0</v>
      </c>
      <c r="DJ207" s="583">
        <f>'الصفحة 30'!$Q$42</f>
        <v>0</v>
      </c>
      <c r="DK207" s="584">
        <f>'الصفحة 30'!$R$42</f>
        <v>0</v>
      </c>
      <c r="DL207" s="583">
        <f>'الصفحة 30'!$S$42</f>
        <v>0</v>
      </c>
      <c r="DM207" s="584">
        <f>'الصفحة 30'!$T$42</f>
        <v>0</v>
      </c>
      <c r="DN207" s="583">
        <f>'الصفحة 30'!$U$42</f>
        <v>0</v>
      </c>
      <c r="DO207" s="584">
        <f>'الصفحة 30'!$V$42</f>
        <v>0</v>
      </c>
      <c r="DP207" s="583">
        <f>'الصفحة 30'!$W$42</f>
        <v>0</v>
      </c>
      <c r="DQ207" s="584">
        <f>'الصفحة 30'!$X$42</f>
        <v>0</v>
      </c>
      <c r="DR207" s="583">
        <f>'الصفحة 30'!$Y$42</f>
        <v>0</v>
      </c>
      <c r="DS207" s="584">
        <f>'الصفحة 30'!$Z$42</f>
        <v>0</v>
      </c>
      <c r="DT207" s="585">
        <f>DR207+DP207+DN207+DL207+DJ207+DH207+DF207+DD207+DB207+CZ207+CX207</f>
        <v>0</v>
      </c>
      <c r="DU207" s="586">
        <f>DS207+DQ207+DO207+DM207+DK207+DI207+DG207+DE207+DC207+DA207+CY207</f>
        <v>0</v>
      </c>
      <c r="DW207" s="581">
        <f>'الصفحة 30'!$E$40</f>
        <v>0</v>
      </c>
      <c r="DX207" s="582">
        <f>'الصفحة 30'!$F$40</f>
        <v>0</v>
      </c>
      <c r="DY207" s="583">
        <f>'الصفحة 30'!$G$40</f>
        <v>0</v>
      </c>
      <c r="DZ207" s="584">
        <f>'الصفحة 30'!$H$40</f>
        <v>0</v>
      </c>
      <c r="EA207" s="583">
        <f>'الصفحة 30'!$I$40</f>
        <v>0</v>
      </c>
      <c r="EB207" s="584">
        <f>'الصفحة 30'!$J$40</f>
        <v>0</v>
      </c>
      <c r="EC207" s="583">
        <f>'الصفحة 30'!$K$40</f>
        <v>0</v>
      </c>
      <c r="ED207" s="584">
        <f>'الصفحة 30'!$L$40</f>
        <v>0</v>
      </c>
      <c r="EE207" s="583">
        <f>'الصفحة 30'!$M$40</f>
        <v>0</v>
      </c>
      <c r="EF207" s="584">
        <f>'الصفحة 30'!$N$40</f>
        <v>0</v>
      </c>
      <c r="EG207" s="583">
        <f>'الصفحة 30'!$O$40</f>
        <v>0</v>
      </c>
      <c r="EH207" s="584">
        <f>'الصفحة 30'!$P$40</f>
        <v>0</v>
      </c>
      <c r="EI207" s="583">
        <f>'الصفحة 30'!$Q$40</f>
        <v>0</v>
      </c>
      <c r="EJ207" s="584">
        <f>'الصفحة 30'!$R$40</f>
        <v>0</v>
      </c>
      <c r="EK207" s="583">
        <f>'الصفحة 30'!$S$40</f>
        <v>0</v>
      </c>
      <c r="EL207" s="584">
        <f>'الصفحة 30'!$T$40</f>
        <v>0</v>
      </c>
      <c r="EM207" s="583">
        <f>'الصفحة 30'!$U$40</f>
        <v>0</v>
      </c>
      <c r="EN207" s="584">
        <f>'الصفحة 30'!$V$40</f>
        <v>0</v>
      </c>
      <c r="EO207" s="583">
        <f>'الصفحة 30'!$W$40</f>
        <v>0</v>
      </c>
      <c r="EP207" s="584">
        <f>'الصفحة 30'!$X$40</f>
        <v>0</v>
      </c>
      <c r="EQ207" s="583">
        <f>'الصفحة 30'!$Y$40</f>
        <v>0</v>
      </c>
      <c r="ER207" s="584">
        <f>'الصفحة 30'!$Z$40</f>
        <v>0</v>
      </c>
      <c r="ES207" s="585">
        <f>EQ207+EO207+EM207+EK207+EI207+EG207+EE207+EC207+EA207+DY207+DW207</f>
        <v>0</v>
      </c>
      <c r="ET207" s="586">
        <f>ER207+EP207+EN207+EL207+EJ207+EH207+EF207+ED207+EB207+DZ207+DX207</f>
        <v>0</v>
      </c>
      <c r="EV207" s="46">
        <f>'الصفحة 30'!$E$41</f>
        <v>5</v>
      </c>
      <c r="EW207" s="43">
        <f>'الصفحة 30'!$F$41</f>
        <v>5</v>
      </c>
      <c r="EX207" s="43">
        <f>'الصفحة 30'!$G$41</f>
        <v>1</v>
      </c>
      <c r="EY207" s="43">
        <f>'الصفحة 30'!$H$41</f>
        <v>1</v>
      </c>
      <c r="EZ207" s="43">
        <f>'الصفحة 30'!$I$41</f>
        <v>0</v>
      </c>
      <c r="FA207" s="43">
        <f>'الصفحة 30'!$J$41</f>
        <v>0</v>
      </c>
      <c r="FB207" s="43">
        <f>'الصفحة 30'!$K$41</f>
        <v>0</v>
      </c>
      <c r="FC207" s="43">
        <f>'الصفحة 30'!$L$41</f>
        <v>0</v>
      </c>
      <c r="FD207" s="43">
        <f>'الصفحة 30'!$M$41</f>
        <v>0</v>
      </c>
      <c r="FE207" s="43">
        <f>'الصفحة 30'!$N$41</f>
        <v>0</v>
      </c>
      <c r="FF207" s="43">
        <f>'الصفحة 30'!$O$41</f>
        <v>0</v>
      </c>
      <c r="FG207" s="43">
        <f>'الصفحة 30'!$P$41</f>
        <v>0</v>
      </c>
      <c r="FH207" s="43">
        <f>'الصفحة 30'!$Q$41</f>
        <v>0</v>
      </c>
      <c r="FI207" s="43">
        <f>'الصفحة 30'!$R$41</f>
        <v>0</v>
      </c>
      <c r="FJ207" s="43">
        <f>'الصفحة 30'!$S$41</f>
        <v>0</v>
      </c>
      <c r="FK207" s="43">
        <f>'الصفحة 30'!$T$41</f>
        <v>0</v>
      </c>
      <c r="FL207" s="43">
        <f>'الصفحة 30'!$U$41</f>
        <v>0</v>
      </c>
      <c r="FM207" s="43">
        <f>'الصفحة 30'!$V$41</f>
        <v>0</v>
      </c>
      <c r="FN207" s="43">
        <f>'الصفحة 30'!$W$41</f>
        <v>0</v>
      </c>
      <c r="FO207" s="43">
        <f>'الصفحة 30'!$X$41</f>
        <v>0</v>
      </c>
      <c r="FP207" s="43">
        <f>'الصفحة 30'!$Y$41</f>
        <v>0</v>
      </c>
      <c r="FQ207" s="43">
        <f>'الصفحة 30'!$Z$41</f>
        <v>0</v>
      </c>
      <c r="FR207" s="45">
        <f>FP207+FN207+FL207+FJ207+FH207+FF207+FD207+FB207+EZ207+EX207+EV207</f>
        <v>6</v>
      </c>
      <c r="FS207" s="98">
        <f>FQ207+FO207+FM207+FK207+FI207+FG207+FE207+FC207+FA207+EY207+EW207</f>
        <v>6</v>
      </c>
      <c r="FT207" s="76"/>
      <c r="IQ207" s="117"/>
      <c r="IR207" s="117"/>
      <c r="IS207" s="117"/>
      <c r="IT207" s="117"/>
      <c r="IV207" s="21"/>
    </row>
    <row r="208" spans="1:256" s="24" customFormat="1" ht="8.1" customHeight="1">
      <c r="A208" s="23"/>
      <c r="B208" s="22"/>
      <c r="C208" s="22"/>
      <c r="D208" s="22"/>
      <c r="E208" s="22"/>
      <c r="F208" s="22"/>
      <c r="G208" s="22"/>
      <c r="H208" s="22"/>
      <c r="I208" s="22"/>
      <c r="J208" s="22"/>
      <c r="K208" s="22"/>
      <c r="L208" s="22"/>
      <c r="M208" s="22"/>
      <c r="N208" s="22"/>
      <c r="O208" s="22"/>
      <c r="P208" s="22"/>
      <c r="Q208" s="22"/>
      <c r="R208" s="22"/>
      <c r="S208" s="22"/>
      <c r="T208" s="22"/>
      <c r="U208" s="22"/>
      <c r="V208" s="22"/>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1"/>
      <c r="DE208" s="21"/>
      <c r="DF208" s="21"/>
      <c r="DG208" s="21"/>
      <c r="DH208" s="21"/>
      <c r="DI208" s="21"/>
      <c r="DJ208" s="21"/>
      <c r="DK208" s="21"/>
      <c r="DL208" s="21"/>
      <c r="DM208" s="21"/>
      <c r="DN208" s="21"/>
      <c r="DO208" s="21"/>
      <c r="DP208" s="21"/>
      <c r="DQ208" s="21"/>
      <c r="DR208" s="21"/>
      <c r="DS208" s="21"/>
      <c r="DT208" s="21"/>
      <c r="DU208" s="21"/>
      <c r="DV208" s="21"/>
      <c r="DW208" s="21"/>
      <c r="DX208" s="21"/>
      <c r="DY208" s="21"/>
      <c r="DZ208" s="21"/>
      <c r="EA208" s="21"/>
      <c r="EB208" s="21"/>
      <c r="EC208" s="21"/>
      <c r="ED208" s="21"/>
      <c r="EE208" s="21"/>
      <c r="EF208" s="21"/>
      <c r="EG208" s="21"/>
      <c r="EH208" s="21"/>
      <c r="EI208" s="21"/>
      <c r="EJ208" s="21"/>
      <c r="EK208" s="21"/>
      <c r="EL208" s="21"/>
      <c r="EM208" s="21"/>
      <c r="EN208" s="21"/>
      <c r="EO208" s="21"/>
      <c r="EP208" s="21"/>
      <c r="EQ208" s="21"/>
      <c r="ER208" s="21"/>
      <c r="ES208" s="21"/>
      <c r="ET208" s="21"/>
      <c r="EU208" s="21"/>
      <c r="EV208" s="21"/>
      <c r="EW208" s="21"/>
      <c r="EX208" s="21"/>
      <c r="EY208" s="21"/>
      <c r="EZ208" s="21"/>
      <c r="FA208" s="21"/>
      <c r="FB208" s="21"/>
      <c r="FC208" s="21"/>
      <c r="FD208" s="21"/>
      <c r="FE208" s="21"/>
      <c r="FF208" s="21"/>
      <c r="FG208" s="21"/>
      <c r="FH208" s="21"/>
      <c r="FI208" s="21"/>
      <c r="FJ208" s="21"/>
      <c r="FK208" s="21"/>
      <c r="FL208" s="21"/>
      <c r="FM208" s="21"/>
      <c r="FN208" s="21"/>
      <c r="FO208" s="21"/>
      <c r="FP208" s="21"/>
      <c r="FQ208" s="21"/>
      <c r="FR208" s="21"/>
      <c r="FS208" s="21"/>
      <c r="FT208" s="21"/>
      <c r="FU208" s="21"/>
      <c r="FV208" s="21"/>
      <c r="FW208" s="21"/>
      <c r="FX208" s="21"/>
      <c r="FY208" s="21"/>
      <c r="FZ208" s="21"/>
      <c r="GA208" s="21"/>
      <c r="GB208" s="21"/>
      <c r="GC208" s="21"/>
      <c r="GD208" s="21"/>
      <c r="GE208" s="21"/>
      <c r="GF208" s="21"/>
      <c r="GG208" s="21"/>
      <c r="GH208" s="21"/>
      <c r="GI208" s="21"/>
      <c r="GJ208" s="21"/>
      <c r="GK208" s="21"/>
      <c r="GL208" s="21"/>
      <c r="GM208" s="21"/>
      <c r="GN208" s="21"/>
      <c r="GO208" s="21"/>
      <c r="GP208" s="21"/>
      <c r="GQ208" s="21"/>
      <c r="GR208" s="21"/>
      <c r="GS208" s="21"/>
      <c r="GT208" s="21"/>
      <c r="GU208" s="21"/>
      <c r="GV208" s="21"/>
      <c r="GW208" s="21"/>
      <c r="GX208" s="21"/>
      <c r="GY208" s="21"/>
      <c r="GZ208" s="21"/>
      <c r="HA208" s="21"/>
      <c r="HB208" s="21"/>
      <c r="HC208" s="21"/>
      <c r="HD208" s="21"/>
      <c r="HE208" s="21"/>
      <c r="HF208" s="21"/>
      <c r="HG208" s="21"/>
      <c r="HH208" s="21"/>
      <c r="HI208" s="21"/>
      <c r="HJ208" s="21"/>
      <c r="HK208" s="21"/>
      <c r="HL208" s="21"/>
      <c r="HM208" s="21"/>
      <c r="HN208" s="21"/>
      <c r="HO208" s="21"/>
      <c r="HP208" s="21"/>
      <c r="HQ208" s="21"/>
      <c r="HR208" s="21"/>
      <c r="HS208" s="21"/>
      <c r="HT208" s="21"/>
      <c r="HU208" s="21"/>
      <c r="HV208" s="21"/>
      <c r="HW208" s="21"/>
      <c r="HX208" s="21"/>
      <c r="HY208" s="21"/>
      <c r="HZ208" s="21"/>
      <c r="IA208" s="21"/>
      <c r="IB208" s="21"/>
      <c r="IC208" s="21"/>
      <c r="ID208" s="21"/>
      <c r="IE208" s="21"/>
      <c r="IF208" s="21"/>
      <c r="IG208" s="21"/>
      <c r="IH208" s="21"/>
      <c r="II208" s="21"/>
      <c r="IJ208" s="21"/>
      <c r="IK208" s="21"/>
      <c r="IL208" s="21"/>
      <c r="IM208" s="21"/>
      <c r="IN208" s="21"/>
      <c r="IO208" s="21"/>
      <c r="IP208" s="21"/>
      <c r="IQ208" s="21"/>
      <c r="IR208" s="21"/>
      <c r="IS208" s="21"/>
      <c r="IT208" s="21"/>
      <c r="IV208" s="21"/>
    </row>
    <row r="209" spans="1:256" s="24" customFormat="1" ht="15" customHeight="1">
      <c r="A209" s="23"/>
      <c r="B209" s="38" t="s">
        <v>218</v>
      </c>
      <c r="E209" s="103"/>
      <c r="X209" s="5134" t="s">
        <v>45</v>
      </c>
      <c r="Y209" s="5134"/>
      <c r="Z209" s="5134"/>
      <c r="AA209" s="5134"/>
      <c r="AC209" s="38" t="s">
        <v>218</v>
      </c>
      <c r="AH209" s="103"/>
      <c r="AY209" s="5134" t="s">
        <v>44</v>
      </c>
      <c r="AZ209" s="5134"/>
      <c r="BA209" s="5134"/>
      <c r="BB209" s="5134"/>
      <c r="BD209" s="38" t="s">
        <v>218</v>
      </c>
      <c r="BW209" s="103"/>
      <c r="BZ209" s="5134" t="s">
        <v>43</v>
      </c>
      <c r="CA209" s="5134"/>
      <c r="CB209" s="5134"/>
      <c r="CC209" s="5134"/>
      <c r="CE209" s="38" t="s">
        <v>218</v>
      </c>
      <c r="CF209" s="103"/>
      <c r="DA209" s="5134" t="s">
        <v>42</v>
      </c>
      <c r="DB209" s="5134"/>
      <c r="DC209" s="5134"/>
      <c r="DD209" s="5134"/>
      <c r="DF209" s="38" t="s">
        <v>218</v>
      </c>
      <c r="DG209" s="103"/>
      <c r="EA209" s="5134" t="s">
        <v>41</v>
      </c>
      <c r="EB209" s="5134"/>
      <c r="EC209" s="5134"/>
      <c r="ED209" s="5134"/>
      <c r="EE209" s="5134"/>
      <c r="EG209" s="38" t="s">
        <v>218</v>
      </c>
      <c r="EH209" s="103"/>
      <c r="FC209" s="5134" t="s">
        <v>40</v>
      </c>
      <c r="FD209" s="5134"/>
      <c r="FE209" s="5134"/>
      <c r="FF209" s="5134"/>
      <c r="FH209" s="38" t="s">
        <v>218</v>
      </c>
      <c r="FI209" s="103"/>
      <c r="FZ209" s="5133" t="s">
        <v>27</v>
      </c>
      <c r="GA209" s="5133"/>
      <c r="GB209" s="5133"/>
      <c r="GC209" s="5133"/>
      <c r="GD209" s="5134" t="s">
        <v>39</v>
      </c>
      <c r="GE209" s="5134"/>
      <c r="GF209" s="5134"/>
      <c r="GG209" s="5134"/>
      <c r="GI209" s="38" t="s">
        <v>218</v>
      </c>
      <c r="GJ209" s="103"/>
      <c r="HA209" s="5133" t="s">
        <v>48</v>
      </c>
      <c r="HB209" s="5133"/>
      <c r="HC209" s="5133"/>
      <c r="HD209" s="5133"/>
      <c r="HE209" s="5134" t="s">
        <v>38</v>
      </c>
      <c r="HF209" s="5134"/>
      <c r="HG209" s="5134"/>
      <c r="HH209" s="5134"/>
      <c r="HJ209" s="38" t="s">
        <v>218</v>
      </c>
      <c r="HK209" s="103"/>
      <c r="ID209" s="116" t="s">
        <v>37</v>
      </c>
      <c r="IE209" s="116"/>
      <c r="IF209" s="116"/>
      <c r="IG209" s="116"/>
      <c r="IH209" s="5141" t="s">
        <v>130</v>
      </c>
      <c r="II209" s="5141"/>
      <c r="IJ209" s="76"/>
      <c r="IQ209" s="117"/>
      <c r="IR209" s="117"/>
      <c r="IS209" s="117"/>
      <c r="IT209" s="117"/>
      <c r="IV209" s="21"/>
    </row>
    <row r="210" spans="1:256" s="24" customFormat="1" ht="8.1" customHeight="1" thickBot="1">
      <c r="A210" s="23"/>
      <c r="Q210" s="112"/>
      <c r="AT210" s="112"/>
      <c r="BO210" s="112"/>
      <c r="IJ210" s="76"/>
      <c r="IQ210" s="117"/>
      <c r="IR210" s="117"/>
      <c r="IS210" s="117"/>
      <c r="IT210" s="117"/>
      <c r="IV210" s="21"/>
    </row>
    <row r="211" spans="1:256" s="24" customFormat="1" ht="14.1" customHeight="1" thickBot="1">
      <c r="A211" s="35">
        <v>12</v>
      </c>
      <c r="B211" s="71">
        <f>'الصفحة 31'!$F$15</f>
        <v>0</v>
      </c>
      <c r="C211" s="31">
        <f>'الصفحة 31'!$F$16</f>
        <v>0</v>
      </c>
      <c r="D211" s="30">
        <f>'الصفحة 31'!$G$15</f>
        <v>0</v>
      </c>
      <c r="E211" s="111">
        <f>'الصفحة 31'!$G$16</f>
        <v>0</v>
      </c>
      <c r="F211" s="30">
        <f>'الصفحة 31'!$H$15</f>
        <v>0</v>
      </c>
      <c r="G211" s="111">
        <f>'الصفحة 31'!$H$16</f>
        <v>0</v>
      </c>
      <c r="H211" s="30">
        <f>'الصفحة 31'!$I$15</f>
        <v>0</v>
      </c>
      <c r="I211" s="111">
        <f>'الصفحة 31'!$I$16</f>
        <v>0</v>
      </c>
      <c r="J211" s="30">
        <f>'الصفحة 31'!$J$15</f>
        <v>0</v>
      </c>
      <c r="K211" s="111">
        <f>'الصفحة 31'!$J$16</f>
        <v>0</v>
      </c>
      <c r="L211" s="30">
        <f>'الصفحة 31'!$K$15</f>
        <v>0</v>
      </c>
      <c r="M211" s="111">
        <f>'الصفحة 31'!$K$16</f>
        <v>0</v>
      </c>
      <c r="N211" s="30">
        <f>'الصفحة 31'!$L$15</f>
        <v>0</v>
      </c>
      <c r="O211" s="111">
        <f>'الصفحة 31'!$L$16</f>
        <v>0</v>
      </c>
      <c r="P211" s="30">
        <f>'الصفحة 31'!$M$15</f>
        <v>0</v>
      </c>
      <c r="Q211" s="111">
        <f>'الصفحة 31'!$M$16</f>
        <v>0</v>
      </c>
      <c r="R211" s="30">
        <f>'الصفحة 31'!$N$15</f>
        <v>0</v>
      </c>
      <c r="S211" s="111">
        <f>'الصفحة 31'!$N$16</f>
        <v>0</v>
      </c>
      <c r="T211" s="30">
        <f>'الصفحة 31'!$O$15</f>
        <v>0</v>
      </c>
      <c r="U211" s="111">
        <f>'الصفحة 31'!$O$16</f>
        <v>0</v>
      </c>
      <c r="V211" s="30">
        <f>'الصفحة 31'!$P$15</f>
        <v>0</v>
      </c>
      <c r="W211" s="111">
        <f>'الصفحة 31'!$P$16</f>
        <v>0</v>
      </c>
      <c r="X211" s="30">
        <f>'الصفحة 31'!$Q$15</f>
        <v>0</v>
      </c>
      <c r="Y211" s="111">
        <f>'الصفحة 31'!$Q$16</f>
        <v>0</v>
      </c>
      <c r="Z211" s="90">
        <f>X211+V211+T211+R211+P211+N211+L211+J211+H211+F211+D211+B211</f>
        <v>0</v>
      </c>
      <c r="AA211" s="72">
        <f>Y211+W211+U211+S211+Q211+O211+M211+K211+I211+G211+E211+C211</f>
        <v>0</v>
      </c>
      <c r="AC211" s="71">
        <f>'الصفحة 31'!$F$17</f>
        <v>0</v>
      </c>
      <c r="AD211" s="31">
        <f>'الصفحة 31'!$F$18</f>
        <v>0</v>
      </c>
      <c r="AE211" s="30">
        <f>'الصفحة 31'!$G$17</f>
        <v>0</v>
      </c>
      <c r="AF211" s="111">
        <f>'الصفحة 31'!$G$18</f>
        <v>0</v>
      </c>
      <c r="AG211" s="30">
        <f>'الصفحة 31'!$H$17</f>
        <v>0</v>
      </c>
      <c r="AH211" s="111">
        <f>'الصفحة 31'!$H$18</f>
        <v>0</v>
      </c>
      <c r="AI211" s="30">
        <f>'الصفحة 31'!$I$17</f>
        <v>0</v>
      </c>
      <c r="AJ211" s="111">
        <f>'الصفحة 31'!$I$18</f>
        <v>0</v>
      </c>
      <c r="AK211" s="30">
        <f>'الصفحة 31'!$J$17</f>
        <v>0</v>
      </c>
      <c r="AL211" s="111">
        <f>'الصفحة 31'!$J$18</f>
        <v>0</v>
      </c>
      <c r="AM211" s="30">
        <f>'الصفحة 31'!$K$17</f>
        <v>0</v>
      </c>
      <c r="AN211" s="111">
        <f>'الصفحة 31'!$K$18</f>
        <v>0</v>
      </c>
      <c r="AO211" s="30">
        <f>'الصفحة 31'!$L$17</f>
        <v>0</v>
      </c>
      <c r="AP211" s="111">
        <f>'الصفحة 31'!$L$18</f>
        <v>0</v>
      </c>
      <c r="AQ211" s="30">
        <f>'الصفحة 31'!$M$17</f>
        <v>0</v>
      </c>
      <c r="AR211" s="111">
        <f>'الصفحة 31'!$M$18</f>
        <v>0</v>
      </c>
      <c r="AS211" s="30">
        <f>'الصفحة 31'!$N$17</f>
        <v>0</v>
      </c>
      <c r="AT211" s="111">
        <f>'الصفحة 31'!$N$18</f>
        <v>0</v>
      </c>
      <c r="AU211" s="30">
        <f>'الصفحة 31'!$O$17</f>
        <v>0</v>
      </c>
      <c r="AV211" s="111">
        <f>'الصفحة 31'!$O$18</f>
        <v>0</v>
      </c>
      <c r="AW211" s="30">
        <f>'الصفحة 31'!$P$17</f>
        <v>0</v>
      </c>
      <c r="AX211" s="111">
        <f>'الصفحة 31'!$P$18</f>
        <v>0</v>
      </c>
      <c r="AY211" s="30">
        <f>'الصفحة 31'!$Q$17</f>
        <v>0</v>
      </c>
      <c r="AZ211" s="111">
        <f>'الصفحة 31'!$Q$18</f>
        <v>0</v>
      </c>
      <c r="BA211" s="90">
        <f>AY211+AW211+AU211+AS211+AQ211+AO211+AM211+AK211+AI211+AG211+AE211+AC211</f>
        <v>0</v>
      </c>
      <c r="BB211" s="72">
        <f>AZ211+AX211+AV211+AT211+AR211+AP211+AN211+AL211+AJ211+AH211+AF211+AD211</f>
        <v>0</v>
      </c>
      <c r="BD211" s="71">
        <f>'الصفحة 31'!$F$19</f>
        <v>0</v>
      </c>
      <c r="BE211" s="31">
        <f>'الصفحة 31'!$F$20</f>
        <v>0</v>
      </c>
      <c r="BF211" s="30">
        <f>'الصفحة 31'!$G$19</f>
        <v>0</v>
      </c>
      <c r="BG211" s="111">
        <f>'الصفحة 31'!$G$20</f>
        <v>0</v>
      </c>
      <c r="BH211" s="30">
        <f>'الصفحة 31'!$H$19</f>
        <v>0</v>
      </c>
      <c r="BI211" s="111">
        <f>'الصفحة 31'!$H$20</f>
        <v>0</v>
      </c>
      <c r="BJ211" s="30">
        <f>'الصفحة 31'!$I$19</f>
        <v>0</v>
      </c>
      <c r="BK211" s="111">
        <f>'الصفحة 31'!$I$20</f>
        <v>0</v>
      </c>
      <c r="BL211" s="30">
        <f>'الصفحة 31'!$J$19</f>
        <v>0</v>
      </c>
      <c r="BM211" s="111">
        <f>'الصفحة 31'!$J$20</f>
        <v>0</v>
      </c>
      <c r="BN211" s="30">
        <f>'الصفحة 31'!$K$19</f>
        <v>0</v>
      </c>
      <c r="BO211" s="111">
        <f>'الصفحة 31'!$K$20</f>
        <v>0</v>
      </c>
      <c r="BP211" s="30">
        <f>'الصفحة 31'!$L$19</f>
        <v>0</v>
      </c>
      <c r="BQ211" s="111">
        <f>'الصفحة 31'!$L$20</f>
        <v>0</v>
      </c>
      <c r="BR211" s="30">
        <f>'الصفحة 31'!$M$19</f>
        <v>0</v>
      </c>
      <c r="BS211" s="111">
        <f>'الصفحة 31'!$M$20</f>
        <v>0</v>
      </c>
      <c r="BT211" s="30">
        <f>'الصفحة 31'!$N$19</f>
        <v>0</v>
      </c>
      <c r="BU211" s="111">
        <f>'الصفحة 31'!$N$20</f>
        <v>0</v>
      </c>
      <c r="BV211" s="30">
        <f>'الصفحة 31'!$O$19</f>
        <v>0</v>
      </c>
      <c r="BW211" s="111">
        <f>'الصفحة 31'!$O$20</f>
        <v>0</v>
      </c>
      <c r="BX211" s="30">
        <f>'الصفحة 31'!$P$19</f>
        <v>0</v>
      </c>
      <c r="BY211" s="111">
        <f>'الصفحة 31'!$P$20</f>
        <v>0</v>
      </c>
      <c r="BZ211" s="30">
        <f>'الصفحة 31'!$Q$19</f>
        <v>0</v>
      </c>
      <c r="CA211" s="111">
        <f>'الصفحة 31'!$Q$20</f>
        <v>0</v>
      </c>
      <c r="CB211" s="90">
        <f>BZ211+BX211+BV211+BT211+BR211+BP211+BN211+BL211+BJ211+BH211+BF211+BD211</f>
        <v>0</v>
      </c>
      <c r="CC211" s="72">
        <f>CA211+BY211+BW211+BU211+BS211+BQ211+BO211+BM211+BK211+BI211+BG211+BE211</f>
        <v>0</v>
      </c>
      <c r="CE211" s="71">
        <f>'الصفحة 31'!$F$21</f>
        <v>0</v>
      </c>
      <c r="CF211" s="31">
        <f>'الصفحة 31'!$F$22</f>
        <v>0</v>
      </c>
      <c r="CG211" s="30">
        <f>'الصفحة 31'!$G$21</f>
        <v>0</v>
      </c>
      <c r="CH211" s="111">
        <f>'الصفحة 31'!$G$22</f>
        <v>0</v>
      </c>
      <c r="CI211" s="30">
        <f>'الصفحة 31'!$H$21</f>
        <v>0</v>
      </c>
      <c r="CJ211" s="111">
        <f>'الصفحة 31'!$H$22</f>
        <v>0</v>
      </c>
      <c r="CK211" s="30">
        <f>'الصفحة 31'!$I$21</f>
        <v>0</v>
      </c>
      <c r="CL211" s="111">
        <f>'الصفحة 31'!$I$22</f>
        <v>0</v>
      </c>
      <c r="CM211" s="30">
        <f>'الصفحة 31'!$J$21</f>
        <v>0</v>
      </c>
      <c r="CN211" s="111">
        <f>'الصفحة 31'!$J$22</f>
        <v>0</v>
      </c>
      <c r="CO211" s="30">
        <f>'الصفحة 31'!$K$21</f>
        <v>0</v>
      </c>
      <c r="CP211" s="111">
        <f>'الصفحة 31'!$K$22</f>
        <v>0</v>
      </c>
      <c r="CQ211" s="30">
        <f>'الصفحة 31'!$L$21</f>
        <v>0</v>
      </c>
      <c r="CR211" s="111">
        <f>'الصفحة 31'!$L$22</f>
        <v>0</v>
      </c>
      <c r="CS211" s="30">
        <f>'الصفحة 31'!$M$21</f>
        <v>0</v>
      </c>
      <c r="CT211" s="111">
        <f>'الصفحة 31'!$M$22</f>
        <v>0</v>
      </c>
      <c r="CU211" s="30">
        <f>'الصفحة 31'!$N$21</f>
        <v>0</v>
      </c>
      <c r="CV211" s="111">
        <f>'الصفحة 31'!$N$22</f>
        <v>0</v>
      </c>
      <c r="CW211" s="30">
        <f>'الصفحة 31'!$O$21</f>
        <v>0</v>
      </c>
      <c r="CX211" s="111">
        <f>'الصفحة 31'!$O$22</f>
        <v>0</v>
      </c>
      <c r="CY211" s="30">
        <f>'الصفحة 31'!$P$21</f>
        <v>0</v>
      </c>
      <c r="CZ211" s="111">
        <f>'الصفحة 31'!$P$22</f>
        <v>0</v>
      </c>
      <c r="DA211" s="30">
        <f>'الصفحة 31'!$Q$21</f>
        <v>0</v>
      </c>
      <c r="DB211" s="111">
        <f>'الصفحة 31'!$Q$22</f>
        <v>0</v>
      </c>
      <c r="DC211" s="90">
        <f>DA211+CY211+CW211+CU211+CS211+CQ211+CO211+CM211+CK211+CI211+CG211+CE211</f>
        <v>0</v>
      </c>
      <c r="DD211" s="89">
        <f>DB211+CZ211+CX211+CV211+CT211+CR211+CP211+CN211+CL211+CJ211+CH211+CF211</f>
        <v>0</v>
      </c>
      <c r="DF211" s="71">
        <f>'الصفحة 31'!$F$23</f>
        <v>0</v>
      </c>
      <c r="DG211" s="31">
        <f>'الصفحة 31'!$F$24</f>
        <v>0</v>
      </c>
      <c r="DH211" s="30">
        <f>'الصفحة 31'!$G$23</f>
        <v>0</v>
      </c>
      <c r="DI211" s="111">
        <f>'الصفحة 31'!$G$24</f>
        <v>0</v>
      </c>
      <c r="DJ211" s="30">
        <f>'الصفحة 31'!$H$23</f>
        <v>0</v>
      </c>
      <c r="DK211" s="111">
        <f>'الصفحة 31'!$H$24</f>
        <v>0</v>
      </c>
      <c r="DL211" s="30">
        <f>'الصفحة 31'!$I$23</f>
        <v>0</v>
      </c>
      <c r="DM211" s="111">
        <f>'الصفحة 31'!$I$24</f>
        <v>0</v>
      </c>
      <c r="DN211" s="30">
        <f>'الصفحة 31'!$J$23</f>
        <v>0</v>
      </c>
      <c r="DO211" s="111">
        <f>'الصفحة 31'!$J$24</f>
        <v>0</v>
      </c>
      <c r="DP211" s="30">
        <f>'الصفحة 31'!$K$23</f>
        <v>0</v>
      </c>
      <c r="DQ211" s="111">
        <f>'الصفحة 31'!$K$24</f>
        <v>0</v>
      </c>
      <c r="DR211" s="30">
        <f>'الصفحة 31'!$L$23</f>
        <v>0</v>
      </c>
      <c r="DS211" s="111">
        <f>'الصفحة 31'!$L$24</f>
        <v>0</v>
      </c>
      <c r="DT211" s="30">
        <f>'الصفحة 31'!$M$23</f>
        <v>0</v>
      </c>
      <c r="DU211" s="111">
        <f>'الصفحة 31'!$M$24</f>
        <v>0</v>
      </c>
      <c r="DV211" s="30">
        <f>'الصفحة 31'!$N$23</f>
        <v>0</v>
      </c>
      <c r="DW211" s="111">
        <f>'الصفحة 31'!$N$24</f>
        <v>0</v>
      </c>
      <c r="DX211" s="30">
        <f>'الصفحة 31'!$O$23</f>
        <v>0</v>
      </c>
      <c r="DY211" s="111">
        <f>'الصفحة 31'!$O$24</f>
        <v>0</v>
      </c>
      <c r="DZ211" s="30">
        <f>'الصفحة 31'!$P$23</f>
        <v>0</v>
      </c>
      <c r="EA211" s="111">
        <f>'الصفحة 31'!$P$24</f>
        <v>0</v>
      </c>
      <c r="EB211" s="30">
        <f>'الصفحة 31'!$Q$23</f>
        <v>0</v>
      </c>
      <c r="EC211" s="111">
        <f>'الصفحة 31'!$Q$24</f>
        <v>0</v>
      </c>
      <c r="ED211" s="90">
        <f>EB211+DZ211+DX211+DV211+DT211+DR211+DP211+DN211+DL211+DJ211+DH211+DF211</f>
        <v>0</v>
      </c>
      <c r="EE211" s="72">
        <f>EC211+EA211+DY211+DW211+DU211+DS211+DQ211+DO211+DM211+DK211+DI211+DG211</f>
        <v>0</v>
      </c>
      <c r="EG211" s="71">
        <f>'الصفحة 31'!$F$25</f>
        <v>0</v>
      </c>
      <c r="EH211" s="31">
        <f>'الصفحة 31'!$F$26</f>
        <v>0</v>
      </c>
      <c r="EI211" s="30">
        <f>'الصفحة 31'!$G$25</f>
        <v>0</v>
      </c>
      <c r="EJ211" s="111">
        <f>'الصفحة 31'!$G$26</f>
        <v>0</v>
      </c>
      <c r="EK211" s="30">
        <f>'الصفحة 31'!$H$25</f>
        <v>0</v>
      </c>
      <c r="EL211" s="111">
        <f>'الصفحة 31'!$H$26</f>
        <v>0</v>
      </c>
      <c r="EM211" s="30">
        <f>'الصفحة 31'!$I$25</f>
        <v>0</v>
      </c>
      <c r="EN211" s="111">
        <f>'الصفحة 31'!$I$26</f>
        <v>0</v>
      </c>
      <c r="EO211" s="30">
        <f>'الصفحة 31'!$J$25</f>
        <v>0</v>
      </c>
      <c r="EP211" s="111">
        <f>'الصفحة 31'!$J$26</f>
        <v>0</v>
      </c>
      <c r="EQ211" s="30">
        <f>'الصفحة 31'!$K$25</f>
        <v>0</v>
      </c>
      <c r="ER211" s="111">
        <f>'الصفحة 31'!$K$26</f>
        <v>0</v>
      </c>
      <c r="ES211" s="30">
        <f>'الصفحة 31'!$L$25</f>
        <v>0</v>
      </c>
      <c r="ET211" s="111">
        <f>'الصفحة 31'!$L$26</f>
        <v>0</v>
      </c>
      <c r="EU211" s="30">
        <f>'الصفحة 31'!$M$25</f>
        <v>0</v>
      </c>
      <c r="EV211" s="111">
        <f>'الصفحة 31'!$M$26</f>
        <v>0</v>
      </c>
      <c r="EW211" s="30">
        <f>'الصفحة 31'!$N$25</f>
        <v>0</v>
      </c>
      <c r="EX211" s="111">
        <f>'الصفحة 31'!$N$26</f>
        <v>0</v>
      </c>
      <c r="EY211" s="30">
        <f>'الصفحة 31'!$O$25</f>
        <v>0</v>
      </c>
      <c r="EZ211" s="111">
        <f>'الصفحة 31'!$O$26</f>
        <v>0</v>
      </c>
      <c r="FA211" s="30">
        <f>'الصفحة 31'!$P$25</f>
        <v>0</v>
      </c>
      <c r="FB211" s="111">
        <f>'الصفحة 31'!$P$26</f>
        <v>0</v>
      </c>
      <c r="FC211" s="30">
        <f>'الصفحة 31'!$Q$25</f>
        <v>0</v>
      </c>
      <c r="FD211" s="111">
        <f>'الصفحة 31'!$Q$26</f>
        <v>0</v>
      </c>
      <c r="FE211" s="90">
        <f>FC211+FA211+EY211+EW211+EU211+ES211+EQ211+EO211+EM211+EK211+EI211+EG211</f>
        <v>0</v>
      </c>
      <c r="FF211" s="72">
        <f>FD211+FB211+EZ211+EX211+EV211+ET211+ER211+EP211+EN211+EL211+EJ211+EH211</f>
        <v>0</v>
      </c>
      <c r="FH211" s="71">
        <f>'الصفحة 31'!$F$27</f>
        <v>0</v>
      </c>
      <c r="FI211" s="31">
        <f>'الصفحة 31'!$F$28</f>
        <v>0</v>
      </c>
      <c r="FJ211" s="30">
        <f>'الصفحة 31'!$G$27</f>
        <v>0</v>
      </c>
      <c r="FK211" s="111">
        <f>'الصفحة 31'!$G$28</f>
        <v>0</v>
      </c>
      <c r="FL211" s="30">
        <f>'الصفحة 31'!$H$27</f>
        <v>0</v>
      </c>
      <c r="FM211" s="111">
        <f>'الصفحة 31'!$H$28</f>
        <v>0</v>
      </c>
      <c r="FN211" s="30">
        <f>'الصفحة 31'!$I$27</f>
        <v>0</v>
      </c>
      <c r="FO211" s="111">
        <f>'الصفحة 31'!$I$28</f>
        <v>0</v>
      </c>
      <c r="FP211" s="30">
        <f>'الصفحة 31'!$J$27</f>
        <v>0</v>
      </c>
      <c r="FQ211" s="111">
        <f>'الصفحة 31'!$J$28</f>
        <v>0</v>
      </c>
      <c r="FR211" s="30">
        <f>'الصفحة 31'!$K$27</f>
        <v>0</v>
      </c>
      <c r="FS211" s="111">
        <f>'الصفحة 31'!$K$28</f>
        <v>0</v>
      </c>
      <c r="FT211" s="30">
        <f>'الصفحة 31'!$L$27</f>
        <v>0</v>
      </c>
      <c r="FU211" s="111">
        <f>'الصفحة 31'!$L$28</f>
        <v>0</v>
      </c>
      <c r="FV211" s="30">
        <f>'الصفحة 31'!$M$27</f>
        <v>0</v>
      </c>
      <c r="FW211" s="111">
        <f>'الصفحة 31'!$M$28</f>
        <v>0</v>
      </c>
      <c r="FX211" s="30">
        <f>'الصفحة 31'!$N$27</f>
        <v>0</v>
      </c>
      <c r="FY211" s="111">
        <f>'الصفحة 31'!$N$28</f>
        <v>0</v>
      </c>
      <c r="FZ211" s="30">
        <f>'الصفحة 31'!$O$27</f>
        <v>0</v>
      </c>
      <c r="GA211" s="111">
        <f>'الصفحة 31'!$O$28</f>
        <v>0</v>
      </c>
      <c r="GB211" s="30">
        <f>'الصفحة 31'!$P$27</f>
        <v>0</v>
      </c>
      <c r="GC211" s="111">
        <f>'الصفحة 31'!$P$28</f>
        <v>0</v>
      </c>
      <c r="GD211" s="30">
        <f>'الصفحة 31'!$Q$27</f>
        <v>0</v>
      </c>
      <c r="GE211" s="111">
        <f>'الصفحة 31'!$Q$28</f>
        <v>0</v>
      </c>
      <c r="GF211" s="90">
        <f>GD211+GB211+FZ211+FX211+FV211+FT211+FR211+FP211+FN211+FL211+FJ211+FH211</f>
        <v>0</v>
      </c>
      <c r="GG211" s="72">
        <f>GE211+GC211+GA211+FY211+FW211+FU211+FS211+FQ211+FO211+FM211+FK211+FI211</f>
        <v>0</v>
      </c>
      <c r="GI211" s="71">
        <f>'الصفحة 31'!$F$29</f>
        <v>0</v>
      </c>
      <c r="GJ211" s="31">
        <f>'الصفحة 31'!$F$30</f>
        <v>0</v>
      </c>
      <c r="GK211" s="30">
        <f>'الصفحة 31'!$G$29</f>
        <v>0</v>
      </c>
      <c r="GL211" s="111">
        <f>'الصفحة 31'!$G$30</f>
        <v>0</v>
      </c>
      <c r="GM211" s="30">
        <f>'الصفحة 31'!$H$29</f>
        <v>0</v>
      </c>
      <c r="GN211" s="111">
        <f>'الصفحة 31'!$H$30</f>
        <v>0</v>
      </c>
      <c r="GO211" s="30">
        <f>'الصفحة 31'!$I$29</f>
        <v>0</v>
      </c>
      <c r="GP211" s="111">
        <f>'الصفحة 31'!$I$30</f>
        <v>0</v>
      </c>
      <c r="GQ211" s="30">
        <f>'الصفحة 31'!$J$29</f>
        <v>0</v>
      </c>
      <c r="GR211" s="111">
        <f>'الصفحة 31'!$J$30</f>
        <v>0</v>
      </c>
      <c r="GS211" s="30">
        <f>'الصفحة 31'!$K$29</f>
        <v>0</v>
      </c>
      <c r="GT211" s="111">
        <f>'الصفحة 31'!$K$30</f>
        <v>0</v>
      </c>
      <c r="GU211" s="30">
        <f>'الصفحة 31'!$L$29</f>
        <v>0</v>
      </c>
      <c r="GV211" s="111">
        <f>'الصفحة 31'!$L$30</f>
        <v>0</v>
      </c>
      <c r="GW211" s="30">
        <f>'الصفحة 31'!$M$29</f>
        <v>0</v>
      </c>
      <c r="GX211" s="111">
        <f>'الصفحة 31'!$M$30</f>
        <v>0</v>
      </c>
      <c r="GY211" s="30">
        <f>'الصفحة 31'!$N$29</f>
        <v>0</v>
      </c>
      <c r="GZ211" s="111">
        <f>'الصفحة 31'!$N$30</f>
        <v>0</v>
      </c>
      <c r="HA211" s="30">
        <f>'الصفحة 31'!$O$29</f>
        <v>0</v>
      </c>
      <c r="HB211" s="111">
        <f>'الصفحة 31'!$O$30</f>
        <v>0</v>
      </c>
      <c r="HC211" s="30">
        <f>'الصفحة 31'!$P$29</f>
        <v>0</v>
      </c>
      <c r="HD211" s="111">
        <f>'الصفحة 31'!$P$30</f>
        <v>0</v>
      </c>
      <c r="HE211" s="30">
        <f>'الصفحة 31'!$Q$29</f>
        <v>0</v>
      </c>
      <c r="HF211" s="111">
        <f>'الصفحة 31'!$Q$30</f>
        <v>0</v>
      </c>
      <c r="HG211" s="90">
        <f>HE211+HC211+HA211+GY211+GW211+GU211+GS211+GQ211+GO211+GM211+GK211+GI211</f>
        <v>0</v>
      </c>
      <c r="HH211" s="72">
        <f>HF211+HD211+HB211+GZ211+GX211+GV211+GT211+GR211+GP211+GN211+GL211+GJ211</f>
        <v>0</v>
      </c>
      <c r="HJ211" s="101">
        <f>'الصفحة 31'!$F$31</f>
        <v>0</v>
      </c>
      <c r="HK211" s="52">
        <f>'الصفحة 31'!$F$32</f>
        <v>0</v>
      </c>
      <c r="HL211" s="49">
        <f>'الصفحة 31'!$G$31</f>
        <v>0</v>
      </c>
      <c r="HM211" s="110">
        <f>'الصفحة 31'!$G$32</f>
        <v>0</v>
      </c>
      <c r="HN211" s="49">
        <f>'الصفحة 31'!$H$31</f>
        <v>0</v>
      </c>
      <c r="HO211" s="110">
        <f>'الصفحة 31'!$H$32</f>
        <v>0</v>
      </c>
      <c r="HP211" s="49">
        <f>'الصفحة 31'!$I$31</f>
        <v>0</v>
      </c>
      <c r="HQ211" s="110">
        <f>'الصفحة 31'!$I$32</f>
        <v>0</v>
      </c>
      <c r="HR211" s="49">
        <f>'الصفحة 31'!$J$31</f>
        <v>0</v>
      </c>
      <c r="HS211" s="110">
        <f>'الصفحة 31'!$J$32</f>
        <v>0</v>
      </c>
      <c r="HT211" s="49">
        <f>'الصفحة 31'!$K$31</f>
        <v>0</v>
      </c>
      <c r="HU211" s="110">
        <f>'الصفحة 31'!$K$32</f>
        <v>0</v>
      </c>
      <c r="HV211" s="49">
        <f>'الصفحة 31'!$L$31</f>
        <v>0</v>
      </c>
      <c r="HW211" s="110">
        <f>'الصفحة 31'!$L$32</f>
        <v>0</v>
      </c>
      <c r="HX211" s="49">
        <f>'الصفحة 31'!$M$31</f>
        <v>0</v>
      </c>
      <c r="HY211" s="110">
        <f>'الصفحة 31'!$M$32</f>
        <v>0</v>
      </c>
      <c r="HZ211" s="49">
        <f>'الصفحة 31'!$N$31</f>
        <v>0</v>
      </c>
      <c r="IA211" s="110">
        <f>'الصفحة 31'!$N$32</f>
        <v>0</v>
      </c>
      <c r="IB211" s="49">
        <f>'الصفحة 31'!$O$31</f>
        <v>0</v>
      </c>
      <c r="IC211" s="110">
        <f>'الصفحة 31'!$O$32</f>
        <v>0</v>
      </c>
      <c r="ID211" s="49">
        <f>'الصفحة 31'!$P$31</f>
        <v>0</v>
      </c>
      <c r="IE211" s="110">
        <f>'الصفحة 31'!$P$32</f>
        <v>0</v>
      </c>
      <c r="IF211" s="49">
        <f>'الصفحة 31'!$Q$31</f>
        <v>0</v>
      </c>
      <c r="IG211" s="110">
        <f>'الصفحة 31'!$Q$32</f>
        <v>0</v>
      </c>
      <c r="IH211" s="100">
        <f>IF211+ID211+IB211+HZ211+HX211+HV211+HT211+HR211+HP211+HN211+HL211+HJ211</f>
        <v>0</v>
      </c>
      <c r="II211" s="99">
        <f>IG211+IE211+IC211+IA211+HY211+HW211+HU211+HS211+HQ211+HO211+HM211+HK211</f>
        <v>0</v>
      </c>
      <c r="IJ211" s="76"/>
      <c r="IL211" s="27"/>
      <c r="IM211" s="27"/>
      <c r="IN211" s="27"/>
      <c r="IO211" s="27"/>
      <c r="IP211" s="27"/>
      <c r="IQ211" s="27"/>
      <c r="IR211" s="27"/>
      <c r="IS211" s="27"/>
      <c r="IT211" s="27"/>
      <c r="IV211" s="21"/>
    </row>
    <row r="212" spans="1:256" s="24" customFormat="1" ht="14.1" customHeight="1" thickBot="1">
      <c r="A212" s="23"/>
      <c r="FH212" s="581">
        <f>'الصفحة 31'!$F$37</f>
        <v>0</v>
      </c>
      <c r="FI212" s="582">
        <f>'الصفحة 31'!$F$38</f>
        <v>0</v>
      </c>
      <c r="FJ212" s="583">
        <f>'الصفحة 31'!$G$37</f>
        <v>0</v>
      </c>
      <c r="FK212" s="584">
        <f>'الصفحة 31'!$G$38</f>
        <v>0</v>
      </c>
      <c r="FL212" s="583">
        <f>'الصفحة 31'!$H$37</f>
        <v>0</v>
      </c>
      <c r="FM212" s="584">
        <f>'الصفحة 31'!$H$38</f>
        <v>0</v>
      </c>
      <c r="FN212" s="583">
        <f>'الصفحة 31'!$I$37</f>
        <v>0</v>
      </c>
      <c r="FO212" s="584">
        <f>'الصفحة 31'!$I$38</f>
        <v>0</v>
      </c>
      <c r="FP212" s="583">
        <f>'الصفحة 31'!$J$37</f>
        <v>0</v>
      </c>
      <c r="FQ212" s="584">
        <f>'الصفحة 31'!$J$38</f>
        <v>0</v>
      </c>
      <c r="FR212" s="583">
        <f>'الصفحة 31'!$K$37</f>
        <v>0</v>
      </c>
      <c r="FS212" s="584">
        <f>'الصفحة 31'!$K$38</f>
        <v>0</v>
      </c>
      <c r="FT212" s="583">
        <f>'الصفحة 31'!$L$37</f>
        <v>0</v>
      </c>
      <c r="FU212" s="584">
        <f>'الصفحة 31'!$L$38</f>
        <v>0</v>
      </c>
      <c r="FV212" s="583">
        <f>'الصفحة 31'!$M$37</f>
        <v>0</v>
      </c>
      <c r="FW212" s="584">
        <f>'الصفحة 31'!$M$38</f>
        <v>0</v>
      </c>
      <c r="FX212" s="583">
        <f>'الصفحة 31'!$N$37</f>
        <v>0</v>
      </c>
      <c r="FY212" s="584">
        <f>'الصفحة 31'!$N$38</f>
        <v>0</v>
      </c>
      <c r="FZ212" s="583">
        <f>'الصفحة 31'!$O$37</f>
        <v>0</v>
      </c>
      <c r="GA212" s="584">
        <f>'الصفحة 31'!$O$38</f>
        <v>0</v>
      </c>
      <c r="GB212" s="583">
        <f>'الصفحة 31'!$P$37</f>
        <v>0</v>
      </c>
      <c r="GC212" s="584">
        <f>'الصفحة 31'!$P$38</f>
        <v>0</v>
      </c>
      <c r="GD212" s="583">
        <f>'الصفحة 31'!$Q$37</f>
        <v>0</v>
      </c>
      <c r="GE212" s="584">
        <f>'الصفحة 31'!$Q$38</f>
        <v>0</v>
      </c>
      <c r="GF212" s="585">
        <f>GD212+GB212+FZ212+FX212+FV212+FT212+FR212+FP212+FN212+FL212+FJ212+FH212</f>
        <v>0</v>
      </c>
      <c r="GG212" s="586">
        <f>GE212+GC212+GA212+FY212+FW212+FU212+FS212+FQ212+FO212+FM212+FK212+FI212</f>
        <v>0</v>
      </c>
      <c r="GI212" s="581">
        <f>'الصفحة 31'!$F$33</f>
        <v>0</v>
      </c>
      <c r="GJ212" s="582">
        <f>'الصفحة 31'!$F$34</f>
        <v>0</v>
      </c>
      <c r="GK212" s="583">
        <f>'الصفحة 31'!$G$33</f>
        <v>0</v>
      </c>
      <c r="GL212" s="584">
        <f>'الصفحة 31'!$G$34</f>
        <v>0</v>
      </c>
      <c r="GM212" s="583">
        <f>'الصفحة 31'!$H$33</f>
        <v>0</v>
      </c>
      <c r="GN212" s="584">
        <f>'الصفحة 31'!$H$34</f>
        <v>0</v>
      </c>
      <c r="GO212" s="583">
        <f>'الصفحة 31'!$I$33</f>
        <v>0</v>
      </c>
      <c r="GP212" s="584">
        <f>'الصفحة 31'!$I$34</f>
        <v>0</v>
      </c>
      <c r="GQ212" s="583">
        <f>'الصفحة 31'!$J$33</f>
        <v>0</v>
      </c>
      <c r="GR212" s="584">
        <f>'الصفحة 31'!$J$34</f>
        <v>0</v>
      </c>
      <c r="GS212" s="583">
        <f>'الصفحة 31'!$K$33</f>
        <v>0</v>
      </c>
      <c r="GT212" s="584">
        <f>'الصفحة 31'!$K$34</f>
        <v>0</v>
      </c>
      <c r="GU212" s="583">
        <f>'الصفحة 31'!$L$33</f>
        <v>0</v>
      </c>
      <c r="GV212" s="584">
        <f>'الصفحة 31'!$L$34</f>
        <v>0</v>
      </c>
      <c r="GW212" s="583">
        <f>'الصفحة 31'!$M$33</f>
        <v>0</v>
      </c>
      <c r="GX212" s="584">
        <f>'الصفحة 31'!$M$34</f>
        <v>0</v>
      </c>
      <c r="GY212" s="583">
        <f>'الصفحة 31'!$N$33</f>
        <v>0</v>
      </c>
      <c r="GZ212" s="584">
        <f>'الصفحة 31'!$N$34</f>
        <v>0</v>
      </c>
      <c r="HA212" s="583">
        <f>'الصفحة 31'!$O$33</f>
        <v>0</v>
      </c>
      <c r="HB212" s="584">
        <f>'الصفحة 31'!$O$34</f>
        <v>0</v>
      </c>
      <c r="HC212" s="583">
        <f>'الصفحة 31'!$P$33</f>
        <v>0</v>
      </c>
      <c r="HD212" s="584">
        <f>'الصفحة 31'!$P$34</f>
        <v>0</v>
      </c>
      <c r="HE212" s="583">
        <f>'الصفحة 31'!$Q$33</f>
        <v>0</v>
      </c>
      <c r="HF212" s="584">
        <f>'الصفحة 31'!$Q$34</f>
        <v>0</v>
      </c>
      <c r="HG212" s="585">
        <f>HE212+HC212+HA212+GY212+GW212+GU212+GS212+GQ212+GO212+GM212+GK212+GI212</f>
        <v>0</v>
      </c>
      <c r="HH212" s="586">
        <f>HF212+HD212+HB212+GZ212+GX212+GV212+GT212+GR212+GP212+GN212+GL212+GJ212</f>
        <v>0</v>
      </c>
      <c r="HI212" s="106"/>
      <c r="HJ212" s="46">
        <f>'الصفحة 31'!$F$35</f>
        <v>0</v>
      </c>
      <c r="HK212" s="43">
        <f>'الصفحة 31'!$F$36</f>
        <v>0</v>
      </c>
      <c r="HL212" s="43">
        <f>'الصفحة 31'!$G$35</f>
        <v>0</v>
      </c>
      <c r="HM212" s="43">
        <f>'الصفحة 31'!$G$36</f>
        <v>0</v>
      </c>
      <c r="HN212" s="43">
        <f>'الصفحة 31'!$H$35</f>
        <v>0</v>
      </c>
      <c r="HO212" s="43">
        <f>'الصفحة 31'!$H$36</f>
        <v>0</v>
      </c>
      <c r="HP212" s="43">
        <f>'الصفحة 31'!$I$35</f>
        <v>0</v>
      </c>
      <c r="HQ212" s="43">
        <f>'الصفحة 31'!$I$36</f>
        <v>0</v>
      </c>
      <c r="HR212" s="43">
        <f>'الصفحة 31'!$J$35</f>
        <v>0</v>
      </c>
      <c r="HS212" s="43">
        <f>'الصفحة 31'!$J$36</f>
        <v>0</v>
      </c>
      <c r="HT212" s="43">
        <f>'الصفحة 31'!$K$35</f>
        <v>0</v>
      </c>
      <c r="HU212" s="43">
        <f>'الصفحة 31'!$K$36</f>
        <v>0</v>
      </c>
      <c r="HV212" s="43">
        <f>'الصفحة 31'!$L$35</f>
        <v>0</v>
      </c>
      <c r="HW212" s="43">
        <f>'الصفحة 31'!$L$36</f>
        <v>0</v>
      </c>
      <c r="HX212" s="43">
        <f>'الصفحة 31'!$M$35</f>
        <v>0</v>
      </c>
      <c r="HY212" s="43">
        <f>'الصفحة 31'!$M$36</f>
        <v>0</v>
      </c>
      <c r="HZ212" s="43">
        <f>'الصفحة 31'!$N$35</f>
        <v>0</v>
      </c>
      <c r="IA212" s="43">
        <f>'الصفحة 31'!$N$36</f>
        <v>0</v>
      </c>
      <c r="IB212" s="43">
        <f>'الصفحة 31'!$O$35</f>
        <v>0</v>
      </c>
      <c r="IC212" s="43">
        <f>'الصفحة 31'!$O$36</f>
        <v>0</v>
      </c>
      <c r="ID212" s="43">
        <f>'الصفحة 31'!$P$35</f>
        <v>0</v>
      </c>
      <c r="IE212" s="43">
        <f>'الصفحة 31'!$P$36</f>
        <v>0</v>
      </c>
      <c r="IF212" s="43">
        <f>'الصفحة 31'!$Q$35</f>
        <v>0</v>
      </c>
      <c r="IG212" s="43">
        <f>'الصفحة 31'!$Q$36</f>
        <v>0</v>
      </c>
      <c r="IH212" s="45">
        <f>IF212+ID212+IB212+HZ212+HX212+HV212+HT212+HR212+HP212+HN212+HL212+HJ212</f>
        <v>0</v>
      </c>
      <c r="II212" s="98">
        <f>IG212+IE212+IC212+IA212+HY212+HW212+HU212+HS212+HQ212+HO212+HM212+HK212</f>
        <v>0</v>
      </c>
      <c r="IJ212" s="76"/>
      <c r="IQ212" s="117"/>
      <c r="IR212" s="117"/>
      <c r="IS212" s="117"/>
      <c r="IT212" s="117"/>
      <c r="IV212" s="21"/>
    </row>
    <row r="213" spans="1:256" s="24" customFormat="1" ht="6" customHeight="1" thickBot="1">
      <c r="A213" s="23"/>
      <c r="B213" s="22"/>
      <c r="C213" s="22"/>
      <c r="D213" s="22"/>
      <c r="E213" s="22"/>
      <c r="F213" s="22"/>
      <c r="G213" s="22"/>
      <c r="H213" s="22"/>
      <c r="I213" s="22"/>
      <c r="J213" s="22"/>
      <c r="K213" s="22"/>
      <c r="L213" s="22"/>
      <c r="M213" s="22"/>
      <c r="N213" s="22"/>
      <c r="O213" s="22"/>
      <c r="P213" s="22"/>
      <c r="Q213" s="22"/>
      <c r="R213" s="22"/>
      <c r="S213" s="22"/>
      <c r="T213" s="22"/>
      <c r="U213" s="22"/>
      <c r="V213" s="22"/>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c r="CU213" s="21"/>
      <c r="CV213" s="21"/>
      <c r="CW213" s="21"/>
      <c r="CX213" s="21"/>
      <c r="CY213" s="21"/>
      <c r="CZ213" s="21"/>
      <c r="DA213" s="21"/>
      <c r="DB213" s="21"/>
      <c r="DC213" s="21"/>
      <c r="DD213" s="21"/>
      <c r="DE213" s="21"/>
      <c r="DF213" s="21"/>
      <c r="DG213" s="21"/>
      <c r="DH213" s="21"/>
      <c r="DI213" s="21"/>
      <c r="DJ213" s="21"/>
      <c r="DK213" s="21"/>
      <c r="DL213" s="21"/>
      <c r="DM213" s="21"/>
      <c r="DN213" s="21"/>
      <c r="DO213" s="21"/>
      <c r="DP213" s="21"/>
      <c r="DQ213" s="21"/>
      <c r="DR213" s="21"/>
      <c r="DS213" s="21"/>
      <c r="DT213" s="21"/>
      <c r="DU213" s="21"/>
      <c r="DV213" s="21"/>
      <c r="DW213" s="21"/>
      <c r="DX213" s="21"/>
      <c r="DY213" s="21"/>
      <c r="DZ213" s="21"/>
      <c r="EA213" s="21"/>
      <c r="EB213" s="21"/>
      <c r="EC213" s="21"/>
      <c r="ED213" s="21"/>
      <c r="EE213" s="21"/>
      <c r="EF213" s="21"/>
      <c r="EG213" s="21"/>
      <c r="EH213" s="21"/>
      <c r="EI213" s="21"/>
      <c r="EJ213" s="21"/>
      <c r="EK213" s="21"/>
      <c r="EL213" s="21"/>
      <c r="EM213" s="21"/>
      <c r="EN213" s="21"/>
      <c r="EO213" s="21"/>
      <c r="EP213" s="21"/>
      <c r="EQ213" s="21"/>
      <c r="ER213" s="21"/>
      <c r="ES213" s="21"/>
      <c r="ET213" s="21"/>
      <c r="EU213" s="21"/>
      <c r="EV213" s="21"/>
      <c r="EW213" s="21"/>
      <c r="EX213" s="21"/>
      <c r="EY213" s="21"/>
      <c r="EZ213" s="21"/>
      <c r="FA213" s="21"/>
      <c r="FB213" s="21"/>
      <c r="FC213" s="21"/>
      <c r="FD213" s="21"/>
      <c r="FE213" s="21"/>
      <c r="FF213" s="21"/>
      <c r="FG213" s="21"/>
      <c r="FH213" s="21"/>
      <c r="FI213" s="21"/>
      <c r="FJ213" s="21"/>
      <c r="FK213" s="21"/>
      <c r="FL213" s="21"/>
      <c r="FM213" s="21"/>
      <c r="FN213" s="21"/>
      <c r="FO213" s="21"/>
      <c r="FP213" s="21"/>
      <c r="FQ213" s="21"/>
      <c r="FR213" s="21"/>
      <c r="FS213" s="21"/>
      <c r="FT213" s="21"/>
      <c r="FU213" s="21"/>
      <c r="FV213" s="21"/>
      <c r="FW213" s="21"/>
      <c r="FX213" s="21"/>
      <c r="FY213" s="21"/>
      <c r="FZ213" s="21"/>
      <c r="GA213" s="21"/>
      <c r="GB213" s="21"/>
      <c r="GC213" s="21"/>
      <c r="GD213" s="21"/>
      <c r="GE213" s="21"/>
      <c r="GF213" s="21"/>
      <c r="GG213" s="21"/>
      <c r="GH213" s="21"/>
      <c r="GI213" s="21"/>
      <c r="GJ213" s="21"/>
      <c r="GK213" s="21"/>
      <c r="GL213" s="21"/>
      <c r="GM213" s="21"/>
      <c r="GN213" s="21"/>
      <c r="GO213" s="21"/>
      <c r="GP213" s="21"/>
      <c r="GQ213" s="21"/>
      <c r="GR213" s="21"/>
      <c r="GS213" s="21"/>
      <c r="GT213" s="21"/>
      <c r="GU213" s="21"/>
      <c r="GV213" s="21"/>
      <c r="GW213" s="21"/>
      <c r="GX213" s="21"/>
      <c r="GY213" s="21"/>
      <c r="GZ213" s="21"/>
      <c r="HA213" s="21"/>
      <c r="HB213" s="21"/>
      <c r="HC213" s="21"/>
      <c r="HD213" s="21"/>
      <c r="HE213" s="21"/>
      <c r="HF213" s="21"/>
      <c r="HG213" s="21"/>
      <c r="HH213" s="21"/>
      <c r="HI213" s="21"/>
      <c r="HJ213" s="21"/>
      <c r="HK213" s="21"/>
      <c r="HL213" s="21"/>
      <c r="HM213" s="21"/>
      <c r="HN213" s="21"/>
      <c r="HO213" s="21"/>
      <c r="HP213" s="21"/>
      <c r="HQ213" s="21"/>
      <c r="HR213" s="21"/>
      <c r="HS213" s="21"/>
      <c r="HT213" s="21"/>
      <c r="HU213" s="21"/>
      <c r="HV213" s="21"/>
      <c r="HW213" s="21"/>
      <c r="HX213" s="21"/>
      <c r="HY213" s="21"/>
      <c r="HZ213" s="21"/>
      <c r="IA213" s="21"/>
      <c r="IB213" s="21"/>
      <c r="IC213" s="21"/>
      <c r="ID213" s="21"/>
      <c r="IE213" s="21"/>
      <c r="IF213" s="21"/>
      <c r="IG213" s="21"/>
      <c r="IH213" s="21"/>
      <c r="II213" s="21"/>
      <c r="IJ213" s="21"/>
      <c r="IK213" s="21"/>
      <c r="IL213" s="21"/>
      <c r="IM213" s="21"/>
      <c r="IN213" s="21"/>
      <c r="IO213" s="21"/>
      <c r="IP213" s="21"/>
      <c r="IQ213" s="21"/>
      <c r="IR213" s="21"/>
      <c r="IS213" s="21"/>
      <c r="IT213" s="21"/>
      <c r="IV213" s="21"/>
    </row>
    <row r="214" spans="1:256" s="24" customFormat="1" ht="15" customHeight="1" thickBot="1">
      <c r="A214" s="23"/>
      <c r="B214" s="38" t="s">
        <v>217</v>
      </c>
      <c r="C214" s="103"/>
      <c r="W214" s="5134" t="s">
        <v>35</v>
      </c>
      <c r="X214" s="5134"/>
      <c r="Y214" s="5134"/>
      <c r="AA214" s="38" t="s">
        <v>216</v>
      </c>
      <c r="AB214" s="103"/>
      <c r="AV214" s="5134" t="s">
        <v>34</v>
      </c>
      <c r="AW214" s="5134"/>
      <c r="AX214" s="5134"/>
      <c r="AZ214" s="38" t="s">
        <v>216</v>
      </c>
      <c r="BA214" s="103"/>
      <c r="BU214" s="5134" t="s">
        <v>33</v>
      </c>
      <c r="BV214" s="5134"/>
      <c r="BW214" s="5134"/>
      <c r="BY214" s="587" t="s">
        <v>633</v>
      </c>
      <c r="BZ214" s="103"/>
      <c r="CL214" s="43">
        <f>'الصفحة 31'!$P$56</f>
        <v>0</v>
      </c>
      <c r="CM214" s="43">
        <f>'الصفحة 31'!$Q$56</f>
        <v>0</v>
      </c>
      <c r="CN214" s="43">
        <f>'الصفحة 31'!$P$58</f>
        <v>0</v>
      </c>
      <c r="CO214" s="43">
        <f>'الصفحة 31'!$Q$58</f>
        <v>0</v>
      </c>
      <c r="CP214" s="30">
        <f>'الصفحة 31'!$L$56</f>
        <v>0</v>
      </c>
      <c r="CQ214" s="111">
        <f>'الصفحة 31'!$M$56</f>
        <v>0</v>
      </c>
      <c r="CR214" s="30">
        <f>'الصفحة 31'!$L$58</f>
        <v>0</v>
      </c>
      <c r="CS214" s="111">
        <f>'الصفحة 31'!$M$58</f>
        <v>0</v>
      </c>
      <c r="CT214" s="116" t="s">
        <v>32</v>
      </c>
      <c r="CU214" s="116"/>
      <c r="CV214" s="116"/>
      <c r="CW214" s="5764" t="s">
        <v>130</v>
      </c>
      <c r="CX214" s="64" t="s">
        <v>213</v>
      </c>
      <c r="DH214" s="5134" t="s">
        <v>215</v>
      </c>
      <c r="DI214" s="5134"/>
      <c r="DJ214" s="5134"/>
      <c r="DL214" s="64" t="s">
        <v>213</v>
      </c>
      <c r="DV214" s="5134" t="s">
        <v>46</v>
      </c>
      <c r="DW214" s="5134"/>
      <c r="DX214" s="5134"/>
      <c r="DZ214" s="64" t="s">
        <v>213</v>
      </c>
      <c r="EJ214" s="5134" t="s">
        <v>45</v>
      </c>
      <c r="EK214" s="5134"/>
      <c r="EL214" s="5134"/>
      <c r="EN214" s="64" t="s">
        <v>213</v>
      </c>
      <c r="EX214" s="5134" t="s">
        <v>44</v>
      </c>
      <c r="EY214" s="5134"/>
      <c r="EZ214" s="5134"/>
      <c r="FA214" s="103"/>
      <c r="FB214" s="64" t="s">
        <v>213</v>
      </c>
      <c r="FL214" s="5134" t="s">
        <v>43</v>
      </c>
      <c r="FM214" s="5134"/>
      <c r="FN214" s="5134"/>
      <c r="FP214" s="64" t="s">
        <v>213</v>
      </c>
      <c r="FZ214" s="5134" t="s">
        <v>42</v>
      </c>
      <c r="GA214" s="5134"/>
      <c r="GB214" s="5134"/>
      <c r="GD214" s="64" t="s">
        <v>213</v>
      </c>
      <c r="GN214" s="5134" t="s">
        <v>214</v>
      </c>
      <c r="GO214" s="5134"/>
      <c r="GP214" s="5134"/>
      <c r="GR214" s="64" t="s">
        <v>213</v>
      </c>
      <c r="HB214" s="5140" t="s">
        <v>40</v>
      </c>
      <c r="HC214" s="5140"/>
      <c r="HD214" s="5140"/>
      <c r="HF214" s="64" t="s">
        <v>213</v>
      </c>
      <c r="HP214" s="5140" t="s">
        <v>39</v>
      </c>
      <c r="HQ214" s="5140"/>
      <c r="HR214" s="5140"/>
      <c r="HT214" s="64" t="s">
        <v>213</v>
      </c>
      <c r="ID214" s="5134" t="s">
        <v>38</v>
      </c>
      <c r="IE214" s="5134"/>
      <c r="IF214" s="5134"/>
      <c r="IH214" s="115" t="s">
        <v>212</v>
      </c>
      <c r="IP214" s="114" t="s">
        <v>37</v>
      </c>
      <c r="IQ214" s="113"/>
      <c r="IR214" s="113"/>
      <c r="IS214" s="5765" t="s">
        <v>130</v>
      </c>
      <c r="IT214" s="5765"/>
      <c r="IV214" s="21"/>
    </row>
    <row r="215" spans="1:256" s="24" customFormat="1" ht="12" customHeight="1" thickBot="1">
      <c r="A215" s="23"/>
      <c r="B215" s="529" t="s">
        <v>47</v>
      </c>
      <c r="D215" s="529" t="s">
        <v>612</v>
      </c>
      <c r="F215" s="529" t="s">
        <v>45</v>
      </c>
      <c r="H215" s="529" t="s">
        <v>611</v>
      </c>
      <c r="J215" s="529" t="s">
        <v>613</v>
      </c>
      <c r="L215" s="529" t="s">
        <v>614</v>
      </c>
      <c r="N215" s="529" t="s">
        <v>615</v>
      </c>
      <c r="P215" s="529" t="s">
        <v>40</v>
      </c>
      <c r="R215" s="529" t="s">
        <v>616</v>
      </c>
      <c r="T215" s="529" t="s">
        <v>617</v>
      </c>
      <c r="V215" s="529" t="s">
        <v>618</v>
      </c>
      <c r="W215" s="529"/>
      <c r="AA215" s="529" t="s">
        <v>47</v>
      </c>
      <c r="AC215" s="529" t="s">
        <v>612</v>
      </c>
      <c r="AE215" s="529" t="s">
        <v>45</v>
      </c>
      <c r="AG215" s="529" t="s">
        <v>611</v>
      </c>
      <c r="AI215" s="529" t="s">
        <v>613</v>
      </c>
      <c r="AK215" s="529" t="s">
        <v>614</v>
      </c>
      <c r="AM215" s="529" t="s">
        <v>615</v>
      </c>
      <c r="AO215" s="529" t="s">
        <v>40</v>
      </c>
      <c r="AQ215" s="529" t="s">
        <v>616</v>
      </c>
      <c r="AS215" s="529" t="s">
        <v>617</v>
      </c>
      <c r="AU215" s="529" t="s">
        <v>618</v>
      </c>
      <c r="AZ215" s="529" t="s">
        <v>47</v>
      </c>
      <c r="BB215" s="529" t="s">
        <v>612</v>
      </c>
      <c r="BD215" s="529" t="s">
        <v>45</v>
      </c>
      <c r="BF215" s="529" t="s">
        <v>611</v>
      </c>
      <c r="BH215" s="529" t="s">
        <v>613</v>
      </c>
      <c r="BJ215" s="529" t="s">
        <v>614</v>
      </c>
      <c r="BL215" s="529" t="s">
        <v>615</v>
      </c>
      <c r="BN215" s="529" t="s">
        <v>40</v>
      </c>
      <c r="BP215" s="529" t="s">
        <v>616</v>
      </c>
      <c r="BR215" s="529" t="s">
        <v>617</v>
      </c>
      <c r="BT215" s="529" t="s">
        <v>618</v>
      </c>
      <c r="BY215" s="529" t="s">
        <v>47</v>
      </c>
      <c r="CA215" s="529" t="s">
        <v>612</v>
      </c>
      <c r="CC215" s="529" t="s">
        <v>45</v>
      </c>
      <c r="CE215" s="529" t="s">
        <v>611</v>
      </c>
      <c r="CG215" s="529" t="s">
        <v>613</v>
      </c>
      <c r="CI215" s="529" t="s">
        <v>614</v>
      </c>
      <c r="CK215" s="529" t="s">
        <v>615</v>
      </c>
      <c r="CM215" s="529" t="s">
        <v>40</v>
      </c>
      <c r="CO215" s="529" t="s">
        <v>616</v>
      </c>
      <c r="CQ215" s="529" t="s">
        <v>617</v>
      </c>
      <c r="CS215" s="529" t="s">
        <v>618</v>
      </c>
      <c r="CW215" s="5764"/>
      <c r="DI215" s="112"/>
      <c r="DW215" s="112"/>
      <c r="EK215" s="112"/>
      <c r="EY215" s="112"/>
      <c r="FM215" s="112"/>
      <c r="GA215" s="112"/>
      <c r="GO215" s="112"/>
      <c r="HC215" s="112"/>
      <c r="HQ215" s="112"/>
      <c r="IE215" s="112"/>
      <c r="IV215" s="21"/>
    </row>
    <row r="216" spans="1:256" s="24" customFormat="1" ht="14.1" customHeight="1" thickBot="1">
      <c r="A216" s="35">
        <v>13</v>
      </c>
      <c r="B216" s="71">
        <f>'الصفحة 31'!$F$45</f>
        <v>0</v>
      </c>
      <c r="C216" s="31">
        <f>'الصفحة 31'!$G$45</f>
        <v>0</v>
      </c>
      <c r="D216" s="30">
        <f>'الصفحة 31'!$F$46</f>
        <v>0</v>
      </c>
      <c r="E216" s="111">
        <f>'الصفحة 31'!$G$46</f>
        <v>0</v>
      </c>
      <c r="F216" s="30">
        <f>'الصفحة 31'!$F$47</f>
        <v>0</v>
      </c>
      <c r="G216" s="111">
        <f>'الصفحة 31'!$G$47</f>
        <v>0</v>
      </c>
      <c r="H216" s="30">
        <f>'الصفحة 31'!$F$48</f>
        <v>0</v>
      </c>
      <c r="I216" s="111">
        <f>'الصفحة 31'!$G$48</f>
        <v>0</v>
      </c>
      <c r="J216" s="30">
        <f>'الصفحة 31'!$F$49</f>
        <v>0</v>
      </c>
      <c r="K216" s="111">
        <f>'الصفحة 31'!$G$49</f>
        <v>0</v>
      </c>
      <c r="L216" s="30">
        <f>'الصفحة 31'!$F$50</f>
        <v>0</v>
      </c>
      <c r="M216" s="111">
        <f>'الصفحة 31'!$G$50</f>
        <v>0</v>
      </c>
      <c r="N216" s="30">
        <f>'الصفحة 31'!$F$51</f>
        <v>0</v>
      </c>
      <c r="O216" s="111">
        <f>'الصفحة 31'!$G$51</f>
        <v>0</v>
      </c>
      <c r="P216" s="30">
        <f>'الصفحة 31'!$F$52</f>
        <v>0</v>
      </c>
      <c r="Q216" s="111">
        <f>'الصفحة 31'!$G$52</f>
        <v>0</v>
      </c>
      <c r="R216" s="30">
        <f>'الصفحة 31'!$F$53</f>
        <v>0</v>
      </c>
      <c r="S216" s="111">
        <f>'الصفحة 31'!$G$53</f>
        <v>0</v>
      </c>
      <c r="T216" s="30">
        <f>'الصفحة 31'!$F$54</f>
        <v>0</v>
      </c>
      <c r="U216" s="111">
        <f>'الصفحة 31'!$G$54</f>
        <v>0</v>
      </c>
      <c r="V216" s="30">
        <f>'الصفحة 31'!$F$55</f>
        <v>0</v>
      </c>
      <c r="W216" s="111">
        <f>'الصفحة 31'!$G$55</f>
        <v>0</v>
      </c>
      <c r="X216" s="90">
        <f>'الصفحة 31'!$F$57</f>
        <v>0</v>
      </c>
      <c r="Y216" s="89">
        <f>'الصفحة 31'!$G$57</f>
        <v>0</v>
      </c>
      <c r="AA216" s="71">
        <f>'الصفحة 31'!$H$45</f>
        <v>0</v>
      </c>
      <c r="AB216" s="31">
        <f>'الصفحة 31'!$I$45</f>
        <v>0</v>
      </c>
      <c r="AC216" s="30">
        <f>'الصفحة 31'!$H$46</f>
        <v>0</v>
      </c>
      <c r="AD216" s="111">
        <f>'الصفحة 31'!$I$46</f>
        <v>0</v>
      </c>
      <c r="AE216" s="30">
        <f>'الصفحة 31'!$H$47</f>
        <v>0</v>
      </c>
      <c r="AF216" s="111">
        <f>'الصفحة 31'!$I$47</f>
        <v>0</v>
      </c>
      <c r="AG216" s="30">
        <f>'الصفحة 31'!$H$48</f>
        <v>0</v>
      </c>
      <c r="AH216" s="111">
        <f>'الصفحة 31'!$I$48</f>
        <v>0</v>
      </c>
      <c r="AI216" s="30">
        <f>'الصفحة 31'!$H$49</f>
        <v>0</v>
      </c>
      <c r="AJ216" s="111">
        <f>'الصفحة 31'!$I$49</f>
        <v>0</v>
      </c>
      <c r="AK216" s="30">
        <f>'الصفحة 31'!$H$50</f>
        <v>0</v>
      </c>
      <c r="AL216" s="111">
        <f>'الصفحة 31'!$I$50</f>
        <v>0</v>
      </c>
      <c r="AM216" s="30">
        <f>'الصفحة 31'!$H$51</f>
        <v>0</v>
      </c>
      <c r="AN216" s="111">
        <f>'الصفحة 31'!$I$51</f>
        <v>0</v>
      </c>
      <c r="AO216" s="30">
        <f>'الصفحة 31'!$H$52</f>
        <v>0</v>
      </c>
      <c r="AP216" s="111">
        <f>'الصفحة 31'!$I$52</f>
        <v>0</v>
      </c>
      <c r="AQ216" s="30">
        <f>'الصفحة 31'!$H$53</f>
        <v>0</v>
      </c>
      <c r="AR216" s="111">
        <f>'الصفحة 31'!$I$53</f>
        <v>0</v>
      </c>
      <c r="AS216" s="30">
        <f>'الصفحة 31'!$H$54</f>
        <v>0</v>
      </c>
      <c r="AT216" s="111">
        <f>'الصفحة 31'!$I$54</f>
        <v>0</v>
      </c>
      <c r="AU216" s="30">
        <f>'الصفحة 31'!$H$55</f>
        <v>0</v>
      </c>
      <c r="AV216" s="111">
        <f>'الصفحة 31'!$I$55</f>
        <v>0</v>
      </c>
      <c r="AW216" s="90">
        <f>'الصفحة 31'!$H$57</f>
        <v>0</v>
      </c>
      <c r="AX216" s="89">
        <f>'الصفحة 31'!$I$57</f>
        <v>0</v>
      </c>
      <c r="AZ216" s="71">
        <f>'الصفحة 31'!$J$45</f>
        <v>0</v>
      </c>
      <c r="BA216" s="31">
        <f>'الصفحة 31'!$K$45</f>
        <v>0</v>
      </c>
      <c r="BB216" s="30">
        <f>'الصفحة 31'!$J$46</f>
        <v>0</v>
      </c>
      <c r="BC216" s="111">
        <f>'الصفحة 31'!$K$46</f>
        <v>0</v>
      </c>
      <c r="BD216" s="30">
        <f>'الصفحة 31'!$J$47</f>
        <v>0</v>
      </c>
      <c r="BE216" s="111">
        <f>'الصفحة 31'!$K$47</f>
        <v>0</v>
      </c>
      <c r="BF216" s="30">
        <f>'الصفحة 31'!$J$48</f>
        <v>0</v>
      </c>
      <c r="BG216" s="111">
        <f>'الصفحة 31'!$K$48</f>
        <v>0</v>
      </c>
      <c r="BH216" s="30">
        <f>'الصفحة 31'!$J$49</f>
        <v>0</v>
      </c>
      <c r="BI216" s="111">
        <f>'الصفحة 31'!$K$49</f>
        <v>0</v>
      </c>
      <c r="BJ216" s="30">
        <f>'الصفحة 31'!$J$50</f>
        <v>0</v>
      </c>
      <c r="BK216" s="111">
        <f>'الصفحة 31'!$K$50</f>
        <v>0</v>
      </c>
      <c r="BL216" s="30">
        <f>'الصفحة 31'!$J$51</f>
        <v>0</v>
      </c>
      <c r="BM216" s="111">
        <f>'الصفحة 31'!$K$51</f>
        <v>0</v>
      </c>
      <c r="BN216" s="30">
        <f>'الصفحة 31'!$J$52</f>
        <v>0</v>
      </c>
      <c r="BO216" s="111">
        <f>'الصفحة 31'!$K$52</f>
        <v>0</v>
      </c>
      <c r="BP216" s="30">
        <f>'الصفحة 31'!$J$53</f>
        <v>0</v>
      </c>
      <c r="BQ216" s="111">
        <f>'الصفحة 31'!$K$53</f>
        <v>0</v>
      </c>
      <c r="BR216" s="30">
        <f>'الصفحة 31'!$J$54</f>
        <v>0</v>
      </c>
      <c r="BS216" s="111">
        <f>'الصفحة 31'!$K$54</f>
        <v>0</v>
      </c>
      <c r="BT216" s="30">
        <f>'الصفحة 31'!$J$55</f>
        <v>0</v>
      </c>
      <c r="BU216" s="111">
        <f>'الصفحة 31'!$K$55</f>
        <v>0</v>
      </c>
      <c r="BV216" s="90">
        <f>'الصفحة 31'!$J$57</f>
        <v>0</v>
      </c>
      <c r="BW216" s="89">
        <f>'الصفحة 31'!$K$57</f>
        <v>0</v>
      </c>
      <c r="BY216" s="101">
        <f>'الصفحة 31'!$L$45</f>
        <v>0</v>
      </c>
      <c r="BZ216" s="52">
        <f>'الصفحة 31'!$M$45</f>
        <v>0</v>
      </c>
      <c r="CA216" s="49">
        <f>'الصفحة 31'!$L$46</f>
        <v>0</v>
      </c>
      <c r="CB216" s="110">
        <f>'الصفحة 31'!$M$46</f>
        <v>0</v>
      </c>
      <c r="CC216" s="49">
        <f>'الصفحة 31'!$L$47</f>
        <v>0</v>
      </c>
      <c r="CD216" s="110">
        <f>'الصفحة 31'!$M$47</f>
        <v>0</v>
      </c>
      <c r="CE216" s="49">
        <f>'الصفحة 31'!$L$48</f>
        <v>0</v>
      </c>
      <c r="CF216" s="110">
        <f>'الصفحة 31'!$M$48</f>
        <v>0</v>
      </c>
      <c r="CG216" s="49">
        <f>'الصفحة 31'!$L$49</f>
        <v>0</v>
      </c>
      <c r="CH216" s="110">
        <f>'الصفحة 31'!$M$49</f>
        <v>0</v>
      </c>
      <c r="CI216" s="49">
        <f>'الصفحة 31'!$L$50</f>
        <v>0</v>
      </c>
      <c r="CJ216" s="110">
        <f>'الصفحة 31'!$M$50</f>
        <v>0</v>
      </c>
      <c r="CK216" s="49">
        <f>'الصفحة 31'!$L$51</f>
        <v>0</v>
      </c>
      <c r="CL216" s="110">
        <f>'الصفحة 31'!$M$51</f>
        <v>0</v>
      </c>
      <c r="CM216" s="49">
        <f>'الصفحة 31'!$L$52</f>
        <v>0</v>
      </c>
      <c r="CN216" s="110">
        <f>'الصفحة 31'!$M$52</f>
        <v>0</v>
      </c>
      <c r="CO216" s="49">
        <f>'الصفحة 31'!$L$53</f>
        <v>0</v>
      </c>
      <c r="CP216" s="110">
        <f>'الصفحة 31'!$M$53</f>
        <v>0</v>
      </c>
      <c r="CQ216" s="49">
        <f>'الصفحة 31'!$L$54</f>
        <v>0</v>
      </c>
      <c r="CR216" s="110">
        <f>'الصفحة 31'!$M$54</f>
        <v>0</v>
      </c>
      <c r="CS216" s="49">
        <f>'الصفحة 31'!$L$55</f>
        <v>0</v>
      </c>
      <c r="CT216" s="110">
        <f>'الصفحة 31'!$M$55</f>
        <v>0</v>
      </c>
      <c r="CU216" s="90">
        <f>'الصفحة 31'!$M$57</f>
        <v>0</v>
      </c>
      <c r="CV216" s="89">
        <f>'الصفحة 31'!$L$57</f>
        <v>0</v>
      </c>
      <c r="CW216" s="5764"/>
      <c r="CX216" s="33">
        <f>'الصفحة 32'!$F$10</f>
        <v>0</v>
      </c>
      <c r="CY216" s="70">
        <f>'الصفحة 32'!$G$10</f>
        <v>0</v>
      </c>
      <c r="CZ216" s="70">
        <f>'الصفحة 32'!$H$10</f>
        <v>0</v>
      </c>
      <c r="DA216" s="70">
        <f>'الصفحة 32'!$I$10</f>
        <v>0</v>
      </c>
      <c r="DB216" s="70">
        <f>'الصفحة 32'!$J$10</f>
        <v>0</v>
      </c>
      <c r="DC216" s="70">
        <f>'الصفحة 32'!$K$10</f>
        <v>0</v>
      </c>
      <c r="DD216" s="70">
        <f>'الصفحة 32'!$L$10</f>
        <v>0</v>
      </c>
      <c r="DE216" s="70">
        <f>'الصفحة 32'!$M$10</f>
        <v>0</v>
      </c>
      <c r="DF216" s="70">
        <f>'الصفحة 32'!$N$10</f>
        <v>0</v>
      </c>
      <c r="DG216" s="70">
        <f>'الصفحة 32'!$O$10</f>
        <v>0</v>
      </c>
      <c r="DH216" s="70">
        <f>'الصفحة 32'!$P$10</f>
        <v>0</v>
      </c>
      <c r="DI216" s="29">
        <f>'الصفحة 32'!$Q$10</f>
        <v>0</v>
      </c>
      <c r="DJ216" s="109">
        <f>SUM(CX216:DI216)</f>
        <v>0</v>
      </c>
      <c r="DL216" s="33">
        <f>'الصفحة 32'!$F$11</f>
        <v>0</v>
      </c>
      <c r="DM216" s="70">
        <f>'الصفحة 32'!$G$11</f>
        <v>0</v>
      </c>
      <c r="DN216" s="70">
        <f>'الصفحة 32'!$H$11</f>
        <v>0</v>
      </c>
      <c r="DO216" s="70">
        <f>'الصفحة 32'!$I$11</f>
        <v>0</v>
      </c>
      <c r="DP216" s="70">
        <f>'الصفحة 32'!$J$11</f>
        <v>0</v>
      </c>
      <c r="DQ216" s="70">
        <f>'الصفحة 32'!$K$11</f>
        <v>0</v>
      </c>
      <c r="DR216" s="70">
        <f>'الصفحة 32'!$L$11</f>
        <v>0</v>
      </c>
      <c r="DS216" s="70">
        <f>'الصفحة 32'!$M$11</f>
        <v>0</v>
      </c>
      <c r="DT216" s="70">
        <f>'الصفحة 32'!$N$11</f>
        <v>0</v>
      </c>
      <c r="DU216" s="70">
        <f>'الصفحة 32'!$O$11</f>
        <v>0</v>
      </c>
      <c r="DV216" s="70">
        <f>'الصفحة 32'!$P$11</f>
        <v>0</v>
      </c>
      <c r="DW216" s="29">
        <f>'الصفحة 32'!$Q$11</f>
        <v>0</v>
      </c>
      <c r="DX216" s="109">
        <f>SUM(DL216:DW216)</f>
        <v>0</v>
      </c>
      <c r="DZ216" s="33">
        <f>'الصفحة 32'!$F$12</f>
        <v>0</v>
      </c>
      <c r="EA216" s="70">
        <f>'الصفحة 32'!$G$12</f>
        <v>0</v>
      </c>
      <c r="EB216" s="70">
        <f>'الصفحة 32'!$H$12</f>
        <v>0</v>
      </c>
      <c r="EC216" s="70">
        <f>'الصفحة 32'!$I$12</f>
        <v>0</v>
      </c>
      <c r="ED216" s="70">
        <f>'الصفحة 32'!$J$12</f>
        <v>0</v>
      </c>
      <c r="EE216" s="70">
        <f>'الصفحة 32'!$K$12</f>
        <v>0</v>
      </c>
      <c r="EF216" s="70">
        <f>'الصفحة 32'!$L$12</f>
        <v>0</v>
      </c>
      <c r="EG216" s="70">
        <f>'الصفحة 32'!$M$12</f>
        <v>0</v>
      </c>
      <c r="EH216" s="70">
        <f>'الصفحة 32'!$N$12</f>
        <v>0</v>
      </c>
      <c r="EI216" s="70">
        <f>'الصفحة 32'!$O$12</f>
        <v>0</v>
      </c>
      <c r="EJ216" s="70">
        <f>'الصفحة 32'!$P$12</f>
        <v>0</v>
      </c>
      <c r="EK216" s="29">
        <f>'الصفحة 32'!$Q$12</f>
        <v>0</v>
      </c>
      <c r="EL216" s="109">
        <f>SUM(DZ216:EK216)</f>
        <v>0</v>
      </c>
      <c r="EN216" s="33">
        <f>'الصفحة 32'!$F$13</f>
        <v>0</v>
      </c>
      <c r="EO216" s="70">
        <f>'الصفحة 32'!$G$13</f>
        <v>0</v>
      </c>
      <c r="EP216" s="70">
        <f>'الصفحة 32'!$H$13</f>
        <v>0</v>
      </c>
      <c r="EQ216" s="70">
        <f>'الصفحة 32'!$I$13</f>
        <v>0</v>
      </c>
      <c r="ER216" s="70">
        <f>'الصفحة 32'!$J$13</f>
        <v>0</v>
      </c>
      <c r="ES216" s="70">
        <f>'الصفحة 32'!$K$13</f>
        <v>0</v>
      </c>
      <c r="ET216" s="70">
        <f>'الصفحة 32'!$L$13</f>
        <v>0</v>
      </c>
      <c r="EU216" s="70">
        <f>'الصفحة 32'!$M$13</f>
        <v>0</v>
      </c>
      <c r="EV216" s="70">
        <f>'الصفحة 32'!$N$13</f>
        <v>0</v>
      </c>
      <c r="EW216" s="70">
        <f>'الصفحة 32'!$O$13</f>
        <v>0</v>
      </c>
      <c r="EX216" s="70">
        <f>'الصفحة 32'!$P$13</f>
        <v>0</v>
      </c>
      <c r="EY216" s="29">
        <f>'الصفحة 32'!$Q$13</f>
        <v>0</v>
      </c>
      <c r="EZ216" s="109">
        <f>SUM(EN216:EY216)</f>
        <v>0</v>
      </c>
      <c r="FB216" s="33">
        <f>'الصفحة 32'!$F$14</f>
        <v>0</v>
      </c>
      <c r="FC216" s="70">
        <f>'الصفحة 32'!$G$14</f>
        <v>0</v>
      </c>
      <c r="FD216" s="70">
        <f>'الصفحة 32'!$H$14</f>
        <v>0</v>
      </c>
      <c r="FE216" s="70">
        <f>'الصفحة 32'!$I$14</f>
        <v>0</v>
      </c>
      <c r="FF216" s="70">
        <f>'الصفحة 32'!$J$14</f>
        <v>0</v>
      </c>
      <c r="FG216" s="70">
        <f>'الصفحة 32'!$K$14</f>
        <v>0</v>
      </c>
      <c r="FH216" s="70">
        <f>'الصفحة 32'!$L$14</f>
        <v>0</v>
      </c>
      <c r="FI216" s="70">
        <f>'الصفحة 32'!$M$14</f>
        <v>0</v>
      </c>
      <c r="FJ216" s="70">
        <f>'الصفحة 32'!$N$14</f>
        <v>0</v>
      </c>
      <c r="FK216" s="70">
        <f>'الصفحة 32'!$O$14</f>
        <v>0</v>
      </c>
      <c r="FL216" s="70">
        <f>'الصفحة 32'!$P$14</f>
        <v>0</v>
      </c>
      <c r="FM216" s="29">
        <f>'الصفحة 32'!$Q$14</f>
        <v>0</v>
      </c>
      <c r="FN216" s="109">
        <f>SUM(FB216:FM216)</f>
        <v>0</v>
      </c>
      <c r="FP216" s="33">
        <f>'الصفحة 32'!$F$15</f>
        <v>0</v>
      </c>
      <c r="FQ216" s="70">
        <f>'الصفحة 32'!$G$15</f>
        <v>0</v>
      </c>
      <c r="FR216" s="70">
        <f>'الصفحة 32'!$H$15</f>
        <v>0</v>
      </c>
      <c r="FS216" s="70">
        <f>'الصفحة 32'!$I$15</f>
        <v>0</v>
      </c>
      <c r="FT216" s="70">
        <f>'الصفحة 32'!$J$15</f>
        <v>0</v>
      </c>
      <c r="FU216" s="70">
        <f>'الصفحة 32'!$K$15</f>
        <v>0</v>
      </c>
      <c r="FV216" s="70">
        <f>'الصفحة 32'!$L$15</f>
        <v>0</v>
      </c>
      <c r="FW216" s="70">
        <f>'الصفحة 32'!$M$15</f>
        <v>0</v>
      </c>
      <c r="FX216" s="70">
        <f>'الصفحة 32'!$N$15</f>
        <v>0</v>
      </c>
      <c r="FY216" s="70">
        <f>'الصفحة 32'!$O$15</f>
        <v>0</v>
      </c>
      <c r="FZ216" s="70">
        <f>'الصفحة 32'!$P$15</f>
        <v>0</v>
      </c>
      <c r="GA216" s="29">
        <f>'الصفحة 32'!$Q$15</f>
        <v>0</v>
      </c>
      <c r="GB216" s="109">
        <f>SUM(FP216:GA216)</f>
        <v>0</v>
      </c>
      <c r="GD216" s="33">
        <f>'الصفحة 32'!$F$16</f>
        <v>0</v>
      </c>
      <c r="GE216" s="70">
        <f>'الصفحة 32'!$G$16</f>
        <v>0</v>
      </c>
      <c r="GF216" s="70">
        <f>'الصفحة 32'!$H$16</f>
        <v>0</v>
      </c>
      <c r="GG216" s="70">
        <f>'الصفحة 32'!$I$16</f>
        <v>0</v>
      </c>
      <c r="GH216" s="70">
        <f>'الصفحة 32'!$J$16</f>
        <v>0</v>
      </c>
      <c r="GI216" s="70">
        <f>'الصفحة 32'!$K$16</f>
        <v>0</v>
      </c>
      <c r="GJ216" s="70">
        <f>'الصفحة 32'!$L$16</f>
        <v>0</v>
      </c>
      <c r="GK216" s="70">
        <f>'الصفحة 32'!$M$16</f>
        <v>0</v>
      </c>
      <c r="GL216" s="70">
        <f>'الصفحة 32'!$N$16</f>
        <v>0</v>
      </c>
      <c r="GM216" s="70">
        <f>'الصفحة 32'!$O$16</f>
        <v>0</v>
      </c>
      <c r="GN216" s="70">
        <f>'الصفحة 32'!$P$16</f>
        <v>0</v>
      </c>
      <c r="GO216" s="29">
        <f>'الصفحة 32'!$Q$16</f>
        <v>0</v>
      </c>
      <c r="GP216" s="109">
        <f>SUM(GD216:GO216)</f>
        <v>0</v>
      </c>
      <c r="GR216" s="33">
        <f>'الصفحة 32'!$F$17</f>
        <v>0</v>
      </c>
      <c r="GS216" s="70">
        <f>'الصفحة 32'!$G$17</f>
        <v>0</v>
      </c>
      <c r="GT216" s="70">
        <f>'الصفحة 32'!$H$17</f>
        <v>0</v>
      </c>
      <c r="GU216" s="70">
        <f>'الصفحة 32'!$I$17</f>
        <v>0</v>
      </c>
      <c r="GV216" s="70">
        <f>'الصفحة 32'!$J$17</f>
        <v>0</v>
      </c>
      <c r="GW216" s="70">
        <f>'الصفحة 32'!$K$17</f>
        <v>0</v>
      </c>
      <c r="GX216" s="70">
        <f>'الصفحة 32'!$L$17</f>
        <v>0</v>
      </c>
      <c r="GY216" s="70">
        <f>'الصفحة 32'!$M$17</f>
        <v>0</v>
      </c>
      <c r="GZ216" s="70">
        <f>'الصفحة 32'!$N$17</f>
        <v>0</v>
      </c>
      <c r="HA216" s="70">
        <f>'الصفحة 32'!$O$17</f>
        <v>0</v>
      </c>
      <c r="HB216" s="70">
        <f>'الصفحة 32'!$P$17</f>
        <v>0</v>
      </c>
      <c r="HC216" s="29">
        <f>'الصفحة 32'!$Q$17</f>
        <v>0</v>
      </c>
      <c r="HD216" s="109">
        <f>SUM(GR216:HC216)</f>
        <v>0</v>
      </c>
      <c r="HF216" s="33">
        <f>'الصفحة 32'!$F$18</f>
        <v>0</v>
      </c>
      <c r="HG216" s="70">
        <f>'الصفحة 32'!$G$18</f>
        <v>0</v>
      </c>
      <c r="HH216" s="70">
        <f>'الصفحة 32'!$H$18</f>
        <v>0</v>
      </c>
      <c r="HI216" s="70">
        <f>'الصفحة 32'!$I$18</f>
        <v>0</v>
      </c>
      <c r="HJ216" s="70">
        <f>'الصفحة 32'!$J$18</f>
        <v>0</v>
      </c>
      <c r="HK216" s="70">
        <f>'الصفحة 32'!$K$18</f>
        <v>0</v>
      </c>
      <c r="HL216" s="70">
        <f>'الصفحة 32'!$L$18</f>
        <v>0</v>
      </c>
      <c r="HM216" s="70">
        <f>'الصفحة 32'!$M$18</f>
        <v>0</v>
      </c>
      <c r="HN216" s="70">
        <f>'الصفحة 32'!$N$18</f>
        <v>0</v>
      </c>
      <c r="HO216" s="70">
        <f>'الصفحة 32'!$O$18</f>
        <v>0</v>
      </c>
      <c r="HP216" s="70">
        <f>'الصفحة 32'!$P$18</f>
        <v>0</v>
      </c>
      <c r="HQ216" s="29">
        <f>'الصفحة 32'!$Q$18</f>
        <v>0</v>
      </c>
      <c r="HR216" s="109">
        <f>SUM(HF216:HQ216)</f>
        <v>0</v>
      </c>
      <c r="HT216" s="33">
        <f>'الصفحة 32'!$F$19</f>
        <v>0</v>
      </c>
      <c r="HU216" s="70">
        <f>'الصفحة 32'!$G$19</f>
        <v>0</v>
      </c>
      <c r="HV216" s="70">
        <f>'الصفحة 32'!$H$19</f>
        <v>0</v>
      </c>
      <c r="HW216" s="70">
        <f>'الصفحة 32'!$I$19</f>
        <v>0</v>
      </c>
      <c r="HX216" s="70">
        <f>'الصفحة 32'!$J$19</f>
        <v>0</v>
      </c>
      <c r="HY216" s="70">
        <f>'الصفحة 32'!$K$19</f>
        <v>0</v>
      </c>
      <c r="HZ216" s="70">
        <f>'الصفحة 32'!$L$19</f>
        <v>0</v>
      </c>
      <c r="IA216" s="70">
        <f>'الصفحة 32'!$M$19</f>
        <v>0</v>
      </c>
      <c r="IB216" s="70">
        <f>'الصفحة 32'!$N$19</f>
        <v>0</v>
      </c>
      <c r="IC216" s="70">
        <f>'الصفحة 32'!$O$19</f>
        <v>0</v>
      </c>
      <c r="ID216" s="70">
        <f>'الصفحة 32'!$P$19</f>
        <v>0</v>
      </c>
      <c r="IE216" s="29">
        <f>'الصفحة 32'!$Q$19</f>
        <v>0</v>
      </c>
      <c r="IF216" s="109">
        <f>SUM(HT216:IE216)</f>
        <v>0</v>
      </c>
      <c r="IH216" s="55">
        <f>'الصفحة 32'!$F$20</f>
        <v>0</v>
      </c>
      <c r="II216" s="108">
        <f>'الصفحة 32'!$G$20</f>
        <v>0</v>
      </c>
      <c r="IJ216" s="108">
        <f>'الصفحة 32'!$H$20</f>
        <v>0</v>
      </c>
      <c r="IK216" s="108">
        <f>'الصفحة 32'!$I$20</f>
        <v>0</v>
      </c>
      <c r="IL216" s="108">
        <f>'الصفحة 32'!$J$20</f>
        <v>0</v>
      </c>
      <c r="IM216" s="108">
        <f>'الصفحة 32'!$K$20</f>
        <v>0</v>
      </c>
      <c r="IN216" s="108">
        <f>'الصفحة 32'!$L$20</f>
        <v>0</v>
      </c>
      <c r="IO216" s="108">
        <f>'الصفحة 32'!$M$20</f>
        <v>0</v>
      </c>
      <c r="IP216" s="108">
        <f>'الصفحة 32'!$N$20</f>
        <v>0</v>
      </c>
      <c r="IQ216" s="108">
        <f>'الصفحة 32'!$O$20</f>
        <v>0</v>
      </c>
      <c r="IR216" s="108">
        <f>'الصفحة 32'!$P$20</f>
        <v>0</v>
      </c>
      <c r="IS216" s="48">
        <f>'الصفحة 32'!$Q$20</f>
        <v>0</v>
      </c>
      <c r="IT216" s="107">
        <f>SUM(IH216:IS216)</f>
        <v>0</v>
      </c>
      <c r="IV216" s="21"/>
    </row>
    <row r="217" spans="1:256" s="24" customFormat="1" ht="14.1" customHeight="1" thickBot="1">
      <c r="A217" s="23"/>
      <c r="G217" s="106"/>
      <c r="H217" s="106"/>
      <c r="I217" s="106"/>
      <c r="J217" s="106"/>
      <c r="K217" s="106"/>
      <c r="L217" s="106"/>
      <c r="M217" s="106"/>
      <c r="N217" s="106"/>
      <c r="O217" s="106"/>
      <c r="P217" s="106"/>
      <c r="Q217" s="106"/>
      <c r="R217" s="106"/>
      <c r="S217" s="616" t="s">
        <v>48</v>
      </c>
      <c r="T217" s="611">
        <f>'الصفحة 31'!$F$56</f>
        <v>0</v>
      </c>
      <c r="U217" s="612">
        <f>'الصفحة 31'!$G$56</f>
        <v>0</v>
      </c>
      <c r="V217" s="613">
        <f>'الصفحة 31'!$F$58</f>
        <v>0</v>
      </c>
      <c r="W217" s="614">
        <f>'الصفحة 31'!$G$58</f>
        <v>0</v>
      </c>
      <c r="X217" s="615" t="s">
        <v>640</v>
      </c>
      <c r="AR217" s="616" t="s">
        <v>48</v>
      </c>
      <c r="AS217" s="611">
        <f>'الصفحة 31'!$H$56</f>
        <v>0</v>
      </c>
      <c r="AT217" s="612">
        <f>'الصفحة 31'!$I$56</f>
        <v>0</v>
      </c>
      <c r="AU217" s="613">
        <f>'الصفحة 31'!$H$58</f>
        <v>0</v>
      </c>
      <c r="AV217" s="614">
        <f>'الصفحة 31'!$I$58</f>
        <v>0</v>
      </c>
      <c r="AW217" s="615" t="s">
        <v>640</v>
      </c>
      <c r="BQ217" s="616" t="s">
        <v>48</v>
      </c>
      <c r="BR217" s="611">
        <f>'الصفحة 31'!$J$56</f>
        <v>0</v>
      </c>
      <c r="BS217" s="612">
        <f>'الصفحة 31'!$K$56</f>
        <v>0</v>
      </c>
      <c r="BT217" s="613">
        <f>'الصفحة 31'!$J$58</f>
        <v>0</v>
      </c>
      <c r="BU217" s="614">
        <f>'الصفحة 31'!$K$58</f>
        <v>0</v>
      </c>
      <c r="BV217" s="615" t="s">
        <v>640</v>
      </c>
      <c r="BY217" s="46">
        <f>'الصفحة 31'!$P$45</f>
        <v>0</v>
      </c>
      <c r="BZ217" s="43">
        <f>'الصفحة 31'!$Q$45</f>
        <v>0</v>
      </c>
      <c r="CA217" s="43">
        <f>'الصفحة 31'!$P$46</f>
        <v>0</v>
      </c>
      <c r="CB217" s="43">
        <f>'الصفحة 31'!$Q$46</f>
        <v>0</v>
      </c>
      <c r="CC217" s="43">
        <f>'الصفحة 31'!$P$47</f>
        <v>0</v>
      </c>
      <c r="CD217" s="43">
        <f>'الصفحة 31'!$Q$47</f>
        <v>0</v>
      </c>
      <c r="CE217" s="43">
        <f>'الصفحة 31'!$P$48</f>
        <v>0</v>
      </c>
      <c r="CF217" s="43">
        <f>'الصفحة 31'!$Q$48</f>
        <v>0</v>
      </c>
      <c r="CG217" s="43">
        <f>'الصفحة 31'!$P$49</f>
        <v>0</v>
      </c>
      <c r="CH217" s="43">
        <f>'الصفحة 31'!$Q$49</f>
        <v>0</v>
      </c>
      <c r="CI217" s="43">
        <f>'الصفحة 31'!$P$50</f>
        <v>0</v>
      </c>
      <c r="CJ217" s="43">
        <f>'الصفحة 31'!$Q$50</f>
        <v>0</v>
      </c>
      <c r="CK217" s="43">
        <f>'الصفحة 31'!$P$51</f>
        <v>0</v>
      </c>
      <c r="CL217" s="43">
        <f>'الصفحة 31'!$Q$51</f>
        <v>0</v>
      </c>
      <c r="CM217" s="43">
        <f>'الصفحة 31'!$P$52</f>
        <v>0</v>
      </c>
      <c r="CN217" s="43">
        <f>'الصفحة 31'!$Q$52</f>
        <v>0</v>
      </c>
      <c r="CO217" s="43">
        <f>'الصفحة 31'!$P$53</f>
        <v>0</v>
      </c>
      <c r="CP217" s="43">
        <f>'الصفحة 31'!$Q$53</f>
        <v>0</v>
      </c>
      <c r="CQ217" s="43">
        <f>'الصفحة 31'!$P$54</f>
        <v>0</v>
      </c>
      <c r="CR217" s="43">
        <f>'الصفحة 31'!$Q$54</f>
        <v>0</v>
      </c>
      <c r="CS217" s="43">
        <f>'الصفحة 31'!$P$55</f>
        <v>0</v>
      </c>
      <c r="CT217" s="43">
        <f>'الصفحة 31'!$Q$55</f>
        <v>0</v>
      </c>
      <c r="CU217" s="45">
        <f>'الصفحة 31'!$P$57</f>
        <v>0</v>
      </c>
      <c r="CV217" s="105">
        <f>'الصفحة 31'!$Q$57</f>
        <v>0</v>
      </c>
      <c r="CW217" s="5764"/>
      <c r="HQ217" s="5133" t="s">
        <v>48</v>
      </c>
      <c r="HR217" s="5133"/>
      <c r="HS217" s="5133"/>
      <c r="HT217" s="601">
        <f>'الصفحة 32'!$F$21</f>
        <v>0</v>
      </c>
      <c r="HU217" s="602">
        <f>'الصفحة 32'!$G$21</f>
        <v>0</v>
      </c>
      <c r="HV217" s="602">
        <f>'الصفحة 32'!$H$21</f>
        <v>0</v>
      </c>
      <c r="HW217" s="602">
        <f>'الصفحة 32'!$I$21</f>
        <v>0</v>
      </c>
      <c r="HX217" s="602">
        <f>'الصفحة 32'!$J$21</f>
        <v>0</v>
      </c>
      <c r="HY217" s="602">
        <f>'الصفحة 32'!$K$21</f>
        <v>0</v>
      </c>
      <c r="HZ217" s="602">
        <f>'الصفحة 32'!$L$21</f>
        <v>0</v>
      </c>
      <c r="IA217" s="602">
        <f>'الصفحة 32'!$M$21</f>
        <v>0</v>
      </c>
      <c r="IB217" s="602">
        <f>'الصفحة 32'!$N$21</f>
        <v>0</v>
      </c>
      <c r="IC217" s="602">
        <f>'الصفحة 32'!$O$21</f>
        <v>0</v>
      </c>
      <c r="ID217" s="602">
        <f>'الصفحة 32'!$P$21</f>
        <v>0</v>
      </c>
      <c r="IE217" s="603">
        <f>'الصفحة 32'!$Q$21</f>
        <v>0</v>
      </c>
      <c r="IF217" s="604">
        <f>SUM(HT217:IE217)</f>
        <v>0</v>
      </c>
      <c r="IH217" s="46">
        <f>'الصفحة 32'!$F$22</f>
        <v>0</v>
      </c>
      <c r="II217" s="43">
        <f>'الصفحة 32'!$G$22</f>
        <v>0</v>
      </c>
      <c r="IJ217" s="43">
        <f>'الصفحة 32'!$H$22</f>
        <v>0</v>
      </c>
      <c r="IK217" s="43">
        <f>'الصفحة 32'!$I$22</f>
        <v>0</v>
      </c>
      <c r="IL217" s="43">
        <f>'الصفحة 32'!$J$22</f>
        <v>0</v>
      </c>
      <c r="IM217" s="43">
        <f>'الصفحة 32'!$K$22</f>
        <v>0</v>
      </c>
      <c r="IN217" s="43">
        <f>'الصفحة 32'!$L$22</f>
        <v>0</v>
      </c>
      <c r="IO217" s="43">
        <f>'الصفحة 32'!$M$22</f>
        <v>0</v>
      </c>
      <c r="IP217" s="43">
        <f>'الصفحة 32'!$N$22</f>
        <v>0</v>
      </c>
      <c r="IQ217" s="43">
        <f>'الصفحة 32'!$O$22</f>
        <v>0</v>
      </c>
      <c r="IR217" s="43">
        <f>'الصفحة 32'!$P$22</f>
        <v>0</v>
      </c>
      <c r="IS217" s="43">
        <f>'الصفحة 32'!$Q$22</f>
        <v>0</v>
      </c>
      <c r="IT217" s="105">
        <f>SUM(IH217:IS217)</f>
        <v>0</v>
      </c>
      <c r="IV217" s="21"/>
    </row>
    <row r="218" spans="1:256" s="24" customFormat="1" ht="6" customHeight="1">
      <c r="A218" s="23"/>
      <c r="B218" s="22"/>
      <c r="C218" s="22"/>
      <c r="D218" s="22"/>
      <c r="E218" s="22"/>
      <c r="F218" s="22"/>
      <c r="G218" s="22"/>
      <c r="H218" s="22"/>
      <c r="I218" s="22"/>
      <c r="J218" s="22"/>
      <c r="K218" s="22"/>
      <c r="L218" s="22"/>
      <c r="M218" s="22"/>
      <c r="N218" s="22"/>
      <c r="O218" s="22"/>
      <c r="P218" s="22"/>
      <c r="Q218" s="22"/>
      <c r="R218" s="22"/>
      <c r="S218" s="22"/>
      <c r="T218" s="22"/>
      <c r="U218" s="22"/>
      <c r="V218" s="22"/>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c r="CM218" s="21"/>
      <c r="CN218" s="21"/>
      <c r="CO218" s="21"/>
      <c r="CP218" s="21"/>
      <c r="CQ218" s="21"/>
      <c r="CR218" s="21"/>
      <c r="CS218" s="21"/>
      <c r="CT218" s="21"/>
      <c r="CU218" s="21"/>
      <c r="CV218" s="21"/>
      <c r="CW218" s="21"/>
      <c r="CX218" s="21"/>
      <c r="CY218" s="21"/>
      <c r="CZ218" s="21"/>
      <c r="DA218" s="21"/>
      <c r="DB218" s="21"/>
      <c r="DC218" s="21"/>
      <c r="DD218" s="21"/>
      <c r="DE218" s="21"/>
      <c r="DF218" s="21"/>
      <c r="DG218" s="21"/>
      <c r="DH218" s="21"/>
      <c r="DI218" s="21"/>
      <c r="DJ218" s="21"/>
      <c r="DK218" s="21"/>
      <c r="DL218" s="21"/>
      <c r="DM218" s="21"/>
      <c r="DN218" s="21"/>
      <c r="DO218" s="21"/>
      <c r="DP218" s="21"/>
      <c r="DQ218" s="21"/>
      <c r="DR218" s="21"/>
      <c r="DS218" s="21"/>
      <c r="DT218" s="21"/>
      <c r="DU218" s="21"/>
      <c r="DV218" s="21"/>
      <c r="DW218" s="21"/>
      <c r="DX218" s="21"/>
      <c r="DY218" s="21"/>
      <c r="DZ218" s="21"/>
      <c r="EA218" s="21"/>
      <c r="EB218" s="21"/>
      <c r="EC218" s="21"/>
      <c r="ED218" s="21"/>
      <c r="EE218" s="21"/>
      <c r="EF218" s="21"/>
      <c r="EG218" s="21"/>
      <c r="EH218" s="21"/>
      <c r="EI218" s="21"/>
      <c r="EJ218" s="21"/>
      <c r="EK218" s="21"/>
      <c r="EL218" s="21"/>
      <c r="EM218" s="21"/>
      <c r="EN218" s="21"/>
      <c r="EO218" s="21"/>
      <c r="EP218" s="21"/>
      <c r="EQ218" s="21"/>
      <c r="ER218" s="21"/>
      <c r="ES218" s="21"/>
      <c r="ET218" s="21"/>
      <c r="EU218" s="21"/>
      <c r="EV218" s="21"/>
      <c r="EW218" s="21"/>
      <c r="EX218" s="21"/>
      <c r="EY218" s="21"/>
      <c r="EZ218" s="21"/>
      <c r="FA218" s="21"/>
      <c r="FB218" s="21"/>
      <c r="FC218" s="21"/>
      <c r="FD218" s="21"/>
      <c r="FE218" s="21"/>
      <c r="FF218" s="21"/>
      <c r="FG218" s="21"/>
      <c r="FH218" s="21"/>
      <c r="FI218" s="21"/>
      <c r="FJ218" s="21"/>
      <c r="FK218" s="21"/>
      <c r="FL218" s="21"/>
      <c r="FM218" s="21"/>
      <c r="FN218" s="21"/>
      <c r="FO218" s="21"/>
      <c r="FP218" s="21"/>
      <c r="FQ218" s="21"/>
      <c r="FR218" s="21"/>
      <c r="FS218" s="21"/>
      <c r="FT218" s="21"/>
      <c r="FU218" s="21"/>
      <c r="FV218" s="21"/>
      <c r="FW218" s="21"/>
      <c r="FX218" s="21"/>
      <c r="FY218" s="21"/>
      <c r="FZ218" s="21"/>
      <c r="GA218" s="21"/>
      <c r="GB218" s="21"/>
      <c r="GC218" s="21"/>
      <c r="GD218" s="21"/>
      <c r="GE218" s="21"/>
      <c r="GF218" s="21"/>
      <c r="GG218" s="21"/>
      <c r="GH218" s="21"/>
      <c r="GI218" s="21"/>
      <c r="GJ218" s="21"/>
      <c r="GK218" s="21"/>
      <c r="GL218" s="21"/>
      <c r="GM218" s="21"/>
      <c r="GN218" s="21"/>
      <c r="GO218" s="21"/>
      <c r="GP218" s="21"/>
      <c r="GQ218" s="21"/>
      <c r="GR218" s="21"/>
      <c r="GS218" s="21"/>
      <c r="GT218" s="21"/>
      <c r="GU218" s="21"/>
      <c r="GV218" s="21"/>
      <c r="GW218" s="21"/>
      <c r="GX218" s="21"/>
      <c r="GY218" s="21"/>
      <c r="GZ218" s="21"/>
      <c r="HA218" s="21"/>
      <c r="HB218" s="21"/>
      <c r="HC218" s="21"/>
      <c r="HD218" s="21"/>
      <c r="HE218" s="21"/>
      <c r="HF218" s="21"/>
      <c r="HG218" s="21"/>
      <c r="HH218" s="21"/>
      <c r="HI218" s="21"/>
      <c r="HJ218" s="21"/>
      <c r="HK218" s="21"/>
      <c r="HL218" s="21"/>
      <c r="HM218" s="21"/>
      <c r="HN218" s="21"/>
      <c r="HO218" s="21"/>
      <c r="HP218" s="21"/>
      <c r="HQ218" s="21"/>
      <c r="HR218" s="21"/>
      <c r="HS218" s="21"/>
      <c r="HT218" s="21"/>
      <c r="HU218" s="21"/>
      <c r="HV218" s="21"/>
      <c r="HW218" s="21"/>
      <c r="HX218" s="21"/>
      <c r="HY218" s="21"/>
      <c r="HZ218" s="21"/>
      <c r="IA218" s="21"/>
      <c r="IB218" s="21"/>
      <c r="IC218" s="21"/>
      <c r="ID218" s="21"/>
      <c r="IE218" s="21"/>
      <c r="IF218" s="21"/>
      <c r="IG218" s="21"/>
      <c r="IH218" s="21"/>
      <c r="II218" s="21"/>
      <c r="IJ218" s="21"/>
      <c r="IK218" s="21"/>
      <c r="IL218" s="21"/>
      <c r="IM218" s="21"/>
      <c r="IN218" s="21"/>
      <c r="IO218" s="21"/>
      <c r="IP218" s="21"/>
      <c r="IQ218" s="21"/>
      <c r="IR218" s="21"/>
      <c r="IS218" s="21"/>
      <c r="IT218" s="21"/>
      <c r="IV218" s="21"/>
    </row>
    <row r="219" spans="1:256" s="24" customFormat="1" ht="15" customHeight="1">
      <c r="A219" s="23"/>
      <c r="B219" s="104" t="s">
        <v>211</v>
      </c>
      <c r="C219" s="102"/>
      <c r="D219" s="102"/>
      <c r="E219" s="102"/>
      <c r="F219" s="102"/>
      <c r="G219" s="102"/>
      <c r="H219" s="102"/>
      <c r="I219" s="102"/>
      <c r="J219" s="102"/>
      <c r="K219" s="102"/>
      <c r="L219" s="102"/>
      <c r="M219" s="102"/>
      <c r="N219" s="102"/>
      <c r="O219" s="102"/>
      <c r="P219" s="102"/>
      <c r="Q219" s="102"/>
      <c r="R219" s="102"/>
      <c r="S219" s="102"/>
      <c r="T219" s="102"/>
      <c r="V219" s="5138" t="s">
        <v>57</v>
      </c>
      <c r="W219" s="5138"/>
      <c r="X219" s="5138"/>
      <c r="Y219" s="5138"/>
      <c r="AA219" s="104" t="s">
        <v>210</v>
      </c>
      <c r="AB219" s="102"/>
      <c r="AC219" s="102"/>
      <c r="AD219" s="102"/>
      <c r="AE219" s="102"/>
      <c r="AF219" s="102"/>
      <c r="AG219" s="102"/>
      <c r="AH219" s="102"/>
      <c r="AI219" s="102"/>
      <c r="AJ219" s="102"/>
      <c r="AK219" s="102"/>
      <c r="AL219" s="102"/>
      <c r="AM219" s="102"/>
      <c r="AN219" s="102"/>
      <c r="AO219" s="102"/>
      <c r="AP219" s="102"/>
      <c r="AQ219" s="102"/>
      <c r="AR219" s="102"/>
      <c r="AS219" s="102"/>
      <c r="AU219" s="5138" t="s">
        <v>56</v>
      </c>
      <c r="AV219" s="5138"/>
      <c r="AW219" s="5138"/>
      <c r="AX219" s="5138"/>
      <c r="AY219" s="97"/>
      <c r="AZ219" s="104" t="s">
        <v>210</v>
      </c>
      <c r="BA219" s="102"/>
      <c r="BB219" s="102"/>
      <c r="BC219" s="102"/>
      <c r="BD219" s="102"/>
      <c r="BE219" s="102"/>
      <c r="BF219" s="102"/>
      <c r="BG219" s="102"/>
      <c r="BH219" s="102"/>
      <c r="BI219" s="102"/>
      <c r="BJ219" s="102"/>
      <c r="BK219" s="102"/>
      <c r="BL219" s="102"/>
      <c r="BM219" s="102"/>
      <c r="BN219" s="102"/>
      <c r="BO219" s="102"/>
      <c r="BP219" s="102"/>
      <c r="BQ219" s="102"/>
      <c r="BR219" s="102"/>
      <c r="BT219" s="5138" t="s">
        <v>55</v>
      </c>
      <c r="BU219" s="5138"/>
      <c r="BV219" s="5138"/>
      <c r="BW219" s="5138"/>
      <c r="BX219" s="34"/>
      <c r="BY219" s="104" t="s">
        <v>210</v>
      </c>
      <c r="BZ219" s="102"/>
      <c r="CA219" s="102"/>
      <c r="CB219" s="102"/>
      <c r="CC219" s="102"/>
      <c r="CD219" s="102"/>
      <c r="CE219" s="102"/>
      <c r="CF219" s="102"/>
      <c r="CG219" s="102"/>
      <c r="CH219" s="102"/>
      <c r="CI219" s="102"/>
      <c r="CJ219" s="102"/>
      <c r="CK219" s="102"/>
      <c r="CL219" s="102"/>
      <c r="CM219" s="102"/>
      <c r="CN219" s="102"/>
      <c r="CO219" s="102"/>
      <c r="CP219" s="102"/>
      <c r="CQ219" s="102"/>
      <c r="CS219" s="5138" t="s">
        <v>54</v>
      </c>
      <c r="CT219" s="5138"/>
      <c r="CU219" s="5138"/>
      <c r="CV219" s="5138"/>
      <c r="CX219" s="104" t="s">
        <v>210</v>
      </c>
      <c r="CY219" s="102"/>
      <c r="CZ219" s="102"/>
      <c r="DA219" s="102"/>
      <c r="DB219" s="102"/>
      <c r="DC219" s="102"/>
      <c r="DD219" s="102"/>
      <c r="DE219" s="102"/>
      <c r="DF219" s="102"/>
      <c r="DG219" s="102"/>
      <c r="DH219" s="102"/>
      <c r="DI219" s="102"/>
      <c r="DJ219" s="102"/>
      <c r="DK219" s="102"/>
      <c r="DL219" s="102"/>
      <c r="DM219" s="102"/>
      <c r="DN219" s="102"/>
      <c r="DO219" s="102"/>
      <c r="DP219" s="102"/>
      <c r="DR219" s="5138" t="s">
        <v>53</v>
      </c>
      <c r="DS219" s="5138"/>
      <c r="DT219" s="5138"/>
      <c r="DU219" s="5138"/>
      <c r="DV219" s="102"/>
      <c r="DW219" s="104" t="s">
        <v>210</v>
      </c>
      <c r="DX219" s="102"/>
      <c r="DY219" s="102"/>
      <c r="DZ219" s="102"/>
      <c r="EA219" s="102"/>
      <c r="EB219" s="102"/>
      <c r="EC219" s="102"/>
      <c r="ED219" s="102"/>
      <c r="EE219" s="102"/>
      <c r="EF219" s="102"/>
      <c r="EG219" s="102"/>
      <c r="EH219" s="102"/>
      <c r="EI219" s="102"/>
      <c r="EJ219" s="102"/>
      <c r="EK219" s="102"/>
      <c r="EL219" s="102"/>
      <c r="EM219" s="102"/>
      <c r="EN219" s="102"/>
      <c r="EO219" s="102"/>
      <c r="EQ219" s="5138" t="s">
        <v>52</v>
      </c>
      <c r="ER219" s="5138"/>
      <c r="ES219" s="5138"/>
      <c r="ET219" s="5138"/>
      <c r="EV219" s="104" t="s">
        <v>210</v>
      </c>
      <c r="EW219" s="102"/>
      <c r="EX219" s="102"/>
      <c r="EY219" s="102"/>
      <c r="EZ219" s="102"/>
      <c r="FA219" s="102"/>
      <c r="FB219" s="102"/>
      <c r="FC219" s="102"/>
      <c r="FD219" s="102"/>
      <c r="FE219" s="102"/>
      <c r="FF219" s="102"/>
      <c r="FG219" s="102"/>
      <c r="FH219" s="102"/>
      <c r="FI219" s="102"/>
      <c r="FJ219" s="102"/>
      <c r="FK219" s="102"/>
      <c r="FL219" s="102"/>
      <c r="FM219" s="102"/>
      <c r="FN219" s="102"/>
      <c r="FP219" s="5138" t="s">
        <v>51</v>
      </c>
      <c r="FQ219" s="5138"/>
      <c r="FR219" s="5138"/>
      <c r="FS219" s="5138"/>
      <c r="FU219" s="104" t="s">
        <v>210</v>
      </c>
      <c r="FV219" s="102"/>
      <c r="FW219" s="102"/>
      <c r="FX219" s="102"/>
      <c r="FY219" s="102"/>
      <c r="FZ219" s="102"/>
      <c r="GA219" s="102"/>
      <c r="GB219" s="102"/>
      <c r="GC219" s="102"/>
      <c r="GD219" s="102"/>
      <c r="GE219" s="102"/>
      <c r="GF219" s="102"/>
      <c r="GG219" s="102"/>
      <c r="GH219" s="102"/>
      <c r="GI219" s="102"/>
      <c r="GJ219" s="102"/>
      <c r="GK219" s="102"/>
      <c r="GL219" s="102"/>
      <c r="GM219" s="102"/>
      <c r="GN219" s="37" t="s">
        <v>50</v>
      </c>
      <c r="GO219" s="37"/>
      <c r="GP219" s="37"/>
      <c r="GQ219" s="5141" t="s">
        <v>209</v>
      </c>
      <c r="GR219" s="5141"/>
      <c r="GS219" s="76"/>
      <c r="GT219" s="38" t="s">
        <v>208</v>
      </c>
      <c r="GU219" s="34"/>
      <c r="GV219" s="34"/>
      <c r="GW219" s="34"/>
      <c r="GX219" s="34"/>
      <c r="GY219" s="34"/>
      <c r="GZ219" s="34"/>
      <c r="HA219" s="34"/>
      <c r="HB219" s="34"/>
      <c r="HC219" s="34"/>
      <c r="HD219" s="34"/>
      <c r="HE219" s="34"/>
      <c r="HF219" s="34"/>
      <c r="HG219" s="34"/>
      <c r="HH219" s="34"/>
      <c r="HI219" s="34"/>
      <c r="HJ219" s="34"/>
      <c r="HK219" s="34"/>
      <c r="HL219" s="34"/>
      <c r="HM219" s="5138" t="s">
        <v>207</v>
      </c>
      <c r="HN219" s="5138"/>
      <c r="HO219" s="5138"/>
      <c r="HP219" s="5138"/>
      <c r="HR219" s="38" t="s">
        <v>200</v>
      </c>
      <c r="HS219" s="34"/>
      <c r="HT219" s="34"/>
      <c r="HU219" s="34"/>
      <c r="HV219" s="34"/>
      <c r="HW219" s="34"/>
      <c r="HX219" s="34"/>
      <c r="HY219" s="34"/>
      <c r="HZ219" s="34"/>
      <c r="IA219" s="34"/>
      <c r="IB219" s="34"/>
      <c r="IC219" s="34"/>
      <c r="ID219" s="34"/>
      <c r="II219" s="34"/>
      <c r="IJ219" s="34"/>
      <c r="IL219" s="5138" t="s">
        <v>207</v>
      </c>
      <c r="IM219" s="5138"/>
      <c r="IN219" s="5138"/>
      <c r="IO219" s="5138"/>
      <c r="IQ219" s="103"/>
      <c r="IR219" s="103"/>
      <c r="IS219" s="103"/>
      <c r="IT219" s="103"/>
      <c r="IV219" s="21"/>
    </row>
    <row r="220" spans="1:256" s="24" customFormat="1" ht="13.5" customHeight="1" thickBot="1">
      <c r="A220" s="23"/>
      <c r="B220" s="529" t="s">
        <v>47</v>
      </c>
      <c r="D220" s="529" t="s">
        <v>612</v>
      </c>
      <c r="F220" s="529" t="s">
        <v>45</v>
      </c>
      <c r="H220" s="529" t="s">
        <v>611</v>
      </c>
      <c r="J220" s="529" t="s">
        <v>613</v>
      </c>
      <c r="L220" s="529" t="s">
        <v>614</v>
      </c>
      <c r="N220" s="529" t="s">
        <v>615</v>
      </c>
      <c r="P220" s="529" t="s">
        <v>40</v>
      </c>
      <c r="R220" s="529" t="s">
        <v>616</v>
      </c>
      <c r="T220" s="529" t="s">
        <v>617</v>
      </c>
      <c r="V220" s="529" t="s">
        <v>618</v>
      </c>
      <c r="W220" s="102"/>
      <c r="X220" s="102"/>
      <c r="Y220" s="102"/>
      <c r="AA220" s="529" t="s">
        <v>47</v>
      </c>
      <c r="AC220" s="529" t="s">
        <v>612</v>
      </c>
      <c r="AE220" s="529" t="s">
        <v>45</v>
      </c>
      <c r="AG220" s="529" t="s">
        <v>611</v>
      </c>
      <c r="AI220" s="529" t="s">
        <v>613</v>
      </c>
      <c r="AK220" s="529" t="s">
        <v>614</v>
      </c>
      <c r="AM220" s="529" t="s">
        <v>615</v>
      </c>
      <c r="AO220" s="529" t="s">
        <v>40</v>
      </c>
      <c r="AQ220" s="529" t="s">
        <v>616</v>
      </c>
      <c r="AS220" s="529" t="s">
        <v>617</v>
      </c>
      <c r="AU220" s="529" t="s">
        <v>618</v>
      </c>
      <c r="AV220" s="102"/>
      <c r="AW220" s="102"/>
      <c r="AX220" s="102"/>
      <c r="AY220" s="97"/>
      <c r="AZ220" s="529" t="s">
        <v>47</v>
      </c>
      <c r="BB220" s="529" t="s">
        <v>612</v>
      </c>
      <c r="BD220" s="529" t="s">
        <v>45</v>
      </c>
      <c r="BF220" s="529" t="s">
        <v>611</v>
      </c>
      <c r="BH220" s="529" t="s">
        <v>613</v>
      </c>
      <c r="BJ220" s="529" t="s">
        <v>614</v>
      </c>
      <c r="BL220" s="529" t="s">
        <v>615</v>
      </c>
      <c r="BN220" s="529" t="s">
        <v>40</v>
      </c>
      <c r="BP220" s="529" t="s">
        <v>616</v>
      </c>
      <c r="BR220" s="529" t="s">
        <v>617</v>
      </c>
      <c r="BT220" s="529" t="s">
        <v>618</v>
      </c>
      <c r="BY220" s="529" t="s">
        <v>47</v>
      </c>
      <c r="CA220" s="529" t="s">
        <v>612</v>
      </c>
      <c r="CC220" s="529" t="s">
        <v>45</v>
      </c>
      <c r="CE220" s="529" t="s">
        <v>611</v>
      </c>
      <c r="CG220" s="529" t="s">
        <v>613</v>
      </c>
      <c r="CI220" s="529" t="s">
        <v>614</v>
      </c>
      <c r="CK220" s="529" t="s">
        <v>615</v>
      </c>
      <c r="CM220" s="529" t="s">
        <v>40</v>
      </c>
      <c r="CO220" s="529" t="s">
        <v>616</v>
      </c>
      <c r="CQ220" s="529" t="s">
        <v>617</v>
      </c>
      <c r="CS220" s="529" t="s">
        <v>618</v>
      </c>
      <c r="CX220" s="529" t="s">
        <v>47</v>
      </c>
      <c r="CZ220" s="529" t="s">
        <v>612</v>
      </c>
      <c r="DB220" s="529" t="s">
        <v>45</v>
      </c>
      <c r="DD220" s="529" t="s">
        <v>611</v>
      </c>
      <c r="DF220" s="529" t="s">
        <v>613</v>
      </c>
      <c r="DH220" s="529" t="s">
        <v>614</v>
      </c>
      <c r="DJ220" s="529" t="s">
        <v>615</v>
      </c>
      <c r="DL220" s="529" t="s">
        <v>40</v>
      </c>
      <c r="DN220" s="529" t="s">
        <v>616</v>
      </c>
      <c r="DP220" s="529" t="s">
        <v>617</v>
      </c>
      <c r="DR220" s="529" t="s">
        <v>618</v>
      </c>
      <c r="DW220" s="529" t="s">
        <v>47</v>
      </c>
      <c r="DY220" s="529" t="s">
        <v>612</v>
      </c>
      <c r="EA220" s="529" t="s">
        <v>45</v>
      </c>
      <c r="EC220" s="529" t="s">
        <v>611</v>
      </c>
      <c r="EE220" s="529" t="s">
        <v>613</v>
      </c>
      <c r="EG220" s="529" t="s">
        <v>614</v>
      </c>
      <c r="EI220" s="529" t="s">
        <v>615</v>
      </c>
      <c r="EK220" s="529" t="s">
        <v>40</v>
      </c>
      <c r="EM220" s="529" t="s">
        <v>616</v>
      </c>
      <c r="EO220" s="529" t="s">
        <v>617</v>
      </c>
      <c r="EQ220" s="529" t="s">
        <v>618</v>
      </c>
      <c r="EV220" s="529" t="s">
        <v>47</v>
      </c>
      <c r="EX220" s="529" t="s">
        <v>612</v>
      </c>
      <c r="EZ220" s="529" t="s">
        <v>45</v>
      </c>
      <c r="FB220" s="529" t="s">
        <v>611</v>
      </c>
      <c r="FD220" s="529" t="s">
        <v>613</v>
      </c>
      <c r="FF220" s="529" t="s">
        <v>614</v>
      </c>
      <c r="FH220" s="529" t="s">
        <v>615</v>
      </c>
      <c r="FJ220" s="529" t="s">
        <v>40</v>
      </c>
      <c r="FL220" s="529" t="s">
        <v>616</v>
      </c>
      <c r="FN220" s="529" t="s">
        <v>617</v>
      </c>
      <c r="FP220" s="529" t="s">
        <v>618</v>
      </c>
      <c r="FQ220" s="102"/>
      <c r="FR220" s="102"/>
      <c r="FS220" s="102"/>
      <c r="FU220" s="529" t="s">
        <v>47</v>
      </c>
      <c r="FW220" s="529" t="s">
        <v>612</v>
      </c>
      <c r="FY220" s="529" t="s">
        <v>45</v>
      </c>
      <c r="GA220" s="529" t="s">
        <v>611</v>
      </c>
      <c r="GC220" s="529" t="s">
        <v>613</v>
      </c>
      <c r="GE220" s="529" t="s">
        <v>614</v>
      </c>
      <c r="GG220" s="529" t="s">
        <v>615</v>
      </c>
      <c r="GI220" s="529" t="s">
        <v>40</v>
      </c>
      <c r="GK220" s="529" t="s">
        <v>616</v>
      </c>
      <c r="GM220" s="529" t="s">
        <v>617</v>
      </c>
      <c r="GO220" s="529" t="s">
        <v>618</v>
      </c>
      <c r="GP220" s="102"/>
      <c r="GS220" s="76"/>
      <c r="IV220" s="21"/>
    </row>
    <row r="221" spans="1:256" s="24" customFormat="1" ht="14.1" customHeight="1" thickBot="1">
      <c r="A221" s="35">
        <v>14</v>
      </c>
      <c r="B221" s="71">
        <f>'الصفحة 32'!$F$30</f>
        <v>0</v>
      </c>
      <c r="C221" s="31">
        <f>'الصفحة 32'!$F$31</f>
        <v>0</v>
      </c>
      <c r="D221" s="71">
        <f>'الصفحة 32'!$G$30</f>
        <v>0</v>
      </c>
      <c r="E221" s="31">
        <f>'الصفحة 32'!$G$31</f>
        <v>0</v>
      </c>
      <c r="F221" s="71">
        <f>'الصفحة 32'!$H$30</f>
        <v>0</v>
      </c>
      <c r="G221" s="31">
        <f>'الصفحة 32'!$H$31</f>
        <v>0</v>
      </c>
      <c r="H221" s="71">
        <f>'الصفحة 32'!$I$30</f>
        <v>1</v>
      </c>
      <c r="I221" s="31">
        <f>'الصفحة 32'!$I$31</f>
        <v>1</v>
      </c>
      <c r="J221" s="71">
        <f>'الصفحة 32'!$J$30</f>
        <v>0</v>
      </c>
      <c r="K221" s="31">
        <f>'الصفحة 32'!$J$31</f>
        <v>0</v>
      </c>
      <c r="L221" s="71">
        <f>'الصفحة 32'!$K$30</f>
        <v>1</v>
      </c>
      <c r="M221" s="31">
        <f>'الصفحة 32'!$K$31</f>
        <v>1</v>
      </c>
      <c r="N221" s="71">
        <f>'الصفحة 32'!$L$30</f>
        <v>2</v>
      </c>
      <c r="O221" s="31">
        <f>'الصفحة 32'!$L$31</f>
        <v>2</v>
      </c>
      <c r="P221" s="71">
        <f>'الصفحة 32'!$M$30</f>
        <v>0</v>
      </c>
      <c r="Q221" s="31">
        <f>'الصفحة 32'!$M$31</f>
        <v>0</v>
      </c>
      <c r="R221" s="71">
        <f>'الصفحة 32'!$N$30</f>
        <v>0</v>
      </c>
      <c r="S221" s="31">
        <f>'الصفحة 32'!$N$31</f>
        <v>0</v>
      </c>
      <c r="T221" s="71">
        <f>'الصفحة 32'!$O$30</f>
        <v>0</v>
      </c>
      <c r="U221" s="31">
        <f>'الصفحة 32'!$O$31</f>
        <v>0</v>
      </c>
      <c r="V221" s="71">
        <f>'الصفحة 32'!$P$30</f>
        <v>0</v>
      </c>
      <c r="W221" s="31">
        <f>'الصفحة 32'!$P$31</f>
        <v>0</v>
      </c>
      <c r="X221" s="90">
        <f>V221+T221+R221+P221+N221+L221+J221+H221+F221+D221+B221+V222</f>
        <v>4</v>
      </c>
      <c r="Y221" s="89">
        <f>W221+U221+S221+Q221+O221+M221+K221+I221+G221+E221+C221+W222</f>
        <v>4</v>
      </c>
      <c r="AA221" s="71">
        <f>'الصفحة 32'!$F$32</f>
        <v>5</v>
      </c>
      <c r="AB221" s="31">
        <f>'الصفحة 32'!$F$33</f>
        <v>5</v>
      </c>
      <c r="AC221" s="71">
        <f>'الصفحة 32'!$G$32</f>
        <v>0</v>
      </c>
      <c r="AD221" s="31">
        <f>'الصفحة 32'!$G$33</f>
        <v>0</v>
      </c>
      <c r="AE221" s="71">
        <f>'الصفحة 32'!$H$32</f>
        <v>3</v>
      </c>
      <c r="AF221" s="31">
        <f>'الصفحة 32'!$H$33</f>
        <v>2</v>
      </c>
      <c r="AG221" s="71">
        <f>'الصفحة 32'!$I$32</f>
        <v>5</v>
      </c>
      <c r="AH221" s="31">
        <f>'الصفحة 32'!$I$33</f>
        <v>5</v>
      </c>
      <c r="AI221" s="71">
        <f>'الصفحة 32'!$J$32</f>
        <v>2</v>
      </c>
      <c r="AJ221" s="31">
        <f>'الصفحة 32'!$J$33</f>
        <v>2</v>
      </c>
      <c r="AK221" s="71">
        <f>'الصفحة 32'!$K$32</f>
        <v>5</v>
      </c>
      <c r="AL221" s="31">
        <f>'الصفحة 32'!$K$33</f>
        <v>3</v>
      </c>
      <c r="AM221" s="71">
        <f>'الصفحة 32'!$L$32</f>
        <v>0</v>
      </c>
      <c r="AN221" s="31">
        <f>'الصفحة 32'!$L$33</f>
        <v>0</v>
      </c>
      <c r="AO221" s="71">
        <f>'الصفحة 32'!$M$32</f>
        <v>3</v>
      </c>
      <c r="AP221" s="31">
        <f>'الصفحة 32'!$M$33</f>
        <v>3</v>
      </c>
      <c r="AQ221" s="71">
        <f>'الصفحة 32'!$N$32</f>
        <v>0</v>
      </c>
      <c r="AR221" s="31">
        <f>'الصفحة 32'!$N$33</f>
        <v>0</v>
      </c>
      <c r="AS221" s="71">
        <f>'الصفحة 32'!$O$32</f>
        <v>0</v>
      </c>
      <c r="AT221" s="31">
        <f>'الصفحة 32'!$O$33</f>
        <v>0</v>
      </c>
      <c r="AU221" s="71">
        <f>'الصفحة 32'!$P$32</f>
        <v>2</v>
      </c>
      <c r="AV221" s="31">
        <f>'الصفحة 32'!$P$33</f>
        <v>0</v>
      </c>
      <c r="AW221" s="90">
        <f>AU221+AS221+AQ221+AO221+AM221+AK221+AI221+AG221+AE221+AC221+AA221+AU222</f>
        <v>25</v>
      </c>
      <c r="AX221" s="89">
        <f>AV221+AT221+AR221+AP221+AN221+AL221+AJ221+AH221+AF221+AD221+AB221+AV222</f>
        <v>20</v>
      </c>
      <c r="AY221" s="97"/>
      <c r="AZ221" s="71">
        <f>'الصفحة 32'!$F$34</f>
        <v>0</v>
      </c>
      <c r="BA221" s="31">
        <f>'الصفحة 32'!$F$35</f>
        <v>0</v>
      </c>
      <c r="BB221" s="71">
        <f>'الصفحة 32'!$G$34</f>
        <v>0</v>
      </c>
      <c r="BC221" s="31">
        <f>'الصفحة 32'!$G$35</f>
        <v>0</v>
      </c>
      <c r="BD221" s="71">
        <f>'الصفحة 32'!$H$34</f>
        <v>0</v>
      </c>
      <c r="BE221" s="31">
        <f>'الصفحة 32'!$H$35</f>
        <v>0</v>
      </c>
      <c r="BF221" s="71">
        <f>'الصفحة 32'!$I$34</f>
        <v>0</v>
      </c>
      <c r="BG221" s="31">
        <f>'الصفحة 32'!$I$35</f>
        <v>0</v>
      </c>
      <c r="BH221" s="71">
        <f>'الصفحة 32'!$J$34</f>
        <v>0</v>
      </c>
      <c r="BI221" s="31">
        <f>'الصفحة 32'!$J$35</f>
        <v>0</v>
      </c>
      <c r="BJ221" s="71">
        <f>'الصفحة 32'!$K$34</f>
        <v>0</v>
      </c>
      <c r="BK221" s="31">
        <f>'الصفحة 32'!$K$35</f>
        <v>0</v>
      </c>
      <c r="BL221" s="71">
        <f>'الصفحة 32'!$L$34</f>
        <v>0</v>
      </c>
      <c r="BM221" s="31">
        <f>'الصفحة 32'!$L$35</f>
        <v>0</v>
      </c>
      <c r="BN221" s="71">
        <f>'الصفحة 32'!$M$34</f>
        <v>0</v>
      </c>
      <c r="BO221" s="31">
        <f>'الصفحة 32'!$M$35</f>
        <v>0</v>
      </c>
      <c r="BP221" s="71">
        <f>'الصفحة 32'!$N$34</f>
        <v>0</v>
      </c>
      <c r="BQ221" s="31">
        <f>'الصفحة 32'!$N$35</f>
        <v>0</v>
      </c>
      <c r="BR221" s="71">
        <f>'الصفحة 32'!$O$34</f>
        <v>0</v>
      </c>
      <c r="BS221" s="31">
        <f>'الصفحة 32'!$O$35</f>
        <v>0</v>
      </c>
      <c r="BT221" s="71">
        <f>'الصفحة 32'!$P$34</f>
        <v>0</v>
      </c>
      <c r="BU221" s="31">
        <f>'الصفحة 32'!$P$35</f>
        <v>0</v>
      </c>
      <c r="BV221" s="90">
        <f>BT221+BR221+BP221+BN221+BL221+BJ221+BH221+BF221+BD221+BB221+AZ221+BT222</f>
        <v>0</v>
      </c>
      <c r="BW221" s="89">
        <f>BU221+BS221+BQ221+BO221+BM221+BK221+BI221+BG221+BE221+BC221+BA221+BU222</f>
        <v>0</v>
      </c>
      <c r="BX221" s="34"/>
      <c r="BY221" s="71">
        <f>'الصفحة 32'!$F$36</f>
        <v>1</v>
      </c>
      <c r="BZ221" s="31">
        <f>'الصفحة 32'!$F$37</f>
        <v>1</v>
      </c>
      <c r="CA221" s="71">
        <f>'الصفحة 32'!$G$36</f>
        <v>0</v>
      </c>
      <c r="CB221" s="31">
        <f>'الصفحة 32'!$G$37</f>
        <v>0</v>
      </c>
      <c r="CC221" s="71">
        <f>'الصفحة 32'!$H$36</f>
        <v>0</v>
      </c>
      <c r="CD221" s="31">
        <f>'الصفحة 32'!$H$37</f>
        <v>0</v>
      </c>
      <c r="CE221" s="71">
        <f>'الصفحة 32'!$I$36</f>
        <v>0</v>
      </c>
      <c r="CF221" s="31">
        <f>'الصفحة 32'!$I$37</f>
        <v>0</v>
      </c>
      <c r="CG221" s="71">
        <f>'الصفحة 32'!$J$36</f>
        <v>2</v>
      </c>
      <c r="CH221" s="31">
        <f>'الصفحة 32'!$J$37</f>
        <v>1</v>
      </c>
      <c r="CI221" s="71">
        <f>'الصفحة 32'!$K$36</f>
        <v>0</v>
      </c>
      <c r="CJ221" s="31">
        <f>'الصفحة 32'!$K$37</f>
        <v>0</v>
      </c>
      <c r="CK221" s="71">
        <f>'الصفحة 32'!$L$36</f>
        <v>1</v>
      </c>
      <c r="CL221" s="31">
        <f>'الصفحة 32'!$L$37</f>
        <v>0</v>
      </c>
      <c r="CM221" s="71">
        <f>'الصفحة 32'!$M$36</f>
        <v>0</v>
      </c>
      <c r="CN221" s="31">
        <f>'الصفحة 32'!$M$37</f>
        <v>0</v>
      </c>
      <c r="CO221" s="71">
        <f>'الصفحة 32'!$N$36</f>
        <v>0</v>
      </c>
      <c r="CP221" s="31">
        <f>'الصفحة 32'!$N$37</f>
        <v>0</v>
      </c>
      <c r="CQ221" s="71">
        <f>'الصفحة 32'!$O$36</f>
        <v>0</v>
      </c>
      <c r="CR221" s="31">
        <f>'الصفحة 32'!$O$37</f>
        <v>0</v>
      </c>
      <c r="CS221" s="71">
        <f>'الصفحة 32'!$P$36</f>
        <v>0</v>
      </c>
      <c r="CT221" s="31">
        <f>'الصفحة 32'!$P$37</f>
        <v>0</v>
      </c>
      <c r="CU221" s="90">
        <f>CS221+CQ221+CO221+CM221+CK221+CI221+CG221+CE221+CC221+CA221+BY221+CS222</f>
        <v>4</v>
      </c>
      <c r="CV221" s="89">
        <f>CT221+CR221+CP221+CN221+CL221+CJ221+CH221+CF221+CD221+CB221+BZ221+CT222</f>
        <v>2</v>
      </c>
      <c r="CX221" s="71">
        <f>'الصفحة 32'!$F$38</f>
        <v>0</v>
      </c>
      <c r="CY221" s="31">
        <f>'الصفحة 32'!$F$39</f>
        <v>0</v>
      </c>
      <c r="CZ221" s="71">
        <f>'الصفحة 32'!$G$38</f>
        <v>0</v>
      </c>
      <c r="DA221" s="31">
        <f>'الصفحة 32'!$G$39</f>
        <v>0</v>
      </c>
      <c r="DB221" s="71">
        <f>'الصفحة 32'!$H$38</f>
        <v>0</v>
      </c>
      <c r="DC221" s="31">
        <f>'الصفحة 32'!$H$39</f>
        <v>0</v>
      </c>
      <c r="DD221" s="71">
        <f>'الصفحة 32'!$I$38</f>
        <v>0</v>
      </c>
      <c r="DE221" s="31">
        <f>'الصفحة 32'!$I$39</f>
        <v>0</v>
      </c>
      <c r="DF221" s="71">
        <f>'الصفحة 32'!$J$38</f>
        <v>0</v>
      </c>
      <c r="DG221" s="31">
        <f>'الصفحة 32'!$J$39</f>
        <v>0</v>
      </c>
      <c r="DH221" s="71">
        <f>'الصفحة 32'!$K$38</f>
        <v>0</v>
      </c>
      <c r="DI221" s="31">
        <f>'الصفحة 32'!$K$39</f>
        <v>0</v>
      </c>
      <c r="DJ221" s="71">
        <f>'الصفحة 32'!$L$38</f>
        <v>0</v>
      </c>
      <c r="DK221" s="31">
        <f>'الصفحة 32'!$L$39</f>
        <v>0</v>
      </c>
      <c r="DL221" s="71">
        <f>'الصفحة 32'!$M$38</f>
        <v>0</v>
      </c>
      <c r="DM221" s="31">
        <f>'الصفحة 32'!$M$39</f>
        <v>0</v>
      </c>
      <c r="DN221" s="71">
        <f>'الصفحة 32'!$N$38</f>
        <v>0</v>
      </c>
      <c r="DO221" s="31">
        <f>'الصفحة 32'!$N$39</f>
        <v>0</v>
      </c>
      <c r="DP221" s="71">
        <f>'الصفحة 32'!$O$38</f>
        <v>0</v>
      </c>
      <c r="DQ221" s="31">
        <f>'الصفحة 32'!$O$39</f>
        <v>0</v>
      </c>
      <c r="DR221" s="71">
        <f>'الصفحة 32'!$P$38</f>
        <v>0</v>
      </c>
      <c r="DS221" s="31">
        <f>'الصفحة 32'!$P$39</f>
        <v>0</v>
      </c>
      <c r="DT221" s="90">
        <f>DR221+DP221+DN221+DL221+DJ221+DH221+DF221+DD221+DB221+CZ221+CX221+DR222</f>
        <v>0</v>
      </c>
      <c r="DU221" s="89">
        <f>DS221+DQ221+DO221+DM221+DK221+DI221+DG221+DE221+DC221+DA221+CY221+DS222</f>
        <v>0</v>
      </c>
      <c r="DV221" s="102"/>
      <c r="DW221" s="71">
        <f>'الصفحة 32'!$F$40</f>
        <v>0</v>
      </c>
      <c r="DX221" s="31">
        <f>'الصفحة 32'!$F$41</f>
        <v>0</v>
      </c>
      <c r="DY221" s="71">
        <f>'الصفحة 32'!$G$40</f>
        <v>0</v>
      </c>
      <c r="DZ221" s="31">
        <f>'الصفحة 32'!$G$41</f>
        <v>0</v>
      </c>
      <c r="EA221" s="71">
        <f>'الصفحة 32'!$H$40</f>
        <v>0</v>
      </c>
      <c r="EB221" s="31">
        <f>'الصفحة 32'!$H$41</f>
        <v>0</v>
      </c>
      <c r="EC221" s="71">
        <f>'الصفحة 32'!$I$40</f>
        <v>0</v>
      </c>
      <c r="ED221" s="31">
        <f>'الصفحة 32'!$I$41</f>
        <v>0</v>
      </c>
      <c r="EE221" s="71">
        <f>'الصفحة 32'!$J$40</f>
        <v>0</v>
      </c>
      <c r="EF221" s="31">
        <f>'الصفحة 32'!$J$41</f>
        <v>0</v>
      </c>
      <c r="EG221" s="71">
        <f>'الصفحة 32'!$K$40</f>
        <v>0</v>
      </c>
      <c r="EH221" s="31">
        <f>'الصفحة 32'!$K$41</f>
        <v>0</v>
      </c>
      <c r="EI221" s="71">
        <f>'الصفحة 32'!$L$40</f>
        <v>0</v>
      </c>
      <c r="EJ221" s="31">
        <f>'الصفحة 32'!$L$41</f>
        <v>0</v>
      </c>
      <c r="EK221" s="71">
        <f>'الصفحة 32'!$M$40</f>
        <v>0</v>
      </c>
      <c r="EL221" s="31">
        <f>'الصفحة 32'!$M$41</f>
        <v>0</v>
      </c>
      <c r="EM221" s="71">
        <f>'الصفحة 32'!$N$40</f>
        <v>0</v>
      </c>
      <c r="EN221" s="31">
        <f>'الصفحة 32'!$N$41</f>
        <v>0</v>
      </c>
      <c r="EO221" s="71">
        <f>'الصفحة 32'!$O$40</f>
        <v>0</v>
      </c>
      <c r="EP221" s="31">
        <f>'الصفحة 32'!$O$41</f>
        <v>0</v>
      </c>
      <c r="EQ221" s="71">
        <f>'الصفحة 32'!$P$40</f>
        <v>0</v>
      </c>
      <c r="ER221" s="31">
        <f>'الصفحة 32'!$P$41</f>
        <v>0</v>
      </c>
      <c r="ES221" s="90">
        <f>EQ221+EO221+EM221+EK221+EI221+EG221+EE221+EC221+EA221+DY221+DW221+EQ222</f>
        <v>0</v>
      </c>
      <c r="ET221" s="89">
        <f>ER221+EP221+EN221+EL221+EJ221+EH221+EF221+ED221+EB221+DZ221+DX221+ER222</f>
        <v>0</v>
      </c>
      <c r="EV221" s="71">
        <f>'الصفحة 32'!$F$42</f>
        <v>0</v>
      </c>
      <c r="EW221" s="31">
        <f>'الصفحة 32'!$F$43</f>
        <v>0</v>
      </c>
      <c r="EX221" s="71">
        <f>'الصفحة 32'!$G$42</f>
        <v>0</v>
      </c>
      <c r="EY221" s="31">
        <f>'الصفحة 32'!$G$43</f>
        <v>0</v>
      </c>
      <c r="EZ221" s="71">
        <f>'الصفحة 32'!$H$42</f>
        <v>0</v>
      </c>
      <c r="FA221" s="31">
        <f>'الصفحة 32'!$H$43</f>
        <v>0</v>
      </c>
      <c r="FB221" s="71">
        <f>'الصفحة 32'!$I$42</f>
        <v>0</v>
      </c>
      <c r="FC221" s="31">
        <f>'الصفحة 32'!$I$43</f>
        <v>0</v>
      </c>
      <c r="FD221" s="71">
        <f>'الصفحة 32'!$J$42</f>
        <v>0</v>
      </c>
      <c r="FE221" s="31">
        <f>'الصفحة 32'!$J$43</f>
        <v>0</v>
      </c>
      <c r="FF221" s="71">
        <f>'الصفحة 32'!$K$42</f>
        <v>0</v>
      </c>
      <c r="FG221" s="31">
        <f>'الصفحة 32'!$K$43</f>
        <v>0</v>
      </c>
      <c r="FH221" s="71">
        <f>'الصفحة 32'!$L$42</f>
        <v>0</v>
      </c>
      <c r="FI221" s="31">
        <f>'الصفحة 32'!$L$43</f>
        <v>0</v>
      </c>
      <c r="FJ221" s="71">
        <f>'الصفحة 32'!$M$42</f>
        <v>0</v>
      </c>
      <c r="FK221" s="31">
        <f>'الصفحة 32'!$M$43</f>
        <v>0</v>
      </c>
      <c r="FL221" s="71">
        <f>'الصفحة 32'!$N$42</f>
        <v>0</v>
      </c>
      <c r="FM221" s="31">
        <f>'الصفحة 32'!$N$43</f>
        <v>0</v>
      </c>
      <c r="FN221" s="71">
        <f>'الصفحة 32'!$O$42</f>
        <v>0</v>
      </c>
      <c r="FO221" s="31">
        <f>'الصفحة 32'!$O$43</f>
        <v>0</v>
      </c>
      <c r="FP221" s="71">
        <f>'الصفحة 32'!$P$42</f>
        <v>0</v>
      </c>
      <c r="FQ221" s="31">
        <f>'الصفحة 32'!$P$43</f>
        <v>0</v>
      </c>
      <c r="FR221" s="90">
        <f>FP221+FN221+FL221+FJ221+FH221+FF221+FD221+FB221+EZ221+EX221+EV221+FP222</f>
        <v>0</v>
      </c>
      <c r="FS221" s="89">
        <f>FQ221+FO221+FM221+FK221+FI221+FG221+FE221+FC221+FA221+EY221+EW221+FQ222</f>
        <v>0</v>
      </c>
      <c r="FU221" s="101">
        <f>'الصفحة 32'!$F$44</f>
        <v>0</v>
      </c>
      <c r="FV221" s="52">
        <f>'الصفحة 32'!$F$45</f>
        <v>0</v>
      </c>
      <c r="FW221" s="101">
        <f>'الصفحة 32'!$G$44</f>
        <v>0</v>
      </c>
      <c r="FX221" s="52">
        <f>'الصفحة 32'!$G$45</f>
        <v>0</v>
      </c>
      <c r="FY221" s="101">
        <f>'الصفحة 32'!$H$44</f>
        <v>0</v>
      </c>
      <c r="FZ221" s="52">
        <f>'الصفحة 32'!$H$45</f>
        <v>0</v>
      </c>
      <c r="GA221" s="101">
        <f>'الصفحة 32'!$I$44</f>
        <v>0</v>
      </c>
      <c r="GB221" s="52">
        <f>'الصفحة 32'!$I$45</f>
        <v>0</v>
      </c>
      <c r="GC221" s="101">
        <f>'الصفحة 32'!$J$44</f>
        <v>0</v>
      </c>
      <c r="GD221" s="52">
        <f>'الصفحة 32'!$J$45</f>
        <v>0</v>
      </c>
      <c r="GE221" s="101">
        <f>'الصفحة 32'!$K$44</f>
        <v>0</v>
      </c>
      <c r="GF221" s="52">
        <f>'الصفحة 32'!$K$45</f>
        <v>0</v>
      </c>
      <c r="GG221" s="101">
        <f>'الصفحة 32'!$L$44</f>
        <v>0</v>
      </c>
      <c r="GH221" s="52">
        <f>'الصفحة 32'!$L$45</f>
        <v>0</v>
      </c>
      <c r="GI221" s="101">
        <f>'الصفحة 32'!$M$44</f>
        <v>0</v>
      </c>
      <c r="GJ221" s="52">
        <f>'الصفحة 32'!$M$45</f>
        <v>0</v>
      </c>
      <c r="GK221" s="101">
        <f>'الصفحة 32'!$N$44</f>
        <v>0</v>
      </c>
      <c r="GL221" s="52">
        <f>'الصفحة 32'!$N$45</f>
        <v>0</v>
      </c>
      <c r="GM221" s="101">
        <f>'الصفحة 32'!$O$44</f>
        <v>0</v>
      </c>
      <c r="GN221" s="52">
        <f>'الصفحة 32'!$O$45</f>
        <v>0</v>
      </c>
      <c r="GO221" s="101">
        <f>'الصفحة 32'!$P$44</f>
        <v>0</v>
      </c>
      <c r="GP221" s="52">
        <f>'الصفحة 32'!$P$45</f>
        <v>0</v>
      </c>
      <c r="GQ221" s="90">
        <f>GO221+GM221+GK221+GI221+GG221+GE221+GC221+GA221+FY221+FW221+FU221+GM223</f>
        <v>0</v>
      </c>
      <c r="GR221" s="89">
        <f>GP221+GN221+GL221+GJ221+GH221+GF221+GD221+GB221+FZ221+FX221+FV221+GN223</f>
        <v>0</v>
      </c>
      <c r="GS221" s="76"/>
      <c r="GT221" s="33">
        <f>'الصفحة 34'!$E$11</f>
        <v>1</v>
      </c>
      <c r="GU221" s="70">
        <f>'الصفحة 34'!$E$13</f>
        <v>0</v>
      </c>
      <c r="GV221" s="70">
        <f>'الصفحة 34'!$E$14</f>
        <v>1</v>
      </c>
      <c r="GW221" s="70">
        <f>'الصفحة 34'!$E$15</f>
        <v>0</v>
      </c>
      <c r="GX221" s="70">
        <f>'الصفحة 34'!$E$16</f>
        <v>8</v>
      </c>
      <c r="GY221" s="70">
        <f>'الصفحة 34'!$E$18</f>
        <v>0</v>
      </c>
      <c r="GZ221" s="70" t="e">
        <f>'الصفحة 34'!#REF!</f>
        <v>#REF!</v>
      </c>
      <c r="HA221" s="70">
        <f>'الصفحة 34'!$E$22</f>
        <v>1</v>
      </c>
      <c r="HB221" s="70">
        <f>'الصفحة 34'!$E$23</f>
        <v>0</v>
      </c>
      <c r="HC221" s="70">
        <f>'الصفحة 34'!$E$24</f>
        <v>1</v>
      </c>
      <c r="HD221" s="70">
        <f>'الصفحة 34'!$E$25</f>
        <v>1</v>
      </c>
      <c r="HE221" s="70">
        <f>'الصفحة 34'!$E$27</f>
        <v>1</v>
      </c>
      <c r="HF221" s="70">
        <f>'الصفحة 34'!$E$28</f>
        <v>1</v>
      </c>
      <c r="HG221" s="70">
        <f>'الصفحة 34'!$E$29</f>
        <v>0</v>
      </c>
      <c r="HH221" s="70">
        <f>'الصفحة 34'!$E$31</f>
        <v>1</v>
      </c>
      <c r="HI221" s="70">
        <f>'الصفحة 34'!$E$32</f>
        <v>0</v>
      </c>
      <c r="HJ221" s="70">
        <f>'الصفحة 34'!$E$33</f>
        <v>0</v>
      </c>
      <c r="HK221" s="70">
        <f>'الصفحة 34'!$E$34</f>
        <v>0</v>
      </c>
      <c r="HL221" s="70">
        <f>'الصفحة 34'!$E$44</f>
        <v>0</v>
      </c>
      <c r="HM221" s="70">
        <f>'الصفحة 34'!$E$39</f>
        <v>0</v>
      </c>
      <c r="HN221" s="32">
        <f>'الصفحة 34'!$E$42</f>
        <v>1</v>
      </c>
      <c r="HO221" s="70">
        <f>'الصفحة 34'!$E$44</f>
        <v>0</v>
      </c>
      <c r="HP221" s="29">
        <f>'الصفحة 34'!$E$45</f>
        <v>0</v>
      </c>
      <c r="HR221" s="33">
        <f>'الصفحة 34'!$E$46</f>
        <v>0</v>
      </c>
      <c r="HS221" s="70">
        <f>'الصفحة 34'!$E$47</f>
        <v>0</v>
      </c>
      <c r="HT221" s="70">
        <f>'الصفحة 34'!$E$48</f>
        <v>0</v>
      </c>
      <c r="HU221" s="70">
        <f>'الصفحة 34'!$E$49</f>
        <v>0</v>
      </c>
      <c r="HV221" s="70">
        <f>'الصفحة 34'!$E$50</f>
        <v>0</v>
      </c>
      <c r="HW221" s="70">
        <f>'الصفحة 34'!$E$51</f>
        <v>0</v>
      </c>
      <c r="HX221" s="70">
        <f>'الصفحة 34'!$E$52</f>
        <v>0</v>
      </c>
      <c r="HY221" s="70">
        <f>'الصفحة 34'!$E$53</f>
        <v>0</v>
      </c>
      <c r="HZ221" s="70">
        <f>'الصفحة 34'!$E$54</f>
        <v>0</v>
      </c>
      <c r="IA221" s="70">
        <f>'الصفحة 34'!$E$55</f>
        <v>0</v>
      </c>
      <c r="IB221" s="70">
        <f>'الصفحة 34'!$E$57</f>
        <v>0</v>
      </c>
      <c r="IC221" s="70">
        <f>'الصفحة 34'!$E$58</f>
        <v>0</v>
      </c>
      <c r="ID221" s="70">
        <f>'الصفحة 34'!$E$60</f>
        <v>0</v>
      </c>
      <c r="IE221" s="70">
        <f>'الصفحة 34'!$E$61</f>
        <v>0</v>
      </c>
      <c r="IF221" s="70">
        <f>'الصفحة 34'!$E$62</f>
        <v>0</v>
      </c>
      <c r="IG221" s="70">
        <f>'الصفحة 34'!$E$64</f>
        <v>2</v>
      </c>
      <c r="IH221" s="70">
        <f>'الصفحة 34'!$E$65</f>
        <v>0</v>
      </c>
      <c r="II221" s="70">
        <f>'الصفحة 34'!$E$68</f>
        <v>0</v>
      </c>
      <c r="IJ221" s="70">
        <f>'الصفحة 34'!$E$69</f>
        <v>0</v>
      </c>
      <c r="IK221" s="70">
        <f>'الصفحة 34'!$E$70</f>
        <v>0</v>
      </c>
      <c r="IL221" s="70">
        <f>'الصفحة 34'!$E$71</f>
        <v>0</v>
      </c>
      <c r="IM221" s="70">
        <f>'الصفحة 34'!$E$72</f>
        <v>1</v>
      </c>
      <c r="IN221" s="70">
        <f>'الصفحة 34'!$E$73</f>
        <v>10</v>
      </c>
      <c r="IO221" s="69" t="e">
        <f>SUM(HR221:IN221)+SUM(GT221:HP221)</f>
        <v>#REF!</v>
      </c>
      <c r="IQ221" s="27"/>
      <c r="IR221" s="27"/>
      <c r="IS221" s="27"/>
      <c r="IT221" s="27"/>
      <c r="IV221" s="21"/>
    </row>
    <row r="222" spans="1:256" s="24" customFormat="1" ht="14.1" customHeight="1" thickBot="1">
      <c r="A222" s="23"/>
      <c r="B222" s="34"/>
      <c r="C222" s="34"/>
      <c r="D222" s="34"/>
      <c r="E222" s="34"/>
      <c r="F222" s="34"/>
      <c r="G222" s="34"/>
      <c r="H222" s="34"/>
      <c r="J222" s="34"/>
      <c r="K222" s="34"/>
      <c r="L222" s="34"/>
      <c r="M222" s="34"/>
      <c r="N222" s="34"/>
      <c r="O222" s="34"/>
      <c r="P222" s="34"/>
      <c r="Q222" s="34"/>
      <c r="R222" s="34"/>
      <c r="S222" s="34"/>
      <c r="T222" s="34"/>
      <c r="U222" s="34"/>
      <c r="V222" s="71">
        <f>'الصفحة 32'!$Q$30</f>
        <v>0</v>
      </c>
      <c r="W222" s="31">
        <f>'الصفحة 32'!$Q$31</f>
        <v>0</v>
      </c>
      <c r="X222" s="34"/>
      <c r="Y222" s="34"/>
      <c r="AA222" s="34"/>
      <c r="AB222" s="34"/>
      <c r="AC222" s="34"/>
      <c r="AD222" s="34"/>
      <c r="AE222" s="34"/>
      <c r="AF222" s="34"/>
      <c r="AG222" s="34"/>
      <c r="AH222" s="34"/>
      <c r="AI222" s="34"/>
      <c r="AJ222" s="34"/>
      <c r="AK222" s="34"/>
      <c r="AL222" s="34"/>
      <c r="AM222" s="34"/>
      <c r="AN222" s="34"/>
      <c r="AO222" s="34"/>
      <c r="AP222" s="34"/>
      <c r="AQ222" s="34"/>
      <c r="AR222" s="34"/>
      <c r="AS222" s="34"/>
      <c r="AT222" s="34"/>
      <c r="AU222" s="71">
        <f>'الصفحة 32'!$Q$32</f>
        <v>0</v>
      </c>
      <c r="AV222" s="31">
        <f>'الصفحة 32'!$Q$33</f>
        <v>0</v>
      </c>
      <c r="AW222" s="34"/>
      <c r="AX222" s="34"/>
      <c r="AY222" s="97"/>
      <c r="BT222" s="71">
        <f>'الصفحة 32'!$Q$34</f>
        <v>0</v>
      </c>
      <c r="BU222" s="31">
        <f>'الصفحة 32'!$Q$35</f>
        <v>0</v>
      </c>
      <c r="CS222" s="71">
        <f>'الصفحة 32'!$Q$36</f>
        <v>0</v>
      </c>
      <c r="CT222" s="31">
        <f>'الصفحة 32'!$Q$37</f>
        <v>0</v>
      </c>
      <c r="DR222" s="71">
        <f>'الصفحة 32'!$Q$38</f>
        <v>0</v>
      </c>
      <c r="DS222" s="31">
        <f>'الصفحة 32'!$Q$39</f>
        <v>0</v>
      </c>
      <c r="EQ222" s="71">
        <f>'الصفحة 32'!$Q$40</f>
        <v>0</v>
      </c>
      <c r="ER222" s="31">
        <f>'الصفحة 32'!$Q$41</f>
        <v>0</v>
      </c>
      <c r="EV222" s="34"/>
      <c r="EW222" s="34"/>
      <c r="EX222" s="34"/>
      <c r="EY222" s="34"/>
      <c r="EZ222" s="34"/>
      <c r="FA222" s="34"/>
      <c r="FB222" s="34"/>
      <c r="FC222" s="34"/>
      <c r="FD222" s="34"/>
      <c r="FE222" s="34"/>
      <c r="FF222" s="34"/>
      <c r="FG222" s="34"/>
      <c r="FH222" s="34"/>
      <c r="FI222" s="34"/>
      <c r="FJ222" s="34"/>
      <c r="FK222" s="34"/>
      <c r="FL222" s="34"/>
      <c r="FM222" s="34"/>
      <c r="FN222" s="34"/>
      <c r="FO222" s="34"/>
      <c r="FP222" s="71">
        <f>'الصفحة 32'!$Q$42</f>
        <v>0</v>
      </c>
      <c r="FQ222" s="31">
        <f>'الصفحة 32'!$Q$43</f>
        <v>0</v>
      </c>
      <c r="FR222" s="34"/>
      <c r="FS222" s="34"/>
      <c r="FU222" s="46">
        <f>'الصفحة 32'!$F$46</f>
        <v>6</v>
      </c>
      <c r="FV222" s="43">
        <f>'الصفحة 32'!$F$47</f>
        <v>6</v>
      </c>
      <c r="FW222" s="43">
        <f>'الصفحة 32'!$G$46</f>
        <v>0</v>
      </c>
      <c r="FX222" s="43">
        <f>'الصفحة 32'!$G$47</f>
        <v>0</v>
      </c>
      <c r="FY222" s="43">
        <f>'الصفحة 32'!$H$46</f>
        <v>3</v>
      </c>
      <c r="FZ222" s="43">
        <f>'الصفحة 32'!$H$47</f>
        <v>2</v>
      </c>
      <c r="GA222" s="43">
        <f>'الصفحة 32'!$I$46</f>
        <v>6</v>
      </c>
      <c r="GB222" s="43">
        <f>'الصفحة 32'!$I$47</f>
        <v>6</v>
      </c>
      <c r="GC222" s="43">
        <f>'الصفحة 32'!$J$46</f>
        <v>4</v>
      </c>
      <c r="GD222" s="43">
        <f>'الصفحة 32'!$J$47</f>
        <v>3</v>
      </c>
      <c r="GE222" s="43">
        <f>'الصفحة 32'!$K$46</f>
        <v>6</v>
      </c>
      <c r="GF222" s="43">
        <f>'الصفحة 32'!$K$47</f>
        <v>4</v>
      </c>
      <c r="GG222" s="43">
        <f>'الصفحة 32'!$L$46</f>
        <v>3</v>
      </c>
      <c r="GH222" s="43">
        <f>'الصفحة 32'!$L$47</f>
        <v>2</v>
      </c>
      <c r="GI222" s="43">
        <f>'الصفحة 32'!$M$46</f>
        <v>3</v>
      </c>
      <c r="GJ222" s="43">
        <f>'الصفحة 32'!$M$47</f>
        <v>3</v>
      </c>
      <c r="GK222" s="43">
        <f>'الصفحة 32'!$N$46</f>
        <v>0</v>
      </c>
      <c r="GL222" s="43">
        <f>'الصفحة 32'!$N$47</f>
        <v>0</v>
      </c>
      <c r="GM222" s="43">
        <f>'الصفحة 32'!$O$46</f>
        <v>0</v>
      </c>
      <c r="GN222" s="43">
        <f>'الصفحة 32'!$O$47</f>
        <v>0</v>
      </c>
      <c r="GO222" s="43">
        <f>'الصفحة 32'!$P$46</f>
        <v>2</v>
      </c>
      <c r="GP222" s="43">
        <f>'الصفحة 32'!$P$47</f>
        <v>0</v>
      </c>
      <c r="GQ222" s="45">
        <f>GO222+GM222+GK222+GI222+GG222+GE222+GC222+GA222+FY222+FW222+FU222+GO223</f>
        <v>33</v>
      </c>
      <c r="GR222" s="105">
        <f>GP222+GN222+GL222+GJ222+GH222+GF222+GD222+GB222+FZ222+FX222+FV222+GP223</f>
        <v>26</v>
      </c>
      <c r="GS222" s="87"/>
      <c r="IV222" s="21"/>
    </row>
    <row r="223" spans="1:256" s="24" customFormat="1" ht="14.1" customHeight="1" thickBot="1">
      <c r="A223" s="23"/>
      <c r="B223" s="34"/>
      <c r="C223" s="34"/>
      <c r="D223" s="34"/>
      <c r="E223" s="34"/>
      <c r="F223" s="34"/>
      <c r="G223" s="34"/>
      <c r="H223" s="34"/>
      <c r="J223" s="34"/>
      <c r="K223" s="34"/>
      <c r="L223" s="34"/>
      <c r="M223" s="34"/>
      <c r="N223" s="34"/>
      <c r="O223" s="34"/>
      <c r="P223" s="34"/>
      <c r="Q223" s="34"/>
      <c r="R223" s="34"/>
      <c r="S223" s="34"/>
      <c r="T223" s="34"/>
      <c r="U223" s="34"/>
      <c r="V223" s="34"/>
      <c r="W223" s="34"/>
      <c r="X223" s="34"/>
      <c r="Y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97"/>
      <c r="EV223" s="34"/>
      <c r="EW223" s="34"/>
      <c r="EX223" s="34"/>
      <c r="EY223" s="34"/>
      <c r="EZ223" s="34"/>
      <c r="FA223" s="34"/>
      <c r="FB223" s="34"/>
      <c r="FC223" s="34"/>
      <c r="FD223" s="34"/>
      <c r="FE223" s="34"/>
      <c r="FF223" s="34"/>
      <c r="FG223" s="34"/>
      <c r="FH223" s="34"/>
      <c r="FI223" s="34"/>
      <c r="FJ223" s="34"/>
      <c r="FK223" s="34"/>
      <c r="FL223" s="34"/>
      <c r="FM223" s="34"/>
      <c r="FN223" s="34"/>
      <c r="FO223" s="34"/>
      <c r="FP223" s="34"/>
      <c r="FR223" s="34"/>
      <c r="FS223" s="34"/>
      <c r="FU223" s="96"/>
      <c r="FV223" s="96"/>
      <c r="FW223" s="96"/>
      <c r="FX223" s="96"/>
      <c r="FY223" s="96"/>
      <c r="FZ223" s="96"/>
      <c r="GA223" s="96"/>
      <c r="GB223" s="96"/>
      <c r="GC223" s="96"/>
      <c r="GD223" s="96"/>
      <c r="GE223" s="96"/>
      <c r="GF223" s="96"/>
      <c r="GG223" s="96"/>
      <c r="GH223" s="96"/>
      <c r="GI223" s="96"/>
      <c r="GJ223" s="96"/>
      <c r="GK223" s="96"/>
      <c r="GL223" s="96"/>
      <c r="GM223" s="101">
        <f>'الصفحة 32'!$Q$44</f>
        <v>0</v>
      </c>
      <c r="GN223" s="52">
        <f>'الصفحة 32'!$Q$45</f>
        <v>0</v>
      </c>
      <c r="GO223" s="43">
        <f>'الصفحة 32'!$Q$46</f>
        <v>0</v>
      </c>
      <c r="GP223" s="43">
        <f>'الصفحة 32'!$Q$47</f>
        <v>0</v>
      </c>
      <c r="GQ223" s="94"/>
      <c r="GR223" s="95"/>
      <c r="GS223" s="87"/>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V223" s="21"/>
    </row>
    <row r="224" spans="1:256" s="21" customFormat="1" ht="6" customHeight="1">
      <c r="A224" s="23"/>
      <c r="B224" s="22"/>
      <c r="C224" s="22"/>
      <c r="D224" s="22"/>
      <c r="E224" s="22"/>
      <c r="F224" s="22"/>
      <c r="G224" s="22"/>
      <c r="H224" s="22"/>
      <c r="I224" s="22"/>
      <c r="J224" s="22"/>
      <c r="K224" s="22"/>
      <c r="L224" s="22"/>
      <c r="M224" s="22"/>
      <c r="N224" s="22"/>
      <c r="O224" s="22"/>
      <c r="P224" s="22"/>
      <c r="Q224" s="22"/>
      <c r="R224" s="22"/>
      <c r="S224" s="22"/>
      <c r="T224" s="22"/>
      <c r="U224" s="22"/>
      <c r="V224" s="22"/>
    </row>
    <row r="225" spans="1:256" s="24" customFormat="1" ht="15" customHeight="1">
      <c r="A225" s="23"/>
      <c r="B225" s="38" t="s">
        <v>204</v>
      </c>
      <c r="C225" s="34"/>
      <c r="D225" s="34"/>
      <c r="E225" s="34"/>
      <c r="F225" s="34"/>
      <c r="G225" s="34"/>
      <c r="H225" s="34"/>
      <c r="I225" s="34"/>
      <c r="J225" s="34"/>
      <c r="K225" s="34"/>
      <c r="L225" s="34"/>
      <c r="M225" s="34"/>
      <c r="N225" s="34"/>
      <c r="O225" s="34"/>
      <c r="P225" s="34"/>
      <c r="Q225" s="34"/>
      <c r="R225" s="34"/>
      <c r="S225" s="34"/>
      <c r="T225" s="34"/>
      <c r="U225" s="34"/>
      <c r="W225" s="5138" t="s">
        <v>206</v>
      </c>
      <c r="X225" s="5138"/>
      <c r="Y225" s="5138"/>
      <c r="Z225" s="34"/>
      <c r="AA225" s="38" t="s">
        <v>203</v>
      </c>
      <c r="AB225" s="34"/>
      <c r="AC225" s="34"/>
      <c r="AD225" s="34"/>
      <c r="AE225" s="34"/>
      <c r="AF225" s="34"/>
      <c r="AG225" s="34"/>
      <c r="AH225" s="34"/>
      <c r="AI225" s="34"/>
      <c r="AJ225" s="34"/>
      <c r="AK225" s="34"/>
      <c r="AL225" s="34"/>
      <c r="AM225" s="34"/>
      <c r="AN225" s="34"/>
      <c r="AO225" s="34"/>
      <c r="AP225" s="34"/>
      <c r="AQ225" s="34"/>
      <c r="AR225" s="34"/>
      <c r="AS225" s="34"/>
      <c r="AT225" s="34"/>
      <c r="AV225" s="5138" t="s">
        <v>206</v>
      </c>
      <c r="AW225" s="5138"/>
      <c r="AX225" s="5138"/>
      <c r="AZ225" s="38" t="s">
        <v>203</v>
      </c>
      <c r="BA225" s="34"/>
      <c r="BB225" s="34"/>
      <c r="BC225" s="34"/>
      <c r="BD225" s="34"/>
      <c r="BE225" s="34"/>
      <c r="BF225" s="34"/>
      <c r="BG225" s="34"/>
      <c r="BH225" s="34"/>
      <c r="BI225" s="34"/>
      <c r="BJ225" s="34"/>
      <c r="BK225" s="34"/>
      <c r="BL225" s="88"/>
      <c r="BM225" s="34"/>
      <c r="BN225" s="34"/>
      <c r="BO225" s="34"/>
      <c r="BP225" s="34"/>
      <c r="BQ225" s="34"/>
      <c r="BR225" s="34"/>
      <c r="BS225" s="34"/>
      <c r="BT225" s="34"/>
      <c r="BU225" s="5138" t="s">
        <v>206</v>
      </c>
      <c r="BV225" s="5138"/>
      <c r="BW225" s="5138"/>
      <c r="BX225" s="34"/>
      <c r="BY225" s="38" t="s">
        <v>203</v>
      </c>
      <c r="BZ225" s="34"/>
      <c r="CA225" s="34"/>
      <c r="CB225" s="34"/>
      <c r="CC225" s="34"/>
      <c r="CD225" s="34"/>
      <c r="CE225" s="34"/>
      <c r="CF225" s="34"/>
      <c r="CG225" s="34"/>
      <c r="CH225" s="34"/>
      <c r="CI225" s="34"/>
      <c r="CJ225" s="34"/>
      <c r="CK225" s="34"/>
      <c r="CL225" s="34"/>
      <c r="CM225" s="34"/>
      <c r="CN225" s="34"/>
      <c r="CO225" s="34"/>
      <c r="CP225" s="34"/>
      <c r="CQ225" s="34"/>
      <c r="CR225" s="5138" t="s">
        <v>206</v>
      </c>
      <c r="CS225" s="5138"/>
      <c r="CT225" s="5138"/>
      <c r="CV225" s="38" t="s">
        <v>204</v>
      </c>
      <c r="CW225" s="34"/>
      <c r="CX225" s="34"/>
      <c r="CY225" s="34"/>
      <c r="CZ225" s="34"/>
      <c r="DA225" s="34"/>
      <c r="DB225" s="34"/>
      <c r="DC225" s="34"/>
      <c r="DD225" s="34"/>
      <c r="DE225" s="34"/>
      <c r="DF225" s="34"/>
      <c r="DG225" s="34"/>
      <c r="DH225" s="34"/>
      <c r="DI225" s="34"/>
      <c r="DJ225" s="34"/>
      <c r="DK225" s="34"/>
      <c r="DL225" s="34"/>
      <c r="DM225" s="34"/>
      <c r="DN225" s="34"/>
      <c r="DO225" s="34"/>
      <c r="DQ225" s="5138" t="s">
        <v>205</v>
      </c>
      <c r="DR225" s="5138"/>
      <c r="DS225" s="5138"/>
      <c r="DT225" s="34"/>
      <c r="DU225" s="38" t="s">
        <v>203</v>
      </c>
      <c r="DV225" s="34"/>
      <c r="DW225" s="34"/>
      <c r="DX225" s="34"/>
      <c r="DY225" s="34"/>
      <c r="DZ225" s="34"/>
      <c r="EA225" s="34"/>
      <c r="EB225" s="34"/>
      <c r="EC225" s="34"/>
      <c r="ED225" s="34"/>
      <c r="EE225" s="34"/>
      <c r="EF225" s="34"/>
      <c r="EG225" s="34"/>
      <c r="EH225" s="34"/>
      <c r="EI225" s="34"/>
      <c r="EJ225" s="34"/>
      <c r="EK225" s="34"/>
      <c r="EL225" s="34"/>
      <c r="EM225" s="34"/>
      <c r="EN225" s="34"/>
      <c r="EP225" s="5138" t="s">
        <v>205</v>
      </c>
      <c r="EQ225" s="5138"/>
      <c r="ER225" s="5138"/>
      <c r="ET225" s="38" t="s">
        <v>203</v>
      </c>
      <c r="EU225" s="34"/>
      <c r="EV225" s="34"/>
      <c r="EW225" s="34"/>
      <c r="EX225" s="34"/>
      <c r="EY225" s="34"/>
      <c r="EZ225" s="34"/>
      <c r="FA225" s="34"/>
      <c r="FB225" s="34"/>
      <c r="FC225" s="34"/>
      <c r="FD225" s="34"/>
      <c r="FE225" s="34"/>
      <c r="FF225" s="88"/>
      <c r="FG225" s="34"/>
      <c r="FH225" s="34"/>
      <c r="FI225" s="34"/>
      <c r="FJ225" s="34"/>
      <c r="FK225" s="34"/>
      <c r="FL225" s="34"/>
      <c r="FM225" s="34"/>
      <c r="FN225" s="34"/>
      <c r="FO225" s="5138" t="s">
        <v>205</v>
      </c>
      <c r="FP225" s="5138"/>
      <c r="FQ225" s="5138"/>
      <c r="FS225" s="38" t="s">
        <v>203</v>
      </c>
      <c r="FT225" s="34"/>
      <c r="FU225" s="34"/>
      <c r="FV225" s="34"/>
      <c r="FW225" s="34"/>
      <c r="FX225" s="34"/>
      <c r="FY225" s="34"/>
      <c r="FZ225" s="34"/>
      <c r="GA225" s="34"/>
      <c r="GB225" s="34"/>
      <c r="GC225" s="34"/>
      <c r="GD225" s="34"/>
      <c r="GE225" s="34"/>
      <c r="GF225" s="34"/>
      <c r="GG225" s="34"/>
      <c r="GH225" s="34"/>
      <c r="GI225" s="34"/>
      <c r="GJ225" s="34"/>
      <c r="GK225" s="34"/>
      <c r="GL225" s="5138" t="s">
        <v>205</v>
      </c>
      <c r="GM225" s="5138"/>
      <c r="GN225" s="5138"/>
      <c r="GP225" s="38" t="s">
        <v>204</v>
      </c>
      <c r="GQ225" s="34"/>
      <c r="GR225" s="34"/>
      <c r="GS225" s="34"/>
      <c r="GT225" s="34"/>
      <c r="GU225" s="34"/>
      <c r="GV225" s="34"/>
      <c r="GW225" s="34"/>
      <c r="GX225" s="34"/>
      <c r="GY225" s="34"/>
      <c r="GZ225" s="34"/>
      <c r="HA225" s="34"/>
      <c r="HB225" s="34"/>
      <c r="HC225" s="34"/>
      <c r="HD225" s="34"/>
      <c r="HE225" s="34"/>
      <c r="HF225" s="34"/>
      <c r="HG225" s="34"/>
      <c r="HH225" s="34"/>
      <c r="HI225" s="34"/>
      <c r="HK225" s="5138" t="s">
        <v>202</v>
      </c>
      <c r="HL225" s="5138"/>
      <c r="HM225" s="5138"/>
      <c r="HO225" s="38" t="s">
        <v>203</v>
      </c>
      <c r="HP225" s="34"/>
      <c r="HQ225" s="34"/>
      <c r="HR225" s="34"/>
      <c r="HS225" s="34"/>
      <c r="HT225" s="34"/>
      <c r="HU225" s="34"/>
      <c r="HV225" s="34"/>
      <c r="HW225" s="34"/>
      <c r="HX225" s="34"/>
      <c r="HY225" s="34"/>
      <c r="HZ225" s="34"/>
      <c r="IA225" s="34"/>
      <c r="IB225" s="34"/>
      <c r="IC225" s="34"/>
      <c r="ID225" s="34"/>
      <c r="IE225" s="34"/>
      <c r="IF225" s="34"/>
      <c r="IG225" s="34"/>
      <c r="IH225" s="34"/>
      <c r="IJ225" s="5138" t="s">
        <v>202</v>
      </c>
      <c r="IK225" s="5138"/>
      <c r="IL225" s="5138"/>
      <c r="IV225" s="21"/>
    </row>
    <row r="226" spans="1:256" s="24" customFormat="1" ht="8.1" customHeight="1" thickBot="1">
      <c r="A226" s="23"/>
      <c r="ET226" s="34"/>
      <c r="EU226" s="34"/>
      <c r="EV226" s="34"/>
      <c r="EW226" s="34"/>
      <c r="EX226" s="34"/>
      <c r="EY226" s="34"/>
      <c r="EZ226" s="34"/>
      <c r="FA226" s="34"/>
      <c r="FB226" s="34"/>
      <c r="FC226" s="34"/>
      <c r="FD226" s="34"/>
      <c r="FE226" s="34"/>
      <c r="FF226" s="93"/>
      <c r="FG226" s="34"/>
      <c r="FH226" s="34"/>
      <c r="FI226" s="34"/>
      <c r="FJ226" s="34"/>
      <c r="FK226" s="34"/>
      <c r="FL226" s="34"/>
      <c r="FM226" s="34"/>
      <c r="FN226" s="34"/>
      <c r="FO226" s="34"/>
      <c r="FP226" s="34"/>
      <c r="FQ226" s="34"/>
      <c r="IV226" s="21"/>
    </row>
    <row r="227" spans="1:256" s="24" customFormat="1" ht="14.1" customHeight="1" thickBot="1">
      <c r="A227" s="35">
        <v>15</v>
      </c>
      <c r="B227" s="33">
        <f>'الصفحة 34'!$F$11</f>
        <v>1</v>
      </c>
      <c r="C227" s="32">
        <f>'الصفحة 34'!$G$11</f>
        <v>1</v>
      </c>
      <c r="D227" s="30">
        <f>'الصفحة 34'!$F$13</f>
        <v>0</v>
      </c>
      <c r="E227" s="31">
        <f>'الصفحة 34'!$G$13</f>
        <v>0</v>
      </c>
      <c r="F227" s="30">
        <f>'الصفحة 34'!$F$14</f>
        <v>1</v>
      </c>
      <c r="G227" s="31">
        <f>'الصفحة 34'!$G$14</f>
        <v>1</v>
      </c>
      <c r="H227" s="30">
        <f>'الصفحة 34'!$F$15</f>
        <v>0</v>
      </c>
      <c r="I227" s="31">
        <f>'الصفحة 34'!$G$15</f>
        <v>0</v>
      </c>
      <c r="J227" s="30">
        <f>'الصفحة 34'!$F$16</f>
        <v>8</v>
      </c>
      <c r="K227" s="31">
        <f>'الصفحة 34'!$G$16</f>
        <v>7</v>
      </c>
      <c r="L227" s="30">
        <f>'الصفحة 34'!$F$18</f>
        <v>0</v>
      </c>
      <c r="M227" s="31">
        <f>'الصفحة 34'!$G$18</f>
        <v>0</v>
      </c>
      <c r="N227" s="30" t="e">
        <f>'الصفحة 34'!#REF!</f>
        <v>#REF!</v>
      </c>
      <c r="O227" s="31" t="e">
        <f>'الصفحة 34'!#REF!</f>
        <v>#REF!</v>
      </c>
      <c r="P227" s="30">
        <f>'الصفحة 34'!$F$22</f>
        <v>1</v>
      </c>
      <c r="Q227" s="31">
        <f>'الصفحة 34'!$G$22</f>
        <v>0</v>
      </c>
      <c r="R227" s="30">
        <f>'الصفحة 34'!$F$23</f>
        <v>0</v>
      </c>
      <c r="S227" s="31">
        <f>'الصفحة 34'!$G$23</f>
        <v>0</v>
      </c>
      <c r="T227" s="30">
        <f>'الصفحة 34'!$F$24</f>
        <v>1</v>
      </c>
      <c r="U227" s="31">
        <f>'الصفحة 34'!$G$24</f>
        <v>1</v>
      </c>
      <c r="V227" s="30">
        <f>'الصفحة 34'!$F$25</f>
        <v>1</v>
      </c>
      <c r="W227" s="31">
        <f>'الصفحة 34'!$G$25</f>
        <v>0</v>
      </c>
      <c r="X227" s="30">
        <f>'الصفحة 34'!$F$27</f>
        <v>1</v>
      </c>
      <c r="Y227" s="29">
        <f>'الصفحة 34'!$G$27</f>
        <v>1</v>
      </c>
      <c r="Z227" s="34"/>
      <c r="AA227" s="33">
        <f>'الصفحة 34'!$F$28</f>
        <v>1</v>
      </c>
      <c r="AB227" s="32">
        <f>'الصفحة 34'!$G$28</f>
        <v>1</v>
      </c>
      <c r="AC227" s="30">
        <f>'الصفحة 34'!$F$29</f>
        <v>0</v>
      </c>
      <c r="AD227" s="31">
        <f>'الصفحة 34'!$G$29</f>
        <v>0</v>
      </c>
      <c r="AE227" s="30">
        <f>'الصفحة 34'!$F$31</f>
        <v>1</v>
      </c>
      <c r="AF227" s="31">
        <f>'الصفحة 34'!$G$31</f>
        <v>1</v>
      </c>
      <c r="AG227" s="30">
        <f>'الصفحة 34'!$F$32</f>
        <v>0</v>
      </c>
      <c r="AH227" s="31">
        <f>'الصفحة 34'!$G$32</f>
        <v>0</v>
      </c>
      <c r="AI227" s="30">
        <f>'الصفحة 34'!$F$33</f>
        <v>0</v>
      </c>
      <c r="AJ227" s="31">
        <f>'الصفحة 34'!$G$33</f>
        <v>0</v>
      </c>
      <c r="AK227" s="30">
        <f>'الصفحة 34'!$F$34</f>
        <v>0</v>
      </c>
      <c r="AL227" s="31">
        <f>'الصفحة 34'!$G$34</f>
        <v>0</v>
      </c>
      <c r="AM227" s="30">
        <f>'الصفحة 34'!$F$38</f>
        <v>0</v>
      </c>
      <c r="AN227" s="31">
        <f>'الصفحة 34'!$G$38</f>
        <v>0</v>
      </c>
      <c r="AO227" s="30">
        <f>'الصفحة 34'!$F$39</f>
        <v>0</v>
      </c>
      <c r="AP227" s="31">
        <f>'الصفحة 34'!$G$39</f>
        <v>0</v>
      </c>
      <c r="AQ227" s="30">
        <f>'الصفحة 34'!$F$42</f>
        <v>1</v>
      </c>
      <c r="AR227" s="31">
        <f>'الصفحة 34'!$G$42</f>
        <v>1</v>
      </c>
      <c r="AS227" s="30">
        <f>'الصفحة 34'!$F$44</f>
        <v>0</v>
      </c>
      <c r="AT227" s="31">
        <f>'الصفحة 34'!$G$44</f>
        <v>0</v>
      </c>
      <c r="AU227" s="30">
        <f>'الصفحة 34'!$F$45</f>
        <v>0</v>
      </c>
      <c r="AV227" s="31">
        <f>'الصفحة 34'!$G$45</f>
        <v>0</v>
      </c>
      <c r="AW227" s="30">
        <f>'الصفحة 34'!$F$46</f>
        <v>0</v>
      </c>
      <c r="AX227" s="29">
        <f>'الصفحة 34'!$G$46</f>
        <v>0</v>
      </c>
      <c r="AZ227" s="33">
        <f>'الصفحة 34'!$F$47</f>
        <v>0</v>
      </c>
      <c r="BA227" s="31">
        <f>'الصفحة 34'!$G$47</f>
        <v>0</v>
      </c>
      <c r="BB227" s="30">
        <f>'الصفحة 34'!$F$48</f>
        <v>0</v>
      </c>
      <c r="BC227" s="31">
        <f>'الصفحة 34'!$G$48</f>
        <v>0</v>
      </c>
      <c r="BD227" s="30">
        <f>'الصفحة 34'!$F$49</f>
        <v>0</v>
      </c>
      <c r="BE227" s="31">
        <f>'الصفحة 34'!$G$49</f>
        <v>0</v>
      </c>
      <c r="BF227" s="30">
        <f>'الصفحة 34'!$F$50</f>
        <v>0</v>
      </c>
      <c r="BG227" s="31">
        <f>'الصفحة 34'!$G$50</f>
        <v>0</v>
      </c>
      <c r="BH227" s="30">
        <f>'الصفحة 34'!$F$51</f>
        <v>0</v>
      </c>
      <c r="BI227" s="31">
        <f>'الصفحة 34'!$G$51</f>
        <v>0</v>
      </c>
      <c r="BJ227" s="30">
        <f>'الصفحة 34'!$F$52</f>
        <v>0</v>
      </c>
      <c r="BK227" s="31">
        <f>'الصفحة 34'!$G$52</f>
        <v>0</v>
      </c>
      <c r="BL227" s="30">
        <f>'الصفحة 34'!$F$53</f>
        <v>0</v>
      </c>
      <c r="BM227" s="31">
        <f>'الصفحة 34'!$G$53</f>
        <v>0</v>
      </c>
      <c r="BN227" s="30">
        <f>'الصفحة 34'!$F$54</f>
        <v>0</v>
      </c>
      <c r="BO227" s="31">
        <f>'الصفحة 34'!$G$54</f>
        <v>0</v>
      </c>
      <c r="BP227" s="30">
        <f>'الصفحة 34'!$F$55</f>
        <v>0</v>
      </c>
      <c r="BQ227" s="31">
        <f>'الصفحة 34'!$G$55</f>
        <v>0</v>
      </c>
      <c r="BR227" s="30">
        <f>'الصفحة 34'!$F$57</f>
        <v>0</v>
      </c>
      <c r="BS227" s="31">
        <f>'الصفحة 34'!$G$57</f>
        <v>0</v>
      </c>
      <c r="BT227" s="30">
        <f>'الصفحة 34'!$F$58</f>
        <v>0</v>
      </c>
      <c r="BU227" s="31">
        <f>'الصفحة 34'!$G$58</f>
        <v>0</v>
      </c>
      <c r="BV227" s="30">
        <f>'الصفحة 34'!$F$60</f>
        <v>0</v>
      </c>
      <c r="BW227" s="29">
        <f>'الصفحة 34'!$G$60</f>
        <v>0</v>
      </c>
      <c r="BX227" s="34"/>
      <c r="BY227" s="33">
        <f>'الصفحة 34'!$F$61</f>
        <v>0</v>
      </c>
      <c r="BZ227" s="31">
        <f>'الصفحة 34'!$G$61</f>
        <v>0</v>
      </c>
      <c r="CA227" s="30">
        <f>'الصفحة 34'!$F$62</f>
        <v>0</v>
      </c>
      <c r="CB227" s="31">
        <f>'الصفحة 34'!$G$62</f>
        <v>0</v>
      </c>
      <c r="CC227" s="30">
        <f>'الصفحة 34'!$F$64</f>
        <v>0</v>
      </c>
      <c r="CD227" s="31">
        <f>'الصفحة 34'!$G$64</f>
        <v>0</v>
      </c>
      <c r="CE227" s="30">
        <f>'الصفحة 34'!$F$65</f>
        <v>0</v>
      </c>
      <c r="CF227" s="31">
        <f>'الصفحة 34'!$G$65</f>
        <v>0</v>
      </c>
      <c r="CG227" s="30">
        <f>'الصفحة 34'!$F$68</f>
        <v>0</v>
      </c>
      <c r="CH227" s="31">
        <f>'الصفحة 34'!$G$68</f>
        <v>0</v>
      </c>
      <c r="CI227" s="30">
        <f>'الصفحة 34'!$F$69</f>
        <v>0</v>
      </c>
      <c r="CJ227" s="31">
        <f>'الصفحة 34'!$G$69</f>
        <v>0</v>
      </c>
      <c r="CK227" s="30">
        <f>'الصفحة 34'!$F$70</f>
        <v>0</v>
      </c>
      <c r="CL227" s="31">
        <f>'الصفحة 34'!$G$70</f>
        <v>0</v>
      </c>
      <c r="CM227" s="30">
        <f>'الصفحة 34'!$F$71</f>
        <v>0</v>
      </c>
      <c r="CN227" s="31">
        <f>'الصفحة 34'!$G$71</f>
        <v>0</v>
      </c>
      <c r="CO227" s="30">
        <f>'الصفحة 34'!$F$72</f>
        <v>0</v>
      </c>
      <c r="CP227" s="31">
        <f>'الصفحة 34'!$G$72</f>
        <v>0</v>
      </c>
      <c r="CQ227" s="92">
        <f>'الصفحة 34'!$F$73</f>
        <v>0</v>
      </c>
      <c r="CR227" s="91">
        <f>'الصفحة 34'!$G$73</f>
        <v>0</v>
      </c>
      <c r="CS227" s="90">
        <f>'الصفحة 34'!$F$74</f>
        <v>19</v>
      </c>
      <c r="CT227" s="89">
        <f>'الصفحة 34'!$G$74</f>
        <v>16</v>
      </c>
      <c r="CV227" s="33">
        <f>'الصفحة 34'!$H$11</f>
        <v>0</v>
      </c>
      <c r="CW227" s="32">
        <f>'الصفحة 34'!$I$11</f>
        <v>0</v>
      </c>
      <c r="CX227" s="30">
        <f>'الصفحة 34'!$H$13</f>
        <v>0</v>
      </c>
      <c r="CY227" s="31">
        <f>'الصفحة 34'!$I$13</f>
        <v>0</v>
      </c>
      <c r="CZ227" s="30">
        <f>'الصفحة 34'!$H$14</f>
        <v>0</v>
      </c>
      <c r="DA227" s="31">
        <f>'الصفحة 34'!$I$14</f>
        <v>0</v>
      </c>
      <c r="DB227" s="30">
        <f>'الصفحة 34'!$H$15</f>
        <v>0</v>
      </c>
      <c r="DC227" s="31">
        <f>'الصفحة 34'!$I$15</f>
        <v>0</v>
      </c>
      <c r="DD227" s="30">
        <f>'الصفحة 34'!$H$16</f>
        <v>0</v>
      </c>
      <c r="DE227" s="31">
        <f>'الصفحة 34'!$I$16</f>
        <v>0</v>
      </c>
      <c r="DF227" s="30">
        <f>'الصفحة 34'!$H$18</f>
        <v>0</v>
      </c>
      <c r="DG227" s="31">
        <f>'الصفحة 34'!$I$18</f>
        <v>0</v>
      </c>
      <c r="DH227" s="30" t="e">
        <f>'الصفحة 34'!#REF!</f>
        <v>#REF!</v>
      </c>
      <c r="DI227" s="31" t="e">
        <f>'الصفحة 34'!#REF!</f>
        <v>#REF!</v>
      </c>
      <c r="DJ227" s="30">
        <f>'الصفحة 34'!$H$22</f>
        <v>0</v>
      </c>
      <c r="DK227" s="31">
        <f>'الصفحة 34'!$I$22</f>
        <v>0</v>
      </c>
      <c r="DL227" s="30">
        <f>'الصفحة 34'!$H$23</f>
        <v>0</v>
      </c>
      <c r="DM227" s="31">
        <f>'الصفحة 34'!$I$23</f>
        <v>0</v>
      </c>
      <c r="DN227" s="30">
        <f>'الصفحة 34'!$H$24</f>
        <v>0</v>
      </c>
      <c r="DO227" s="31">
        <f>'الصفحة 34'!$I$24</f>
        <v>0</v>
      </c>
      <c r="DP227" s="30">
        <f>'الصفحة 34'!$H$25</f>
        <v>0</v>
      </c>
      <c r="DQ227" s="31">
        <f>'الصفحة 34'!$I$25</f>
        <v>0</v>
      </c>
      <c r="DR227" s="30">
        <f>'الصفحة 34'!$H$27</f>
        <v>0</v>
      </c>
      <c r="DS227" s="29">
        <f>'الصفحة 34'!$I$27</f>
        <v>0</v>
      </c>
      <c r="DT227" s="34"/>
      <c r="DU227" s="33">
        <f>'الصفحة 34'!$H$28</f>
        <v>0</v>
      </c>
      <c r="DV227" s="32">
        <f>'الصفحة 34'!$I$28</f>
        <v>0</v>
      </c>
      <c r="DW227" s="30">
        <f>'الصفحة 34'!$H$29</f>
        <v>0</v>
      </c>
      <c r="DX227" s="31">
        <f>'الصفحة 34'!$I$29</f>
        <v>0</v>
      </c>
      <c r="DY227" s="30">
        <f>'الصفحة 34'!$H$31</f>
        <v>0</v>
      </c>
      <c r="DZ227" s="31">
        <f>'الصفحة 34'!$I$31</f>
        <v>0</v>
      </c>
      <c r="EA227" s="30">
        <f>'الصفحة 34'!$H$32</f>
        <v>0</v>
      </c>
      <c r="EB227" s="31">
        <f>'الصفحة 34'!$I$32</f>
        <v>0</v>
      </c>
      <c r="EC227" s="30">
        <f>'الصفحة 34'!$H$33</f>
        <v>0</v>
      </c>
      <c r="ED227" s="31">
        <f>'الصفحة 34'!$I$33</f>
        <v>0</v>
      </c>
      <c r="EE227" s="30">
        <f>'الصفحة 34'!$H$34</f>
        <v>0</v>
      </c>
      <c r="EF227" s="31">
        <f>'الصفحة 34'!$I$34</f>
        <v>0</v>
      </c>
      <c r="EG227" s="30">
        <f>'الصفحة 34'!$H$38</f>
        <v>0</v>
      </c>
      <c r="EH227" s="31">
        <f>'الصفحة 34'!$I$38</f>
        <v>0</v>
      </c>
      <c r="EI227" s="30">
        <f>'الصفحة 34'!$H$39</f>
        <v>0</v>
      </c>
      <c r="EJ227" s="31">
        <f>'الصفحة 34'!$I$39</f>
        <v>0</v>
      </c>
      <c r="EK227" s="30">
        <f>'الصفحة 34'!$H$42</f>
        <v>0</v>
      </c>
      <c r="EL227" s="31">
        <f>'الصفحة 34'!$I$42</f>
        <v>0</v>
      </c>
      <c r="EM227" s="30">
        <f>'الصفحة 34'!$H$44</f>
        <v>0</v>
      </c>
      <c r="EN227" s="31">
        <f>'الصفحة 34'!$I$44</f>
        <v>0</v>
      </c>
      <c r="EO227" s="30">
        <f>'الصفحة 34'!$H$45</f>
        <v>0</v>
      </c>
      <c r="EP227" s="31">
        <f>'الصفحة 34'!$I$45</f>
        <v>0</v>
      </c>
      <c r="EQ227" s="30">
        <f>'الصفحة 34'!$H$46</f>
        <v>0</v>
      </c>
      <c r="ER227" s="29">
        <f>'الصفحة 34'!$I$46</f>
        <v>0</v>
      </c>
      <c r="ET227" s="33">
        <f>'الصفحة 34'!$H$47</f>
        <v>0</v>
      </c>
      <c r="EU227" s="31">
        <f>'الصفحة 34'!$I$47</f>
        <v>0</v>
      </c>
      <c r="EV227" s="30">
        <f>'الصفحة 34'!$H$48</f>
        <v>0</v>
      </c>
      <c r="EW227" s="31">
        <f>'الصفحة 34'!$I$48</f>
        <v>0</v>
      </c>
      <c r="EX227" s="30">
        <f>'الصفحة 34'!$H$49</f>
        <v>0</v>
      </c>
      <c r="EY227" s="31">
        <f>'الصفحة 34'!$I$49</f>
        <v>0</v>
      </c>
      <c r="EZ227" s="30">
        <f>'الصفحة 34'!$H$50</f>
        <v>0</v>
      </c>
      <c r="FA227" s="31">
        <f>'الصفحة 34'!$I$50</f>
        <v>0</v>
      </c>
      <c r="FB227" s="30">
        <f>'الصفحة 34'!$H$51</f>
        <v>0</v>
      </c>
      <c r="FC227" s="31">
        <f>'الصفحة 34'!$I$51</f>
        <v>0</v>
      </c>
      <c r="FD227" s="30">
        <f>'الصفحة 34'!$H$52</f>
        <v>0</v>
      </c>
      <c r="FE227" s="31">
        <f>'الصفحة 34'!$I$52</f>
        <v>0</v>
      </c>
      <c r="FF227" s="30">
        <f>'الصفحة 34'!$H$53</f>
        <v>0</v>
      </c>
      <c r="FG227" s="31">
        <f>'الصفحة 34'!$I$53</f>
        <v>0</v>
      </c>
      <c r="FH227" s="30">
        <f>'الصفحة 34'!$H$54</f>
        <v>0</v>
      </c>
      <c r="FI227" s="31">
        <f>'الصفحة 34'!$I$54</f>
        <v>0</v>
      </c>
      <c r="FJ227" s="30">
        <f>'الصفحة 34'!$H$55</f>
        <v>0</v>
      </c>
      <c r="FK227" s="31">
        <f>'الصفحة 34'!$I$55</f>
        <v>0</v>
      </c>
      <c r="FL227" s="30">
        <f>'الصفحة 34'!$H$57</f>
        <v>0</v>
      </c>
      <c r="FM227" s="31">
        <f>'الصفحة 34'!$I$57</f>
        <v>0</v>
      </c>
      <c r="FN227" s="30">
        <f>'الصفحة 34'!$H$58</f>
        <v>0</v>
      </c>
      <c r="FO227" s="31">
        <f>'الصفحة 34'!$I$58</f>
        <v>0</v>
      </c>
      <c r="FP227" s="30">
        <f>'الصفحة 34'!$H$60</f>
        <v>0</v>
      </c>
      <c r="FQ227" s="29">
        <f>'الصفحة 34'!$I$60</f>
        <v>0</v>
      </c>
      <c r="FS227" s="33">
        <f>'الصفحة 34'!$H$61</f>
        <v>0</v>
      </c>
      <c r="FT227" s="31">
        <f>'الصفحة 34'!$I$61</f>
        <v>0</v>
      </c>
      <c r="FU227" s="30">
        <f>'الصفحة 34'!$H$62</f>
        <v>0</v>
      </c>
      <c r="FV227" s="31">
        <f>'الصفحة 34'!$I$62</f>
        <v>0</v>
      </c>
      <c r="FW227" s="30">
        <f>'الصفحة 34'!$H$64</f>
        <v>0</v>
      </c>
      <c r="FX227" s="31">
        <f>'الصفحة 34'!$I$64</f>
        <v>0</v>
      </c>
      <c r="FY227" s="30">
        <f>'الصفحة 34'!$H$65</f>
        <v>0</v>
      </c>
      <c r="FZ227" s="31">
        <f>'الصفحة 34'!$I$65</f>
        <v>0</v>
      </c>
      <c r="GA227" s="30">
        <f>'الصفحة 34'!$H$68</f>
        <v>0</v>
      </c>
      <c r="GB227" s="31">
        <f>'الصفحة 34'!$I$68</f>
        <v>0</v>
      </c>
      <c r="GC227" s="30">
        <f>'الصفحة 34'!$H$69</f>
        <v>0</v>
      </c>
      <c r="GD227" s="31">
        <f>'الصفحة 34'!$I$69</f>
        <v>0</v>
      </c>
      <c r="GE227" s="30">
        <f>'الصفحة 34'!$H$70</f>
        <v>0</v>
      </c>
      <c r="GF227" s="31">
        <f>'الصفحة 34'!$I$70</f>
        <v>0</v>
      </c>
      <c r="GG227" s="30">
        <f>'الصفحة 34'!$H$71</f>
        <v>0</v>
      </c>
      <c r="GH227" s="31">
        <f>'الصفحة 34'!$I$71</f>
        <v>0</v>
      </c>
      <c r="GI227" s="30">
        <f>'الصفحة 34'!$H$72</f>
        <v>0</v>
      </c>
      <c r="GJ227" s="31">
        <f>'الصفحة 34'!$I$72</f>
        <v>0</v>
      </c>
      <c r="GK227" s="30">
        <f>'الصفحة 34'!$H$73</f>
        <v>0</v>
      </c>
      <c r="GL227" s="31">
        <f>'الصفحة 34'!$I$73</f>
        <v>0</v>
      </c>
      <c r="GM227" s="66">
        <f>'الصفحة 34'!$H$74</f>
        <v>0</v>
      </c>
      <c r="GN227" s="65">
        <f>'الصفحة 34'!$I$74</f>
        <v>0</v>
      </c>
      <c r="GP227" s="33">
        <f>'الصفحة 34'!$J$11</f>
        <v>0</v>
      </c>
      <c r="GQ227" s="32">
        <f>'الصفحة 34'!$K$11</f>
        <v>0</v>
      </c>
      <c r="GR227" s="30">
        <f>'الصفحة 34'!$J$13</f>
        <v>0</v>
      </c>
      <c r="GS227" s="31">
        <f>'الصفحة 34'!$K$13</f>
        <v>0</v>
      </c>
      <c r="GT227" s="30">
        <f>'الصفحة 34'!$J$14</f>
        <v>0</v>
      </c>
      <c r="GU227" s="31">
        <f>'الصفحة 34'!$K$14</f>
        <v>0</v>
      </c>
      <c r="GV227" s="30">
        <f>'الصفحة 34'!$J$15</f>
        <v>0</v>
      </c>
      <c r="GW227" s="31">
        <f>'الصفحة 34'!$K$15</f>
        <v>0</v>
      </c>
      <c r="GX227" s="30">
        <f>'الصفحة 34'!$J$16</f>
        <v>0</v>
      </c>
      <c r="GY227" s="31">
        <f>'الصفحة 34'!$K$16</f>
        <v>0</v>
      </c>
      <c r="GZ227" s="30">
        <f>'الصفحة 34'!$J$18</f>
        <v>0</v>
      </c>
      <c r="HA227" s="31">
        <f>'الصفحة 34'!$K$18</f>
        <v>0</v>
      </c>
      <c r="HB227" s="30" t="e">
        <f>'الصفحة 34'!#REF!</f>
        <v>#REF!</v>
      </c>
      <c r="HC227" s="31" t="e">
        <f>'الصفحة 34'!#REF!</f>
        <v>#REF!</v>
      </c>
      <c r="HD227" s="30">
        <f>'الصفحة 34'!$J$22</f>
        <v>0</v>
      </c>
      <c r="HE227" s="31">
        <f>'الصفحة 34'!$K$22</f>
        <v>0</v>
      </c>
      <c r="HF227" s="30">
        <f>'الصفحة 34'!$J$23</f>
        <v>0</v>
      </c>
      <c r="HG227" s="31">
        <f>'الصفحة 34'!$K$23</f>
        <v>0</v>
      </c>
      <c r="HH227" s="30">
        <f>'الصفحة 34'!$J$24</f>
        <v>0</v>
      </c>
      <c r="HI227" s="31">
        <f>'الصفحة 34'!$K$24</f>
        <v>0</v>
      </c>
      <c r="HJ227" s="30">
        <f>'الصفحة 34'!$J$25</f>
        <v>0</v>
      </c>
      <c r="HK227" s="31">
        <f>'الصفحة 34'!$K$25</f>
        <v>0</v>
      </c>
      <c r="HL227" s="30">
        <f>'الصفحة 34'!$J$27</f>
        <v>0</v>
      </c>
      <c r="HM227" s="29">
        <f>'الصفحة 34'!$K$27</f>
        <v>0</v>
      </c>
      <c r="HO227" s="33">
        <f>'الصفحة 34'!$J$28</f>
        <v>0</v>
      </c>
      <c r="HP227" s="32">
        <f>'الصفحة 34'!$K$28</f>
        <v>0</v>
      </c>
      <c r="HQ227" s="30">
        <f>'الصفحة 34'!$J$29</f>
        <v>0</v>
      </c>
      <c r="HR227" s="31">
        <f>'الصفحة 34'!$K$29</f>
        <v>0</v>
      </c>
      <c r="HS227" s="30">
        <f>'الصفحة 34'!$J$31</f>
        <v>0</v>
      </c>
      <c r="HT227" s="31">
        <f>'الصفحة 34'!$K$31</f>
        <v>0</v>
      </c>
      <c r="HU227" s="30">
        <f>'الصفحة 34'!$J$32</f>
        <v>0</v>
      </c>
      <c r="HV227" s="31">
        <f>'الصفحة 34'!$K$32</f>
        <v>0</v>
      </c>
      <c r="HW227" s="30">
        <f>'الصفحة 34'!$J$33</f>
        <v>0</v>
      </c>
      <c r="HX227" s="31">
        <f>'الصفحة 34'!$K$33</f>
        <v>0</v>
      </c>
      <c r="HY227" s="30">
        <f>'الصفحة 34'!$J$34</f>
        <v>0</v>
      </c>
      <c r="HZ227" s="31">
        <f>'الصفحة 34'!$K$34</f>
        <v>0</v>
      </c>
      <c r="IA227" s="30">
        <f>'الصفحة 34'!$J$38</f>
        <v>0</v>
      </c>
      <c r="IB227" s="31">
        <f>'الصفحة 34'!$K$38</f>
        <v>0</v>
      </c>
      <c r="IC227" s="30">
        <f>'الصفحة 34'!$J$39</f>
        <v>0</v>
      </c>
      <c r="ID227" s="31">
        <f>'الصفحة 34'!$K$39</f>
        <v>0</v>
      </c>
      <c r="IE227" s="30">
        <f>'الصفحة 34'!$J$42</f>
        <v>0</v>
      </c>
      <c r="IF227" s="31">
        <f>'الصفحة 34'!$K$42</f>
        <v>0</v>
      </c>
      <c r="IG227" s="30">
        <f>'الصفحة 34'!$J$44</f>
        <v>0</v>
      </c>
      <c r="IH227" s="31">
        <f>'الصفحة 34'!$K$44</f>
        <v>0</v>
      </c>
      <c r="II227" s="30">
        <f>'الصفحة 34'!$J$45</f>
        <v>0</v>
      </c>
      <c r="IJ227" s="31">
        <f>'الصفحة 34'!$K$45</f>
        <v>0</v>
      </c>
      <c r="IK227" s="30">
        <f>'الصفحة 34'!$J$46</f>
        <v>0</v>
      </c>
      <c r="IL227" s="29">
        <f>'الصفحة 34'!$K$46</f>
        <v>0</v>
      </c>
      <c r="IN227" s="27"/>
      <c r="IO227" s="27"/>
      <c r="IP227" s="27"/>
      <c r="IQ227" s="27"/>
      <c r="IR227" s="27"/>
      <c r="IS227" s="27"/>
      <c r="IT227" s="27"/>
      <c r="IV227" s="21"/>
    </row>
    <row r="228" spans="1:256" s="24" customFormat="1" ht="8.1" customHeight="1">
      <c r="A228" s="23"/>
      <c r="ET228" s="34"/>
      <c r="EU228" s="34"/>
      <c r="EV228" s="34"/>
      <c r="EW228" s="34"/>
      <c r="EX228" s="34"/>
      <c r="EY228" s="34"/>
      <c r="EZ228" s="34"/>
      <c r="FA228" s="34"/>
      <c r="FB228" s="34"/>
      <c r="FC228" s="34"/>
      <c r="FD228" s="34"/>
      <c r="FE228" s="34"/>
      <c r="FG228" s="34"/>
      <c r="FH228" s="34"/>
      <c r="FI228" s="34"/>
      <c r="FJ228" s="34"/>
      <c r="FK228" s="34"/>
      <c r="FL228" s="34"/>
      <c r="FM228" s="34"/>
      <c r="FN228" s="34"/>
      <c r="FO228" s="34"/>
      <c r="FP228" s="34"/>
      <c r="FQ228" s="34"/>
      <c r="GQ228" s="34"/>
      <c r="IV228" s="21"/>
    </row>
    <row r="229" spans="1:256" s="21" customFormat="1" ht="6" customHeight="1">
      <c r="A229" s="23"/>
      <c r="B229" s="22"/>
      <c r="C229" s="22"/>
      <c r="D229" s="22"/>
      <c r="E229" s="22"/>
      <c r="F229" s="22"/>
      <c r="G229" s="22"/>
      <c r="H229" s="22"/>
      <c r="I229" s="22"/>
      <c r="J229" s="22"/>
      <c r="K229" s="22"/>
      <c r="L229" s="22"/>
      <c r="M229" s="22"/>
      <c r="N229" s="22"/>
      <c r="O229" s="22"/>
      <c r="P229" s="22"/>
      <c r="Q229" s="22"/>
      <c r="R229" s="22"/>
      <c r="S229" s="22"/>
      <c r="T229" s="22"/>
      <c r="U229" s="22"/>
      <c r="V229" s="22"/>
    </row>
    <row r="230" spans="1:256" s="24" customFormat="1" ht="15" customHeight="1">
      <c r="A230" s="23"/>
      <c r="B230" s="38" t="s">
        <v>203</v>
      </c>
      <c r="C230" s="34"/>
      <c r="D230" s="34"/>
      <c r="E230" s="34"/>
      <c r="F230" s="34"/>
      <c r="G230" s="34"/>
      <c r="H230" s="34"/>
      <c r="I230" s="34"/>
      <c r="J230" s="34"/>
      <c r="K230" s="34"/>
      <c r="L230" s="34"/>
      <c r="M230" s="34"/>
      <c r="N230" s="88"/>
      <c r="O230" s="34"/>
      <c r="P230" s="34"/>
      <c r="Q230" s="34"/>
      <c r="R230" s="34"/>
      <c r="S230" s="34"/>
      <c r="T230" s="34"/>
      <c r="U230" s="34"/>
      <c r="V230" s="34"/>
      <c r="W230" s="5138" t="s">
        <v>202</v>
      </c>
      <c r="X230" s="5138"/>
      <c r="Y230" s="5138"/>
      <c r="Z230" s="34"/>
      <c r="AA230" s="38" t="s">
        <v>203</v>
      </c>
      <c r="AB230" s="34"/>
      <c r="AC230" s="34"/>
      <c r="AD230" s="34"/>
      <c r="AE230" s="34"/>
      <c r="AF230" s="34"/>
      <c r="AG230" s="34"/>
      <c r="AH230" s="34"/>
      <c r="AI230" s="34"/>
      <c r="AJ230" s="34"/>
      <c r="AK230" s="34"/>
      <c r="AL230" s="34"/>
      <c r="AM230" s="34"/>
      <c r="AN230" s="34"/>
      <c r="AO230" s="34"/>
      <c r="AP230" s="34"/>
      <c r="AQ230" s="34"/>
      <c r="AR230" s="34"/>
      <c r="AS230" s="34"/>
      <c r="AT230" s="5138" t="s">
        <v>202</v>
      </c>
      <c r="AU230" s="5138"/>
      <c r="AV230" s="5138"/>
      <c r="AW230" s="34"/>
      <c r="AX230" s="38" t="s">
        <v>201</v>
      </c>
      <c r="AY230" s="34"/>
      <c r="AZ230" s="34"/>
      <c r="BA230" s="34"/>
      <c r="BB230" s="34"/>
      <c r="BC230" s="34"/>
      <c r="BD230" s="34"/>
      <c r="BE230" s="34"/>
      <c r="BF230" s="34"/>
      <c r="BG230" s="34"/>
      <c r="BH230" s="34"/>
      <c r="BI230" s="34"/>
      <c r="BJ230" s="34"/>
      <c r="BK230" s="34"/>
      <c r="BL230" s="34"/>
      <c r="BM230" s="34"/>
      <c r="BN230" s="34"/>
      <c r="BO230" s="34"/>
      <c r="BP230" s="34"/>
      <c r="BQ230" s="5138" t="s">
        <v>199</v>
      </c>
      <c r="BR230" s="5138"/>
      <c r="BS230" s="5138"/>
      <c r="BT230" s="5138"/>
      <c r="BV230" s="38" t="s">
        <v>200</v>
      </c>
      <c r="BW230" s="34"/>
      <c r="BX230" s="34"/>
      <c r="BY230" s="34"/>
      <c r="BZ230" s="34"/>
      <c r="CA230" s="34"/>
      <c r="CB230" s="34"/>
      <c r="CC230" s="34"/>
      <c r="CD230" s="34"/>
      <c r="CE230" s="34"/>
      <c r="CF230" s="34"/>
      <c r="CG230" s="34"/>
      <c r="CH230" s="34"/>
      <c r="CM230" s="34"/>
      <c r="CN230" s="34"/>
      <c r="CP230" s="5138" t="s">
        <v>199</v>
      </c>
      <c r="CQ230" s="5138"/>
      <c r="CR230" s="5138"/>
      <c r="CS230" s="5138"/>
      <c r="CT230" s="87"/>
      <c r="CU230" s="86" t="s">
        <v>198</v>
      </c>
      <c r="CV230" s="25"/>
      <c r="CW230" s="25"/>
      <c r="CX230" s="25"/>
      <c r="CY230" s="25"/>
      <c r="CZ230" s="25"/>
      <c r="DA230" s="25"/>
      <c r="DB230" s="25"/>
      <c r="DC230" s="25"/>
      <c r="DD230" s="25"/>
      <c r="DE230" s="25"/>
      <c r="DF230" s="25"/>
      <c r="DG230" s="25"/>
      <c r="DH230" s="85" t="s">
        <v>197</v>
      </c>
      <c r="DI230" s="25"/>
      <c r="DJ230" s="25"/>
      <c r="DK230" s="25"/>
      <c r="DL230" s="25"/>
      <c r="DM230" s="25"/>
      <c r="DN230" s="25"/>
      <c r="DO230" s="25"/>
      <c r="DP230" s="25"/>
      <c r="DQ230" s="25"/>
      <c r="DS230" s="83" t="s">
        <v>196</v>
      </c>
      <c r="DT230" s="25"/>
      <c r="DU230" s="25"/>
      <c r="DV230" s="5142" t="s">
        <v>129</v>
      </c>
      <c r="DW230" s="5142"/>
      <c r="DX230" s="25"/>
      <c r="DY230" s="25"/>
      <c r="DZ230" s="5143" t="s">
        <v>193</v>
      </c>
      <c r="EA230" s="5143"/>
      <c r="EB230" s="5143"/>
      <c r="EC230" s="5143"/>
      <c r="ED230" s="5143"/>
      <c r="EE230" s="5143"/>
      <c r="EF230" s="5143"/>
      <c r="EG230" s="5143"/>
      <c r="EH230" s="84"/>
      <c r="EI230" s="84"/>
      <c r="EJ230" s="84"/>
      <c r="EK230" s="5143" t="s">
        <v>195</v>
      </c>
      <c r="EL230" s="5143"/>
      <c r="EM230" s="5143"/>
      <c r="EN230" s="5143"/>
      <c r="EO230" s="5143"/>
      <c r="EP230" s="5143"/>
      <c r="EQ230" s="5143"/>
      <c r="ES230" s="83" t="s">
        <v>194</v>
      </c>
      <c r="ET230" s="82"/>
      <c r="EU230" s="81"/>
      <c r="EV230" s="5142" t="s">
        <v>129</v>
      </c>
      <c r="EW230" s="5142"/>
      <c r="EX230" s="81"/>
      <c r="EY230" s="81"/>
      <c r="EZ230" s="80"/>
      <c r="FA230" s="5142" t="s">
        <v>193</v>
      </c>
      <c r="FB230" s="5142"/>
      <c r="FC230" s="5142"/>
      <c r="FD230" s="5142"/>
      <c r="FE230" s="5142"/>
      <c r="FF230" s="5142"/>
      <c r="FG230" s="5142"/>
      <c r="FH230" s="80"/>
      <c r="FI230" s="80"/>
      <c r="FJ230" s="80"/>
      <c r="FK230" s="25"/>
      <c r="FL230" s="25"/>
      <c r="FM230" s="25"/>
      <c r="FN230" s="25"/>
      <c r="FO230" s="5142" t="s">
        <v>127</v>
      </c>
      <c r="FP230" s="5142"/>
      <c r="FQ230" s="5142"/>
      <c r="FR230" s="80"/>
      <c r="FS230" s="80"/>
      <c r="FT230" s="80"/>
      <c r="FU230" s="25"/>
      <c r="FV230" s="25"/>
      <c r="FW230" s="25"/>
      <c r="FX230" s="25"/>
      <c r="FY230" s="5142" t="s">
        <v>126</v>
      </c>
      <c r="FZ230" s="5142"/>
      <c r="GA230" s="5142"/>
      <c r="GB230" s="25"/>
      <c r="GC230" s="79" t="s">
        <v>192</v>
      </c>
      <c r="GD230" s="25"/>
      <c r="GE230" s="25"/>
      <c r="GF230" s="25"/>
      <c r="GG230" s="25"/>
      <c r="GH230" s="25"/>
      <c r="GI230" s="61" t="s">
        <v>189</v>
      </c>
      <c r="GJ230" s="25"/>
      <c r="GK230" s="25"/>
      <c r="GL230" s="25"/>
      <c r="GM230" s="25"/>
      <c r="GN230" s="25"/>
      <c r="GO230" s="25"/>
      <c r="GP230" s="25"/>
      <c r="GQ230" s="25"/>
      <c r="GR230" s="25"/>
      <c r="GS230" s="25"/>
      <c r="GT230" s="25"/>
      <c r="GU230" s="25"/>
      <c r="GV230" s="25"/>
      <c r="GW230" s="25"/>
      <c r="GX230" s="25"/>
      <c r="GY230" s="25"/>
      <c r="GZ230" s="25"/>
      <c r="HA230" s="25"/>
      <c r="HB230" s="25"/>
      <c r="HC230" s="25"/>
      <c r="HD230" s="25"/>
      <c r="HE230" s="5129" t="s">
        <v>25</v>
      </c>
      <c r="HF230" s="5129"/>
      <c r="HH230" s="61" t="s">
        <v>189</v>
      </c>
      <c r="HI230" s="25"/>
      <c r="HJ230" s="25"/>
      <c r="HK230" s="25"/>
      <c r="HL230" s="25"/>
      <c r="HM230" s="25"/>
      <c r="HN230" s="25"/>
      <c r="HO230" s="25"/>
      <c r="HP230" s="25"/>
      <c r="HQ230" s="25"/>
      <c r="HR230" s="25"/>
      <c r="HS230" s="25"/>
      <c r="HT230" s="25"/>
      <c r="HU230" s="25"/>
      <c r="HV230" s="25"/>
      <c r="HW230" s="25"/>
      <c r="HX230" s="25"/>
      <c r="HY230" s="25"/>
      <c r="HZ230" s="25"/>
      <c r="IA230" s="25"/>
      <c r="IB230" s="25"/>
      <c r="IC230" s="25"/>
      <c r="ID230" s="5129" t="s">
        <v>191</v>
      </c>
      <c r="IE230" s="5129"/>
      <c r="IF230" s="34"/>
      <c r="IG230" s="34"/>
      <c r="IH230" s="34"/>
      <c r="II230" s="34"/>
      <c r="IV230" s="21"/>
    </row>
    <row r="231" spans="1:256" s="24" customFormat="1" ht="8.1" customHeight="1" thickBot="1">
      <c r="A231" s="23"/>
      <c r="CT231" s="76"/>
      <c r="CU231" s="25"/>
      <c r="CV231" s="25"/>
      <c r="CW231" s="25"/>
      <c r="CX231" s="25"/>
      <c r="CY231" s="25"/>
      <c r="CZ231" s="25"/>
      <c r="DA231" s="25"/>
      <c r="DB231" s="25"/>
      <c r="DC231" s="25"/>
      <c r="DD231" s="25"/>
      <c r="DE231" s="25"/>
      <c r="DF231" s="25"/>
      <c r="DG231" s="25"/>
      <c r="DH231" s="25"/>
      <c r="DI231" s="25"/>
      <c r="DJ231" s="25"/>
      <c r="DK231" s="25"/>
      <c r="DL231" s="25"/>
      <c r="DM231" s="25"/>
      <c r="DN231" s="25"/>
      <c r="DO231" s="25"/>
      <c r="DP231" s="25"/>
      <c r="DQ231" s="25"/>
      <c r="DS231" s="25"/>
      <c r="DT231" s="25"/>
      <c r="DU231" s="25"/>
      <c r="DV231" s="25"/>
      <c r="DW231" s="25"/>
      <c r="DX231" s="25"/>
      <c r="DY231" s="25"/>
      <c r="DZ231" s="25"/>
      <c r="EA231" s="25"/>
      <c r="EB231" s="25"/>
      <c r="EC231" s="25"/>
      <c r="ED231" s="25"/>
      <c r="EE231" s="25"/>
      <c r="EF231" s="25"/>
      <c r="EG231" s="25"/>
      <c r="EH231" s="25"/>
      <c r="EI231" s="25"/>
      <c r="EJ231" s="25"/>
      <c r="EK231" s="25"/>
      <c r="EL231" s="25"/>
      <c r="EM231" s="25"/>
      <c r="EN231" s="25"/>
      <c r="EO231" s="25"/>
      <c r="EP231" s="25"/>
      <c r="EQ231" s="25"/>
      <c r="ES231" s="25"/>
      <c r="ET231" s="25"/>
      <c r="EU231" s="25"/>
      <c r="EV231" s="25"/>
      <c r="EW231" s="25"/>
      <c r="EX231" s="25"/>
      <c r="EY231" s="25"/>
      <c r="EZ231" s="25"/>
      <c r="FA231" s="25"/>
      <c r="FB231" s="25"/>
      <c r="FC231" s="25"/>
      <c r="FD231" s="25"/>
      <c r="FE231" s="25"/>
      <c r="FF231" s="25"/>
      <c r="FG231" s="25"/>
      <c r="FH231" s="25"/>
      <c r="FI231" s="25"/>
      <c r="FJ231" s="25"/>
      <c r="FK231" s="25"/>
      <c r="FL231" s="25"/>
      <c r="FM231" s="25"/>
      <c r="FN231" s="25"/>
      <c r="FO231" s="25"/>
      <c r="FP231" s="25"/>
      <c r="FQ231" s="25"/>
      <c r="FR231" s="25"/>
      <c r="FS231" s="25"/>
      <c r="FT231" s="25"/>
      <c r="FU231" s="25"/>
      <c r="FV231" s="25"/>
      <c r="FW231" s="25"/>
      <c r="FX231" s="25"/>
      <c r="FY231" s="25"/>
      <c r="FZ231" s="25"/>
      <c r="GA231" s="25"/>
      <c r="GB231" s="25"/>
      <c r="GC231" s="25"/>
      <c r="GD231" s="25"/>
      <c r="GE231" s="25"/>
      <c r="GF231" s="25"/>
      <c r="GG231" s="25"/>
      <c r="GH231" s="25"/>
      <c r="GI231" s="25"/>
      <c r="GJ231" s="25"/>
      <c r="GK231" s="25"/>
      <c r="GL231" s="25"/>
      <c r="GM231" s="25"/>
      <c r="GN231" s="25"/>
      <c r="GO231" s="25"/>
      <c r="GP231" s="25"/>
      <c r="GQ231" s="25"/>
      <c r="GR231" s="25"/>
      <c r="GS231" s="25"/>
      <c r="GT231" s="25"/>
      <c r="GU231" s="25"/>
      <c r="GV231" s="25"/>
      <c r="GW231" s="25"/>
      <c r="GX231" s="25"/>
      <c r="GY231" s="25"/>
      <c r="GZ231" s="25"/>
      <c r="HA231" s="25"/>
      <c r="HB231" s="25"/>
      <c r="HC231" s="25"/>
      <c r="HD231" s="25"/>
      <c r="HE231" s="25"/>
      <c r="HF231" s="25"/>
      <c r="HH231" s="25"/>
      <c r="HI231" s="25"/>
      <c r="HJ231" s="25"/>
      <c r="HK231" s="25"/>
      <c r="HL231" s="25"/>
      <c r="HM231" s="25"/>
      <c r="HN231" s="25"/>
      <c r="HO231" s="25"/>
      <c r="HP231" s="25"/>
      <c r="HQ231" s="25"/>
      <c r="HR231" s="25"/>
      <c r="HS231" s="25"/>
      <c r="HT231" s="25"/>
      <c r="HU231" s="25"/>
      <c r="HV231" s="25"/>
      <c r="HW231" s="25"/>
      <c r="HX231" s="25"/>
      <c r="HY231" s="25"/>
      <c r="HZ231" s="25"/>
      <c r="IA231" s="25"/>
      <c r="IB231" s="25"/>
      <c r="IC231" s="25"/>
      <c r="ID231" s="25"/>
      <c r="IE231" s="25"/>
      <c r="IF231" s="34"/>
      <c r="IG231" s="34"/>
      <c r="IH231" s="34"/>
      <c r="II231" s="34"/>
      <c r="IJ231" s="78"/>
      <c r="IK231" s="78"/>
      <c r="IL231" s="78"/>
      <c r="IM231" s="78"/>
      <c r="IN231" s="78"/>
      <c r="IO231" s="78"/>
      <c r="IP231" s="77"/>
      <c r="IQ231" s="77"/>
      <c r="IR231" s="77"/>
      <c r="IS231" s="77"/>
      <c r="IT231" s="77"/>
      <c r="IV231" s="21"/>
    </row>
    <row r="232" spans="1:256" s="24" customFormat="1" ht="14.1" customHeight="1" thickBot="1">
      <c r="A232" s="35">
        <v>16</v>
      </c>
      <c r="B232" s="33">
        <f>'الصفحة 34'!$J$47</f>
        <v>0</v>
      </c>
      <c r="C232" s="31">
        <f>'الصفحة 34'!$K$47</f>
        <v>0</v>
      </c>
      <c r="D232" s="30">
        <f>'الصفحة 34'!$J$48</f>
        <v>0</v>
      </c>
      <c r="E232" s="31">
        <f>'الصفحة 34'!$K$48</f>
        <v>0</v>
      </c>
      <c r="F232" s="30">
        <f>'الصفحة 34'!$J$49</f>
        <v>0</v>
      </c>
      <c r="G232" s="31">
        <f>'الصفحة 34'!$K$49</f>
        <v>0</v>
      </c>
      <c r="H232" s="30">
        <f>'الصفحة 34'!$J$50</f>
        <v>0</v>
      </c>
      <c r="I232" s="31">
        <f>'الصفحة 34'!$K$50</f>
        <v>0</v>
      </c>
      <c r="J232" s="30">
        <f>'الصفحة 34'!$J$51</f>
        <v>0</v>
      </c>
      <c r="K232" s="31">
        <f>'الصفحة 34'!$K$51</f>
        <v>0</v>
      </c>
      <c r="L232" s="30">
        <f>'الصفحة 34'!$J$52</f>
        <v>0</v>
      </c>
      <c r="M232" s="31">
        <f>'الصفحة 34'!$K$52</f>
        <v>0</v>
      </c>
      <c r="N232" s="30">
        <f>'الصفحة 34'!$J$53</f>
        <v>0</v>
      </c>
      <c r="O232" s="31">
        <f>'الصفحة 34'!$K$53</f>
        <v>0</v>
      </c>
      <c r="P232" s="30">
        <f>'الصفحة 34'!$J$54</f>
        <v>0</v>
      </c>
      <c r="Q232" s="31">
        <f>'الصفحة 34'!$K$54</f>
        <v>0</v>
      </c>
      <c r="R232" s="30">
        <f>'الصفحة 34'!$J$55</f>
        <v>0</v>
      </c>
      <c r="S232" s="31">
        <f>'الصفحة 34'!$K$55</f>
        <v>0</v>
      </c>
      <c r="T232" s="30">
        <f>'الصفحة 34'!$J$57</f>
        <v>0</v>
      </c>
      <c r="U232" s="31">
        <f>'الصفحة 34'!$K$57</f>
        <v>0</v>
      </c>
      <c r="V232" s="30">
        <f>'الصفحة 34'!$J$58</f>
        <v>0</v>
      </c>
      <c r="W232" s="31">
        <f>'الصفحة 34'!$K$58</f>
        <v>0</v>
      </c>
      <c r="X232" s="30">
        <f>'الصفحة 34'!$J$60</f>
        <v>0</v>
      </c>
      <c r="Y232" s="29">
        <f>'الصفحة 34'!$K$60</f>
        <v>0</v>
      </c>
      <c r="Z232" s="34"/>
      <c r="AA232" s="33">
        <f>'الصفحة 34'!$J$61</f>
        <v>0</v>
      </c>
      <c r="AB232" s="31">
        <f>'الصفحة 34'!$K$61</f>
        <v>0</v>
      </c>
      <c r="AC232" s="30">
        <f>'الصفحة 34'!$J$62</f>
        <v>0</v>
      </c>
      <c r="AD232" s="31">
        <f>'الصفحة 34'!$K$62</f>
        <v>0</v>
      </c>
      <c r="AE232" s="30">
        <f>'الصفحة 34'!$J$64</f>
        <v>0</v>
      </c>
      <c r="AF232" s="31">
        <f>'الصفحة 34'!$K$64</f>
        <v>0</v>
      </c>
      <c r="AG232" s="30">
        <f>'الصفحة 34'!$J$65</f>
        <v>0</v>
      </c>
      <c r="AH232" s="31">
        <f>'الصفحة 34'!$K$65</f>
        <v>0</v>
      </c>
      <c r="AI232" s="30">
        <f>'الصفحة 34'!$J$68</f>
        <v>0</v>
      </c>
      <c r="AJ232" s="31">
        <f>'الصفحة 34'!$K$68</f>
        <v>0</v>
      </c>
      <c r="AK232" s="30">
        <f>'الصفحة 34'!$J$69</f>
        <v>0</v>
      </c>
      <c r="AL232" s="31">
        <f>'الصفحة 34'!$K$69</f>
        <v>0</v>
      </c>
      <c r="AM232" s="30">
        <f>'الصفحة 34'!$J$70</f>
        <v>0</v>
      </c>
      <c r="AN232" s="31">
        <f>'الصفحة 34'!$K$70</f>
        <v>0</v>
      </c>
      <c r="AO232" s="30">
        <f>'الصفحة 34'!$J$71</f>
        <v>0</v>
      </c>
      <c r="AP232" s="31">
        <f>'الصفحة 34'!$K$71</f>
        <v>0</v>
      </c>
      <c r="AQ232" s="30">
        <f>'الصفحة 34'!$J$72</f>
        <v>0</v>
      </c>
      <c r="AR232" s="31">
        <f>'الصفحة 34'!$K$72</f>
        <v>0</v>
      </c>
      <c r="AS232" s="30">
        <f>'الصفحة 34'!$J$73</f>
        <v>0</v>
      </c>
      <c r="AT232" s="31">
        <f>'الصفحة 34'!$K$73</f>
        <v>0</v>
      </c>
      <c r="AU232" s="66">
        <f>'الصفحة 34'!$J$74</f>
        <v>0</v>
      </c>
      <c r="AV232" s="65">
        <f>'الصفحة 34'!$K$74</f>
        <v>0</v>
      </c>
      <c r="AW232" s="34"/>
      <c r="AX232" s="33">
        <f>'الصفحة 34'!$N$11</f>
        <v>0</v>
      </c>
      <c r="AY232" s="70">
        <f>'الصفحة 34'!$N$13</f>
        <v>0</v>
      </c>
      <c r="AZ232" s="70">
        <f>'الصفحة 34'!$N$14</f>
        <v>0</v>
      </c>
      <c r="BA232" s="70">
        <f>'الصفحة 34'!$N$15</f>
        <v>0</v>
      </c>
      <c r="BB232" s="70">
        <f>'الصفحة 34'!$N$16</f>
        <v>0</v>
      </c>
      <c r="BC232" s="70">
        <f>'الصفحة 34'!$N$18</f>
        <v>0</v>
      </c>
      <c r="BD232" s="70" t="e">
        <f>'الصفحة 34'!#REF!</f>
        <v>#REF!</v>
      </c>
      <c r="BE232" s="70">
        <f>'الصفحة 34'!$N$22</f>
        <v>0</v>
      </c>
      <c r="BF232" s="70">
        <f>'الصفحة 34'!$N$23</f>
        <v>0</v>
      </c>
      <c r="BG232" s="70">
        <f>'الصفحة 34'!$N$24</f>
        <v>0</v>
      </c>
      <c r="BH232" s="70">
        <f>'الصفحة 34'!$N$25</f>
        <v>0</v>
      </c>
      <c r="BI232" s="70">
        <f>'الصفحة 34'!$N$27</f>
        <v>0</v>
      </c>
      <c r="BJ232" s="70">
        <f>'الصفحة 34'!$N$28</f>
        <v>0</v>
      </c>
      <c r="BK232" s="70">
        <f>'الصفحة 34'!$N$29</f>
        <v>0</v>
      </c>
      <c r="BL232" s="70">
        <f>'الصفحة 34'!$N$31</f>
        <v>0</v>
      </c>
      <c r="BM232" s="70">
        <f>'الصفحة 34'!$N$32</f>
        <v>0</v>
      </c>
      <c r="BN232" s="70">
        <f>'الصفحة 34'!$N$33</f>
        <v>0</v>
      </c>
      <c r="BO232" s="70">
        <f>'الصفحة 34'!$N$34</f>
        <v>0</v>
      </c>
      <c r="BP232" s="70">
        <f>'الصفحة 34'!$N$38</f>
        <v>0</v>
      </c>
      <c r="BQ232" s="70">
        <f>'الصفحة 34'!$N$39</f>
        <v>0</v>
      </c>
      <c r="BR232" s="32">
        <f>'الصفحة 34'!$N$42</f>
        <v>0</v>
      </c>
      <c r="BS232" s="70">
        <f>'الصفحة 34'!$N$44</f>
        <v>0</v>
      </c>
      <c r="BT232" s="29">
        <f>'الصفحة 34'!$N$45</f>
        <v>0</v>
      </c>
      <c r="BV232" s="33">
        <f>'الصفحة 34'!$N$46</f>
        <v>0</v>
      </c>
      <c r="BW232" s="70">
        <f>'الصفحة 34'!$N$47</f>
        <v>0</v>
      </c>
      <c r="BX232" s="70">
        <f>'الصفحة 34'!$N$48</f>
        <v>0</v>
      </c>
      <c r="BY232" s="70">
        <f>'الصفحة 34'!$N$49</f>
        <v>0</v>
      </c>
      <c r="BZ232" s="70">
        <f>'الصفحة 34'!$N$50</f>
        <v>0</v>
      </c>
      <c r="CA232" s="70">
        <f>'الصفحة 34'!$N$51</f>
        <v>0</v>
      </c>
      <c r="CB232" s="70">
        <f>'الصفحة 34'!$N$52</f>
        <v>0</v>
      </c>
      <c r="CC232" s="70">
        <f>'الصفحة 34'!$N$53</f>
        <v>0</v>
      </c>
      <c r="CD232" s="70">
        <f>'الصفحة 34'!$N$54</f>
        <v>0</v>
      </c>
      <c r="CE232" s="70">
        <f>'الصفحة 34'!$N$55</f>
        <v>0</v>
      </c>
      <c r="CF232" s="70">
        <f>'الصفحة 34'!$N$57</f>
        <v>0</v>
      </c>
      <c r="CG232" s="70">
        <f>'الصفحة 34'!$N$58</f>
        <v>0</v>
      </c>
      <c r="CH232" s="70">
        <f>'الصفحة 34'!$N$60</f>
        <v>0</v>
      </c>
      <c r="CI232" s="70">
        <f>'الصفحة 34'!$N$61</f>
        <v>0</v>
      </c>
      <c r="CJ232" s="70">
        <f>'الصفحة 34'!$N$62</f>
        <v>0</v>
      </c>
      <c r="CK232" s="70">
        <f>'الصفحة 34'!$N$64</f>
        <v>2</v>
      </c>
      <c r="CL232" s="70">
        <f>'الصفحة 34'!$N$65</f>
        <v>0</v>
      </c>
      <c r="CM232" s="70">
        <f>'الصفحة 34'!$N$68</f>
        <v>0</v>
      </c>
      <c r="CN232" s="70">
        <f>'الصفحة 34'!$N$69</f>
        <v>0</v>
      </c>
      <c r="CO232" s="70">
        <f>'الصفحة 34'!$N$70</f>
        <v>0</v>
      </c>
      <c r="CP232" s="70">
        <f>'الصفحة 34'!$N$71</f>
        <v>0</v>
      </c>
      <c r="CQ232" s="70">
        <f>'الصفحة 34'!$N$72</f>
        <v>1</v>
      </c>
      <c r="CR232" s="70">
        <f>'الصفحة 34'!$N$73</f>
        <v>10</v>
      </c>
      <c r="CS232" s="69">
        <f>'الصفحة 34'!$N$74</f>
        <v>17</v>
      </c>
      <c r="CT232" s="76"/>
      <c r="CU232" s="33">
        <f>'الصفحة 13'!$I$13</f>
        <v>192</v>
      </c>
      <c r="CV232" s="32">
        <f>'الصفحة 13'!$J$13</f>
        <v>107</v>
      </c>
      <c r="CW232" s="30">
        <f>'الصفحة 13'!$I$14</f>
        <v>0</v>
      </c>
      <c r="CX232" s="32">
        <f>'الصفحة 13'!$J$14</f>
        <v>0</v>
      </c>
      <c r="CY232" s="30">
        <f>'الصفحة 13'!$K$13</f>
        <v>151</v>
      </c>
      <c r="CZ232" s="31">
        <f>'الصفحة 13'!$L$13</f>
        <v>78</v>
      </c>
      <c r="DA232" s="30">
        <f>'الصفحة 13'!$K$14</f>
        <v>0</v>
      </c>
      <c r="DB232" s="31">
        <f>'الصفحة 13'!$L$14</f>
        <v>0</v>
      </c>
      <c r="DC232" s="66">
        <f>'الصفحة 13'!$M$13</f>
        <v>96</v>
      </c>
      <c r="DD232" s="65">
        <f>'الصفحة 13'!$N$13</f>
        <v>60</v>
      </c>
      <c r="DE232" s="66">
        <f>'الصفحة 13'!$M$14</f>
        <v>0</v>
      </c>
      <c r="DF232" s="75">
        <f>'الصفحة 13'!$N$14</f>
        <v>0</v>
      </c>
      <c r="DG232" s="25"/>
      <c r="DH232" s="33">
        <f>'الصفحة 13'!$E$23</f>
        <v>96</v>
      </c>
      <c r="DI232" s="31">
        <f>'الصفحة 13'!$F$23</f>
        <v>60</v>
      </c>
      <c r="DJ232" s="30">
        <f>'الصفحة 13'!$G$23</f>
        <v>10</v>
      </c>
      <c r="DK232" s="31">
        <f>'الصفحة 13'!$H$23</f>
        <v>5</v>
      </c>
      <c r="DL232" s="66">
        <f>'الصفحة 13'!$I$23</f>
        <v>106</v>
      </c>
      <c r="DM232" s="65">
        <f>'الصفحة 13'!$J$23</f>
        <v>65</v>
      </c>
      <c r="DN232" s="30">
        <f>'الصفحة 13'!$K$23</f>
        <v>0</v>
      </c>
      <c r="DO232" s="31">
        <f>'الصفحة 13'!$L$23</f>
        <v>0</v>
      </c>
      <c r="DP232" s="30">
        <f>'الصفحة 13'!$M$23</f>
        <v>0</v>
      </c>
      <c r="DQ232" s="29">
        <f>'الصفحة 13'!$N$23</f>
        <v>0</v>
      </c>
      <c r="DS232" s="33">
        <f>'الصفحة 12'!$E$19</f>
        <v>0</v>
      </c>
      <c r="DT232" s="32">
        <f>'الصفحة 12'!$G$19</f>
        <v>0</v>
      </c>
      <c r="DU232" s="32">
        <f>'الصفحة 12'!$I$19</f>
        <v>0</v>
      </c>
      <c r="DV232" s="31">
        <f>'الصفحة 12'!$K$19</f>
        <v>0</v>
      </c>
      <c r="DW232" s="74">
        <f>SUM(DS232:DV232)</f>
        <v>0</v>
      </c>
      <c r="DX232" s="30">
        <f>'الصفحة 12'!$E$21</f>
        <v>0</v>
      </c>
      <c r="DY232" s="31">
        <f>'الصفحة 12'!$F$21</f>
        <v>0</v>
      </c>
      <c r="DZ232" s="30">
        <f>'الصفحة 12'!$G$21</f>
        <v>0</v>
      </c>
      <c r="EA232" s="31">
        <f>'الصفحة 12'!$H$21</f>
        <v>0</v>
      </c>
      <c r="EB232" s="30">
        <f>'الصفحة 12'!$I$21</f>
        <v>0</v>
      </c>
      <c r="EC232" s="31">
        <f>'الصفحة 12'!$J$21</f>
        <v>0</v>
      </c>
      <c r="ED232" s="30">
        <f>'الصفحة 12'!$K$21</f>
        <v>0</v>
      </c>
      <c r="EE232" s="31">
        <f>'الصفحة 12'!$L$21</f>
        <v>0</v>
      </c>
      <c r="EF232" s="73">
        <f>ED232+EB232+DZ232+DX232</f>
        <v>0</v>
      </c>
      <c r="EG232" s="72">
        <f>EE232+EC232+EA232+DY232</f>
        <v>0</v>
      </c>
      <c r="EH232" s="30">
        <f>'الصفحة 12'!$E$28</f>
        <v>0</v>
      </c>
      <c r="EI232" s="31">
        <f>'الصفحة 12'!$F$28</f>
        <v>0</v>
      </c>
      <c r="EJ232" s="30">
        <f>'الصفحة 12'!$G$28</f>
        <v>0</v>
      </c>
      <c r="EK232" s="31">
        <f>'الصفحة 12'!$H$28</f>
        <v>0</v>
      </c>
      <c r="EL232" s="30">
        <f>'الصفحة 12'!$I$28</f>
        <v>0</v>
      </c>
      <c r="EM232" s="31">
        <f>'الصفحة 12'!$J$28</f>
        <v>0</v>
      </c>
      <c r="EN232" s="30">
        <f>'الصفحة 12'!$K$28</f>
        <v>0</v>
      </c>
      <c r="EO232" s="31">
        <f>'الصفحة 12'!$L$28</f>
        <v>0</v>
      </c>
      <c r="EP232" s="73">
        <f>EN232+EL232+EJ232+EH232</f>
        <v>0</v>
      </c>
      <c r="EQ232" s="72">
        <f>EO232+EM232+EK232+EI232</f>
        <v>0</v>
      </c>
      <c r="ES232" s="33">
        <f>'الصفحة 12'!$E$37</f>
        <v>7</v>
      </c>
      <c r="ET232" s="32">
        <f>'الصفحة 12'!$G$37</f>
        <v>5</v>
      </c>
      <c r="EU232" s="32">
        <f>'الصفحة 12'!$I$37</f>
        <v>4</v>
      </c>
      <c r="EV232" s="31">
        <f>'الصفحة 12'!$K$37</f>
        <v>5</v>
      </c>
      <c r="EW232" s="69">
        <f>SUM(ES232:EV232)</f>
        <v>21</v>
      </c>
      <c r="EX232" s="30">
        <f>'الصفحة 12'!$E$39</f>
        <v>238</v>
      </c>
      <c r="EY232" s="31">
        <f>'الصفحة 12'!$F$39</f>
        <v>103</v>
      </c>
      <c r="EZ232" s="30">
        <f>'الصفحة 12'!$G$39</f>
        <v>173</v>
      </c>
      <c r="FA232" s="31">
        <f>'الصفحة 12'!$H$39</f>
        <v>85</v>
      </c>
      <c r="FB232" s="30">
        <f>'الصفحة 12'!$I$39</f>
        <v>164</v>
      </c>
      <c r="FC232" s="31">
        <f>'الصفحة 12'!$J$39</f>
        <v>96</v>
      </c>
      <c r="FD232" s="30">
        <f>'الصفحة 12'!$K$39</f>
        <v>163</v>
      </c>
      <c r="FE232" s="31">
        <f>'الصفحة 12'!$L$39</f>
        <v>75</v>
      </c>
      <c r="FF232" s="73">
        <f>FD232+FB232+EZ232+EX232</f>
        <v>738</v>
      </c>
      <c r="FG232" s="72">
        <f>FE232+FC232+FA232+EY232</f>
        <v>359</v>
      </c>
      <c r="FH232" s="30">
        <f>'الصفحة 12'!$E$40</f>
        <v>51</v>
      </c>
      <c r="FI232" s="31">
        <f>'الصفحة 12'!$F$40</f>
        <v>24</v>
      </c>
      <c r="FJ232" s="30">
        <f>'الصفحة 12'!$G$40</f>
        <v>42</v>
      </c>
      <c r="FK232" s="31">
        <f>'الصفحة 12'!$H$40</f>
        <v>20</v>
      </c>
      <c r="FL232" s="30">
        <f>'الصفحة 12'!$I$40</f>
        <v>31</v>
      </c>
      <c r="FM232" s="31">
        <f>'الصفحة 12'!$J$40</f>
        <v>13</v>
      </c>
      <c r="FN232" s="30">
        <f>'الصفحة 12'!$K$40</f>
        <v>10</v>
      </c>
      <c r="FO232" s="31">
        <f>'الصفحة 12'!$L$40</f>
        <v>4</v>
      </c>
      <c r="FP232" s="73">
        <f>FN232+FL232+FJ232+FH232</f>
        <v>134</v>
      </c>
      <c r="FQ232" s="72">
        <f>FO232+FM232+FK232+FI232</f>
        <v>61</v>
      </c>
      <c r="FR232" s="30">
        <f>'الصفحة 12'!$E$41</f>
        <v>0</v>
      </c>
      <c r="FS232" s="31">
        <f>'الصفحة 12'!$F$41</f>
        <v>0</v>
      </c>
      <c r="FT232" s="30">
        <f>'الصفحة 12'!$G$41</f>
        <v>0</v>
      </c>
      <c r="FU232" s="31">
        <f>'الصفحة 12'!$H$41</f>
        <v>0</v>
      </c>
      <c r="FV232" s="30">
        <f>'الصفحة 12'!$I$41</f>
        <v>0</v>
      </c>
      <c r="FW232" s="31">
        <f>'الصفحة 12'!$J$41</f>
        <v>0</v>
      </c>
      <c r="FX232" s="30">
        <f>'الصفحة 12'!$K$41</f>
        <v>0</v>
      </c>
      <c r="FY232" s="31">
        <f>'الصفحة 12'!$L$41</f>
        <v>0</v>
      </c>
      <c r="FZ232" s="73">
        <f>FX232+FV232+FT232+FR232</f>
        <v>0</v>
      </c>
      <c r="GA232" s="72">
        <f>FY232+FW232+FU232+FS232</f>
        <v>0</v>
      </c>
      <c r="GB232" s="25"/>
      <c r="GC232" s="71" t="e">
        <f>#REF!</f>
        <v>#REF!</v>
      </c>
      <c r="GD232" s="70" t="e">
        <f>#REF!</f>
        <v>#REF!</v>
      </c>
      <c r="GE232" s="70" t="e">
        <f>#REF!</f>
        <v>#REF!</v>
      </c>
      <c r="GF232" s="70" t="e">
        <f>#REF!</f>
        <v>#REF!</v>
      </c>
      <c r="GG232" s="69" t="e">
        <f>SUM(GC232:GF232)</f>
        <v>#REF!</v>
      </c>
      <c r="GH232" s="25"/>
      <c r="GI232" s="33" t="e">
        <f>#REF!</f>
        <v>#REF!</v>
      </c>
      <c r="GJ232" s="32" t="e">
        <f>#REF!</f>
        <v>#REF!</v>
      </c>
      <c r="GK232" s="30" t="e">
        <f>#REF!</f>
        <v>#REF!</v>
      </c>
      <c r="GL232" s="31" t="e">
        <f>#REF!</f>
        <v>#REF!</v>
      </c>
      <c r="GM232" s="58" t="e">
        <f>#REF!</f>
        <v>#REF!</v>
      </c>
      <c r="GN232" s="32" t="e">
        <f>#REF!</f>
        <v>#REF!</v>
      </c>
      <c r="GO232" s="30" t="e">
        <f>#REF!</f>
        <v>#REF!</v>
      </c>
      <c r="GP232" s="31" t="e">
        <f>#REF!</f>
        <v>#REF!</v>
      </c>
      <c r="GQ232" s="58" t="e">
        <f>#REF!</f>
        <v>#REF!</v>
      </c>
      <c r="GR232" s="32" t="e">
        <f>#REF!</f>
        <v>#REF!</v>
      </c>
      <c r="GS232" s="30" t="e">
        <f>#REF!</f>
        <v>#REF!</v>
      </c>
      <c r="GT232" s="31" t="e">
        <f>#REF!</f>
        <v>#REF!</v>
      </c>
      <c r="GU232" s="58" t="e">
        <f>#REF!</f>
        <v>#REF!</v>
      </c>
      <c r="GV232" s="32" t="e">
        <f>#REF!</f>
        <v>#REF!</v>
      </c>
      <c r="GW232" s="30" t="e">
        <f>#REF!</f>
        <v>#REF!</v>
      </c>
      <c r="GX232" s="31" t="e">
        <f>#REF!</f>
        <v>#REF!</v>
      </c>
      <c r="GY232" s="58" t="e">
        <f>#REF!</f>
        <v>#REF!</v>
      </c>
      <c r="GZ232" s="32" t="e">
        <f>#REF!</f>
        <v>#REF!</v>
      </c>
      <c r="HA232" s="30" t="e">
        <f>#REF!</f>
        <v>#REF!</v>
      </c>
      <c r="HB232" s="31" t="e">
        <f>#REF!</f>
        <v>#REF!</v>
      </c>
      <c r="HC232" s="57" t="e">
        <f>HA232+GY232+GW232+GU232+GS232+GQ232+GO232+GM232+GK232+GI232</f>
        <v>#REF!</v>
      </c>
      <c r="HD232" s="56" t="e">
        <f>HB232+GZ232+GX232+GV232+GT232+GR232+GP232+GN232+GL232+GJ232</f>
        <v>#REF!</v>
      </c>
      <c r="HE232" s="30" t="e">
        <f>#REF!</f>
        <v>#REF!</v>
      </c>
      <c r="HF232" s="29" t="e">
        <f>#REF!</f>
        <v>#REF!</v>
      </c>
      <c r="HH232" s="33" t="e">
        <f>#REF!</f>
        <v>#REF!</v>
      </c>
      <c r="HI232" s="32" t="e">
        <f>#REF!</f>
        <v>#REF!</v>
      </c>
      <c r="HJ232" s="30" t="e">
        <f>#REF!</f>
        <v>#REF!</v>
      </c>
      <c r="HK232" s="31" t="e">
        <f>#REF!</f>
        <v>#REF!</v>
      </c>
      <c r="HL232" s="58" t="e">
        <f>#REF!</f>
        <v>#REF!</v>
      </c>
      <c r="HM232" s="32" t="e">
        <f>#REF!</f>
        <v>#REF!</v>
      </c>
      <c r="HN232" s="30" t="e">
        <f>#REF!</f>
        <v>#REF!</v>
      </c>
      <c r="HO232" s="31" t="e">
        <f>#REF!</f>
        <v>#REF!</v>
      </c>
      <c r="HP232" s="58" t="e">
        <f>#REF!</f>
        <v>#REF!</v>
      </c>
      <c r="HQ232" s="32" t="e">
        <f>#REF!</f>
        <v>#REF!</v>
      </c>
      <c r="HR232" s="30" t="e">
        <f>#REF!</f>
        <v>#REF!</v>
      </c>
      <c r="HS232" s="31" t="e">
        <f>#REF!</f>
        <v>#REF!</v>
      </c>
      <c r="HT232" s="58" t="e">
        <f>#REF!</f>
        <v>#REF!</v>
      </c>
      <c r="HU232" s="32" t="e">
        <f>#REF!</f>
        <v>#REF!</v>
      </c>
      <c r="HV232" s="30" t="e">
        <f>#REF!</f>
        <v>#REF!</v>
      </c>
      <c r="HW232" s="31" t="e">
        <f>#REF!</f>
        <v>#REF!</v>
      </c>
      <c r="HX232" s="58" t="e">
        <f>#REF!</f>
        <v>#REF!</v>
      </c>
      <c r="HY232" s="32" t="e">
        <f>#REF!</f>
        <v>#REF!</v>
      </c>
      <c r="HZ232" s="30" t="e">
        <f>#REF!</f>
        <v>#REF!</v>
      </c>
      <c r="IA232" s="31" t="e">
        <f>#REF!</f>
        <v>#REF!</v>
      </c>
      <c r="IB232" s="68" t="e">
        <f>HZ232+HX232+HV232+HT232+HR232+HP232+HN232+HL232+HJ232+HH232</f>
        <v>#REF!</v>
      </c>
      <c r="IC232" s="67" t="e">
        <f>IA232+HY232+HW232+HU232+HS232+HQ232+HO232+HM232+HK232+HI232</f>
        <v>#REF!</v>
      </c>
      <c r="ID232" s="30" t="e">
        <f>#REF!</f>
        <v>#REF!</v>
      </c>
      <c r="IE232" s="29" t="e">
        <f>#REF!</f>
        <v>#REF!</v>
      </c>
      <c r="IF232" s="34"/>
      <c r="IG232" s="27"/>
      <c r="IH232" s="27"/>
      <c r="II232" s="27"/>
      <c r="IJ232" s="27"/>
      <c r="IK232" s="27"/>
      <c r="IL232" s="27"/>
      <c r="IM232" s="27"/>
      <c r="IN232" s="27"/>
      <c r="IO232" s="27"/>
      <c r="IP232" s="27"/>
      <c r="IQ232" s="27"/>
      <c r="IR232" s="27"/>
      <c r="IS232" s="27"/>
      <c r="IT232" s="27"/>
      <c r="IV232" s="21"/>
    </row>
    <row r="233" spans="1:256" s="24" customFormat="1" ht="12" customHeight="1" thickBot="1">
      <c r="A233" s="23"/>
      <c r="CU233" s="25"/>
      <c r="CV233" s="25"/>
      <c r="CW233" s="25"/>
      <c r="CX233" s="25"/>
      <c r="CY233" s="25"/>
      <c r="CZ233" s="25"/>
      <c r="DA233" s="25"/>
      <c r="DB233" s="25"/>
      <c r="DC233" s="25"/>
      <c r="DD233" s="25"/>
      <c r="DE233" s="25"/>
      <c r="DF233" s="25"/>
      <c r="DG233" s="25"/>
      <c r="DH233" s="33">
        <f>'الصفحة 13'!$E$24</f>
        <v>0</v>
      </c>
      <c r="DI233" s="31">
        <f>'الصفحة 13'!$F$24</f>
        <v>0</v>
      </c>
      <c r="DJ233" s="30">
        <f>'الصفحة 13'!$G$24</f>
        <v>0</v>
      </c>
      <c r="DK233" s="31">
        <f>'الصفحة 13'!$H$24</f>
        <v>0</v>
      </c>
      <c r="DL233" s="66">
        <f>'الصفحة 13'!$I$24</f>
        <v>0</v>
      </c>
      <c r="DM233" s="65">
        <f>'الصفحة 13'!$J$24</f>
        <v>0</v>
      </c>
      <c r="DN233" s="30">
        <f>'الصفحة 13'!$K$24</f>
        <v>0</v>
      </c>
      <c r="DO233" s="31">
        <f>'الصفحة 13'!$L$24</f>
        <v>0</v>
      </c>
      <c r="DP233" s="30">
        <f>'الصفحة 13'!$M$24</f>
        <v>0</v>
      </c>
      <c r="DQ233" s="29">
        <f>'الصفحة 13'!$N$24</f>
        <v>0</v>
      </c>
      <c r="DS233" s="25"/>
      <c r="DT233" s="25"/>
      <c r="DU233" s="25"/>
      <c r="DV233" s="25"/>
      <c r="DW233" s="25"/>
      <c r="DX233" s="25"/>
      <c r="DY233" s="25"/>
      <c r="DZ233" s="25"/>
      <c r="EA233" s="25"/>
      <c r="EB233" s="25"/>
      <c r="EC233" s="25"/>
      <c r="ED233" s="25"/>
      <c r="EE233" s="25"/>
      <c r="EF233" s="25"/>
      <c r="EG233" s="25"/>
      <c r="EH233" s="25"/>
      <c r="EI233" s="25"/>
      <c r="EJ233" s="25"/>
      <c r="EK233" s="25"/>
      <c r="EL233" s="25"/>
      <c r="EM233" s="25"/>
      <c r="EN233" s="25"/>
      <c r="EO233" s="25"/>
      <c r="EP233" s="25"/>
      <c r="EQ233" s="25"/>
      <c r="ES233" s="25"/>
      <c r="ET233" s="25"/>
      <c r="EU233" s="25"/>
      <c r="EV233" s="25"/>
      <c r="EW233" s="25"/>
      <c r="EX233" s="25"/>
      <c r="EY233" s="25"/>
      <c r="EZ233" s="25"/>
      <c r="FA233" s="25"/>
      <c r="FB233" s="25"/>
      <c r="FC233" s="25"/>
      <c r="FD233" s="25"/>
      <c r="FE233" s="25"/>
      <c r="FF233" s="25"/>
      <c r="FG233" s="25"/>
      <c r="FH233" s="25"/>
      <c r="FI233" s="25"/>
      <c r="FJ233" s="25"/>
      <c r="FK233" s="25"/>
      <c r="FL233" s="25"/>
      <c r="FM233" s="25"/>
      <c r="FN233" s="25"/>
      <c r="FO233" s="25"/>
      <c r="FP233" s="25"/>
      <c r="FQ233" s="25"/>
      <c r="FR233" s="25"/>
      <c r="FS233" s="25"/>
      <c r="FT233" s="25"/>
      <c r="FU233" s="25"/>
      <c r="FV233" s="25"/>
      <c r="FW233" s="25"/>
      <c r="FX233" s="25"/>
      <c r="FY233" s="25"/>
      <c r="FZ233" s="25"/>
      <c r="GA233" s="25"/>
      <c r="GB233" s="25"/>
      <c r="GC233" s="25"/>
      <c r="GD233" s="25"/>
      <c r="GE233" s="25"/>
      <c r="GF233" s="25"/>
      <c r="GG233" s="25"/>
      <c r="GH233" s="25"/>
      <c r="GI233" s="25"/>
      <c r="GJ233" s="25"/>
      <c r="GK233" s="25"/>
      <c r="GL233" s="25"/>
      <c r="GM233" s="25"/>
      <c r="GN233" s="25"/>
      <c r="GO233" s="25"/>
      <c r="GP233" s="25"/>
      <c r="GQ233" s="25"/>
      <c r="GR233" s="25"/>
      <c r="GS233" s="25"/>
      <c r="GT233" s="25"/>
      <c r="GU233" s="25"/>
      <c r="GV233" s="25"/>
      <c r="GW233" s="25"/>
      <c r="GX233" s="25"/>
      <c r="GY233" s="25"/>
      <c r="GZ233" s="25"/>
      <c r="HA233" s="25"/>
      <c r="HB233" s="25"/>
      <c r="HC233" s="25"/>
      <c r="HD233" s="25"/>
      <c r="HE233" s="25"/>
      <c r="HF233" s="25"/>
      <c r="HH233" s="25"/>
      <c r="HI233" s="25"/>
      <c r="HJ233" s="25"/>
      <c r="HK233" s="25"/>
      <c r="HL233" s="25"/>
      <c r="HM233" s="25"/>
      <c r="HN233" s="25"/>
      <c r="HO233" s="25"/>
      <c r="HP233" s="25"/>
      <c r="HQ233" s="25"/>
      <c r="HR233" s="25"/>
      <c r="HS233" s="25"/>
      <c r="HT233" s="25"/>
      <c r="HU233" s="25"/>
      <c r="HV233" s="25"/>
      <c r="HW233" s="25"/>
      <c r="HX233" s="25"/>
      <c r="HY233" s="25"/>
      <c r="HZ233" s="25"/>
      <c r="IA233" s="25"/>
      <c r="IB233" s="25"/>
      <c r="IC233" s="25"/>
      <c r="ID233" s="25"/>
      <c r="IE233" s="25"/>
      <c r="IJ233" s="64"/>
      <c r="IV233" s="21"/>
    </row>
    <row r="234" spans="1:256" s="21" customFormat="1" ht="6" customHeight="1">
      <c r="A234" s="23"/>
      <c r="B234" s="63"/>
      <c r="C234" s="63"/>
      <c r="D234" s="63"/>
      <c r="E234" s="63"/>
      <c r="F234" s="63"/>
      <c r="G234" s="63"/>
      <c r="H234" s="63"/>
      <c r="I234" s="63"/>
      <c r="J234" s="63"/>
      <c r="K234" s="63"/>
      <c r="L234" s="63"/>
      <c r="M234" s="63"/>
      <c r="N234" s="63"/>
      <c r="O234" s="63"/>
      <c r="P234" s="63"/>
      <c r="Q234" s="63"/>
      <c r="R234" s="63"/>
      <c r="S234" s="63"/>
      <c r="T234" s="63"/>
      <c r="U234" s="62"/>
      <c r="V234" s="62"/>
    </row>
    <row r="235" spans="1:256" s="25" customFormat="1" ht="15" customHeight="1">
      <c r="A235" s="23"/>
      <c r="B235" s="61" t="s">
        <v>189</v>
      </c>
      <c r="X235" s="5129" t="s">
        <v>190</v>
      </c>
      <c r="Y235" s="5129"/>
      <c r="AA235" s="61" t="s">
        <v>189</v>
      </c>
      <c r="AU235" s="5129" t="s">
        <v>188</v>
      </c>
      <c r="AV235" s="5129"/>
      <c r="AW235" s="5141" t="s">
        <v>187</v>
      </c>
      <c r="AX235" s="5141"/>
      <c r="AY235" s="27"/>
      <c r="AZ235" s="61" t="s">
        <v>186</v>
      </c>
      <c r="CG235" s="61" t="s">
        <v>185</v>
      </c>
      <c r="IV235" s="41"/>
    </row>
    <row r="236" spans="1:256" s="25" customFormat="1" ht="12" customHeight="1" thickBot="1">
      <c r="A236" s="23"/>
      <c r="AW236" s="60"/>
      <c r="AX236" s="60"/>
      <c r="AY236" s="27"/>
      <c r="AZ236" s="59" t="s">
        <v>184</v>
      </c>
      <c r="BD236" s="59" t="s">
        <v>183</v>
      </c>
      <c r="BH236" s="59" t="s">
        <v>182</v>
      </c>
      <c r="BL236" s="59" t="s">
        <v>181</v>
      </c>
      <c r="BP236" s="59" t="s">
        <v>180</v>
      </c>
      <c r="BT236" s="59" t="s">
        <v>179</v>
      </c>
      <c r="BV236" s="60"/>
      <c r="BW236" s="60"/>
      <c r="BX236" s="59" t="s">
        <v>178</v>
      </c>
      <c r="CB236" s="59" t="s">
        <v>177</v>
      </c>
      <c r="CG236" s="59" t="s">
        <v>176</v>
      </c>
      <c r="CK236" s="59" t="s">
        <v>175</v>
      </c>
      <c r="CO236" s="59" t="s">
        <v>174</v>
      </c>
      <c r="IV236" s="41"/>
    </row>
    <row r="237" spans="1:256" s="25" customFormat="1" ht="14.1" customHeight="1" thickBot="1">
      <c r="A237" s="35">
        <v>17</v>
      </c>
      <c r="B237" s="33" t="e">
        <f>#REF!</f>
        <v>#REF!</v>
      </c>
      <c r="C237" s="32" t="e">
        <f>#REF!</f>
        <v>#REF!</v>
      </c>
      <c r="D237" s="30" t="e">
        <f>#REF!</f>
        <v>#REF!</v>
      </c>
      <c r="E237" s="31" t="e">
        <f>#REF!</f>
        <v>#REF!</v>
      </c>
      <c r="F237" s="58" t="e">
        <f>#REF!</f>
        <v>#REF!</v>
      </c>
      <c r="G237" s="32" t="e">
        <f>#REF!</f>
        <v>#REF!</v>
      </c>
      <c r="H237" s="30" t="e">
        <f>#REF!</f>
        <v>#REF!</v>
      </c>
      <c r="I237" s="31" t="e">
        <f>#REF!</f>
        <v>#REF!</v>
      </c>
      <c r="J237" s="58" t="e">
        <f>#REF!</f>
        <v>#REF!</v>
      </c>
      <c r="K237" s="32" t="e">
        <f>#REF!</f>
        <v>#REF!</v>
      </c>
      <c r="L237" s="30" t="e">
        <f>#REF!</f>
        <v>#REF!</v>
      </c>
      <c r="M237" s="31" t="e">
        <f>#REF!</f>
        <v>#REF!</v>
      </c>
      <c r="N237" s="58" t="e">
        <f>#REF!</f>
        <v>#REF!</v>
      </c>
      <c r="O237" s="32" t="e">
        <f>#REF!</f>
        <v>#REF!</v>
      </c>
      <c r="P237" s="30" t="e">
        <f>#REF!</f>
        <v>#REF!</v>
      </c>
      <c r="Q237" s="31" t="e">
        <f>#REF!</f>
        <v>#REF!</v>
      </c>
      <c r="R237" s="58" t="e">
        <f>#REF!</f>
        <v>#REF!</v>
      </c>
      <c r="S237" s="32" t="e">
        <f>#REF!</f>
        <v>#REF!</v>
      </c>
      <c r="T237" s="30" t="e">
        <f>#REF!</f>
        <v>#REF!</v>
      </c>
      <c r="U237" s="31" t="e">
        <f>#REF!</f>
        <v>#REF!</v>
      </c>
      <c r="V237" s="57" t="e">
        <f>T237+R237+P237+N237+L237+J237+H237+F237+D237+B237</f>
        <v>#REF!</v>
      </c>
      <c r="W237" s="56" t="e">
        <f>U237+S237+Q237+O237+M237+K237+I237+G237+E237+C237</f>
        <v>#REF!</v>
      </c>
      <c r="X237" s="30" t="e">
        <f>#REF!</f>
        <v>#REF!</v>
      </c>
      <c r="Y237" s="29" t="e">
        <f>#REF!</f>
        <v>#REF!</v>
      </c>
      <c r="AA237" s="55" t="e">
        <f>#REF!</f>
        <v>#REF!</v>
      </c>
      <c r="AB237" s="53" t="e">
        <f>#REF!</f>
        <v>#REF!</v>
      </c>
      <c r="AC237" s="49" t="e">
        <f>#REF!</f>
        <v>#REF!</v>
      </c>
      <c r="AD237" s="52" t="e">
        <f>#REF!</f>
        <v>#REF!</v>
      </c>
      <c r="AE237" s="54" t="e">
        <f>#REF!</f>
        <v>#REF!</v>
      </c>
      <c r="AF237" s="53" t="e">
        <f>#REF!</f>
        <v>#REF!</v>
      </c>
      <c r="AG237" s="49" t="e">
        <f>#REF!</f>
        <v>#REF!</v>
      </c>
      <c r="AH237" s="52" t="e">
        <f>#REF!</f>
        <v>#REF!</v>
      </c>
      <c r="AI237" s="54" t="e">
        <f>#REF!</f>
        <v>#REF!</v>
      </c>
      <c r="AJ237" s="53" t="e">
        <f>#REF!</f>
        <v>#REF!</v>
      </c>
      <c r="AK237" s="49" t="e">
        <f>#REF!</f>
        <v>#REF!</v>
      </c>
      <c r="AL237" s="52" t="e">
        <f>#REF!</f>
        <v>#REF!</v>
      </c>
      <c r="AM237" s="54" t="e">
        <f>#REF!</f>
        <v>#REF!</v>
      </c>
      <c r="AN237" s="53" t="e">
        <f>#REF!</f>
        <v>#REF!</v>
      </c>
      <c r="AO237" s="49" t="e">
        <f>#REF!</f>
        <v>#REF!</v>
      </c>
      <c r="AP237" s="52" t="e">
        <f>#REF!</f>
        <v>#REF!</v>
      </c>
      <c r="AQ237" s="54" t="e">
        <f>#REF!</f>
        <v>#REF!</v>
      </c>
      <c r="AR237" s="53" t="e">
        <f>#REF!</f>
        <v>#REF!</v>
      </c>
      <c r="AS237" s="49" t="e">
        <f>#REF!</f>
        <v>#REF!</v>
      </c>
      <c r="AT237" s="52" t="e">
        <f>#REF!</f>
        <v>#REF!</v>
      </c>
      <c r="AU237" s="51" t="e">
        <f>AS237+AQ237+AO237+AM237+AK237+AI237+AG237+AE237+AC237+AA237</f>
        <v>#REF!</v>
      </c>
      <c r="AV237" s="50" t="e">
        <f>AT237+AR237+AP237+AN237+AL237+AJ237+AH237+AF237+AD237+AB237</f>
        <v>#REF!</v>
      </c>
      <c r="AW237" s="49" t="e">
        <f>#REF!</f>
        <v>#REF!</v>
      </c>
      <c r="AX237" s="48" t="e">
        <f>#REF!</f>
        <v>#REF!</v>
      </c>
      <c r="AY237" s="27"/>
      <c r="AZ237" s="5135">
        <f>'الصفحة 4'!$E$49</f>
        <v>0</v>
      </c>
      <c r="BA237" s="5136"/>
      <c r="BB237" s="5136"/>
      <c r="BC237" s="5137"/>
      <c r="BD237" s="5135">
        <f>'الصفحة 4'!$E$50</f>
        <v>0</v>
      </c>
      <c r="BE237" s="5136"/>
      <c r="BF237" s="5136"/>
      <c r="BG237" s="5137"/>
      <c r="BH237" s="5135">
        <f>'الصفحة 4'!$E$51</f>
        <v>0</v>
      </c>
      <c r="BI237" s="5136"/>
      <c r="BJ237" s="5136"/>
      <c r="BK237" s="5137"/>
      <c r="BL237" s="5135">
        <f>'الصفحة 4'!$E$52</f>
        <v>0</v>
      </c>
      <c r="BM237" s="5136"/>
      <c r="BN237" s="5136"/>
      <c r="BO237" s="5137"/>
      <c r="BP237" s="5135">
        <f>'الصفحة 4'!$E$53</f>
        <v>0</v>
      </c>
      <c r="BQ237" s="5136"/>
      <c r="BR237" s="5136"/>
      <c r="BS237" s="5137"/>
      <c r="BT237" s="5135">
        <f>'الصفحة 4'!$E$54</f>
        <v>0</v>
      </c>
      <c r="BU237" s="5136"/>
      <c r="BV237" s="5136"/>
      <c r="BW237" s="5137"/>
      <c r="BX237" s="5135">
        <f>'الصفحة 4'!$E$55</f>
        <v>0</v>
      </c>
      <c r="BY237" s="5136"/>
      <c r="BZ237" s="5136"/>
      <c r="CA237" s="5137"/>
      <c r="CB237" s="5135">
        <f>'الصفحة 4'!$E$56</f>
        <v>0</v>
      </c>
      <c r="CC237" s="5136"/>
      <c r="CD237" s="5136"/>
      <c r="CE237" s="5137"/>
      <c r="CG237" s="5135">
        <f>'الصفحة 4'!$E$58</f>
        <v>0</v>
      </c>
      <c r="CH237" s="5136"/>
      <c r="CI237" s="5136"/>
      <c r="CJ237" s="5137"/>
      <c r="CK237" s="5135">
        <f>'الصفحة 4'!$E$59</f>
        <v>0</v>
      </c>
      <c r="CL237" s="5136"/>
      <c r="CM237" s="5136"/>
      <c r="CN237" s="5137"/>
      <c r="CO237" s="5135">
        <f>'الصفحة 4'!$E$60</f>
        <v>0</v>
      </c>
      <c r="CP237" s="5136"/>
      <c r="CQ237" s="5136"/>
      <c r="CR237" s="5137"/>
      <c r="CT237" s="27"/>
      <c r="CU237" s="27"/>
      <c r="CV237" s="27"/>
      <c r="CW237" s="27"/>
      <c r="CX237" s="27"/>
      <c r="CY237" s="27"/>
      <c r="CZ237" s="27"/>
      <c r="DA237" s="27"/>
      <c r="DB237" s="27"/>
      <c r="DC237" s="27"/>
      <c r="DD237" s="27"/>
      <c r="DE237" s="27"/>
      <c r="DF237" s="27"/>
      <c r="DG237" s="27"/>
      <c r="DH237" s="27"/>
      <c r="DI237" s="27"/>
      <c r="DJ237" s="27"/>
      <c r="DK237" s="27"/>
      <c r="DL237" s="27"/>
      <c r="DM237" s="27"/>
      <c r="DN237" s="27"/>
      <c r="DO237" s="27"/>
      <c r="DP237" s="27"/>
      <c r="DQ237" s="27"/>
      <c r="DR237" s="27"/>
      <c r="DS237" s="27"/>
      <c r="DT237" s="27"/>
      <c r="DU237" s="27"/>
      <c r="DV237" s="27"/>
      <c r="DW237" s="27"/>
      <c r="DX237" s="27"/>
      <c r="DY237" s="27"/>
      <c r="DZ237" s="27"/>
      <c r="EA237" s="27"/>
      <c r="EB237" s="27"/>
      <c r="EC237" s="27"/>
      <c r="ED237" s="27"/>
      <c r="EE237" s="27"/>
      <c r="EF237" s="27"/>
      <c r="EG237" s="27"/>
      <c r="EH237" s="27"/>
      <c r="EI237" s="27"/>
      <c r="EJ237" s="27"/>
      <c r="EK237" s="27"/>
      <c r="EL237" s="27"/>
      <c r="EM237" s="27"/>
      <c r="EN237" s="27"/>
      <c r="EO237" s="27"/>
      <c r="EP237" s="27"/>
      <c r="EQ237" s="27"/>
      <c r="ER237" s="27"/>
      <c r="ES237" s="27"/>
      <c r="ET237" s="27"/>
      <c r="EU237" s="27"/>
      <c r="EV237" s="27"/>
      <c r="EW237" s="27"/>
      <c r="EX237" s="27"/>
      <c r="EY237" s="27"/>
      <c r="EZ237" s="27"/>
      <c r="FA237" s="27"/>
      <c r="FB237" s="27"/>
      <c r="FC237" s="27"/>
      <c r="FD237" s="27"/>
      <c r="FE237" s="27"/>
      <c r="FF237" s="27"/>
      <c r="FG237" s="27"/>
      <c r="FH237" s="27"/>
      <c r="FI237" s="27"/>
      <c r="FJ237" s="27"/>
      <c r="FK237" s="27"/>
      <c r="FL237" s="27"/>
      <c r="FM237" s="27"/>
      <c r="FN237" s="27"/>
      <c r="FO237" s="27"/>
      <c r="FP237" s="27"/>
      <c r="FQ237" s="27"/>
      <c r="FR237" s="27"/>
      <c r="FS237" s="27"/>
      <c r="FT237" s="27"/>
      <c r="FU237" s="27"/>
      <c r="FV237" s="27"/>
      <c r="FW237" s="27"/>
      <c r="FX237" s="27"/>
      <c r="FY237" s="27"/>
      <c r="FZ237" s="27"/>
      <c r="GA237" s="27"/>
      <c r="GB237" s="27"/>
      <c r="GC237" s="27"/>
      <c r="GD237" s="27"/>
      <c r="GE237" s="27"/>
      <c r="GF237" s="27"/>
      <c r="GG237" s="27"/>
      <c r="GH237" s="27"/>
      <c r="GI237" s="27"/>
      <c r="GJ237" s="27"/>
      <c r="GK237" s="27"/>
      <c r="GL237" s="27"/>
      <c r="GM237" s="27"/>
      <c r="GN237" s="27"/>
      <c r="GO237" s="27"/>
      <c r="GP237" s="27"/>
      <c r="GQ237" s="27"/>
      <c r="GR237" s="27"/>
      <c r="GS237" s="27"/>
      <c r="GT237" s="27"/>
      <c r="GU237" s="27"/>
      <c r="GV237" s="27"/>
      <c r="GW237" s="27"/>
      <c r="GX237" s="27"/>
      <c r="GY237" s="27"/>
      <c r="GZ237" s="27"/>
      <c r="HA237" s="27"/>
      <c r="HB237" s="27"/>
      <c r="HC237" s="27"/>
      <c r="HD237" s="27"/>
      <c r="HE237" s="27"/>
      <c r="HF237" s="27"/>
      <c r="HG237" s="27"/>
      <c r="HH237" s="27"/>
      <c r="HI237" s="27"/>
      <c r="HJ237" s="27"/>
      <c r="HK237" s="27"/>
      <c r="HL237" s="27"/>
      <c r="HM237" s="27"/>
      <c r="HN237" s="27"/>
      <c r="HO237" s="27"/>
      <c r="HP237" s="27"/>
      <c r="HQ237" s="27"/>
      <c r="HR237" s="27"/>
      <c r="HS237" s="27"/>
      <c r="HT237" s="27"/>
      <c r="HU237" s="27"/>
      <c r="HV237" s="27"/>
      <c r="HW237" s="27"/>
      <c r="HX237" s="27"/>
      <c r="HY237" s="27"/>
      <c r="HZ237" s="27"/>
      <c r="IA237" s="27"/>
      <c r="IB237" s="27"/>
      <c r="IC237" s="27"/>
      <c r="ID237" s="27"/>
      <c r="IE237" s="27"/>
      <c r="IF237" s="27"/>
      <c r="IG237" s="27"/>
      <c r="IH237" s="27"/>
      <c r="II237" s="27"/>
      <c r="IJ237" s="27"/>
      <c r="IK237" s="27"/>
      <c r="IL237" s="27"/>
      <c r="IM237" s="27"/>
      <c r="IN237" s="27"/>
      <c r="IO237" s="27"/>
      <c r="IP237" s="27"/>
      <c r="IQ237" s="27"/>
      <c r="IR237" s="27"/>
      <c r="IS237" s="27"/>
      <c r="IT237" s="27"/>
      <c r="IV237" s="41"/>
    </row>
    <row r="238" spans="1:256" s="25" customFormat="1" ht="14.1" customHeight="1" thickBot="1">
      <c r="A238" s="47"/>
      <c r="AA238" s="46" t="e">
        <f>#REF!</f>
        <v>#REF!</v>
      </c>
      <c r="AB238" s="43" t="e">
        <f>#REF!</f>
        <v>#REF!</v>
      </c>
      <c r="AC238" s="43" t="e">
        <f>#REF!</f>
        <v>#REF!</v>
      </c>
      <c r="AD238" s="43" t="e">
        <f>#REF!</f>
        <v>#REF!</v>
      </c>
      <c r="AE238" s="43" t="e">
        <f>#REF!</f>
        <v>#REF!</v>
      </c>
      <c r="AF238" s="43" t="e">
        <f>#REF!</f>
        <v>#REF!</v>
      </c>
      <c r="AG238" s="43" t="e">
        <f>#REF!</f>
        <v>#REF!</v>
      </c>
      <c r="AH238" s="43" t="e">
        <f>#REF!</f>
        <v>#REF!</v>
      </c>
      <c r="AI238" s="43" t="e">
        <f>#REF!</f>
        <v>#REF!</v>
      </c>
      <c r="AJ238" s="43" t="e">
        <f>#REF!</f>
        <v>#REF!</v>
      </c>
      <c r="AK238" s="43" t="e">
        <f>#REF!</f>
        <v>#REF!</v>
      </c>
      <c r="AL238" s="43" t="e">
        <f>#REF!</f>
        <v>#REF!</v>
      </c>
      <c r="AM238" s="43" t="e">
        <f>#REF!</f>
        <v>#REF!</v>
      </c>
      <c r="AN238" s="43" t="e">
        <f>#REF!</f>
        <v>#REF!</v>
      </c>
      <c r="AO238" s="43" t="e">
        <f>#REF!</f>
        <v>#REF!</v>
      </c>
      <c r="AP238" s="43" t="e">
        <f>#REF!</f>
        <v>#REF!</v>
      </c>
      <c r="AQ238" s="43" t="e">
        <f>#REF!</f>
        <v>#REF!</v>
      </c>
      <c r="AR238" s="43" t="e">
        <f>#REF!</f>
        <v>#REF!</v>
      </c>
      <c r="AS238" s="43" t="e">
        <f>#REF!</f>
        <v>#REF!</v>
      </c>
      <c r="AT238" s="43" t="e">
        <f>#REF!</f>
        <v>#REF!</v>
      </c>
      <c r="AU238" s="45" t="e">
        <f>AS238+AQ238+AO238+AM238+AK238+AI238+AG238+AE238+AC238+AA238</f>
        <v>#REF!</v>
      </c>
      <c r="AV238" s="44" t="e">
        <f>AT238+AR238+AP238+AN238+AL238+AJ238+AH238+AF238+AD238+AB238</f>
        <v>#REF!</v>
      </c>
      <c r="AW238" s="43" t="e">
        <f>#REF!</f>
        <v>#REF!</v>
      </c>
      <c r="AX238" s="42" t="e">
        <f>#REF!</f>
        <v>#REF!</v>
      </c>
      <c r="AY238" s="27"/>
      <c r="IV238" s="41"/>
    </row>
    <row r="239" spans="1:256" s="21" customFormat="1" ht="6" customHeight="1">
      <c r="A239" s="23"/>
      <c r="B239" s="22"/>
      <c r="C239" s="22"/>
      <c r="D239" s="22"/>
      <c r="E239" s="22"/>
      <c r="F239" s="22"/>
      <c r="G239" s="22"/>
      <c r="H239" s="22"/>
      <c r="I239" s="22"/>
      <c r="J239" s="22"/>
      <c r="K239" s="22"/>
      <c r="L239" s="22"/>
      <c r="M239" s="22"/>
      <c r="N239" s="22"/>
      <c r="O239" s="22"/>
      <c r="P239" s="22"/>
      <c r="Q239" s="22"/>
      <c r="R239" s="22"/>
      <c r="S239" s="22"/>
      <c r="T239" s="22"/>
      <c r="U239" s="22"/>
      <c r="V239" s="22"/>
    </row>
    <row r="240" spans="1:256" s="24" customFormat="1" ht="15" customHeight="1">
      <c r="A240" s="23"/>
      <c r="B240" s="38" t="s">
        <v>171</v>
      </c>
      <c r="C240" s="34"/>
      <c r="D240" s="34"/>
      <c r="E240" s="34"/>
      <c r="F240" s="34"/>
      <c r="G240" s="34"/>
      <c r="H240" s="34"/>
      <c r="I240" s="34"/>
      <c r="J240" s="34"/>
      <c r="K240" s="34"/>
      <c r="L240" s="34"/>
      <c r="M240" s="34"/>
      <c r="N240" s="34"/>
      <c r="O240" s="34"/>
      <c r="P240" s="34"/>
      <c r="Q240" s="34"/>
      <c r="R240" s="34"/>
      <c r="S240" s="34"/>
      <c r="T240" s="34"/>
      <c r="U240" s="34"/>
      <c r="W240" s="5138" t="s">
        <v>173</v>
      </c>
      <c r="X240" s="5138"/>
      <c r="Y240" s="5138"/>
      <c r="Z240" s="34"/>
      <c r="AA240" s="38" t="s">
        <v>171</v>
      </c>
      <c r="AB240" s="34"/>
      <c r="AC240" s="34"/>
      <c r="AD240" s="34"/>
      <c r="AE240" s="34"/>
      <c r="AF240" s="34"/>
      <c r="AG240" s="34"/>
      <c r="AH240" s="34"/>
      <c r="AI240" s="34"/>
      <c r="AJ240" s="34"/>
      <c r="AK240" s="34"/>
      <c r="AL240" s="34"/>
      <c r="AM240" s="34"/>
      <c r="AN240" s="34"/>
      <c r="AO240" s="34"/>
      <c r="AP240" s="34"/>
      <c r="AQ240" s="34"/>
      <c r="AR240" s="34"/>
      <c r="AS240" s="34"/>
      <c r="AT240" s="34"/>
      <c r="AV240" s="5138" t="s">
        <v>114</v>
      </c>
      <c r="AW240" s="5138"/>
      <c r="AX240" s="5138"/>
      <c r="AZ240" s="38" t="s">
        <v>171</v>
      </c>
      <c r="BA240" s="34"/>
      <c r="BB240" s="34"/>
      <c r="BC240" s="34"/>
      <c r="BD240" s="34"/>
      <c r="BE240" s="34"/>
      <c r="BF240" s="34"/>
      <c r="BG240" s="34"/>
      <c r="BH240" s="34"/>
      <c r="BI240" s="34"/>
      <c r="BJ240" s="34"/>
      <c r="BK240" s="34"/>
      <c r="BL240" s="34"/>
      <c r="BM240" s="34"/>
      <c r="BN240" s="34"/>
      <c r="BO240" s="34"/>
      <c r="BP240" s="34"/>
      <c r="BQ240" s="34"/>
      <c r="BR240" s="34"/>
      <c r="BS240" s="34"/>
      <c r="BU240" s="5138" t="s">
        <v>113</v>
      </c>
      <c r="BV240" s="5138"/>
      <c r="BW240" s="5138"/>
      <c r="BX240" s="34"/>
      <c r="BY240" s="38" t="s">
        <v>171</v>
      </c>
      <c r="BZ240" s="34"/>
      <c r="CA240" s="34"/>
      <c r="CB240" s="34"/>
      <c r="CC240" s="34"/>
      <c r="CD240" s="34"/>
      <c r="CE240" s="34"/>
      <c r="CF240" s="34"/>
      <c r="CG240" s="34"/>
      <c r="CH240" s="34"/>
      <c r="CI240" s="34"/>
      <c r="CJ240" s="34"/>
      <c r="CK240" s="34"/>
      <c r="CL240" s="34"/>
      <c r="CM240" s="34"/>
      <c r="CN240" s="34"/>
      <c r="CO240" s="34"/>
      <c r="CP240" s="34"/>
      <c r="CQ240" s="34"/>
      <c r="CR240" s="34"/>
      <c r="CT240" s="5138" t="s">
        <v>112</v>
      </c>
      <c r="CU240" s="5138"/>
      <c r="CV240" s="5138"/>
      <c r="CW240" s="34"/>
      <c r="CX240" s="38" t="s">
        <v>171</v>
      </c>
      <c r="CY240" s="34"/>
      <c r="CZ240" s="34"/>
      <c r="DA240" s="34"/>
      <c r="DB240" s="34"/>
      <c r="DC240" s="34"/>
      <c r="DD240" s="34"/>
      <c r="DE240" s="34"/>
      <c r="DF240" s="34"/>
      <c r="DG240" s="34"/>
      <c r="DH240" s="34"/>
      <c r="DI240" s="34"/>
      <c r="DJ240" s="34"/>
      <c r="DK240" s="34"/>
      <c r="DL240" s="34"/>
      <c r="DM240" s="34"/>
      <c r="DN240" s="34"/>
      <c r="DO240" s="34"/>
      <c r="DP240" s="34"/>
      <c r="DQ240" s="34"/>
      <c r="DS240" s="5138" t="s">
        <v>111</v>
      </c>
      <c r="DT240" s="5138"/>
      <c r="DU240" s="5138"/>
      <c r="DV240" s="36"/>
      <c r="DW240" s="38" t="s">
        <v>171</v>
      </c>
      <c r="DX240" s="34"/>
      <c r="DY240" s="34"/>
      <c r="DZ240" s="34"/>
      <c r="EA240" s="34"/>
      <c r="EB240" s="34"/>
      <c r="EC240" s="34"/>
      <c r="ED240" s="34"/>
      <c r="EE240" s="34"/>
      <c r="EF240" s="34"/>
      <c r="EG240" s="34"/>
      <c r="EH240" s="34"/>
      <c r="EI240" s="34"/>
      <c r="EJ240" s="34"/>
      <c r="EK240" s="34"/>
      <c r="EL240" s="34"/>
      <c r="EM240" s="34"/>
      <c r="EN240" s="34"/>
      <c r="EO240" s="34"/>
      <c r="EP240" s="34"/>
      <c r="ER240" s="5138" t="s">
        <v>109</v>
      </c>
      <c r="ES240" s="5138"/>
      <c r="ET240" s="5138"/>
      <c r="EU240" s="36"/>
      <c r="EV240" s="38" t="s">
        <v>171</v>
      </c>
      <c r="EW240" s="34"/>
      <c r="EX240" s="34"/>
      <c r="EY240" s="34"/>
      <c r="EZ240" s="34"/>
      <c r="FA240" s="34"/>
      <c r="FB240" s="34"/>
      <c r="FC240" s="34"/>
      <c r="FD240" s="34"/>
      <c r="FE240" s="34"/>
      <c r="FF240" s="34"/>
      <c r="FG240" s="34"/>
      <c r="FH240" s="34"/>
      <c r="FI240" s="34"/>
      <c r="FJ240" s="34"/>
      <c r="FK240" s="34"/>
      <c r="FL240" s="34"/>
      <c r="FM240" s="34"/>
      <c r="FN240" s="34"/>
      <c r="FO240" s="34"/>
      <c r="FQ240" s="5138" t="s">
        <v>108</v>
      </c>
      <c r="FR240" s="5138"/>
      <c r="FS240" s="5138"/>
      <c r="FT240" s="36"/>
      <c r="FU240" s="38" t="s">
        <v>171</v>
      </c>
      <c r="FV240" s="34"/>
      <c r="FW240" s="34"/>
      <c r="FX240" s="34"/>
      <c r="FY240" s="34"/>
      <c r="FZ240" s="34"/>
      <c r="GA240" s="34"/>
      <c r="GB240" s="34"/>
      <c r="GC240" s="34"/>
      <c r="GD240" s="34"/>
      <c r="GE240" s="34"/>
      <c r="GF240" s="34"/>
      <c r="GG240" s="34"/>
      <c r="GH240" s="34"/>
      <c r="GI240" s="34"/>
      <c r="GJ240" s="34"/>
      <c r="GK240" s="34"/>
      <c r="GL240" s="34"/>
      <c r="GM240" s="34"/>
      <c r="GN240" s="34"/>
      <c r="GP240" s="5138" t="s">
        <v>107</v>
      </c>
      <c r="GQ240" s="5138"/>
      <c r="GR240" s="5138"/>
      <c r="GS240" s="36"/>
      <c r="GT240" s="38" t="s">
        <v>171</v>
      </c>
      <c r="GU240" s="34"/>
      <c r="GV240" s="34"/>
      <c r="GW240" s="34"/>
      <c r="GX240" s="34"/>
      <c r="GY240" s="34"/>
      <c r="GZ240" s="34"/>
      <c r="HA240" s="34"/>
      <c r="HB240" s="34"/>
      <c r="HC240" s="34"/>
      <c r="HD240" s="34"/>
      <c r="HE240" s="34"/>
      <c r="HF240" s="34"/>
      <c r="HG240" s="34"/>
      <c r="HH240" s="34"/>
      <c r="HI240" s="34"/>
      <c r="HJ240" s="34"/>
      <c r="HK240" s="34"/>
      <c r="HL240" s="34"/>
      <c r="HM240" s="34"/>
      <c r="HO240" s="5138" t="s">
        <v>106</v>
      </c>
      <c r="HP240" s="5138"/>
      <c r="HQ240" s="5138"/>
      <c r="HR240" s="36"/>
      <c r="HS240" s="38" t="s">
        <v>171</v>
      </c>
      <c r="HT240" s="34"/>
      <c r="HU240" s="34"/>
      <c r="HV240" s="34"/>
      <c r="HW240" s="34"/>
      <c r="HX240" s="34"/>
      <c r="HY240" s="34"/>
      <c r="HZ240" s="34"/>
      <c r="IA240" s="34"/>
      <c r="IB240" s="34"/>
      <c r="IC240" s="34"/>
      <c r="ID240" s="34"/>
      <c r="IE240" s="34"/>
      <c r="IF240" s="34"/>
      <c r="IG240" s="34"/>
      <c r="IH240" s="34"/>
      <c r="II240" s="34"/>
      <c r="IJ240" s="34"/>
      <c r="IK240" s="34"/>
      <c r="IL240" s="37" t="s">
        <v>105</v>
      </c>
      <c r="IM240" s="37"/>
      <c r="IN240" s="37"/>
      <c r="IO240" s="37"/>
      <c r="IP240" s="37"/>
      <c r="IV240" s="21"/>
    </row>
    <row r="241" spans="1:256" s="24" customFormat="1" ht="8.1" customHeight="1" thickBot="1">
      <c r="A241" s="23"/>
      <c r="CW241" s="26"/>
      <c r="DV241" s="26"/>
      <c r="EU241" s="26"/>
      <c r="FT241" s="26"/>
      <c r="GS241" s="26"/>
      <c r="HR241" s="26"/>
      <c r="IV241" s="21"/>
    </row>
    <row r="242" spans="1:256" s="24" customFormat="1" ht="14.1" customHeight="1" thickBot="1">
      <c r="A242" s="35">
        <v>18</v>
      </c>
      <c r="B242" s="33">
        <f>'الصفحة 35'!$E$11</f>
        <v>0</v>
      </c>
      <c r="C242" s="32">
        <f>'الصفحة 35'!$F$11</f>
        <v>0</v>
      </c>
      <c r="D242" s="30">
        <f>'الصفحة 35'!$G$11</f>
        <v>0</v>
      </c>
      <c r="E242" s="31">
        <f>'الصفحة 35'!$H$11</f>
        <v>0</v>
      </c>
      <c r="F242" s="30">
        <f>'الصفحة 35'!$I$11</f>
        <v>0</v>
      </c>
      <c r="G242" s="31">
        <f>'الصفحة 35'!$J$11</f>
        <v>0</v>
      </c>
      <c r="H242" s="30">
        <f>'الصفحة 35'!$K$11</f>
        <v>0</v>
      </c>
      <c r="I242" s="31">
        <f>'الصفحة 35'!$L$11</f>
        <v>0</v>
      </c>
      <c r="J242" s="30">
        <f>'الصفحة 35'!$M$11</f>
        <v>0</v>
      </c>
      <c r="K242" s="31">
        <f>'الصفحة 35'!$N$11</f>
        <v>0</v>
      </c>
      <c r="L242" s="30">
        <f>'الصفحة 35'!$O$11</f>
        <v>0</v>
      </c>
      <c r="M242" s="31">
        <f>'الصفحة 35'!$P$11</f>
        <v>0</v>
      </c>
      <c r="N242" s="30">
        <f>'الصفحة 36'!$E$11</f>
        <v>0</v>
      </c>
      <c r="O242" s="31">
        <f>'الصفحة 36'!$F$11</f>
        <v>0</v>
      </c>
      <c r="P242" s="30">
        <f>'الصفحة 36'!$G$11</f>
        <v>0</v>
      </c>
      <c r="Q242" s="31">
        <f>'الصفحة 36'!$H$11</f>
        <v>0</v>
      </c>
      <c r="R242" s="30">
        <f>'الصفحة 36'!$I$11</f>
        <v>1</v>
      </c>
      <c r="S242" s="31">
        <f>'الصفحة 36'!$J$11</f>
        <v>1</v>
      </c>
      <c r="T242" s="30">
        <f>'الصفحة 36'!$K$11</f>
        <v>0</v>
      </c>
      <c r="U242" s="31">
        <f>'الصفحة 36'!$L$11</f>
        <v>0</v>
      </c>
      <c r="V242" s="30">
        <f>'الصفحة 36'!$M$11</f>
        <v>0</v>
      </c>
      <c r="W242" s="31">
        <f>'الصفحة 36'!$N$11</f>
        <v>0</v>
      </c>
      <c r="X242" s="30">
        <f>'الصفحة 36'!$O$11</f>
        <v>1</v>
      </c>
      <c r="Y242" s="29">
        <f>'الصفحة 36'!$P$11</f>
        <v>1</v>
      </c>
      <c r="Z242" s="34"/>
      <c r="AA242" s="33">
        <f>'الصفحة 35'!$E$13</f>
        <v>0</v>
      </c>
      <c r="AB242" s="32">
        <f>'الصفحة 35'!$F$13</f>
        <v>0</v>
      </c>
      <c r="AC242" s="30">
        <f>'الصفحة 35'!$G$13</f>
        <v>0</v>
      </c>
      <c r="AD242" s="31">
        <f>'الصفحة 35'!$H$13</f>
        <v>0</v>
      </c>
      <c r="AE242" s="30">
        <f>'الصفحة 35'!$I$13</f>
        <v>0</v>
      </c>
      <c r="AF242" s="31">
        <f>'الصفحة 35'!$J$13</f>
        <v>0</v>
      </c>
      <c r="AG242" s="30">
        <f>'الصفحة 35'!$K$13</f>
        <v>0</v>
      </c>
      <c r="AH242" s="31">
        <f>'الصفحة 35'!$L$13</f>
        <v>0</v>
      </c>
      <c r="AI242" s="30">
        <f>'الصفحة 35'!$M$13</f>
        <v>0</v>
      </c>
      <c r="AJ242" s="31">
        <f>'الصفحة 35'!$N$13</f>
        <v>0</v>
      </c>
      <c r="AK242" s="30">
        <f>'الصفحة 35'!$O$13</f>
        <v>0</v>
      </c>
      <c r="AL242" s="31">
        <f>'الصفحة 35'!$P$13</f>
        <v>0</v>
      </c>
      <c r="AM242" s="30">
        <f>'الصفحة 36'!$E$13</f>
        <v>0</v>
      </c>
      <c r="AN242" s="31">
        <f>'الصفحة 36'!$F$13</f>
        <v>0</v>
      </c>
      <c r="AO242" s="30">
        <f>'الصفحة 36'!$G$13</f>
        <v>0</v>
      </c>
      <c r="AP242" s="31">
        <f>'الصفحة 36'!$H$13</f>
        <v>0</v>
      </c>
      <c r="AQ242" s="30">
        <f>'الصفحة 36'!$I$13</f>
        <v>0</v>
      </c>
      <c r="AR242" s="31">
        <f>'الصفحة 36'!$J$13</f>
        <v>0</v>
      </c>
      <c r="AS242" s="30">
        <f>'الصفحة 36'!$K$13</f>
        <v>0</v>
      </c>
      <c r="AT242" s="31">
        <f>'الصفحة 36'!$L$13</f>
        <v>0</v>
      </c>
      <c r="AU242" s="30">
        <f>'الصفحة 36'!$M$13</f>
        <v>0</v>
      </c>
      <c r="AV242" s="31">
        <f>'الصفحة 36'!$N$13</f>
        <v>0</v>
      </c>
      <c r="AW242" s="30">
        <f>'الصفحة 36'!$O$13</f>
        <v>0</v>
      </c>
      <c r="AX242" s="29">
        <f>'الصفحة 36'!$P$13</f>
        <v>0</v>
      </c>
      <c r="AZ242" s="33">
        <f>'الصفحة 35'!$E$14</f>
        <v>1</v>
      </c>
      <c r="BA242" s="32">
        <f>'الصفحة 35'!$F$14</f>
        <v>0</v>
      </c>
      <c r="BB242" s="30">
        <f>'الصفحة 35'!$G$14</f>
        <v>0</v>
      </c>
      <c r="BC242" s="31">
        <f>'الصفحة 35'!$H$14</f>
        <v>0</v>
      </c>
      <c r="BD242" s="30">
        <f>'الصفحة 35'!$I$14</f>
        <v>0</v>
      </c>
      <c r="BE242" s="31">
        <f>'الصفحة 35'!$J$14</f>
        <v>0</v>
      </c>
      <c r="BF242" s="30">
        <f>'الصفحة 35'!$K$14</f>
        <v>0</v>
      </c>
      <c r="BG242" s="31">
        <f>'الصفحة 35'!$L$14</f>
        <v>0</v>
      </c>
      <c r="BH242" s="30">
        <f>'الصفحة 35'!$M$14</f>
        <v>0</v>
      </c>
      <c r="BI242" s="31">
        <f>'الصفحة 35'!$N$14</f>
        <v>0</v>
      </c>
      <c r="BJ242" s="30">
        <f>'الصفحة 35'!$O$14</f>
        <v>0</v>
      </c>
      <c r="BK242" s="31">
        <f>'الصفحة 35'!$P$14</f>
        <v>0</v>
      </c>
      <c r="BL242" s="30">
        <f>'الصفحة 36'!$E$14</f>
        <v>0</v>
      </c>
      <c r="BM242" s="31">
        <f>'الصفحة 36'!$F$14</f>
        <v>0</v>
      </c>
      <c r="BN242" s="30">
        <f>'الصفحة 36'!$G$14</f>
        <v>0</v>
      </c>
      <c r="BO242" s="31">
        <f>'الصفحة 36'!$H$14</f>
        <v>0</v>
      </c>
      <c r="BP242" s="30">
        <f>'الصفحة 36'!$I$14</f>
        <v>0</v>
      </c>
      <c r="BQ242" s="31">
        <f>'الصفحة 36'!$J$14</f>
        <v>0</v>
      </c>
      <c r="BR242" s="30">
        <f>'الصفحة 36'!$K$14</f>
        <v>0</v>
      </c>
      <c r="BS242" s="31">
        <f>'الصفحة 36'!$L$14</f>
        <v>0</v>
      </c>
      <c r="BT242" s="30">
        <f>'الصفحة 36'!$M$14</f>
        <v>0</v>
      </c>
      <c r="BU242" s="31">
        <f>'الصفحة 36'!$N$14</f>
        <v>0</v>
      </c>
      <c r="BV242" s="30">
        <f>'الصفحة 36'!$O$14</f>
        <v>1</v>
      </c>
      <c r="BW242" s="29">
        <f>'الصفحة 36'!$P$14</f>
        <v>0</v>
      </c>
      <c r="BX242" s="34"/>
      <c r="BY242" s="33">
        <f>'الصفحة 35'!$E$15</f>
        <v>0</v>
      </c>
      <c r="BZ242" s="32">
        <f>'الصفحة 35'!$F$15</f>
        <v>0</v>
      </c>
      <c r="CA242" s="30">
        <f>'الصفحة 35'!$G$15</f>
        <v>0</v>
      </c>
      <c r="CB242" s="31">
        <f>'الصفحة 35'!$H$15</f>
        <v>0</v>
      </c>
      <c r="CC242" s="30">
        <f>'الصفحة 35'!$I$15</f>
        <v>0</v>
      </c>
      <c r="CD242" s="31">
        <f>'الصفحة 35'!$J$15</f>
        <v>0</v>
      </c>
      <c r="CE242" s="30">
        <f>'الصفحة 35'!$K$15</f>
        <v>0</v>
      </c>
      <c r="CF242" s="31">
        <f>'الصفحة 35'!$L$15</f>
        <v>0</v>
      </c>
      <c r="CG242" s="30">
        <f>'الصفحة 35'!$M$15</f>
        <v>0</v>
      </c>
      <c r="CH242" s="31">
        <f>'الصفحة 35'!$N$15</f>
        <v>0</v>
      </c>
      <c r="CI242" s="30">
        <f>'الصفحة 35'!$O$15</f>
        <v>0</v>
      </c>
      <c r="CJ242" s="31">
        <f>'الصفحة 35'!$P$15</f>
        <v>0</v>
      </c>
      <c r="CK242" s="30">
        <f>'الصفحة 36'!$E$15</f>
        <v>0</v>
      </c>
      <c r="CL242" s="31">
        <f>'الصفحة 36'!$F$15</f>
        <v>0</v>
      </c>
      <c r="CM242" s="30">
        <f>'الصفحة 36'!$G$15</f>
        <v>0</v>
      </c>
      <c r="CN242" s="31">
        <f>'الصفحة 36'!$H$15</f>
        <v>0</v>
      </c>
      <c r="CO242" s="30">
        <f>'الصفحة 36'!$I$15</f>
        <v>0</v>
      </c>
      <c r="CP242" s="31">
        <f>'الصفحة 36'!$J$15</f>
        <v>0</v>
      </c>
      <c r="CQ242" s="30">
        <f>'الصفحة 36'!$K$15</f>
        <v>0</v>
      </c>
      <c r="CR242" s="31">
        <f>'الصفحة 36'!$L$15</f>
        <v>0</v>
      </c>
      <c r="CS242" s="30">
        <f>'الصفحة 36'!$M$15</f>
        <v>0</v>
      </c>
      <c r="CT242" s="31">
        <f>'الصفحة 36'!$N$15</f>
        <v>0</v>
      </c>
      <c r="CU242" s="30">
        <f>'الصفحة 36'!$O$15</f>
        <v>0</v>
      </c>
      <c r="CV242" s="29">
        <f>'الصفحة 36'!$P$15</f>
        <v>0</v>
      </c>
      <c r="CW242" s="28"/>
      <c r="CX242" s="33">
        <f>'الصفحة 35'!$E$16</f>
        <v>0</v>
      </c>
      <c r="CY242" s="32">
        <f>'الصفحة 35'!$F$16</f>
        <v>0</v>
      </c>
      <c r="CZ242" s="30">
        <f>'الصفحة 35'!$G$16</f>
        <v>8</v>
      </c>
      <c r="DA242" s="31">
        <f>'الصفحة 35'!$H$16</f>
        <v>7</v>
      </c>
      <c r="DB242" s="30">
        <f>'الصفحة 35'!$I$16</f>
        <v>0</v>
      </c>
      <c r="DC242" s="31">
        <f>'الصفحة 35'!$J$16</f>
        <v>0</v>
      </c>
      <c r="DD242" s="30">
        <f>'الصفحة 35'!$K$16</f>
        <v>0</v>
      </c>
      <c r="DE242" s="31">
        <f>'الصفحة 35'!$L$16</f>
        <v>0</v>
      </c>
      <c r="DF242" s="30">
        <f>'الصفحة 35'!$M$16</f>
        <v>0</v>
      </c>
      <c r="DG242" s="31">
        <f>'الصفحة 35'!$N$16</f>
        <v>0</v>
      </c>
      <c r="DH242" s="30">
        <f>'الصفحة 35'!$O$16</f>
        <v>0</v>
      </c>
      <c r="DI242" s="31">
        <f>'الصفحة 35'!$P$16</f>
        <v>0</v>
      </c>
      <c r="DJ242" s="30">
        <f>'الصفحة 36'!$E$16</f>
        <v>0</v>
      </c>
      <c r="DK242" s="31">
        <f>'الصفحة 36'!$F$16</f>
        <v>0</v>
      </c>
      <c r="DL242" s="30">
        <f>'الصفحة 36'!$G$16</f>
        <v>0</v>
      </c>
      <c r="DM242" s="31">
        <f>'الصفحة 36'!$H$16</f>
        <v>0</v>
      </c>
      <c r="DN242" s="30">
        <f>'الصفحة 36'!$I$16</f>
        <v>0</v>
      </c>
      <c r="DO242" s="31">
        <f>'الصفحة 36'!$J$16</f>
        <v>0</v>
      </c>
      <c r="DP242" s="30">
        <f>'الصفحة 36'!$K$16</f>
        <v>0</v>
      </c>
      <c r="DQ242" s="31">
        <f>'الصفحة 36'!$L$16</f>
        <v>0</v>
      </c>
      <c r="DR242" s="30">
        <f>'الصفحة 36'!$M$16</f>
        <v>0</v>
      </c>
      <c r="DS242" s="31">
        <f>'الصفحة 36'!$N$16</f>
        <v>0</v>
      </c>
      <c r="DT242" s="30">
        <f>'الصفحة 36'!$O$16</f>
        <v>8</v>
      </c>
      <c r="DU242" s="29">
        <f>'الصفحة 36'!$P$16</f>
        <v>7</v>
      </c>
      <c r="DV242" s="28"/>
      <c r="DW242" s="33">
        <f>'الصفحة 35'!$E$18</f>
        <v>0</v>
      </c>
      <c r="DX242" s="32">
        <f>'الصفحة 35'!$F$18</f>
        <v>0</v>
      </c>
      <c r="DY242" s="30">
        <f>'الصفحة 35'!$G$18</f>
        <v>0</v>
      </c>
      <c r="DZ242" s="31">
        <f>'الصفحة 35'!$H$18</f>
        <v>0</v>
      </c>
      <c r="EA242" s="30">
        <f>'الصفحة 35'!$I$18</f>
        <v>0</v>
      </c>
      <c r="EB242" s="31">
        <f>'الصفحة 35'!$J$18</f>
        <v>0</v>
      </c>
      <c r="EC242" s="30">
        <f>'الصفحة 35'!$K$18</f>
        <v>0</v>
      </c>
      <c r="ED242" s="31">
        <f>'الصفحة 35'!$L$18</f>
        <v>0</v>
      </c>
      <c r="EE242" s="30">
        <f>'الصفحة 35'!$M$18</f>
        <v>0</v>
      </c>
      <c r="EF242" s="31">
        <f>'الصفحة 35'!$N$18</f>
        <v>0</v>
      </c>
      <c r="EG242" s="30">
        <f>'الصفحة 35'!$O$18</f>
        <v>0</v>
      </c>
      <c r="EH242" s="31">
        <f>'الصفحة 35'!$P$18</f>
        <v>0</v>
      </c>
      <c r="EI242" s="30">
        <f>'الصفحة 36'!$E$18</f>
        <v>0</v>
      </c>
      <c r="EJ242" s="31">
        <f>'الصفحة 36'!$F$18</f>
        <v>0</v>
      </c>
      <c r="EK242" s="30">
        <f>'الصفحة 36'!$G$18</f>
        <v>0</v>
      </c>
      <c r="EL242" s="31">
        <f>'الصفحة 36'!$H$18</f>
        <v>0</v>
      </c>
      <c r="EM242" s="30">
        <f>'الصفحة 36'!$I$18</f>
        <v>0</v>
      </c>
      <c r="EN242" s="31">
        <f>'الصفحة 36'!$J$18</f>
        <v>0</v>
      </c>
      <c r="EO242" s="30">
        <f>'الصفحة 36'!$K$18</f>
        <v>0</v>
      </c>
      <c r="EP242" s="31">
        <f>'الصفحة 36'!$L$18</f>
        <v>0</v>
      </c>
      <c r="EQ242" s="30">
        <f>'الصفحة 36'!$M$18</f>
        <v>0</v>
      </c>
      <c r="ER242" s="31">
        <f>'الصفحة 36'!$N$18</f>
        <v>0</v>
      </c>
      <c r="ES242" s="30">
        <f>'الصفحة 36'!$O$18</f>
        <v>0</v>
      </c>
      <c r="ET242" s="29">
        <f>'الصفحة 36'!$P$18</f>
        <v>0</v>
      </c>
      <c r="EU242" s="28"/>
      <c r="EV242" s="33" t="e">
        <f>'الصفحة 35'!#REF!</f>
        <v>#REF!</v>
      </c>
      <c r="EW242" s="32" t="e">
        <f>'الصفحة 35'!#REF!</f>
        <v>#REF!</v>
      </c>
      <c r="EX242" s="30" t="e">
        <f>'الصفحة 35'!#REF!</f>
        <v>#REF!</v>
      </c>
      <c r="EY242" s="31" t="e">
        <f>'الصفحة 35'!#REF!</f>
        <v>#REF!</v>
      </c>
      <c r="EZ242" s="30" t="e">
        <f>'الصفحة 35'!#REF!</f>
        <v>#REF!</v>
      </c>
      <c r="FA242" s="31" t="e">
        <f>'الصفحة 35'!#REF!</f>
        <v>#REF!</v>
      </c>
      <c r="FB242" s="30" t="e">
        <f>'الصفحة 35'!#REF!</f>
        <v>#REF!</v>
      </c>
      <c r="FC242" s="31" t="e">
        <f>'الصفحة 35'!#REF!</f>
        <v>#REF!</v>
      </c>
      <c r="FD242" s="30" t="e">
        <f>'الصفحة 35'!#REF!</f>
        <v>#REF!</v>
      </c>
      <c r="FE242" s="31" t="e">
        <f>'الصفحة 35'!#REF!</f>
        <v>#REF!</v>
      </c>
      <c r="FF242" s="30" t="e">
        <f>'الصفحة 35'!#REF!</f>
        <v>#REF!</v>
      </c>
      <c r="FG242" s="31" t="e">
        <f>'الصفحة 35'!#REF!</f>
        <v>#REF!</v>
      </c>
      <c r="FH242" s="30" t="e">
        <f>'الصفحة 36'!#REF!</f>
        <v>#REF!</v>
      </c>
      <c r="FI242" s="31" t="e">
        <f>'الصفحة 36'!#REF!</f>
        <v>#REF!</v>
      </c>
      <c r="FJ242" s="30" t="e">
        <f>'الصفحة 36'!#REF!</f>
        <v>#REF!</v>
      </c>
      <c r="FK242" s="31" t="e">
        <f>'الصفحة 36'!#REF!</f>
        <v>#REF!</v>
      </c>
      <c r="FL242" s="30" t="e">
        <f>'الصفحة 36'!#REF!</f>
        <v>#REF!</v>
      </c>
      <c r="FM242" s="31" t="e">
        <f>'الصفحة 36'!#REF!</f>
        <v>#REF!</v>
      </c>
      <c r="FN242" s="30" t="e">
        <f>'الصفحة 36'!#REF!</f>
        <v>#REF!</v>
      </c>
      <c r="FO242" s="31" t="e">
        <f>'الصفحة 36'!#REF!</f>
        <v>#REF!</v>
      </c>
      <c r="FP242" s="30" t="e">
        <f>'الصفحة 36'!#REF!</f>
        <v>#REF!</v>
      </c>
      <c r="FQ242" s="31" t="e">
        <f>'الصفحة 36'!#REF!</f>
        <v>#REF!</v>
      </c>
      <c r="FR242" s="30" t="e">
        <f>'الصفحة 36'!#REF!</f>
        <v>#REF!</v>
      </c>
      <c r="FS242" s="29" t="e">
        <f>'الصفحة 36'!#REF!</f>
        <v>#REF!</v>
      </c>
      <c r="FT242" s="28"/>
      <c r="FU242" s="33">
        <f>'الصفحة 35'!$E$22</f>
        <v>0</v>
      </c>
      <c r="FV242" s="32">
        <f>'الصفحة 35'!$F$22</f>
        <v>0</v>
      </c>
      <c r="FW242" s="30">
        <f>'الصفحة 35'!$G$22</f>
        <v>1</v>
      </c>
      <c r="FX242" s="31">
        <f>'الصفحة 35'!$H$22</f>
        <v>0</v>
      </c>
      <c r="FY242" s="30">
        <f>'الصفحة 35'!$I$22</f>
        <v>0</v>
      </c>
      <c r="FZ242" s="31">
        <f>'الصفحة 35'!$J$22</f>
        <v>0</v>
      </c>
      <c r="GA242" s="30">
        <f>'الصفحة 35'!$K$22</f>
        <v>0</v>
      </c>
      <c r="GB242" s="31">
        <f>'الصفحة 35'!$L$22</f>
        <v>0</v>
      </c>
      <c r="GC242" s="30">
        <f>'الصفحة 35'!$M$22</f>
        <v>0</v>
      </c>
      <c r="GD242" s="31">
        <f>'الصفحة 35'!$N$22</f>
        <v>0</v>
      </c>
      <c r="GE242" s="30">
        <f>'الصفحة 35'!$O$22</f>
        <v>0</v>
      </c>
      <c r="GF242" s="31">
        <f>'الصفحة 35'!$P$22</f>
        <v>0</v>
      </c>
      <c r="GG242" s="30">
        <f>'الصفحة 36'!$E$22</f>
        <v>0</v>
      </c>
      <c r="GH242" s="31">
        <f>'الصفحة 36'!$F$22</f>
        <v>0</v>
      </c>
      <c r="GI242" s="30">
        <f>'الصفحة 36'!$G$22</f>
        <v>0</v>
      </c>
      <c r="GJ242" s="31">
        <f>'الصفحة 36'!$H$22</f>
        <v>0</v>
      </c>
      <c r="GK242" s="30">
        <f>'الصفحة 36'!$I$22</f>
        <v>0</v>
      </c>
      <c r="GL242" s="31">
        <f>'الصفحة 36'!$J$22</f>
        <v>0</v>
      </c>
      <c r="GM242" s="30">
        <f>'الصفحة 36'!$K$22</f>
        <v>0</v>
      </c>
      <c r="GN242" s="31">
        <f>'الصفحة 36'!$L$22</f>
        <v>0</v>
      </c>
      <c r="GO242" s="30">
        <f>'الصفحة 36'!$M$22</f>
        <v>0</v>
      </c>
      <c r="GP242" s="31">
        <f>'الصفحة 36'!$N$22</f>
        <v>0</v>
      </c>
      <c r="GQ242" s="30">
        <f>'الصفحة 36'!$O$22</f>
        <v>1</v>
      </c>
      <c r="GR242" s="29">
        <f>'الصفحة 36'!$P$22</f>
        <v>0</v>
      </c>
      <c r="GS242" s="28"/>
      <c r="GT242" s="33">
        <f>'الصفحة 35'!$E$23</f>
        <v>0</v>
      </c>
      <c r="GU242" s="32">
        <f>'الصفحة 35'!$F$23</f>
        <v>0</v>
      </c>
      <c r="GV242" s="30">
        <f>'الصفحة 35'!$G$23</f>
        <v>0</v>
      </c>
      <c r="GW242" s="30">
        <f>'الصفحة 35'!$H$23</f>
        <v>0</v>
      </c>
      <c r="GX242" s="30">
        <f>'الصفحة 35'!$I$23</f>
        <v>0</v>
      </c>
      <c r="GY242" s="31">
        <f>'الصفحة 35'!$J$23</f>
        <v>0</v>
      </c>
      <c r="GZ242" s="30">
        <f>'الصفحة 35'!$K$23</f>
        <v>0</v>
      </c>
      <c r="HA242" s="31">
        <f>'الصفحة 35'!$L$23</f>
        <v>0</v>
      </c>
      <c r="HB242" s="30">
        <f>'الصفحة 35'!$M$23</f>
        <v>0</v>
      </c>
      <c r="HC242" s="31">
        <f>'الصفحة 35'!$N$23</f>
        <v>0</v>
      </c>
      <c r="HD242" s="30">
        <f>'الصفحة 35'!$O$23</f>
        <v>0</v>
      </c>
      <c r="HE242" s="31">
        <f>'الصفحة 35'!$P$23</f>
        <v>0</v>
      </c>
      <c r="HF242" s="30">
        <f>'الصفحة 36'!$E$23</f>
        <v>0</v>
      </c>
      <c r="HG242" s="31">
        <f>'الصفحة 36'!$F$23</f>
        <v>0</v>
      </c>
      <c r="HH242" s="30">
        <f>'الصفحة 36'!$G$23</f>
        <v>0</v>
      </c>
      <c r="HI242" s="31">
        <f>'الصفحة 36'!$H$23</f>
        <v>0</v>
      </c>
      <c r="HJ242" s="30">
        <f>'الصفحة 36'!$I$23</f>
        <v>0</v>
      </c>
      <c r="HK242" s="31">
        <f>'الصفحة 36'!$J$23</f>
        <v>0</v>
      </c>
      <c r="HL242" s="30">
        <f>'الصفحة 36'!$K$23</f>
        <v>0</v>
      </c>
      <c r="HM242" s="31">
        <f>'الصفحة 36'!$L$23</f>
        <v>0</v>
      </c>
      <c r="HN242" s="30">
        <f>'الصفحة 36'!$M$23</f>
        <v>0</v>
      </c>
      <c r="HO242" s="31">
        <f>'الصفحة 36'!$N$23</f>
        <v>0</v>
      </c>
      <c r="HP242" s="30">
        <f>'الصفحة 36'!$O$23</f>
        <v>0</v>
      </c>
      <c r="HQ242" s="29">
        <f>'الصفحة 36'!$P$23</f>
        <v>0</v>
      </c>
      <c r="HR242" s="28"/>
      <c r="HS242" s="33">
        <f>'الصفحة 35'!$E$24</f>
        <v>1</v>
      </c>
      <c r="HT242" s="32">
        <f>'الصفحة 35'!$F$24</f>
        <v>1</v>
      </c>
      <c r="HU242" s="30">
        <f>'الصفحة 35'!$G$24</f>
        <v>0</v>
      </c>
      <c r="HV242" s="30">
        <f>'الصفحة 35'!$H$24</f>
        <v>0</v>
      </c>
      <c r="HW242" s="30">
        <f>'الصفحة 35'!$I$24</f>
        <v>0</v>
      </c>
      <c r="HX242" s="31">
        <f>'الصفحة 35'!$J$24</f>
        <v>0</v>
      </c>
      <c r="HY242" s="30">
        <f>'الصفحة 35'!$K$24</f>
        <v>0</v>
      </c>
      <c r="HZ242" s="31">
        <f>'الصفحة 35'!$L$24</f>
        <v>0</v>
      </c>
      <c r="IA242" s="30">
        <f>'الصفحة 35'!$M$24</f>
        <v>0</v>
      </c>
      <c r="IB242" s="31">
        <f>'الصفحة 35'!$N$24</f>
        <v>0</v>
      </c>
      <c r="IC242" s="30">
        <f>'الصفحة 35'!$O$24</f>
        <v>0</v>
      </c>
      <c r="ID242" s="31">
        <f>'الصفحة 35'!$P$24</f>
        <v>0</v>
      </c>
      <c r="IE242" s="30">
        <f>'الصفحة 36'!$E$24</f>
        <v>0</v>
      </c>
      <c r="IF242" s="31">
        <f>'الصفحة 36'!$F$24</f>
        <v>0</v>
      </c>
      <c r="IG242" s="30">
        <f>'الصفحة 36'!$G$24</f>
        <v>0</v>
      </c>
      <c r="IH242" s="31">
        <f>'الصفحة 36'!$H$24</f>
        <v>0</v>
      </c>
      <c r="II242" s="30">
        <f>'الصفحة 36'!$I$24</f>
        <v>0</v>
      </c>
      <c r="IJ242" s="31">
        <f>'الصفحة 36'!$J$24</f>
        <v>0</v>
      </c>
      <c r="IK242" s="30">
        <f>'الصفحة 36'!$K$24</f>
        <v>0</v>
      </c>
      <c r="IL242" s="31">
        <f>'الصفحة 36'!$L$24</f>
        <v>0</v>
      </c>
      <c r="IM242" s="30">
        <f>'الصفحة 36'!$M$24</f>
        <v>0</v>
      </c>
      <c r="IN242" s="31">
        <f>'الصفحة 36'!$N$24</f>
        <v>0</v>
      </c>
      <c r="IO242" s="30">
        <f>'الصفحة 36'!$O$24</f>
        <v>1</v>
      </c>
      <c r="IP242" s="29">
        <f>'الصفحة 36'!$P$24</f>
        <v>1</v>
      </c>
      <c r="IQ242" s="40"/>
      <c r="IR242" s="27"/>
      <c r="IS242" s="27"/>
      <c r="IT242" s="27"/>
      <c r="IV242" s="21"/>
    </row>
    <row r="243" spans="1:256" s="24" customFormat="1" ht="10.5" customHeight="1">
      <c r="A243" s="23"/>
      <c r="B243" s="5775" t="s">
        <v>163</v>
      </c>
      <c r="C243" s="5775"/>
      <c r="D243" s="5775" t="s">
        <v>162</v>
      </c>
      <c r="E243" s="5775"/>
      <c r="F243" s="5775" t="s">
        <v>161</v>
      </c>
      <c r="G243" s="5775"/>
      <c r="H243" s="5775" t="s">
        <v>160</v>
      </c>
      <c r="I243" s="5775"/>
      <c r="J243" s="5775" t="s">
        <v>159</v>
      </c>
      <c r="K243" s="5775"/>
      <c r="L243" s="5775" t="s">
        <v>158</v>
      </c>
      <c r="M243" s="5775"/>
      <c r="N243" s="5774" t="s">
        <v>157</v>
      </c>
      <c r="O243" s="5774"/>
      <c r="P243" s="5774" t="s">
        <v>156</v>
      </c>
      <c r="Q243" s="5774"/>
      <c r="R243" s="5774" t="s">
        <v>155</v>
      </c>
      <c r="S243" s="5774"/>
      <c r="T243" s="5774" t="s">
        <v>154</v>
      </c>
      <c r="U243" s="5774"/>
      <c r="V243" s="5774" t="s">
        <v>153</v>
      </c>
      <c r="W243" s="5774"/>
      <c r="X243" s="5774" t="s">
        <v>165</v>
      </c>
      <c r="Y243" s="5774"/>
      <c r="AA243" s="5775" t="s">
        <v>163</v>
      </c>
      <c r="AB243" s="5775"/>
      <c r="AC243" s="5775" t="s">
        <v>162</v>
      </c>
      <c r="AD243" s="5775"/>
      <c r="AE243" s="5775" t="s">
        <v>161</v>
      </c>
      <c r="AF243" s="5775"/>
      <c r="AG243" s="5775" t="s">
        <v>160</v>
      </c>
      <c r="AH243" s="5775"/>
      <c r="AI243" s="5775" t="s">
        <v>159</v>
      </c>
      <c r="AJ243" s="5775"/>
      <c r="AK243" s="5775" t="s">
        <v>158</v>
      </c>
      <c r="AL243" s="5775"/>
      <c r="AM243" s="5774" t="s">
        <v>157</v>
      </c>
      <c r="AN243" s="5774"/>
      <c r="AO243" s="5774" t="s">
        <v>156</v>
      </c>
      <c r="AP243" s="5774"/>
      <c r="AQ243" s="5774" t="s">
        <v>155</v>
      </c>
      <c r="AR243" s="5774"/>
      <c r="AS243" s="5774" t="s">
        <v>154</v>
      </c>
      <c r="AT243" s="5774"/>
      <c r="AU243" s="5774" t="s">
        <v>153</v>
      </c>
      <c r="AV243" s="5774"/>
      <c r="AW243" s="5774" t="s">
        <v>165</v>
      </c>
      <c r="AX243" s="5774"/>
      <c r="AZ243" s="5775" t="s">
        <v>163</v>
      </c>
      <c r="BA243" s="5775"/>
      <c r="BB243" s="5775" t="s">
        <v>162</v>
      </c>
      <c r="BC243" s="5775"/>
      <c r="BD243" s="5775" t="s">
        <v>161</v>
      </c>
      <c r="BE243" s="5775"/>
      <c r="BF243" s="5775" t="s">
        <v>160</v>
      </c>
      <c r="BG243" s="5775"/>
      <c r="BH243" s="5775" t="s">
        <v>159</v>
      </c>
      <c r="BI243" s="5775"/>
      <c r="BJ243" s="5775" t="s">
        <v>158</v>
      </c>
      <c r="BK243" s="5775"/>
      <c r="BL243" s="5774" t="s">
        <v>157</v>
      </c>
      <c r="BM243" s="5774"/>
      <c r="BN243" s="5774" t="s">
        <v>156</v>
      </c>
      <c r="BO243" s="5774"/>
      <c r="BP243" s="5774" t="s">
        <v>155</v>
      </c>
      <c r="BQ243" s="5774"/>
      <c r="BR243" s="5774" t="s">
        <v>154</v>
      </c>
      <c r="BS243" s="5774"/>
      <c r="BT243" s="5774" t="s">
        <v>153</v>
      </c>
      <c r="BU243" s="5774"/>
      <c r="BV243" s="5774" t="s">
        <v>165</v>
      </c>
      <c r="BW243" s="5774"/>
      <c r="BY243" s="5775" t="s">
        <v>163</v>
      </c>
      <c r="BZ243" s="5775"/>
      <c r="CA243" s="5775" t="s">
        <v>162</v>
      </c>
      <c r="CB243" s="5775"/>
      <c r="CC243" s="5775" t="s">
        <v>161</v>
      </c>
      <c r="CD243" s="5775"/>
      <c r="CE243" s="5775" t="s">
        <v>160</v>
      </c>
      <c r="CF243" s="5775"/>
      <c r="CG243" s="5775" t="s">
        <v>159</v>
      </c>
      <c r="CH243" s="5775"/>
      <c r="CI243" s="5775" t="s">
        <v>158</v>
      </c>
      <c r="CJ243" s="5775"/>
      <c r="CK243" s="5774" t="s">
        <v>157</v>
      </c>
      <c r="CL243" s="5774"/>
      <c r="CM243" s="5774" t="s">
        <v>156</v>
      </c>
      <c r="CN243" s="5774"/>
      <c r="CO243" s="5774" t="s">
        <v>155</v>
      </c>
      <c r="CP243" s="5774"/>
      <c r="CQ243" s="5774" t="s">
        <v>154</v>
      </c>
      <c r="CR243" s="5774"/>
      <c r="CS243" s="5774" t="s">
        <v>153</v>
      </c>
      <c r="CT243" s="5774"/>
      <c r="CU243" s="5774" t="s">
        <v>165</v>
      </c>
      <c r="CV243" s="5774"/>
      <c r="CX243" s="5775" t="s">
        <v>163</v>
      </c>
      <c r="CY243" s="5775"/>
      <c r="CZ243" s="5775" t="s">
        <v>162</v>
      </c>
      <c r="DA243" s="5775"/>
      <c r="DB243" s="5775" t="s">
        <v>161</v>
      </c>
      <c r="DC243" s="5775"/>
      <c r="DD243" s="5775" t="s">
        <v>160</v>
      </c>
      <c r="DE243" s="5775"/>
      <c r="DF243" s="5775" t="s">
        <v>159</v>
      </c>
      <c r="DG243" s="5775"/>
      <c r="DH243" s="5775" t="s">
        <v>158</v>
      </c>
      <c r="DI243" s="5775"/>
      <c r="DJ243" s="5774" t="s">
        <v>157</v>
      </c>
      <c r="DK243" s="5774"/>
      <c r="DL243" s="5774" t="s">
        <v>156</v>
      </c>
      <c r="DM243" s="5774"/>
      <c r="DN243" s="5774" t="s">
        <v>155</v>
      </c>
      <c r="DO243" s="5774"/>
      <c r="DP243" s="5774" t="s">
        <v>154</v>
      </c>
      <c r="DQ243" s="5774"/>
      <c r="DR243" s="5774" t="s">
        <v>153</v>
      </c>
      <c r="DS243" s="5774"/>
      <c r="DT243" s="5774" t="s">
        <v>165</v>
      </c>
      <c r="DU243" s="5774"/>
      <c r="DV243" s="26"/>
      <c r="DW243" s="5775" t="s">
        <v>163</v>
      </c>
      <c r="DX243" s="5775"/>
      <c r="DY243" s="5775" t="s">
        <v>162</v>
      </c>
      <c r="DZ243" s="5775"/>
      <c r="EA243" s="5775" t="s">
        <v>161</v>
      </c>
      <c r="EB243" s="5775"/>
      <c r="EC243" s="5775" t="s">
        <v>160</v>
      </c>
      <c r="ED243" s="5775"/>
      <c r="EE243" s="5775" t="s">
        <v>159</v>
      </c>
      <c r="EF243" s="5775"/>
      <c r="EG243" s="5775" t="s">
        <v>158</v>
      </c>
      <c r="EH243" s="5775"/>
      <c r="EI243" s="5774" t="s">
        <v>157</v>
      </c>
      <c r="EJ243" s="5774"/>
      <c r="EK243" s="5774" t="s">
        <v>156</v>
      </c>
      <c r="EL243" s="5774"/>
      <c r="EM243" s="5774" t="s">
        <v>155</v>
      </c>
      <c r="EN243" s="5774"/>
      <c r="EO243" s="5774" t="s">
        <v>154</v>
      </c>
      <c r="EP243" s="5774"/>
      <c r="EQ243" s="5774" t="s">
        <v>153</v>
      </c>
      <c r="ER243" s="5774"/>
      <c r="ES243" s="5774" t="s">
        <v>165</v>
      </c>
      <c r="ET243" s="5774"/>
      <c r="EU243" s="26"/>
      <c r="EV243" s="5775" t="s">
        <v>163</v>
      </c>
      <c r="EW243" s="5775"/>
      <c r="EX243" s="5775" t="s">
        <v>162</v>
      </c>
      <c r="EY243" s="5775"/>
      <c r="EZ243" s="5775" t="s">
        <v>161</v>
      </c>
      <c r="FA243" s="5775"/>
      <c r="FB243" s="5775" t="s">
        <v>160</v>
      </c>
      <c r="FC243" s="5775"/>
      <c r="FD243" s="5775" t="s">
        <v>159</v>
      </c>
      <c r="FE243" s="5775"/>
      <c r="FF243" s="5775" t="s">
        <v>158</v>
      </c>
      <c r="FG243" s="5775"/>
      <c r="FH243" s="5774" t="s">
        <v>157</v>
      </c>
      <c r="FI243" s="5774"/>
      <c r="FJ243" s="5774" t="s">
        <v>156</v>
      </c>
      <c r="FK243" s="5774"/>
      <c r="FL243" s="5774" t="s">
        <v>155</v>
      </c>
      <c r="FM243" s="5774"/>
      <c r="FN243" s="5774" t="s">
        <v>154</v>
      </c>
      <c r="FO243" s="5774"/>
      <c r="FP243" s="5774" t="s">
        <v>153</v>
      </c>
      <c r="FQ243" s="5774"/>
      <c r="FR243" s="5774" t="s">
        <v>165</v>
      </c>
      <c r="FS243" s="5774"/>
      <c r="FT243" s="26"/>
      <c r="FU243" s="5775" t="s">
        <v>163</v>
      </c>
      <c r="FV243" s="5775"/>
      <c r="FW243" s="5775" t="s">
        <v>162</v>
      </c>
      <c r="FX243" s="5775"/>
      <c r="FY243" s="5775" t="s">
        <v>161</v>
      </c>
      <c r="FZ243" s="5775"/>
      <c r="GA243" s="5775" t="s">
        <v>160</v>
      </c>
      <c r="GB243" s="5775"/>
      <c r="GC243" s="5775" t="s">
        <v>159</v>
      </c>
      <c r="GD243" s="5775"/>
      <c r="GE243" s="5775" t="s">
        <v>158</v>
      </c>
      <c r="GF243" s="5775"/>
      <c r="GG243" s="5774" t="s">
        <v>157</v>
      </c>
      <c r="GH243" s="5774"/>
      <c r="GI243" s="5774" t="s">
        <v>156</v>
      </c>
      <c r="GJ243" s="5774"/>
      <c r="GK243" s="5774" t="s">
        <v>155</v>
      </c>
      <c r="GL243" s="5774"/>
      <c r="GM243" s="5774" t="s">
        <v>154</v>
      </c>
      <c r="GN243" s="5774"/>
      <c r="GO243" s="5774" t="s">
        <v>153</v>
      </c>
      <c r="GP243" s="5774"/>
      <c r="GQ243" s="5774" t="s">
        <v>165</v>
      </c>
      <c r="GR243" s="5774"/>
      <c r="GS243" s="26"/>
      <c r="GT243" s="5775" t="s">
        <v>163</v>
      </c>
      <c r="GU243" s="5775"/>
      <c r="GV243" s="5775" t="s">
        <v>162</v>
      </c>
      <c r="GW243" s="5775"/>
      <c r="GX243" s="5775" t="s">
        <v>161</v>
      </c>
      <c r="GY243" s="5775"/>
      <c r="GZ243" s="5775" t="s">
        <v>160</v>
      </c>
      <c r="HA243" s="5775"/>
      <c r="HB243" s="5775" t="s">
        <v>159</v>
      </c>
      <c r="HC243" s="5775"/>
      <c r="HD243" s="5775" t="s">
        <v>158</v>
      </c>
      <c r="HE243" s="5775"/>
      <c r="HF243" s="5774" t="s">
        <v>157</v>
      </c>
      <c r="HG243" s="5774"/>
      <c r="HH243" s="5774" t="s">
        <v>156</v>
      </c>
      <c r="HI243" s="5774"/>
      <c r="HJ243" s="5774" t="s">
        <v>155</v>
      </c>
      <c r="HK243" s="5774"/>
      <c r="HL243" s="5774" t="s">
        <v>154</v>
      </c>
      <c r="HM243" s="5774"/>
      <c r="HN243" s="5774" t="s">
        <v>153</v>
      </c>
      <c r="HO243" s="5774"/>
      <c r="HP243" s="5774" t="s">
        <v>165</v>
      </c>
      <c r="HQ243" s="5774"/>
      <c r="HR243" s="26"/>
      <c r="HS243" s="5775" t="s">
        <v>163</v>
      </c>
      <c r="HT243" s="5775"/>
      <c r="HU243" s="5775" t="s">
        <v>162</v>
      </c>
      <c r="HV243" s="5775"/>
      <c r="HW243" s="5775" t="s">
        <v>161</v>
      </c>
      <c r="HX243" s="5775"/>
      <c r="HY243" s="5775" t="s">
        <v>160</v>
      </c>
      <c r="HZ243" s="5775"/>
      <c r="IA243" s="5775" t="s">
        <v>159</v>
      </c>
      <c r="IB243" s="5775"/>
      <c r="IC243" s="5775" t="s">
        <v>158</v>
      </c>
      <c r="ID243" s="5775"/>
      <c r="IE243" s="5774" t="s">
        <v>157</v>
      </c>
      <c r="IF243" s="5774"/>
      <c r="IG243" s="5774" t="s">
        <v>156</v>
      </c>
      <c r="IH243" s="5774"/>
      <c r="II243" s="5774" t="s">
        <v>155</v>
      </c>
      <c r="IJ243" s="5774"/>
      <c r="IK243" s="5774" t="s">
        <v>154</v>
      </c>
      <c r="IL243" s="5774"/>
      <c r="IM243" s="5774" t="s">
        <v>153</v>
      </c>
      <c r="IN243" s="5774"/>
      <c r="IO243" s="5774" t="s">
        <v>165</v>
      </c>
      <c r="IP243" s="5774"/>
      <c r="IV243" s="21"/>
    </row>
    <row r="244" spans="1:256" s="21" customFormat="1" ht="6" customHeight="1">
      <c r="A244" s="23"/>
      <c r="B244" s="22"/>
      <c r="C244" s="22"/>
      <c r="D244" s="22"/>
      <c r="E244" s="22"/>
      <c r="F244" s="22"/>
      <c r="G244" s="22"/>
      <c r="H244" s="22"/>
      <c r="I244" s="22"/>
      <c r="J244" s="22"/>
      <c r="K244" s="22"/>
      <c r="L244" s="22"/>
      <c r="M244" s="22"/>
      <c r="N244" s="22"/>
      <c r="O244" s="22"/>
      <c r="P244" s="22"/>
      <c r="Q244" s="22"/>
      <c r="R244" s="22"/>
      <c r="S244" s="22"/>
      <c r="T244" s="22"/>
      <c r="U244" s="22"/>
      <c r="V244" s="22"/>
    </row>
    <row r="245" spans="1:256" s="24" customFormat="1" ht="15" customHeight="1">
      <c r="A245" s="23"/>
      <c r="B245" s="38" t="s">
        <v>171</v>
      </c>
      <c r="C245" s="34"/>
      <c r="D245" s="34"/>
      <c r="E245" s="34"/>
      <c r="F245" s="34"/>
      <c r="G245" s="34"/>
      <c r="H245" s="34"/>
      <c r="I245" s="34"/>
      <c r="J245" s="34"/>
      <c r="K245" s="34"/>
      <c r="L245" s="34"/>
      <c r="M245" s="34"/>
      <c r="N245" s="34"/>
      <c r="O245" s="34"/>
      <c r="P245" s="34"/>
      <c r="Q245" s="34"/>
      <c r="R245" s="34"/>
      <c r="S245" s="34"/>
      <c r="T245" s="34"/>
      <c r="U245" s="34"/>
      <c r="V245" s="37" t="s">
        <v>104</v>
      </c>
      <c r="W245" s="37"/>
      <c r="X245" s="37"/>
      <c r="Y245" s="37"/>
      <c r="Z245" s="34"/>
      <c r="AA245" s="38" t="s">
        <v>171</v>
      </c>
      <c r="AB245" s="34"/>
      <c r="AC245" s="34"/>
      <c r="AD245" s="34"/>
      <c r="AE245" s="34"/>
      <c r="AF245" s="34"/>
      <c r="AG245" s="34"/>
      <c r="AH245" s="34"/>
      <c r="AI245" s="34"/>
      <c r="AJ245" s="34"/>
      <c r="AK245" s="34"/>
      <c r="AL245" s="34"/>
      <c r="AM245" s="34"/>
      <c r="AN245" s="34"/>
      <c r="AO245" s="34"/>
      <c r="AP245" s="34"/>
      <c r="AQ245" s="34"/>
      <c r="AR245" s="34"/>
      <c r="AS245" s="34"/>
      <c r="AT245" s="34"/>
      <c r="AV245" s="5138" t="s">
        <v>102</v>
      </c>
      <c r="AW245" s="5138"/>
      <c r="AX245" s="5138"/>
      <c r="AZ245" s="38" t="s">
        <v>171</v>
      </c>
      <c r="BA245" s="34"/>
      <c r="BB245" s="34"/>
      <c r="BC245" s="34"/>
      <c r="BD245" s="34"/>
      <c r="BE245" s="34"/>
      <c r="BF245" s="34"/>
      <c r="BG245" s="34"/>
      <c r="BH245" s="34"/>
      <c r="BI245" s="34"/>
      <c r="BJ245" s="34"/>
      <c r="BK245" s="34"/>
      <c r="BL245" s="34"/>
      <c r="BM245" s="34"/>
      <c r="BN245" s="34"/>
      <c r="BO245" s="34"/>
      <c r="BP245" s="34"/>
      <c r="BQ245" s="34"/>
      <c r="BR245" s="34"/>
      <c r="BS245" s="34"/>
      <c r="BU245" s="5138" t="s">
        <v>101</v>
      </c>
      <c r="BV245" s="5138"/>
      <c r="BW245" s="5138"/>
      <c r="BX245" s="34"/>
      <c r="BY245" s="38" t="s">
        <v>171</v>
      </c>
      <c r="BZ245" s="34"/>
      <c r="CA245" s="34"/>
      <c r="CB245" s="34"/>
      <c r="CC245" s="34"/>
      <c r="CD245" s="34"/>
      <c r="CE245" s="34"/>
      <c r="CF245" s="34"/>
      <c r="CG245" s="34"/>
      <c r="CH245" s="34"/>
      <c r="CI245" s="34"/>
      <c r="CJ245" s="34"/>
      <c r="CK245" s="34"/>
      <c r="CL245" s="34"/>
      <c r="CM245" s="34"/>
      <c r="CN245" s="34"/>
      <c r="CO245" s="34"/>
      <c r="CP245" s="34"/>
      <c r="CQ245" s="34"/>
      <c r="CR245" s="34"/>
      <c r="CT245" s="5138" t="s">
        <v>100</v>
      </c>
      <c r="CU245" s="5138"/>
      <c r="CV245" s="5138"/>
      <c r="CW245" s="34"/>
      <c r="CX245" s="38" t="s">
        <v>171</v>
      </c>
      <c r="CY245" s="34"/>
      <c r="CZ245" s="34"/>
      <c r="DA245" s="34"/>
      <c r="DB245" s="34"/>
      <c r="DC245" s="34"/>
      <c r="DD245" s="34"/>
      <c r="DE245" s="34"/>
      <c r="DF245" s="34"/>
      <c r="DG245" s="34"/>
      <c r="DH245" s="34"/>
      <c r="DI245" s="34"/>
      <c r="DJ245" s="34"/>
      <c r="DK245" s="34"/>
      <c r="DL245" s="34"/>
      <c r="DM245" s="34"/>
      <c r="DN245" s="34"/>
      <c r="DO245" s="34"/>
      <c r="DP245" s="34"/>
      <c r="DQ245" s="34"/>
      <c r="DS245" s="5138" t="s">
        <v>98</v>
      </c>
      <c r="DT245" s="5138"/>
      <c r="DU245" s="5138"/>
      <c r="DV245" s="36"/>
      <c r="DW245" s="38" t="s">
        <v>171</v>
      </c>
      <c r="DX245" s="34"/>
      <c r="DY245" s="34"/>
      <c r="DZ245" s="34"/>
      <c r="EA245" s="34"/>
      <c r="EB245" s="34"/>
      <c r="EC245" s="34"/>
      <c r="ED245" s="34"/>
      <c r="EE245" s="34"/>
      <c r="EF245" s="34"/>
      <c r="EG245" s="34"/>
      <c r="EH245" s="34"/>
      <c r="EI245" s="34"/>
      <c r="EJ245" s="34"/>
      <c r="EK245" s="34"/>
      <c r="EL245" s="34"/>
      <c r="EM245" s="34"/>
      <c r="EN245" s="34"/>
      <c r="EO245" s="34"/>
      <c r="EP245" s="34"/>
      <c r="ER245" s="5138" t="s">
        <v>97</v>
      </c>
      <c r="ES245" s="5138"/>
      <c r="ET245" s="5138"/>
      <c r="EU245" s="36"/>
      <c r="EV245" s="38" t="s">
        <v>171</v>
      </c>
      <c r="EW245" s="34"/>
      <c r="EX245" s="34"/>
      <c r="EY245" s="34"/>
      <c r="EZ245" s="34"/>
      <c r="FA245" s="34"/>
      <c r="FB245" s="34"/>
      <c r="FC245" s="34"/>
      <c r="FD245" s="34"/>
      <c r="FE245" s="34"/>
      <c r="FF245" s="34"/>
      <c r="FG245" s="34"/>
      <c r="FH245" s="34"/>
      <c r="FI245" s="34"/>
      <c r="FJ245" s="34"/>
      <c r="FK245" s="34"/>
      <c r="FL245" s="34"/>
      <c r="FM245" s="34"/>
      <c r="FN245" s="34"/>
      <c r="FO245" s="34"/>
      <c r="FQ245" s="5138" t="s">
        <v>96</v>
      </c>
      <c r="FR245" s="5138"/>
      <c r="FS245" s="5138"/>
      <c r="FT245" s="36"/>
      <c r="FU245" s="38" t="s">
        <v>171</v>
      </c>
      <c r="FV245" s="34"/>
      <c r="FW245" s="34"/>
      <c r="FX245" s="34"/>
      <c r="FY245" s="34"/>
      <c r="FZ245" s="34"/>
      <c r="GA245" s="34"/>
      <c r="GB245" s="34"/>
      <c r="GC245" s="34"/>
      <c r="GD245" s="34"/>
      <c r="GE245" s="34"/>
      <c r="GF245" s="34"/>
      <c r="GG245" s="34"/>
      <c r="GH245" s="34"/>
      <c r="GI245" s="34"/>
      <c r="GJ245" s="34"/>
      <c r="GK245" s="34"/>
      <c r="GL245" s="34"/>
      <c r="GM245" s="34"/>
      <c r="GN245" s="34"/>
      <c r="GP245" s="5138" t="s">
        <v>95</v>
      </c>
      <c r="GQ245" s="5138"/>
      <c r="GR245" s="5138"/>
      <c r="GS245" s="36"/>
      <c r="GT245" s="38" t="s">
        <v>171</v>
      </c>
      <c r="GU245" s="34"/>
      <c r="GV245" s="34"/>
      <c r="GW245" s="34"/>
      <c r="GX245" s="34"/>
      <c r="GY245" s="34"/>
      <c r="GZ245" s="34"/>
      <c r="HA245" s="34"/>
      <c r="HB245" s="34"/>
      <c r="HC245" s="34"/>
      <c r="HD245" s="34"/>
      <c r="HE245" s="34"/>
      <c r="HF245" s="34"/>
      <c r="HG245" s="34"/>
      <c r="HH245" s="34"/>
      <c r="HI245" s="34"/>
      <c r="HJ245" s="34"/>
      <c r="HK245" s="34"/>
      <c r="HL245" s="34"/>
      <c r="HM245" s="34"/>
      <c r="HO245" s="5138" t="s">
        <v>93</v>
      </c>
      <c r="HP245" s="5138"/>
      <c r="HQ245" s="5138"/>
      <c r="HR245" s="36"/>
      <c r="HS245" s="38" t="s">
        <v>171</v>
      </c>
      <c r="HT245" s="34"/>
      <c r="HU245" s="34"/>
      <c r="HV245" s="34"/>
      <c r="HW245" s="34"/>
      <c r="HX245" s="34"/>
      <c r="HY245" s="34"/>
      <c r="HZ245" s="34"/>
      <c r="IA245" s="34"/>
      <c r="IB245" s="34"/>
      <c r="IC245" s="34"/>
      <c r="ID245" s="34"/>
      <c r="IE245" s="34"/>
      <c r="IF245" s="34"/>
      <c r="IG245" s="34"/>
      <c r="IH245" s="34"/>
      <c r="II245" s="34"/>
      <c r="IJ245" s="34"/>
      <c r="IK245" s="34"/>
      <c r="IL245" s="34"/>
      <c r="IM245" s="34"/>
      <c r="IN245" s="5138" t="s">
        <v>92</v>
      </c>
      <c r="IO245" s="5138"/>
      <c r="IP245" s="5138"/>
      <c r="IV245" s="21"/>
    </row>
    <row r="246" spans="1:256" s="24" customFormat="1" ht="8.1" customHeight="1" thickBot="1">
      <c r="A246" s="23"/>
      <c r="CW246" s="26"/>
      <c r="DV246" s="26"/>
      <c r="EU246" s="26"/>
      <c r="FT246" s="26"/>
      <c r="GS246" s="26"/>
      <c r="HR246" s="26"/>
      <c r="IV246" s="21"/>
    </row>
    <row r="247" spans="1:256" s="24" customFormat="1" ht="14.1" customHeight="1" thickBot="1">
      <c r="A247" s="35">
        <v>19</v>
      </c>
      <c r="B247" s="33">
        <f>'الصفحة 35'!$E$25</f>
        <v>0</v>
      </c>
      <c r="C247" s="32">
        <f>'الصفحة 35'!$F$25</f>
        <v>0</v>
      </c>
      <c r="D247" s="30">
        <f>'الصفحة 35'!$G$25</f>
        <v>0</v>
      </c>
      <c r="E247" s="31">
        <f>'الصفحة 35'!$H$25</f>
        <v>0</v>
      </c>
      <c r="F247" s="30">
        <f>'الصفحة 35'!$I$25</f>
        <v>0</v>
      </c>
      <c r="G247" s="31">
        <f>'الصفحة 35'!$J$25</f>
        <v>0</v>
      </c>
      <c r="H247" s="30">
        <f>'الصفحة 35'!$K$25</f>
        <v>0</v>
      </c>
      <c r="I247" s="31">
        <f>'الصفحة 35'!$L$25</f>
        <v>0</v>
      </c>
      <c r="J247" s="30">
        <f>'الصفحة 35'!$M$25</f>
        <v>1</v>
      </c>
      <c r="K247" s="31">
        <f>'الصفحة 35'!$N$25</f>
        <v>0</v>
      </c>
      <c r="L247" s="30">
        <f>'الصفحة 35'!$O$25</f>
        <v>0</v>
      </c>
      <c r="M247" s="31">
        <f>'الصفحة 35'!$P$25</f>
        <v>0</v>
      </c>
      <c r="N247" s="30">
        <f>'الصفحة 36'!$E$25</f>
        <v>0</v>
      </c>
      <c r="O247" s="31">
        <f>'الصفحة 36'!$F$25</f>
        <v>0</v>
      </c>
      <c r="P247" s="30">
        <f>'الصفحة 36'!$G$25</f>
        <v>0</v>
      </c>
      <c r="Q247" s="31">
        <f>'الصفحة 36'!$H$25</f>
        <v>0</v>
      </c>
      <c r="R247" s="30">
        <f>'الصفحة 36'!$I$25</f>
        <v>0</v>
      </c>
      <c r="S247" s="31">
        <f>'الصفحة 36'!$J$25</f>
        <v>0</v>
      </c>
      <c r="T247" s="30">
        <f>'الصفحة 36'!$K$25</f>
        <v>0</v>
      </c>
      <c r="U247" s="31">
        <f>'الصفحة 36'!$L$25</f>
        <v>0</v>
      </c>
      <c r="V247" s="30">
        <f>'الصفحة 36'!$M$25</f>
        <v>0</v>
      </c>
      <c r="W247" s="31">
        <f>'الصفحة 36'!$N$25</f>
        <v>0</v>
      </c>
      <c r="X247" s="30">
        <f>'الصفحة 36'!$O$25</f>
        <v>1</v>
      </c>
      <c r="Y247" s="29">
        <f>'الصفحة 36'!$P$25</f>
        <v>0</v>
      </c>
      <c r="Z247" s="34"/>
      <c r="AA247" s="33">
        <f>'الصفحة 35'!$E$27</f>
        <v>1</v>
      </c>
      <c r="AB247" s="32">
        <f>'الصفحة 35'!$F$27</f>
        <v>1</v>
      </c>
      <c r="AC247" s="30">
        <f>'الصفحة 35'!$G$27</f>
        <v>0</v>
      </c>
      <c r="AD247" s="31">
        <f>'الصفحة 35'!$H$27</f>
        <v>0</v>
      </c>
      <c r="AE247" s="30">
        <f>'الصفحة 35'!$I$27</f>
        <v>0</v>
      </c>
      <c r="AF247" s="31">
        <f>'الصفحة 35'!$J$27</f>
        <v>0</v>
      </c>
      <c r="AG247" s="30">
        <f>'الصفحة 35'!$K$27</f>
        <v>0</v>
      </c>
      <c r="AH247" s="31">
        <f>'الصفحة 35'!$L$27</f>
        <v>0</v>
      </c>
      <c r="AI247" s="30">
        <f>'الصفحة 35'!$M$27</f>
        <v>0</v>
      </c>
      <c r="AJ247" s="31">
        <f>'الصفحة 35'!$N$27</f>
        <v>0</v>
      </c>
      <c r="AK247" s="30">
        <f>'الصفحة 35'!$O$27</f>
        <v>0</v>
      </c>
      <c r="AL247" s="31">
        <f>'الصفحة 35'!$P$27</f>
        <v>0</v>
      </c>
      <c r="AM247" s="30">
        <f>'الصفحة 36'!$E$27</f>
        <v>0</v>
      </c>
      <c r="AN247" s="31">
        <f>'الصفحة 36'!$F$27</f>
        <v>0</v>
      </c>
      <c r="AO247" s="30">
        <f>'الصفحة 36'!$G$27</f>
        <v>0</v>
      </c>
      <c r="AP247" s="31">
        <f>'الصفحة 36'!$H$27</f>
        <v>0</v>
      </c>
      <c r="AQ247" s="30">
        <f>'الصفحة 36'!$I$27</f>
        <v>0</v>
      </c>
      <c r="AR247" s="31">
        <f>'الصفحة 36'!$J$27</f>
        <v>0</v>
      </c>
      <c r="AS247" s="30">
        <f>'الصفحة 36'!$K$27</f>
        <v>0</v>
      </c>
      <c r="AT247" s="31">
        <f>'الصفحة 36'!$L$27</f>
        <v>0</v>
      </c>
      <c r="AU247" s="30">
        <f>'الصفحة 36'!$M$27</f>
        <v>0</v>
      </c>
      <c r="AV247" s="31">
        <f>'الصفحة 36'!$N$27</f>
        <v>0</v>
      </c>
      <c r="AW247" s="30">
        <f>'الصفحة 36'!$O$27</f>
        <v>1</v>
      </c>
      <c r="AX247" s="29">
        <f>'الصفحة 36'!$P$27</f>
        <v>1</v>
      </c>
      <c r="AZ247" s="33">
        <f>'الصفحة 35'!$E$28</f>
        <v>0</v>
      </c>
      <c r="BA247" s="32">
        <f>'الصفحة 35'!$F$28</f>
        <v>0</v>
      </c>
      <c r="BB247" s="30">
        <f>'الصفحة 35'!$G$28</f>
        <v>1</v>
      </c>
      <c r="BC247" s="31">
        <f>'الصفحة 35'!$H$28</f>
        <v>1</v>
      </c>
      <c r="BD247" s="30">
        <f>'الصفحة 35'!$I$28</f>
        <v>0</v>
      </c>
      <c r="BE247" s="31">
        <f>'الصفحة 35'!$J$28</f>
        <v>0</v>
      </c>
      <c r="BF247" s="30">
        <f>'الصفحة 35'!$K$28</f>
        <v>0</v>
      </c>
      <c r="BG247" s="31">
        <f>'الصفحة 35'!$L$28</f>
        <v>0</v>
      </c>
      <c r="BH247" s="30">
        <f>'الصفحة 35'!$M$28</f>
        <v>0</v>
      </c>
      <c r="BI247" s="31">
        <f>'الصفحة 35'!$N$28</f>
        <v>0</v>
      </c>
      <c r="BJ247" s="30">
        <f>'الصفحة 35'!$O$28</f>
        <v>0</v>
      </c>
      <c r="BK247" s="31">
        <f>'الصفحة 35'!$P$28</f>
        <v>0</v>
      </c>
      <c r="BL247" s="30">
        <f>'الصفحة 36'!$E$28</f>
        <v>0</v>
      </c>
      <c r="BM247" s="31">
        <f>'الصفحة 36'!$F$28</f>
        <v>0</v>
      </c>
      <c r="BN247" s="30">
        <f>'الصفحة 36'!$G$28</f>
        <v>0</v>
      </c>
      <c r="BO247" s="31">
        <f>'الصفحة 36'!$H$28</f>
        <v>0</v>
      </c>
      <c r="BP247" s="30">
        <f>'الصفحة 36'!$I$28</f>
        <v>0</v>
      </c>
      <c r="BQ247" s="31">
        <f>'الصفحة 36'!$J$28</f>
        <v>0</v>
      </c>
      <c r="BR247" s="30">
        <f>'الصفحة 36'!$K$28</f>
        <v>0</v>
      </c>
      <c r="BS247" s="31">
        <f>'الصفحة 36'!$L$28</f>
        <v>0</v>
      </c>
      <c r="BT247" s="30">
        <f>'الصفحة 36'!$M$28</f>
        <v>0</v>
      </c>
      <c r="BU247" s="31">
        <f>'الصفحة 36'!$N$28</f>
        <v>0</v>
      </c>
      <c r="BV247" s="30">
        <f>'الصفحة 36'!$O$28</f>
        <v>1</v>
      </c>
      <c r="BW247" s="29">
        <f>'الصفحة 36'!$P$28</f>
        <v>1</v>
      </c>
      <c r="BX247" s="34"/>
      <c r="BY247" s="33">
        <f>'الصفحة 35'!$E$29</f>
        <v>0</v>
      </c>
      <c r="BZ247" s="32">
        <f>'الصفحة 35'!$F$29</f>
        <v>0</v>
      </c>
      <c r="CA247" s="30">
        <f>'الصفحة 35'!$G$29</f>
        <v>0</v>
      </c>
      <c r="CB247" s="31">
        <f>'الصفحة 35'!$H$29</f>
        <v>0</v>
      </c>
      <c r="CC247" s="30">
        <f>'الصفحة 35'!$I$29</f>
        <v>0</v>
      </c>
      <c r="CD247" s="31">
        <f>'الصفحة 35'!$J$29</f>
        <v>0</v>
      </c>
      <c r="CE247" s="30">
        <f>'الصفحة 35'!$K$29</f>
        <v>0</v>
      </c>
      <c r="CF247" s="31">
        <f>'الصفحة 35'!$L$29</f>
        <v>0</v>
      </c>
      <c r="CG247" s="30">
        <f>'الصفحة 35'!$M$29</f>
        <v>0</v>
      </c>
      <c r="CH247" s="31">
        <f>'الصفحة 35'!$N$29</f>
        <v>0</v>
      </c>
      <c r="CI247" s="30">
        <f>'الصفحة 35'!$O$29</f>
        <v>0</v>
      </c>
      <c r="CJ247" s="31">
        <f>'الصفحة 35'!$P$29</f>
        <v>0</v>
      </c>
      <c r="CK247" s="30">
        <f>'الصفحة 36'!$E$29</f>
        <v>0</v>
      </c>
      <c r="CL247" s="31">
        <f>'الصفحة 36'!$F$29</f>
        <v>0</v>
      </c>
      <c r="CM247" s="30">
        <f>'الصفحة 36'!$G$29</f>
        <v>0</v>
      </c>
      <c r="CN247" s="31">
        <f>'الصفحة 36'!$H$29</f>
        <v>0</v>
      </c>
      <c r="CO247" s="30">
        <f>'الصفحة 36'!$I$29</f>
        <v>0</v>
      </c>
      <c r="CP247" s="31">
        <f>'الصفحة 36'!$J$29</f>
        <v>0</v>
      </c>
      <c r="CQ247" s="30">
        <f>'الصفحة 36'!$K$29</f>
        <v>0</v>
      </c>
      <c r="CR247" s="31">
        <f>'الصفحة 36'!$L$29</f>
        <v>0</v>
      </c>
      <c r="CS247" s="30">
        <f>'الصفحة 36'!$M$29</f>
        <v>0</v>
      </c>
      <c r="CT247" s="31">
        <f>'الصفحة 36'!$N$29</f>
        <v>0</v>
      </c>
      <c r="CU247" s="30">
        <f>'الصفحة 36'!$O$29</f>
        <v>0</v>
      </c>
      <c r="CV247" s="29">
        <f>'الصفحة 36'!$P$29</f>
        <v>0</v>
      </c>
      <c r="CW247" s="28"/>
      <c r="CX247" s="33">
        <f>'الصفحة 35'!$E$31</f>
        <v>0</v>
      </c>
      <c r="CY247" s="32">
        <f>'الصفحة 35'!$F$31</f>
        <v>0</v>
      </c>
      <c r="CZ247" s="30">
        <f>'الصفحة 35'!$G$31</f>
        <v>0</v>
      </c>
      <c r="DA247" s="31">
        <f>'الصفحة 35'!$H$31</f>
        <v>0</v>
      </c>
      <c r="DB247" s="30">
        <f>'الصفحة 35'!$I$31</f>
        <v>0</v>
      </c>
      <c r="DC247" s="31">
        <f>'الصفحة 35'!$J$31</f>
        <v>0</v>
      </c>
      <c r="DD247" s="30">
        <f>'الصفحة 35'!$K$31</f>
        <v>0</v>
      </c>
      <c r="DE247" s="31">
        <f>'الصفحة 35'!$L$31</f>
        <v>0</v>
      </c>
      <c r="DF247" s="30">
        <f>'الصفحة 35'!$M$31</f>
        <v>1</v>
      </c>
      <c r="DG247" s="31">
        <f>'الصفحة 35'!$N$31</f>
        <v>1</v>
      </c>
      <c r="DH247" s="30">
        <f>'الصفحة 35'!$O$31</f>
        <v>0</v>
      </c>
      <c r="DI247" s="31">
        <f>'الصفحة 35'!$P$31</f>
        <v>0</v>
      </c>
      <c r="DJ247" s="30">
        <f>'الصفحة 36'!$E$31</f>
        <v>0</v>
      </c>
      <c r="DK247" s="31">
        <f>'الصفحة 36'!$F$31</f>
        <v>0</v>
      </c>
      <c r="DL247" s="30">
        <f>'الصفحة 36'!$G$31</f>
        <v>0</v>
      </c>
      <c r="DM247" s="31">
        <f>'الصفحة 36'!$H$31</f>
        <v>0</v>
      </c>
      <c r="DN247" s="30">
        <f>'الصفحة 36'!$I$31</f>
        <v>0</v>
      </c>
      <c r="DO247" s="31">
        <f>'الصفحة 36'!$J$31</f>
        <v>0</v>
      </c>
      <c r="DP247" s="30">
        <f>'الصفحة 36'!$K$31</f>
        <v>0</v>
      </c>
      <c r="DQ247" s="31">
        <f>'الصفحة 36'!$L$31</f>
        <v>0</v>
      </c>
      <c r="DR247" s="30">
        <f>'الصفحة 36'!$M$31</f>
        <v>0</v>
      </c>
      <c r="DS247" s="31">
        <f>'الصفحة 36'!$N$31</f>
        <v>0</v>
      </c>
      <c r="DT247" s="30">
        <f>'الصفحة 36'!$O$31</f>
        <v>1</v>
      </c>
      <c r="DU247" s="29">
        <f>'الصفحة 36'!$P$31</f>
        <v>1</v>
      </c>
      <c r="DV247" s="28"/>
      <c r="DW247" s="33">
        <f>'الصفحة 35'!$E$32</f>
        <v>0</v>
      </c>
      <c r="DX247" s="32">
        <f>'الصفحة 35'!$F$32</f>
        <v>0</v>
      </c>
      <c r="DY247" s="30">
        <f>'الصفحة 35'!$G$32</f>
        <v>0</v>
      </c>
      <c r="DZ247" s="31">
        <f>'الصفحة 35'!$H$32</f>
        <v>0</v>
      </c>
      <c r="EA247" s="30">
        <f>'الصفحة 35'!$I$32</f>
        <v>0</v>
      </c>
      <c r="EB247" s="31">
        <f>'الصفحة 35'!$J$32</f>
        <v>0</v>
      </c>
      <c r="EC247" s="30">
        <f>'الصفحة 35'!$K$32</f>
        <v>0</v>
      </c>
      <c r="ED247" s="31">
        <f>'الصفحة 35'!$L$32</f>
        <v>0</v>
      </c>
      <c r="EE247" s="30">
        <f>'الصفحة 35'!$M$32</f>
        <v>0</v>
      </c>
      <c r="EF247" s="31">
        <f>'الصفحة 35'!$N$32</f>
        <v>0</v>
      </c>
      <c r="EG247" s="30">
        <f>'الصفحة 35'!$O$32</f>
        <v>0</v>
      </c>
      <c r="EH247" s="31">
        <f>'الصفحة 35'!$P$32</f>
        <v>0</v>
      </c>
      <c r="EI247" s="30">
        <f>'الصفحة 36'!$E$32</f>
        <v>0</v>
      </c>
      <c r="EJ247" s="31">
        <f>'الصفحة 36'!$F$32</f>
        <v>0</v>
      </c>
      <c r="EK247" s="30">
        <f>'الصفحة 36'!$G$32</f>
        <v>0</v>
      </c>
      <c r="EL247" s="31">
        <f>'الصفحة 36'!$H$32</f>
        <v>0</v>
      </c>
      <c r="EM247" s="30">
        <f>'الصفحة 36'!$I$32</f>
        <v>0</v>
      </c>
      <c r="EN247" s="31">
        <f>'الصفحة 36'!$J$32</f>
        <v>0</v>
      </c>
      <c r="EO247" s="30">
        <f>'الصفحة 36'!$K$32</f>
        <v>0</v>
      </c>
      <c r="EP247" s="31">
        <f>'الصفحة 36'!$L$32</f>
        <v>0</v>
      </c>
      <c r="EQ247" s="30">
        <f>'الصفحة 36'!$M$32</f>
        <v>0</v>
      </c>
      <c r="ER247" s="31">
        <f>'الصفحة 36'!$N$32</f>
        <v>0</v>
      </c>
      <c r="ES247" s="30">
        <f>'الصفحة 36'!$O$32</f>
        <v>0</v>
      </c>
      <c r="ET247" s="29">
        <f>'الصفحة 36'!$P$32</f>
        <v>0</v>
      </c>
      <c r="EU247" s="28"/>
      <c r="EV247" s="33">
        <f>'الصفحة 35'!$E$33</f>
        <v>0</v>
      </c>
      <c r="EW247" s="32">
        <f>'الصفحة 35'!$F$33</f>
        <v>0</v>
      </c>
      <c r="EX247" s="30">
        <f>'الصفحة 35'!$G$33</f>
        <v>0</v>
      </c>
      <c r="EY247" s="31">
        <f>'الصفحة 35'!$H$33</f>
        <v>0</v>
      </c>
      <c r="EZ247" s="30">
        <f>'الصفحة 35'!$I$33</f>
        <v>0</v>
      </c>
      <c r="FA247" s="31">
        <f>'الصفحة 35'!$J$33</f>
        <v>0</v>
      </c>
      <c r="FB247" s="30">
        <f>'الصفحة 35'!$K$33</f>
        <v>0</v>
      </c>
      <c r="FC247" s="31">
        <f>'الصفحة 35'!$L$33</f>
        <v>0</v>
      </c>
      <c r="FD247" s="30">
        <f>'الصفحة 35'!$M$33</f>
        <v>0</v>
      </c>
      <c r="FE247" s="31">
        <f>'الصفحة 35'!$N$33</f>
        <v>0</v>
      </c>
      <c r="FF247" s="30">
        <f>'الصفحة 35'!$O$33</f>
        <v>0</v>
      </c>
      <c r="FG247" s="31">
        <f>'الصفحة 35'!$P$33</f>
        <v>0</v>
      </c>
      <c r="FH247" s="30">
        <f>'الصفحة 36'!$E$33</f>
        <v>0</v>
      </c>
      <c r="FI247" s="31">
        <f>'الصفحة 36'!$F$33</f>
        <v>0</v>
      </c>
      <c r="FJ247" s="30">
        <f>'الصفحة 36'!$G$33</f>
        <v>0</v>
      </c>
      <c r="FK247" s="31">
        <f>'الصفحة 36'!$H$33</f>
        <v>0</v>
      </c>
      <c r="FL247" s="30">
        <f>'الصفحة 36'!$I$33</f>
        <v>0</v>
      </c>
      <c r="FM247" s="31">
        <f>'الصفحة 36'!$J$33</f>
        <v>0</v>
      </c>
      <c r="FN247" s="30">
        <f>'الصفحة 36'!$K$33</f>
        <v>0</v>
      </c>
      <c r="FO247" s="31">
        <f>'الصفحة 36'!$L$33</f>
        <v>0</v>
      </c>
      <c r="FP247" s="30">
        <f>'الصفحة 36'!$M$33</f>
        <v>0</v>
      </c>
      <c r="FQ247" s="31">
        <f>'الصفحة 36'!$N$33</f>
        <v>0</v>
      </c>
      <c r="FR247" s="30">
        <f>'الصفحة 36'!$O$33</f>
        <v>0</v>
      </c>
      <c r="FS247" s="29">
        <f>'الصفحة 36'!$P$33</f>
        <v>0</v>
      </c>
      <c r="FT247" s="28"/>
      <c r="FU247" s="33">
        <f>'الصفحة 35'!$E$34</f>
        <v>0</v>
      </c>
      <c r="FV247" s="32">
        <f>'الصفحة 35'!$F$34</f>
        <v>0</v>
      </c>
      <c r="FW247" s="30">
        <f>'الصفحة 35'!$G$34</f>
        <v>0</v>
      </c>
      <c r="FX247" s="31">
        <f>'الصفحة 35'!$H$34</f>
        <v>0</v>
      </c>
      <c r="FY247" s="30">
        <f>'الصفحة 35'!$I$34</f>
        <v>0</v>
      </c>
      <c r="FZ247" s="31">
        <f>'الصفحة 35'!$J$34</f>
        <v>0</v>
      </c>
      <c r="GA247" s="30">
        <f>'الصفحة 35'!$K$34</f>
        <v>0</v>
      </c>
      <c r="GB247" s="31">
        <f>'الصفحة 35'!$L$34</f>
        <v>0</v>
      </c>
      <c r="GC247" s="30">
        <f>'الصفحة 35'!$M$34</f>
        <v>0</v>
      </c>
      <c r="GD247" s="31">
        <f>'الصفحة 35'!$N$34</f>
        <v>0</v>
      </c>
      <c r="GE247" s="30">
        <f>'الصفحة 35'!$O$34</f>
        <v>0</v>
      </c>
      <c r="GF247" s="31">
        <f>'الصفحة 35'!$P$34</f>
        <v>0</v>
      </c>
      <c r="GG247" s="30">
        <f>'الصفحة 36'!$E$34</f>
        <v>0</v>
      </c>
      <c r="GH247" s="31">
        <f>'الصفحة 36'!$F$34</f>
        <v>0</v>
      </c>
      <c r="GI247" s="30">
        <f>'الصفحة 36'!$G$34</f>
        <v>0</v>
      </c>
      <c r="GJ247" s="31">
        <f>'الصفحة 36'!$H$34</f>
        <v>0</v>
      </c>
      <c r="GK247" s="30">
        <f>'الصفحة 36'!$I$34</f>
        <v>0</v>
      </c>
      <c r="GL247" s="31">
        <f>'الصفحة 36'!$J$34</f>
        <v>0</v>
      </c>
      <c r="GM247" s="30">
        <f>'الصفحة 36'!$K$34</f>
        <v>0</v>
      </c>
      <c r="GN247" s="31">
        <f>'الصفحة 36'!$L$34</f>
        <v>0</v>
      </c>
      <c r="GO247" s="30">
        <f>'الصفحة 36'!$M$34</f>
        <v>0</v>
      </c>
      <c r="GP247" s="31">
        <f>'الصفحة 36'!$N$34</f>
        <v>0</v>
      </c>
      <c r="GQ247" s="30">
        <f>'الصفحة 36'!$O$34</f>
        <v>0</v>
      </c>
      <c r="GR247" s="29">
        <f>'الصفحة 36'!$P$34</f>
        <v>0</v>
      </c>
      <c r="GS247" s="28"/>
      <c r="GT247" s="33">
        <f>'الصفحة 35'!$E$38</f>
        <v>0</v>
      </c>
      <c r="GU247" s="32">
        <f>'الصفحة 35'!$F$38</f>
        <v>0</v>
      </c>
      <c r="GV247" s="30">
        <f>'الصفحة 35'!$G$38</f>
        <v>0</v>
      </c>
      <c r="GW247" s="30">
        <f>'الصفحة 35'!$H$38</f>
        <v>0</v>
      </c>
      <c r="GX247" s="30">
        <f>'الصفحة 35'!$I$38</f>
        <v>0</v>
      </c>
      <c r="GY247" s="31">
        <f>'الصفحة 35'!$J$38</f>
        <v>0</v>
      </c>
      <c r="GZ247" s="30">
        <f>'الصفحة 35'!$K$38</f>
        <v>0</v>
      </c>
      <c r="HA247" s="31">
        <f>'الصفحة 35'!$L$38</f>
        <v>0</v>
      </c>
      <c r="HB247" s="30">
        <f>'الصفحة 35'!$M$38</f>
        <v>0</v>
      </c>
      <c r="HC247" s="31">
        <f>'الصفحة 35'!$N$38</f>
        <v>0</v>
      </c>
      <c r="HD247" s="30">
        <f>'الصفحة 35'!$O$38</f>
        <v>0</v>
      </c>
      <c r="HE247" s="31">
        <f>'الصفحة 35'!$P$38</f>
        <v>0</v>
      </c>
      <c r="HF247" s="30">
        <f>'الصفحة 36'!$E$38</f>
        <v>0</v>
      </c>
      <c r="HG247" s="31">
        <f>'الصفحة 36'!$F$38</f>
        <v>0</v>
      </c>
      <c r="HH247" s="30">
        <f>'الصفحة 36'!$G$38</f>
        <v>0</v>
      </c>
      <c r="HI247" s="31">
        <f>'الصفحة 36'!$H$38</f>
        <v>0</v>
      </c>
      <c r="HJ247" s="30">
        <f>'الصفحة 36'!$I$38</f>
        <v>0</v>
      </c>
      <c r="HK247" s="31">
        <f>'الصفحة 36'!$J$38</f>
        <v>0</v>
      </c>
      <c r="HL247" s="30">
        <f>'الصفحة 36'!$K$38</f>
        <v>0</v>
      </c>
      <c r="HM247" s="31">
        <f>'الصفحة 36'!$L$38</f>
        <v>0</v>
      </c>
      <c r="HN247" s="30">
        <f>'الصفحة 36'!$M$38</f>
        <v>0</v>
      </c>
      <c r="HO247" s="31">
        <f>'الصفحة 36'!$N$38</f>
        <v>0</v>
      </c>
      <c r="HP247" s="30">
        <f>'الصفحة 36'!$O$38</f>
        <v>0</v>
      </c>
      <c r="HQ247" s="29">
        <f>'الصفحة 36'!$P$38</f>
        <v>0</v>
      </c>
      <c r="HR247" s="28"/>
      <c r="HS247" s="33">
        <f>'الصفحة 35'!$E$45</f>
        <v>0</v>
      </c>
      <c r="HT247" s="32">
        <f>'الصفحة 35'!$F$45</f>
        <v>0</v>
      </c>
      <c r="HU247" s="30">
        <f>'الصفحة 35'!$G$45</f>
        <v>0</v>
      </c>
      <c r="HV247" s="30">
        <f>'الصفحة 35'!$H$45</f>
        <v>0</v>
      </c>
      <c r="HW247" s="30">
        <f>'الصفحة 35'!$I$45</f>
        <v>0</v>
      </c>
      <c r="HX247" s="31">
        <f>'الصفحة 35'!$J$45</f>
        <v>0</v>
      </c>
      <c r="HY247" s="30">
        <f>'الصفحة 35'!$K$45</f>
        <v>0</v>
      </c>
      <c r="HZ247" s="31">
        <f>'الصفحة 35'!$L$45</f>
        <v>0</v>
      </c>
      <c r="IA247" s="30">
        <f>'الصفحة 35'!$M$45</f>
        <v>0</v>
      </c>
      <c r="IB247" s="31">
        <f>'الصفحة 35'!$N$45</f>
        <v>0</v>
      </c>
      <c r="IC247" s="30">
        <f>'الصفحة 35'!$O$45</f>
        <v>0</v>
      </c>
      <c r="ID247" s="31">
        <f>'الصفحة 35'!$P$45</f>
        <v>0</v>
      </c>
      <c r="IE247" s="30">
        <f>'الصفحة 36'!$E$45</f>
        <v>0</v>
      </c>
      <c r="IF247" s="31">
        <f>'الصفحة 36'!$F$45</f>
        <v>0</v>
      </c>
      <c r="IG247" s="30">
        <f>'الصفحة 36'!$G$45</f>
        <v>0</v>
      </c>
      <c r="IH247" s="31">
        <f>'الصفحة 36'!$H$45</f>
        <v>0</v>
      </c>
      <c r="II247" s="30">
        <f>'الصفحة 36'!$I$45</f>
        <v>0</v>
      </c>
      <c r="IJ247" s="31">
        <f>'الصفحة 36'!$J$45</f>
        <v>0</v>
      </c>
      <c r="IK247" s="30">
        <f>'الصفحة 36'!$K$45</f>
        <v>0</v>
      </c>
      <c r="IL247" s="31">
        <f>'الصفحة 36'!$L$45</f>
        <v>0</v>
      </c>
      <c r="IM247" s="30">
        <f>'الصفحة 36'!$M$45</f>
        <v>0</v>
      </c>
      <c r="IN247" s="31">
        <f>'الصفحة 36'!$N$45</f>
        <v>0</v>
      </c>
      <c r="IO247" s="30">
        <f>'الصفحة 36'!$O$45</f>
        <v>0</v>
      </c>
      <c r="IP247" s="29">
        <f>'الصفحة 36'!$P$45</f>
        <v>0</v>
      </c>
      <c r="IQ247" s="40"/>
      <c r="IR247" s="27"/>
      <c r="IS247" s="27"/>
      <c r="IT247" s="27"/>
      <c r="IV247" s="21"/>
    </row>
    <row r="248" spans="1:256" s="24" customFormat="1" ht="10.5" customHeight="1">
      <c r="A248" s="23"/>
      <c r="B248" s="5775" t="s">
        <v>163</v>
      </c>
      <c r="C248" s="5775"/>
      <c r="D248" s="5775" t="s">
        <v>162</v>
      </c>
      <c r="E248" s="5775"/>
      <c r="F248" s="5775" t="s">
        <v>161</v>
      </c>
      <c r="G248" s="5775"/>
      <c r="H248" s="5775" t="s">
        <v>160</v>
      </c>
      <c r="I248" s="5775"/>
      <c r="J248" s="5775" t="s">
        <v>159</v>
      </c>
      <c r="K248" s="5775"/>
      <c r="L248" s="5775" t="s">
        <v>158</v>
      </c>
      <c r="M248" s="5775"/>
      <c r="N248" s="5774" t="s">
        <v>157</v>
      </c>
      <c r="O248" s="5774"/>
      <c r="P248" s="5774" t="s">
        <v>156</v>
      </c>
      <c r="Q248" s="5774"/>
      <c r="R248" s="5774" t="s">
        <v>155</v>
      </c>
      <c r="S248" s="5774"/>
      <c r="T248" s="5774" t="s">
        <v>154</v>
      </c>
      <c r="U248" s="5774"/>
      <c r="V248" s="5774" t="s">
        <v>153</v>
      </c>
      <c r="W248" s="5774"/>
      <c r="X248" s="5774" t="s">
        <v>165</v>
      </c>
      <c r="Y248" s="5774"/>
      <c r="AA248" s="5775" t="s">
        <v>163</v>
      </c>
      <c r="AB248" s="5775"/>
      <c r="AC248" s="5775" t="s">
        <v>162</v>
      </c>
      <c r="AD248" s="5775"/>
      <c r="AE248" s="5775" t="s">
        <v>161</v>
      </c>
      <c r="AF248" s="5775"/>
      <c r="AG248" s="5775" t="s">
        <v>160</v>
      </c>
      <c r="AH248" s="5775"/>
      <c r="AI248" s="5775" t="s">
        <v>159</v>
      </c>
      <c r="AJ248" s="5775"/>
      <c r="AK248" s="5775" t="s">
        <v>158</v>
      </c>
      <c r="AL248" s="5775"/>
      <c r="AM248" s="5774" t="s">
        <v>157</v>
      </c>
      <c r="AN248" s="5774"/>
      <c r="AO248" s="5774" t="s">
        <v>156</v>
      </c>
      <c r="AP248" s="5774"/>
      <c r="AQ248" s="5774" t="s">
        <v>155</v>
      </c>
      <c r="AR248" s="5774"/>
      <c r="AS248" s="5774" t="s">
        <v>154</v>
      </c>
      <c r="AT248" s="5774"/>
      <c r="AU248" s="5774" t="s">
        <v>153</v>
      </c>
      <c r="AV248" s="5774"/>
      <c r="AW248" s="5774" t="s">
        <v>165</v>
      </c>
      <c r="AX248" s="5774"/>
      <c r="AZ248" s="5775" t="s">
        <v>163</v>
      </c>
      <c r="BA248" s="5775"/>
      <c r="BB248" s="5775" t="s">
        <v>162</v>
      </c>
      <c r="BC248" s="5775"/>
      <c r="BD248" s="5775" t="s">
        <v>161</v>
      </c>
      <c r="BE248" s="5775"/>
      <c r="BF248" s="5775" t="s">
        <v>160</v>
      </c>
      <c r="BG248" s="5775"/>
      <c r="BH248" s="5775" t="s">
        <v>159</v>
      </c>
      <c r="BI248" s="5775"/>
      <c r="BJ248" s="5775" t="s">
        <v>158</v>
      </c>
      <c r="BK248" s="5775"/>
      <c r="BL248" s="5774" t="s">
        <v>157</v>
      </c>
      <c r="BM248" s="5774"/>
      <c r="BN248" s="5774" t="s">
        <v>156</v>
      </c>
      <c r="BO248" s="5774"/>
      <c r="BP248" s="5774" t="s">
        <v>155</v>
      </c>
      <c r="BQ248" s="5774"/>
      <c r="BR248" s="5774" t="s">
        <v>154</v>
      </c>
      <c r="BS248" s="5774"/>
      <c r="BT248" s="5774" t="s">
        <v>153</v>
      </c>
      <c r="BU248" s="5774"/>
      <c r="BV248" s="5774" t="s">
        <v>165</v>
      </c>
      <c r="BW248" s="5774"/>
      <c r="BY248" s="5775" t="s">
        <v>163</v>
      </c>
      <c r="BZ248" s="5775"/>
      <c r="CA248" s="5775" t="s">
        <v>162</v>
      </c>
      <c r="CB248" s="5775"/>
      <c r="CC248" s="5775" t="s">
        <v>161</v>
      </c>
      <c r="CD248" s="5775"/>
      <c r="CE248" s="5775" t="s">
        <v>160</v>
      </c>
      <c r="CF248" s="5775"/>
      <c r="CG248" s="5775" t="s">
        <v>159</v>
      </c>
      <c r="CH248" s="5775"/>
      <c r="CI248" s="5775" t="s">
        <v>158</v>
      </c>
      <c r="CJ248" s="5775"/>
      <c r="CK248" s="5774" t="s">
        <v>157</v>
      </c>
      <c r="CL248" s="5774"/>
      <c r="CM248" s="5774" t="s">
        <v>156</v>
      </c>
      <c r="CN248" s="5774"/>
      <c r="CO248" s="5774" t="s">
        <v>155</v>
      </c>
      <c r="CP248" s="5774"/>
      <c r="CQ248" s="5774" t="s">
        <v>154</v>
      </c>
      <c r="CR248" s="5774"/>
      <c r="CS248" s="5774" t="s">
        <v>153</v>
      </c>
      <c r="CT248" s="5774"/>
      <c r="CU248" s="5774" t="s">
        <v>165</v>
      </c>
      <c r="CV248" s="5774"/>
      <c r="CX248" s="5775" t="s">
        <v>163</v>
      </c>
      <c r="CY248" s="5775"/>
      <c r="CZ248" s="5775" t="s">
        <v>162</v>
      </c>
      <c r="DA248" s="5775"/>
      <c r="DB248" s="5775" t="s">
        <v>161</v>
      </c>
      <c r="DC248" s="5775"/>
      <c r="DD248" s="5775" t="s">
        <v>160</v>
      </c>
      <c r="DE248" s="5775"/>
      <c r="DF248" s="5775" t="s">
        <v>159</v>
      </c>
      <c r="DG248" s="5775"/>
      <c r="DH248" s="5775" t="s">
        <v>158</v>
      </c>
      <c r="DI248" s="5775"/>
      <c r="DJ248" s="5774" t="s">
        <v>157</v>
      </c>
      <c r="DK248" s="5774"/>
      <c r="DL248" s="5774" t="s">
        <v>156</v>
      </c>
      <c r="DM248" s="5774"/>
      <c r="DN248" s="5774" t="s">
        <v>155</v>
      </c>
      <c r="DO248" s="5774"/>
      <c r="DP248" s="5774" t="s">
        <v>154</v>
      </c>
      <c r="DQ248" s="5774"/>
      <c r="DR248" s="5774" t="s">
        <v>153</v>
      </c>
      <c r="DS248" s="5774"/>
      <c r="DT248" s="5774" t="s">
        <v>165</v>
      </c>
      <c r="DU248" s="5774"/>
      <c r="DV248" s="26"/>
      <c r="DW248" s="5775" t="s">
        <v>163</v>
      </c>
      <c r="DX248" s="5775"/>
      <c r="DY248" s="5775" t="s">
        <v>162</v>
      </c>
      <c r="DZ248" s="5775"/>
      <c r="EA248" s="5775" t="s">
        <v>161</v>
      </c>
      <c r="EB248" s="5775"/>
      <c r="EC248" s="5775" t="s">
        <v>160</v>
      </c>
      <c r="ED248" s="5775"/>
      <c r="EE248" s="5775" t="s">
        <v>159</v>
      </c>
      <c r="EF248" s="5775"/>
      <c r="EG248" s="5775" t="s">
        <v>158</v>
      </c>
      <c r="EH248" s="5775"/>
      <c r="EI248" s="5774" t="s">
        <v>157</v>
      </c>
      <c r="EJ248" s="5774"/>
      <c r="EK248" s="5774" t="s">
        <v>156</v>
      </c>
      <c r="EL248" s="5774"/>
      <c r="EM248" s="5774" t="s">
        <v>155</v>
      </c>
      <c r="EN248" s="5774"/>
      <c r="EO248" s="5774" t="s">
        <v>154</v>
      </c>
      <c r="EP248" s="5774"/>
      <c r="EQ248" s="5774" t="s">
        <v>153</v>
      </c>
      <c r="ER248" s="5774"/>
      <c r="ES248" s="5774" t="s">
        <v>165</v>
      </c>
      <c r="ET248" s="5774"/>
      <c r="EU248" s="26"/>
      <c r="EV248" s="5775" t="s">
        <v>163</v>
      </c>
      <c r="EW248" s="5775"/>
      <c r="EX248" s="5775" t="s">
        <v>162</v>
      </c>
      <c r="EY248" s="5775"/>
      <c r="EZ248" s="5775" t="s">
        <v>161</v>
      </c>
      <c r="FA248" s="5775"/>
      <c r="FB248" s="5775" t="s">
        <v>160</v>
      </c>
      <c r="FC248" s="5775"/>
      <c r="FD248" s="5775" t="s">
        <v>159</v>
      </c>
      <c r="FE248" s="5775"/>
      <c r="FF248" s="5775" t="s">
        <v>158</v>
      </c>
      <c r="FG248" s="5775"/>
      <c r="FH248" s="5774" t="s">
        <v>157</v>
      </c>
      <c r="FI248" s="5774"/>
      <c r="FJ248" s="5774" t="s">
        <v>156</v>
      </c>
      <c r="FK248" s="5774"/>
      <c r="FL248" s="5774" t="s">
        <v>155</v>
      </c>
      <c r="FM248" s="5774"/>
      <c r="FN248" s="5774" t="s">
        <v>154</v>
      </c>
      <c r="FO248" s="5774"/>
      <c r="FP248" s="5774" t="s">
        <v>153</v>
      </c>
      <c r="FQ248" s="5774"/>
      <c r="FR248" s="5774" t="s">
        <v>165</v>
      </c>
      <c r="FS248" s="5774"/>
      <c r="FT248" s="26"/>
      <c r="FU248" s="5775" t="s">
        <v>163</v>
      </c>
      <c r="FV248" s="5775"/>
      <c r="FW248" s="5775" t="s">
        <v>162</v>
      </c>
      <c r="FX248" s="5775"/>
      <c r="FY248" s="5775" t="s">
        <v>161</v>
      </c>
      <c r="FZ248" s="5775"/>
      <c r="GA248" s="5775" t="s">
        <v>160</v>
      </c>
      <c r="GB248" s="5775"/>
      <c r="GC248" s="5775" t="s">
        <v>159</v>
      </c>
      <c r="GD248" s="5775"/>
      <c r="GE248" s="5775" t="s">
        <v>158</v>
      </c>
      <c r="GF248" s="5775"/>
      <c r="GG248" s="5774" t="s">
        <v>157</v>
      </c>
      <c r="GH248" s="5774"/>
      <c r="GI248" s="5774" t="s">
        <v>156</v>
      </c>
      <c r="GJ248" s="5774"/>
      <c r="GK248" s="5774" t="s">
        <v>155</v>
      </c>
      <c r="GL248" s="5774"/>
      <c r="GM248" s="5774" t="s">
        <v>154</v>
      </c>
      <c r="GN248" s="5774"/>
      <c r="GO248" s="5774" t="s">
        <v>153</v>
      </c>
      <c r="GP248" s="5774"/>
      <c r="GQ248" s="5774" t="s">
        <v>165</v>
      </c>
      <c r="GR248" s="5774"/>
      <c r="GS248" s="26"/>
      <c r="GT248" s="5775" t="s">
        <v>163</v>
      </c>
      <c r="GU248" s="5775"/>
      <c r="GV248" s="5775" t="s">
        <v>162</v>
      </c>
      <c r="GW248" s="5775"/>
      <c r="GX248" s="5775" t="s">
        <v>161</v>
      </c>
      <c r="GY248" s="5775"/>
      <c r="GZ248" s="5775" t="s">
        <v>160</v>
      </c>
      <c r="HA248" s="5775"/>
      <c r="HB248" s="5775" t="s">
        <v>159</v>
      </c>
      <c r="HC248" s="5775"/>
      <c r="HD248" s="5775" t="s">
        <v>158</v>
      </c>
      <c r="HE248" s="5775"/>
      <c r="HF248" s="5774" t="s">
        <v>157</v>
      </c>
      <c r="HG248" s="5774"/>
      <c r="HH248" s="5774" t="s">
        <v>156</v>
      </c>
      <c r="HI248" s="5774"/>
      <c r="HJ248" s="5774" t="s">
        <v>155</v>
      </c>
      <c r="HK248" s="5774"/>
      <c r="HL248" s="5774" t="s">
        <v>154</v>
      </c>
      <c r="HM248" s="5774"/>
      <c r="HN248" s="5774" t="s">
        <v>153</v>
      </c>
      <c r="HO248" s="5774"/>
      <c r="HP248" s="5774" t="s">
        <v>165</v>
      </c>
      <c r="HQ248" s="5774"/>
      <c r="HR248" s="26"/>
      <c r="HS248" s="5775" t="s">
        <v>163</v>
      </c>
      <c r="HT248" s="5775"/>
      <c r="HU248" s="5775" t="s">
        <v>162</v>
      </c>
      <c r="HV248" s="5775"/>
      <c r="HW248" s="5775" t="s">
        <v>161</v>
      </c>
      <c r="HX248" s="5775"/>
      <c r="HY248" s="5775" t="s">
        <v>160</v>
      </c>
      <c r="HZ248" s="5775"/>
      <c r="IA248" s="5775" t="s">
        <v>159</v>
      </c>
      <c r="IB248" s="5775"/>
      <c r="IC248" s="5775" t="s">
        <v>158</v>
      </c>
      <c r="ID248" s="5775"/>
      <c r="IE248" s="5774" t="s">
        <v>157</v>
      </c>
      <c r="IF248" s="5774"/>
      <c r="IG248" s="5774" t="s">
        <v>156</v>
      </c>
      <c r="IH248" s="5774"/>
      <c r="II248" s="5774" t="s">
        <v>155</v>
      </c>
      <c r="IJ248" s="5774"/>
      <c r="IK248" s="5774" t="s">
        <v>154</v>
      </c>
      <c r="IL248" s="5774"/>
      <c r="IM248" s="5774" t="s">
        <v>153</v>
      </c>
      <c r="IN248" s="5774"/>
      <c r="IO248" s="5774" t="s">
        <v>165</v>
      </c>
      <c r="IP248" s="5774"/>
      <c r="IV248" s="21"/>
    </row>
    <row r="249" spans="1:256" s="21" customFormat="1" ht="6" customHeight="1">
      <c r="A249" s="23"/>
      <c r="B249" s="22"/>
      <c r="C249" s="22"/>
      <c r="D249" s="22"/>
      <c r="E249" s="22"/>
      <c r="F249" s="22"/>
      <c r="G249" s="22"/>
      <c r="H249" s="22"/>
      <c r="I249" s="22"/>
      <c r="J249" s="22"/>
      <c r="K249" s="22"/>
      <c r="L249" s="22"/>
      <c r="M249" s="22"/>
      <c r="N249" s="22"/>
      <c r="O249" s="22"/>
      <c r="P249" s="22"/>
      <c r="Q249" s="22"/>
      <c r="R249" s="22"/>
      <c r="S249" s="22"/>
      <c r="T249" s="22"/>
      <c r="U249" s="22"/>
      <c r="V249" s="22"/>
    </row>
    <row r="250" spans="1:256" s="24" customFormat="1" ht="15" customHeight="1">
      <c r="A250" s="23"/>
      <c r="B250" s="38" t="s">
        <v>171</v>
      </c>
      <c r="C250" s="34"/>
      <c r="D250" s="34"/>
      <c r="E250" s="34"/>
      <c r="F250" s="34"/>
      <c r="G250" s="34"/>
      <c r="H250" s="34"/>
      <c r="I250" s="34"/>
      <c r="J250" s="34"/>
      <c r="K250" s="34"/>
      <c r="L250" s="34"/>
      <c r="M250" s="34"/>
      <c r="N250" s="34"/>
      <c r="O250" s="34"/>
      <c r="P250" s="34"/>
      <c r="Q250" s="34"/>
      <c r="R250" s="34"/>
      <c r="S250" s="34"/>
      <c r="T250" s="34"/>
      <c r="U250" s="34"/>
      <c r="V250" s="34"/>
      <c r="W250" s="37" t="s">
        <v>90</v>
      </c>
      <c r="X250" s="37"/>
      <c r="Y250" s="37"/>
      <c r="Z250" s="34"/>
      <c r="AA250" s="38" t="s">
        <v>171</v>
      </c>
      <c r="AB250" s="34"/>
      <c r="AC250" s="34"/>
      <c r="AD250" s="34"/>
      <c r="AE250" s="34"/>
      <c r="AF250" s="34"/>
      <c r="AG250" s="34"/>
      <c r="AH250" s="34"/>
      <c r="AI250" s="34"/>
      <c r="AJ250" s="34"/>
      <c r="AK250" s="34"/>
      <c r="AL250" s="34"/>
      <c r="AM250" s="34"/>
      <c r="AN250" s="34"/>
      <c r="AO250" s="34"/>
      <c r="AP250" s="34"/>
      <c r="AQ250" s="34"/>
      <c r="AR250" s="34"/>
      <c r="AS250" s="34"/>
      <c r="AT250" s="34"/>
      <c r="AU250" s="37" t="s">
        <v>88</v>
      </c>
      <c r="AV250" s="37"/>
      <c r="AW250" s="37"/>
      <c r="AX250" s="37"/>
      <c r="AZ250" s="38" t="s">
        <v>171</v>
      </c>
      <c r="BA250" s="34"/>
      <c r="BB250" s="34"/>
      <c r="BC250" s="34"/>
      <c r="BD250" s="34"/>
      <c r="BE250" s="34"/>
      <c r="BF250" s="34"/>
      <c r="BG250" s="34"/>
      <c r="BH250" s="34"/>
      <c r="BI250" s="34"/>
      <c r="BJ250" s="34"/>
      <c r="BK250" s="34"/>
      <c r="BL250" s="34"/>
      <c r="BM250" s="34"/>
      <c r="BN250" s="34"/>
      <c r="BO250" s="34"/>
      <c r="BP250" s="34"/>
      <c r="BQ250" s="34"/>
      <c r="BR250" s="34"/>
      <c r="BS250" s="34"/>
      <c r="BT250" s="39" t="s">
        <v>87</v>
      </c>
      <c r="BU250" s="37"/>
      <c r="BV250" s="37"/>
      <c r="BW250" s="37"/>
      <c r="BX250" s="34"/>
      <c r="BY250" s="38" t="s">
        <v>171</v>
      </c>
      <c r="BZ250" s="34"/>
      <c r="CA250" s="34"/>
      <c r="CB250" s="34"/>
      <c r="CC250" s="34"/>
      <c r="CD250" s="34"/>
      <c r="CE250" s="34"/>
      <c r="CF250" s="34"/>
      <c r="CG250" s="34"/>
      <c r="CH250" s="34"/>
      <c r="CI250" s="34"/>
      <c r="CJ250" s="34"/>
      <c r="CK250" s="34"/>
      <c r="CL250" s="34"/>
      <c r="CM250" s="34"/>
      <c r="CN250" s="34"/>
      <c r="CO250" s="34"/>
      <c r="CP250" s="34"/>
      <c r="CQ250" s="34"/>
      <c r="CR250" s="39" t="s">
        <v>86</v>
      </c>
      <c r="CS250" s="39"/>
      <c r="CT250" s="37"/>
      <c r="CU250" s="37"/>
      <c r="CV250" s="37"/>
      <c r="CW250" s="34"/>
      <c r="CX250" s="38" t="s">
        <v>171</v>
      </c>
      <c r="CY250" s="34"/>
      <c r="CZ250" s="34"/>
      <c r="DA250" s="34"/>
      <c r="DB250" s="34"/>
      <c r="DC250" s="34"/>
      <c r="DD250" s="34"/>
      <c r="DE250" s="34"/>
      <c r="DF250" s="34"/>
      <c r="DG250" s="34"/>
      <c r="DH250" s="34"/>
      <c r="DI250" s="34"/>
      <c r="DJ250" s="34"/>
      <c r="DK250" s="34"/>
      <c r="DL250" s="34"/>
      <c r="DM250" s="34"/>
      <c r="DN250" s="34"/>
      <c r="DO250" s="34"/>
      <c r="DP250" s="34"/>
      <c r="DQ250" s="34"/>
      <c r="DR250" s="37" t="s">
        <v>85</v>
      </c>
      <c r="DS250" s="37"/>
      <c r="DT250" s="37"/>
      <c r="DU250" s="37"/>
      <c r="DV250" s="36"/>
      <c r="DW250" s="38" t="s">
        <v>171</v>
      </c>
      <c r="DX250" s="34"/>
      <c r="DY250" s="34"/>
      <c r="DZ250" s="34"/>
      <c r="EA250" s="34"/>
      <c r="EB250" s="34"/>
      <c r="EC250" s="34"/>
      <c r="ED250" s="34"/>
      <c r="EE250" s="34"/>
      <c r="EF250" s="34"/>
      <c r="EG250" s="34"/>
      <c r="EH250" s="34"/>
      <c r="EI250" s="34"/>
      <c r="EJ250" s="34"/>
      <c r="EK250" s="34"/>
      <c r="EL250" s="34"/>
      <c r="EM250" s="34"/>
      <c r="EN250" s="34"/>
      <c r="EO250" s="34"/>
      <c r="EP250" s="34"/>
      <c r="EQ250" s="37" t="s">
        <v>84</v>
      </c>
      <c r="ER250" s="37"/>
      <c r="ES250" s="37"/>
      <c r="ET250" s="37"/>
      <c r="EU250" s="36"/>
      <c r="EV250" s="38" t="s">
        <v>171</v>
      </c>
      <c r="EW250" s="34"/>
      <c r="EX250" s="34"/>
      <c r="EY250" s="34"/>
      <c r="EZ250" s="34"/>
      <c r="FA250" s="34"/>
      <c r="FB250" s="34"/>
      <c r="FC250" s="34"/>
      <c r="FD250" s="34"/>
      <c r="FE250" s="34"/>
      <c r="FF250" s="34"/>
      <c r="FG250" s="34"/>
      <c r="FH250" s="34"/>
      <c r="FI250" s="34"/>
      <c r="FJ250" s="34"/>
      <c r="FK250" s="34"/>
      <c r="FL250" s="34"/>
      <c r="FM250" s="34"/>
      <c r="FN250" s="34"/>
      <c r="FO250" s="34"/>
      <c r="FP250" s="37" t="s">
        <v>83</v>
      </c>
      <c r="FQ250" s="37"/>
      <c r="FR250" s="37"/>
      <c r="FS250" s="37"/>
      <c r="FT250" s="36"/>
      <c r="FU250" s="38" t="s">
        <v>171</v>
      </c>
      <c r="FV250" s="34"/>
      <c r="FW250" s="34"/>
      <c r="FX250" s="34"/>
      <c r="FY250" s="34"/>
      <c r="FZ250" s="34"/>
      <c r="GA250" s="34"/>
      <c r="GB250" s="34"/>
      <c r="GC250" s="34"/>
      <c r="GD250" s="34"/>
      <c r="GE250" s="34"/>
      <c r="GF250" s="34"/>
      <c r="GG250" s="34"/>
      <c r="GH250" s="34"/>
      <c r="GI250" s="34"/>
      <c r="GJ250" s="34"/>
      <c r="GK250" s="34"/>
      <c r="GL250" s="34"/>
      <c r="GM250" s="34"/>
      <c r="GN250" s="39" t="s">
        <v>82</v>
      </c>
      <c r="GO250" s="37"/>
      <c r="GP250" s="37"/>
      <c r="GQ250" s="37"/>
      <c r="GR250" s="37"/>
      <c r="GS250" s="36"/>
      <c r="GT250" s="38" t="s">
        <v>171</v>
      </c>
      <c r="GU250" s="34"/>
      <c r="GV250" s="34"/>
      <c r="GW250" s="34"/>
      <c r="GX250" s="34"/>
      <c r="GY250" s="34"/>
      <c r="GZ250" s="34"/>
      <c r="HA250" s="34"/>
      <c r="HB250" s="34"/>
      <c r="HC250" s="34"/>
      <c r="HD250" s="34"/>
      <c r="HE250" s="34"/>
      <c r="HF250" s="34"/>
      <c r="HG250" s="34"/>
      <c r="HH250" s="34"/>
      <c r="HI250" s="34"/>
      <c r="HJ250" s="34"/>
      <c r="HK250" s="34"/>
      <c r="HL250" s="34"/>
      <c r="HM250" s="39" t="s">
        <v>81</v>
      </c>
      <c r="HN250" s="37"/>
      <c r="HO250" s="37"/>
      <c r="HP250" s="37"/>
      <c r="HQ250" s="37"/>
      <c r="HR250" s="36"/>
      <c r="HS250" s="38" t="s">
        <v>171</v>
      </c>
      <c r="HT250" s="34"/>
      <c r="HU250" s="34"/>
      <c r="HV250" s="34"/>
      <c r="HW250" s="34"/>
      <c r="HX250" s="34"/>
      <c r="HY250" s="34"/>
      <c r="HZ250" s="34"/>
      <c r="IA250" s="34"/>
      <c r="IB250" s="34"/>
      <c r="IC250" s="34"/>
      <c r="ID250" s="34"/>
      <c r="IE250" s="34"/>
      <c r="IF250" s="34"/>
      <c r="IG250" s="34"/>
      <c r="IH250" s="34"/>
      <c r="II250" s="34"/>
      <c r="IJ250" s="34"/>
      <c r="IK250" s="34"/>
      <c r="IL250" s="39" t="s">
        <v>80</v>
      </c>
      <c r="IM250" s="37"/>
      <c r="IN250" s="37"/>
      <c r="IO250" s="37"/>
      <c r="IP250" s="37"/>
      <c r="IV250" s="21"/>
    </row>
    <row r="251" spans="1:256" s="24" customFormat="1" ht="8.1" customHeight="1" thickBot="1">
      <c r="A251" s="23"/>
      <c r="CW251" s="26"/>
      <c r="DV251" s="26"/>
      <c r="EU251" s="26"/>
      <c r="FT251" s="26"/>
      <c r="GS251" s="26"/>
      <c r="HR251" s="26"/>
      <c r="IV251" s="21"/>
    </row>
    <row r="252" spans="1:256" s="24" customFormat="1" ht="14.1" customHeight="1" thickBot="1">
      <c r="A252" s="35">
        <v>20</v>
      </c>
      <c r="B252" s="33">
        <f>'الصفحة 35'!$E$42</f>
        <v>0</v>
      </c>
      <c r="C252" s="32">
        <f>'الصفحة 35'!$F$42</f>
        <v>0</v>
      </c>
      <c r="D252" s="30">
        <f>'الصفحة 35'!$G$42</f>
        <v>0</v>
      </c>
      <c r="E252" s="31">
        <f>'الصفحة 35'!$H$42</f>
        <v>0</v>
      </c>
      <c r="F252" s="30">
        <f>'الصفحة 35'!$I$42</f>
        <v>1</v>
      </c>
      <c r="G252" s="31">
        <f>'الصفحة 35'!$J$42</f>
        <v>1</v>
      </c>
      <c r="H252" s="30">
        <f>'الصفحة 35'!$K$42</f>
        <v>0</v>
      </c>
      <c r="I252" s="31">
        <f>'الصفحة 35'!$L$42</f>
        <v>0</v>
      </c>
      <c r="J252" s="30">
        <f>'الصفحة 35'!$M$42</f>
        <v>0</v>
      </c>
      <c r="K252" s="31">
        <f>'الصفحة 35'!$N$42</f>
        <v>0</v>
      </c>
      <c r="L252" s="30">
        <f>'الصفحة 35'!$O$42</f>
        <v>0</v>
      </c>
      <c r="M252" s="31">
        <f>'الصفحة 35'!$P$42</f>
        <v>0</v>
      </c>
      <c r="N252" s="30">
        <f>'الصفحة 36'!$E$42</f>
        <v>0</v>
      </c>
      <c r="O252" s="31">
        <f>'الصفحة 36'!$F$42</f>
        <v>0</v>
      </c>
      <c r="P252" s="30">
        <f>'الصفحة 36'!$G$42</f>
        <v>0</v>
      </c>
      <c r="Q252" s="31">
        <f>'الصفحة 36'!$H$42</f>
        <v>0</v>
      </c>
      <c r="R252" s="30">
        <f>'الصفحة 36'!$I$42</f>
        <v>0</v>
      </c>
      <c r="S252" s="31">
        <f>'الصفحة 36'!$J$42</f>
        <v>0</v>
      </c>
      <c r="T252" s="30">
        <f>'الصفحة 36'!$K$42</f>
        <v>0</v>
      </c>
      <c r="U252" s="31">
        <f>'الصفحة 36'!$L$42</f>
        <v>0</v>
      </c>
      <c r="V252" s="30">
        <f>'الصفحة 36'!$M$42</f>
        <v>0</v>
      </c>
      <c r="W252" s="31">
        <f>'الصفحة 36'!$N$42</f>
        <v>0</v>
      </c>
      <c r="X252" s="30">
        <f>'الصفحة 36'!$O$42</f>
        <v>1</v>
      </c>
      <c r="Y252" s="29">
        <f>'الصفحة 36'!$P$42</f>
        <v>1</v>
      </c>
      <c r="Z252" s="34"/>
      <c r="AA252" s="33">
        <f>'الصفحة 35'!$E$44</f>
        <v>0</v>
      </c>
      <c r="AB252" s="32">
        <f>'الصفحة 35'!$F$44</f>
        <v>0</v>
      </c>
      <c r="AC252" s="30">
        <f>'الصفحة 35'!$G$44</f>
        <v>0</v>
      </c>
      <c r="AD252" s="31">
        <f>'الصفحة 35'!$H$44</f>
        <v>0</v>
      </c>
      <c r="AE252" s="30">
        <f>'الصفحة 35'!$I$44</f>
        <v>0</v>
      </c>
      <c r="AF252" s="31">
        <f>'الصفحة 35'!$J$44</f>
        <v>0</v>
      </c>
      <c r="AG252" s="30">
        <f>'الصفحة 35'!$K$44</f>
        <v>0</v>
      </c>
      <c r="AH252" s="31">
        <f>'الصفحة 35'!$L$44</f>
        <v>0</v>
      </c>
      <c r="AI252" s="30">
        <f>'الصفحة 35'!$M$44</f>
        <v>0</v>
      </c>
      <c r="AJ252" s="31">
        <f>'الصفحة 35'!$N$44</f>
        <v>0</v>
      </c>
      <c r="AK252" s="30">
        <f>'الصفحة 35'!$O$44</f>
        <v>0</v>
      </c>
      <c r="AL252" s="31">
        <f>'الصفحة 35'!$P$44</f>
        <v>0</v>
      </c>
      <c r="AM252" s="30">
        <f>'الصفحة 36'!$E$44</f>
        <v>0</v>
      </c>
      <c r="AN252" s="31">
        <f>'الصفحة 36'!$F$44</f>
        <v>0</v>
      </c>
      <c r="AO252" s="30">
        <f>'الصفحة 36'!$G$44</f>
        <v>0</v>
      </c>
      <c r="AP252" s="31">
        <f>'الصفحة 36'!$H$44</f>
        <v>0</v>
      </c>
      <c r="AQ252" s="30">
        <f>'الصفحة 36'!$I$44</f>
        <v>0</v>
      </c>
      <c r="AR252" s="31">
        <f>'الصفحة 36'!$J$44</f>
        <v>0</v>
      </c>
      <c r="AS252" s="30">
        <f>'الصفحة 36'!$K$44</f>
        <v>0</v>
      </c>
      <c r="AT252" s="31">
        <f>'الصفحة 36'!$L$44</f>
        <v>0</v>
      </c>
      <c r="AU252" s="30">
        <f>'الصفحة 36'!$M$44</f>
        <v>0</v>
      </c>
      <c r="AV252" s="31">
        <f>'الصفحة 36'!$N$44</f>
        <v>0</v>
      </c>
      <c r="AW252" s="30">
        <f>'الصفحة 36'!$O$44</f>
        <v>0</v>
      </c>
      <c r="AX252" s="29">
        <f>'الصفحة 36'!$P$44</f>
        <v>0</v>
      </c>
      <c r="AZ252" s="33">
        <f>'الصفحة 35'!$E$45</f>
        <v>0</v>
      </c>
      <c r="BA252" s="32">
        <f>'الصفحة 35'!$F$45</f>
        <v>0</v>
      </c>
      <c r="BB252" s="30">
        <f>'الصفحة 35'!$G$45</f>
        <v>0</v>
      </c>
      <c r="BC252" s="31">
        <f>'الصفحة 35'!$H$45</f>
        <v>0</v>
      </c>
      <c r="BD252" s="30">
        <f>'الصفحة 35'!$I$45</f>
        <v>0</v>
      </c>
      <c r="BE252" s="31">
        <f>'الصفحة 35'!$J$45</f>
        <v>0</v>
      </c>
      <c r="BF252" s="30">
        <f>'الصفحة 35'!$K$45</f>
        <v>0</v>
      </c>
      <c r="BG252" s="31">
        <f>'الصفحة 35'!$L$45</f>
        <v>0</v>
      </c>
      <c r="BH252" s="30">
        <f>'الصفحة 35'!$M$45</f>
        <v>0</v>
      </c>
      <c r="BI252" s="31">
        <f>'الصفحة 35'!$N$45</f>
        <v>0</v>
      </c>
      <c r="BJ252" s="30">
        <f>'الصفحة 35'!$O$45</f>
        <v>0</v>
      </c>
      <c r="BK252" s="31">
        <f>'الصفحة 35'!$P$45</f>
        <v>0</v>
      </c>
      <c r="BL252" s="30">
        <f>'الصفحة 36'!$E$45</f>
        <v>0</v>
      </c>
      <c r="BM252" s="31">
        <f>'الصفحة 36'!$F$45</f>
        <v>0</v>
      </c>
      <c r="BN252" s="30">
        <f>'الصفحة 36'!$G$45</f>
        <v>0</v>
      </c>
      <c r="BO252" s="31">
        <f>'الصفحة 36'!$H$45</f>
        <v>0</v>
      </c>
      <c r="BP252" s="30">
        <f>'الصفحة 36'!$I$45</f>
        <v>0</v>
      </c>
      <c r="BQ252" s="31">
        <f>'الصفحة 36'!$J$45</f>
        <v>0</v>
      </c>
      <c r="BR252" s="30">
        <f>'الصفحة 36'!$K$45</f>
        <v>0</v>
      </c>
      <c r="BS252" s="31">
        <f>'الصفحة 36'!$L$45</f>
        <v>0</v>
      </c>
      <c r="BT252" s="30">
        <f>'الصفحة 36'!$M$45</f>
        <v>0</v>
      </c>
      <c r="BU252" s="31">
        <f>'الصفحة 36'!$N$45</f>
        <v>0</v>
      </c>
      <c r="BV252" s="30">
        <f>'الصفحة 36'!$O$45</f>
        <v>0</v>
      </c>
      <c r="BW252" s="29">
        <f>'الصفحة 36'!$P$45</f>
        <v>0</v>
      </c>
      <c r="BX252" s="34"/>
      <c r="BY252" s="33">
        <f>'الصفحة 35'!$E$46</f>
        <v>0</v>
      </c>
      <c r="BZ252" s="32">
        <f>'الصفحة 35'!$F$46</f>
        <v>0</v>
      </c>
      <c r="CA252" s="30">
        <f>'الصفحة 35'!$G$46</f>
        <v>0</v>
      </c>
      <c r="CB252" s="31">
        <f>'الصفحة 35'!$H$46</f>
        <v>0</v>
      </c>
      <c r="CC252" s="30">
        <f>'الصفحة 35'!$I$46</f>
        <v>0</v>
      </c>
      <c r="CD252" s="31">
        <f>'الصفحة 35'!$J$46</f>
        <v>0</v>
      </c>
      <c r="CE252" s="30">
        <f>'الصفحة 35'!$K$46</f>
        <v>0</v>
      </c>
      <c r="CF252" s="31">
        <f>'الصفحة 35'!$L$46</f>
        <v>0</v>
      </c>
      <c r="CG252" s="30">
        <f>'الصفحة 35'!$M$46</f>
        <v>0</v>
      </c>
      <c r="CH252" s="31">
        <f>'الصفحة 35'!$N$46</f>
        <v>0</v>
      </c>
      <c r="CI252" s="30">
        <f>'الصفحة 35'!$O$46</f>
        <v>0</v>
      </c>
      <c r="CJ252" s="31">
        <f>'الصفحة 35'!$P$46</f>
        <v>0</v>
      </c>
      <c r="CK252" s="30">
        <f>'الصفحة 36'!$E$46</f>
        <v>0</v>
      </c>
      <c r="CL252" s="31">
        <f>'الصفحة 36'!$F$46</f>
        <v>0</v>
      </c>
      <c r="CM252" s="30">
        <f>'الصفحة 36'!$G$46</f>
        <v>0</v>
      </c>
      <c r="CN252" s="31">
        <f>'الصفحة 36'!$H$46</f>
        <v>0</v>
      </c>
      <c r="CO252" s="30">
        <f>'الصفحة 36'!$I$46</f>
        <v>0</v>
      </c>
      <c r="CP252" s="31">
        <f>'الصفحة 36'!$J$46</f>
        <v>0</v>
      </c>
      <c r="CQ252" s="30">
        <f>'الصفحة 36'!$K$46</f>
        <v>0</v>
      </c>
      <c r="CR252" s="31">
        <f>'الصفحة 36'!$L$46</f>
        <v>0</v>
      </c>
      <c r="CS252" s="30">
        <f>'الصفحة 36'!$M$46</f>
        <v>0</v>
      </c>
      <c r="CT252" s="31">
        <f>'الصفحة 36'!$N$46</f>
        <v>0</v>
      </c>
      <c r="CU252" s="30">
        <f>'الصفحة 36'!$O$46</f>
        <v>0</v>
      </c>
      <c r="CV252" s="29">
        <f>'الصفحة 36'!$P$46</f>
        <v>0</v>
      </c>
      <c r="CW252" s="28"/>
      <c r="CX252" s="33">
        <f>'الصفحة 35'!$E$47</f>
        <v>0</v>
      </c>
      <c r="CY252" s="32">
        <f>'الصفحة 35'!$F$47</f>
        <v>0</v>
      </c>
      <c r="CZ252" s="30">
        <f>'الصفحة 35'!$G$47</f>
        <v>0</v>
      </c>
      <c r="DA252" s="31">
        <f>'الصفحة 35'!$H$47</f>
        <v>0</v>
      </c>
      <c r="DB252" s="30">
        <f>'الصفحة 35'!$I$47</f>
        <v>0</v>
      </c>
      <c r="DC252" s="31">
        <f>'الصفحة 35'!$J$47</f>
        <v>0</v>
      </c>
      <c r="DD252" s="30">
        <f>'الصفحة 35'!$K$47</f>
        <v>0</v>
      </c>
      <c r="DE252" s="31">
        <f>'الصفحة 35'!$L$47</f>
        <v>0</v>
      </c>
      <c r="DF252" s="30">
        <f>'الصفحة 35'!$M$47</f>
        <v>0</v>
      </c>
      <c r="DG252" s="31">
        <f>'الصفحة 35'!$N$47</f>
        <v>0</v>
      </c>
      <c r="DH252" s="30">
        <f>'الصفحة 35'!$O$47</f>
        <v>0</v>
      </c>
      <c r="DI252" s="31">
        <f>'الصفحة 35'!$P$47</f>
        <v>0</v>
      </c>
      <c r="DJ252" s="30">
        <f>'الصفحة 36'!$E$47</f>
        <v>0</v>
      </c>
      <c r="DK252" s="31">
        <f>'الصفحة 36'!$F$47</f>
        <v>0</v>
      </c>
      <c r="DL252" s="30">
        <f>'الصفحة 36'!$G$47</f>
        <v>0</v>
      </c>
      <c r="DM252" s="31">
        <f>'الصفحة 36'!$H$47</f>
        <v>0</v>
      </c>
      <c r="DN252" s="30">
        <f>'الصفحة 36'!$I$47</f>
        <v>0</v>
      </c>
      <c r="DO252" s="31">
        <f>'الصفحة 36'!$J$47</f>
        <v>0</v>
      </c>
      <c r="DP252" s="30">
        <f>'الصفحة 36'!$K$47</f>
        <v>0</v>
      </c>
      <c r="DQ252" s="31">
        <f>'الصفحة 36'!$L$47</f>
        <v>0</v>
      </c>
      <c r="DR252" s="30">
        <f>'الصفحة 36'!$M$47</f>
        <v>0</v>
      </c>
      <c r="DS252" s="31">
        <f>'الصفحة 36'!$N$47</f>
        <v>0</v>
      </c>
      <c r="DT252" s="30">
        <f>'الصفحة 36'!$O$47</f>
        <v>0</v>
      </c>
      <c r="DU252" s="29">
        <f>'الصفحة 36'!$P$47</f>
        <v>0</v>
      </c>
      <c r="DV252" s="28"/>
      <c r="DW252" s="33">
        <f>'الصفحة 35'!$E$48</f>
        <v>0</v>
      </c>
      <c r="DX252" s="32">
        <f>'الصفحة 35'!$F$48</f>
        <v>0</v>
      </c>
      <c r="DY252" s="30">
        <f>'الصفحة 35'!$G$48</f>
        <v>0</v>
      </c>
      <c r="DZ252" s="31">
        <f>'الصفحة 35'!$H$48</f>
        <v>0</v>
      </c>
      <c r="EA252" s="30">
        <f>'الصفحة 35'!$I$48</f>
        <v>0</v>
      </c>
      <c r="EB252" s="31">
        <f>'الصفحة 35'!$J$48</f>
        <v>0</v>
      </c>
      <c r="EC252" s="30">
        <f>'الصفحة 35'!$K$48</f>
        <v>0</v>
      </c>
      <c r="ED252" s="31">
        <f>'الصفحة 35'!$L$48</f>
        <v>0</v>
      </c>
      <c r="EE252" s="30">
        <f>'الصفحة 35'!$M$48</f>
        <v>0</v>
      </c>
      <c r="EF252" s="31">
        <f>'الصفحة 35'!$N$48</f>
        <v>0</v>
      </c>
      <c r="EG252" s="30">
        <f>'الصفحة 35'!$O$48</f>
        <v>0</v>
      </c>
      <c r="EH252" s="31">
        <f>'الصفحة 35'!$P$48</f>
        <v>0</v>
      </c>
      <c r="EI252" s="30">
        <f>'الصفحة 36'!$E$48</f>
        <v>0</v>
      </c>
      <c r="EJ252" s="31">
        <f>'الصفحة 36'!$F$48</f>
        <v>0</v>
      </c>
      <c r="EK252" s="30">
        <f>'الصفحة 36'!$G$48</f>
        <v>0</v>
      </c>
      <c r="EL252" s="31">
        <f>'الصفحة 36'!$H$48</f>
        <v>0</v>
      </c>
      <c r="EM252" s="30">
        <f>'الصفحة 36'!$I$48</f>
        <v>0</v>
      </c>
      <c r="EN252" s="31">
        <f>'الصفحة 36'!$J$48</f>
        <v>0</v>
      </c>
      <c r="EO252" s="30">
        <f>'الصفحة 36'!$K$48</f>
        <v>0</v>
      </c>
      <c r="EP252" s="31">
        <f>'الصفحة 36'!$L$48</f>
        <v>0</v>
      </c>
      <c r="EQ252" s="30">
        <f>'الصفحة 36'!$M$48</f>
        <v>0</v>
      </c>
      <c r="ER252" s="31">
        <f>'الصفحة 36'!$N$48</f>
        <v>0</v>
      </c>
      <c r="ES252" s="30">
        <f>'الصفحة 36'!$O$48</f>
        <v>0</v>
      </c>
      <c r="ET252" s="29">
        <f>'الصفحة 36'!$P$48</f>
        <v>0</v>
      </c>
      <c r="EU252" s="28"/>
      <c r="EV252" s="33">
        <f>'الصفحة 35'!$E$49</f>
        <v>0</v>
      </c>
      <c r="EW252" s="32">
        <f>'الصفحة 35'!$F$49</f>
        <v>0</v>
      </c>
      <c r="EX252" s="30">
        <f>'الصفحة 35'!$G$49</f>
        <v>0</v>
      </c>
      <c r="EY252" s="31">
        <f>'الصفحة 35'!$H$49</f>
        <v>0</v>
      </c>
      <c r="EZ252" s="30">
        <f>'الصفحة 35'!$I$49</f>
        <v>0</v>
      </c>
      <c r="FA252" s="31">
        <f>'الصفحة 35'!$J$49</f>
        <v>0</v>
      </c>
      <c r="FB252" s="30">
        <f>'الصفحة 35'!$K$49</f>
        <v>0</v>
      </c>
      <c r="FC252" s="31">
        <f>'الصفحة 35'!$L$49</f>
        <v>0</v>
      </c>
      <c r="FD252" s="30">
        <f>'الصفحة 35'!$M$49</f>
        <v>0</v>
      </c>
      <c r="FE252" s="31">
        <f>'الصفحة 35'!$N$49</f>
        <v>0</v>
      </c>
      <c r="FF252" s="30">
        <f>'الصفحة 35'!$O$49</f>
        <v>0</v>
      </c>
      <c r="FG252" s="31">
        <f>'الصفحة 35'!$P$49</f>
        <v>0</v>
      </c>
      <c r="FH252" s="30">
        <f>'الصفحة 36'!$E$49</f>
        <v>0</v>
      </c>
      <c r="FI252" s="31">
        <f>'الصفحة 36'!$F$49</f>
        <v>0</v>
      </c>
      <c r="FJ252" s="30">
        <f>'الصفحة 36'!$G$49</f>
        <v>0</v>
      </c>
      <c r="FK252" s="31">
        <f>'الصفحة 36'!$H$49</f>
        <v>0</v>
      </c>
      <c r="FL252" s="30">
        <f>'الصفحة 36'!$I$49</f>
        <v>0</v>
      </c>
      <c r="FM252" s="31">
        <f>'الصفحة 36'!$J$49</f>
        <v>0</v>
      </c>
      <c r="FN252" s="30">
        <f>'الصفحة 36'!$K$49</f>
        <v>0</v>
      </c>
      <c r="FO252" s="31">
        <f>'الصفحة 36'!$L$49</f>
        <v>0</v>
      </c>
      <c r="FP252" s="30">
        <f>'الصفحة 36'!$M$49</f>
        <v>0</v>
      </c>
      <c r="FQ252" s="31">
        <f>'الصفحة 36'!$N$49</f>
        <v>0</v>
      </c>
      <c r="FR252" s="30">
        <f>'الصفحة 36'!$O$49</f>
        <v>0</v>
      </c>
      <c r="FS252" s="29">
        <f>'الصفحة 36'!$P$49</f>
        <v>0</v>
      </c>
      <c r="FT252" s="28"/>
      <c r="FU252" s="33">
        <f>'الصفحة 35'!$E$50</f>
        <v>0</v>
      </c>
      <c r="FV252" s="32">
        <f>'الصفحة 35'!$F$50</f>
        <v>0</v>
      </c>
      <c r="FW252" s="30">
        <f>'الصفحة 35'!$G$50</f>
        <v>0</v>
      </c>
      <c r="FX252" s="31">
        <f>'الصفحة 35'!$H$50</f>
        <v>0</v>
      </c>
      <c r="FY252" s="30">
        <f>'الصفحة 35'!$I$50</f>
        <v>0</v>
      </c>
      <c r="FZ252" s="31">
        <f>'الصفحة 35'!$J$50</f>
        <v>0</v>
      </c>
      <c r="GA252" s="30">
        <f>'الصفحة 35'!$K$50</f>
        <v>0</v>
      </c>
      <c r="GB252" s="31">
        <f>'الصفحة 35'!$L$50</f>
        <v>0</v>
      </c>
      <c r="GC252" s="30">
        <f>'الصفحة 35'!$M$50</f>
        <v>0</v>
      </c>
      <c r="GD252" s="31">
        <f>'الصفحة 35'!$N$50</f>
        <v>0</v>
      </c>
      <c r="GE252" s="30">
        <f>'الصفحة 35'!$O$50</f>
        <v>0</v>
      </c>
      <c r="GF252" s="31">
        <f>'الصفحة 35'!$P$50</f>
        <v>0</v>
      </c>
      <c r="GG252" s="30">
        <f>'الصفحة 36'!$E$50</f>
        <v>0</v>
      </c>
      <c r="GH252" s="31">
        <f>'الصفحة 36'!$F$50</f>
        <v>0</v>
      </c>
      <c r="GI252" s="30">
        <f>'الصفحة 36'!$G$50</f>
        <v>0</v>
      </c>
      <c r="GJ252" s="31">
        <f>'الصفحة 36'!$H$50</f>
        <v>0</v>
      </c>
      <c r="GK252" s="30">
        <f>'الصفحة 36'!$I$50</f>
        <v>0</v>
      </c>
      <c r="GL252" s="31">
        <f>'الصفحة 36'!$J$50</f>
        <v>0</v>
      </c>
      <c r="GM252" s="30">
        <f>'الصفحة 36'!$K$50</f>
        <v>0</v>
      </c>
      <c r="GN252" s="31">
        <f>'الصفحة 36'!$L$50</f>
        <v>0</v>
      </c>
      <c r="GO252" s="30">
        <f>'الصفحة 36'!$M$50</f>
        <v>0</v>
      </c>
      <c r="GP252" s="31">
        <f>'الصفحة 36'!$N$50</f>
        <v>0</v>
      </c>
      <c r="GQ252" s="30">
        <f>'الصفحة 36'!$O$50</f>
        <v>0</v>
      </c>
      <c r="GR252" s="29">
        <f>'الصفحة 36'!$P$50</f>
        <v>0</v>
      </c>
      <c r="GS252" s="28"/>
      <c r="GT252" s="33">
        <f>'الصفحة 35'!$E$51</f>
        <v>0</v>
      </c>
      <c r="GU252" s="32">
        <f>'الصفحة 35'!$F$51</f>
        <v>0</v>
      </c>
      <c r="GV252" s="30">
        <f>'الصفحة 35'!$G$51</f>
        <v>0</v>
      </c>
      <c r="GW252" s="30">
        <f>'الصفحة 35'!$H$51</f>
        <v>0</v>
      </c>
      <c r="GX252" s="30">
        <f>'الصفحة 35'!$I$51</f>
        <v>0</v>
      </c>
      <c r="GY252" s="31">
        <f>'الصفحة 35'!$J$51</f>
        <v>0</v>
      </c>
      <c r="GZ252" s="30">
        <f>'الصفحة 35'!$K$51</f>
        <v>0</v>
      </c>
      <c r="HA252" s="31">
        <f>'الصفحة 35'!$L$51</f>
        <v>0</v>
      </c>
      <c r="HB252" s="30">
        <f>'الصفحة 35'!$M$51</f>
        <v>0</v>
      </c>
      <c r="HC252" s="31">
        <f>'الصفحة 35'!$N$51</f>
        <v>0</v>
      </c>
      <c r="HD252" s="30">
        <f>'الصفحة 35'!$O$51</f>
        <v>0</v>
      </c>
      <c r="HE252" s="31">
        <f>'الصفحة 35'!$P$51</f>
        <v>0</v>
      </c>
      <c r="HF252" s="30">
        <f>'الصفحة 36'!$E$51</f>
        <v>0</v>
      </c>
      <c r="HG252" s="31">
        <f>'الصفحة 36'!$F$51</f>
        <v>0</v>
      </c>
      <c r="HH252" s="30">
        <f>'الصفحة 36'!$G$51</f>
        <v>0</v>
      </c>
      <c r="HI252" s="31">
        <f>'الصفحة 36'!$H$51</f>
        <v>0</v>
      </c>
      <c r="HJ252" s="30">
        <f>'الصفحة 36'!$I$51</f>
        <v>0</v>
      </c>
      <c r="HK252" s="31">
        <f>'الصفحة 36'!$J$51</f>
        <v>0</v>
      </c>
      <c r="HL252" s="30">
        <f>'الصفحة 36'!$K$51</f>
        <v>0</v>
      </c>
      <c r="HM252" s="31">
        <f>'الصفحة 36'!$L$51</f>
        <v>0</v>
      </c>
      <c r="HN252" s="30">
        <f>'الصفحة 36'!$M$51</f>
        <v>0</v>
      </c>
      <c r="HO252" s="31">
        <f>'الصفحة 36'!$N$51</f>
        <v>0</v>
      </c>
      <c r="HP252" s="30">
        <f>'الصفحة 36'!$O$51</f>
        <v>0</v>
      </c>
      <c r="HQ252" s="29">
        <f>'الصفحة 36'!$P$51</f>
        <v>0</v>
      </c>
      <c r="HR252" s="28"/>
      <c r="HS252" s="33">
        <f>'الصفحة 35'!$E$52</f>
        <v>0</v>
      </c>
      <c r="HT252" s="32">
        <f>'الصفحة 35'!$F$52</f>
        <v>0</v>
      </c>
      <c r="HU252" s="30">
        <f>'الصفحة 35'!$G$52</f>
        <v>0</v>
      </c>
      <c r="HV252" s="30">
        <f>'الصفحة 35'!$H$52</f>
        <v>0</v>
      </c>
      <c r="HW252" s="30">
        <f>'الصفحة 35'!$I$52</f>
        <v>0</v>
      </c>
      <c r="HX252" s="31">
        <f>'الصفحة 35'!$J$52</f>
        <v>0</v>
      </c>
      <c r="HY252" s="30">
        <f>'الصفحة 35'!$K$52</f>
        <v>0</v>
      </c>
      <c r="HZ252" s="31">
        <f>'الصفحة 35'!$L$52</f>
        <v>0</v>
      </c>
      <c r="IA252" s="30">
        <f>'الصفحة 35'!$M$52</f>
        <v>0</v>
      </c>
      <c r="IB252" s="31">
        <f>'الصفحة 35'!$N$52</f>
        <v>0</v>
      </c>
      <c r="IC252" s="30">
        <f>'الصفحة 35'!$O$52</f>
        <v>0</v>
      </c>
      <c r="ID252" s="31">
        <f>'الصفحة 35'!$P$52</f>
        <v>0</v>
      </c>
      <c r="IE252" s="30">
        <f>'الصفحة 36'!$E$52</f>
        <v>0</v>
      </c>
      <c r="IF252" s="31">
        <f>'الصفحة 36'!$F$52</f>
        <v>0</v>
      </c>
      <c r="IG252" s="30">
        <f>'الصفحة 36'!$G$52</f>
        <v>0</v>
      </c>
      <c r="IH252" s="31">
        <f>'الصفحة 36'!$H$52</f>
        <v>0</v>
      </c>
      <c r="II252" s="30">
        <f>'الصفحة 36'!$I$52</f>
        <v>0</v>
      </c>
      <c r="IJ252" s="31">
        <f>'الصفحة 36'!$J$52</f>
        <v>0</v>
      </c>
      <c r="IK252" s="30">
        <f>'الصفحة 36'!$K$52</f>
        <v>0</v>
      </c>
      <c r="IL252" s="31">
        <f>'الصفحة 36'!$L$52</f>
        <v>0</v>
      </c>
      <c r="IM252" s="30">
        <f>'الصفحة 36'!$M$52</f>
        <v>0</v>
      </c>
      <c r="IN252" s="31">
        <f>'الصفحة 36'!$N$52</f>
        <v>0</v>
      </c>
      <c r="IO252" s="30">
        <f>'الصفحة 36'!$O$52</f>
        <v>0</v>
      </c>
      <c r="IP252" s="29">
        <f>'الصفحة 36'!$P$52</f>
        <v>0</v>
      </c>
      <c r="IQ252" s="40"/>
      <c r="IR252" s="27"/>
      <c r="IS252" s="27"/>
      <c r="IT252" s="27"/>
      <c r="IV252" s="21"/>
    </row>
    <row r="253" spans="1:256" s="24" customFormat="1" ht="10.5" customHeight="1">
      <c r="A253" s="23"/>
      <c r="B253" s="5775" t="s">
        <v>163</v>
      </c>
      <c r="C253" s="5775"/>
      <c r="D253" s="5775" t="s">
        <v>162</v>
      </c>
      <c r="E253" s="5775"/>
      <c r="F253" s="5775" t="s">
        <v>161</v>
      </c>
      <c r="G253" s="5775"/>
      <c r="H253" s="5775" t="s">
        <v>160</v>
      </c>
      <c r="I253" s="5775"/>
      <c r="J253" s="5775" t="s">
        <v>159</v>
      </c>
      <c r="K253" s="5775"/>
      <c r="L253" s="5775" t="s">
        <v>158</v>
      </c>
      <c r="M253" s="5775"/>
      <c r="N253" s="5774" t="s">
        <v>157</v>
      </c>
      <c r="O253" s="5774"/>
      <c r="P253" s="5774" t="s">
        <v>156</v>
      </c>
      <c r="Q253" s="5774"/>
      <c r="R253" s="5774" t="s">
        <v>155</v>
      </c>
      <c r="S253" s="5774"/>
      <c r="T253" s="5774" t="s">
        <v>154</v>
      </c>
      <c r="U253" s="5774"/>
      <c r="V253" s="5774" t="s">
        <v>153</v>
      </c>
      <c r="W253" s="5774"/>
      <c r="X253" s="5774" t="s">
        <v>165</v>
      </c>
      <c r="Y253" s="5774"/>
      <c r="AA253" s="5775" t="s">
        <v>163</v>
      </c>
      <c r="AB253" s="5775"/>
      <c r="AC253" s="5775" t="s">
        <v>162</v>
      </c>
      <c r="AD253" s="5775"/>
      <c r="AE253" s="5775" t="s">
        <v>161</v>
      </c>
      <c r="AF253" s="5775"/>
      <c r="AG253" s="5775" t="s">
        <v>160</v>
      </c>
      <c r="AH253" s="5775"/>
      <c r="AI253" s="5775" t="s">
        <v>159</v>
      </c>
      <c r="AJ253" s="5775"/>
      <c r="AK253" s="5775" t="s">
        <v>158</v>
      </c>
      <c r="AL253" s="5775"/>
      <c r="AM253" s="5774" t="s">
        <v>157</v>
      </c>
      <c r="AN253" s="5774"/>
      <c r="AO253" s="5774" t="s">
        <v>156</v>
      </c>
      <c r="AP253" s="5774"/>
      <c r="AQ253" s="5774" t="s">
        <v>155</v>
      </c>
      <c r="AR253" s="5774"/>
      <c r="AS253" s="5774" t="s">
        <v>154</v>
      </c>
      <c r="AT253" s="5774"/>
      <c r="AU253" s="5774" t="s">
        <v>153</v>
      </c>
      <c r="AV253" s="5774"/>
      <c r="AW253" s="5774" t="s">
        <v>165</v>
      </c>
      <c r="AX253" s="5774"/>
      <c r="AZ253" s="5775" t="s">
        <v>163</v>
      </c>
      <c r="BA253" s="5775"/>
      <c r="BB253" s="5775" t="s">
        <v>162</v>
      </c>
      <c r="BC253" s="5775"/>
      <c r="BD253" s="5775" t="s">
        <v>161</v>
      </c>
      <c r="BE253" s="5775"/>
      <c r="BF253" s="5775" t="s">
        <v>160</v>
      </c>
      <c r="BG253" s="5775"/>
      <c r="BH253" s="5775" t="s">
        <v>159</v>
      </c>
      <c r="BI253" s="5775"/>
      <c r="BJ253" s="5775" t="s">
        <v>158</v>
      </c>
      <c r="BK253" s="5775"/>
      <c r="BL253" s="5774" t="s">
        <v>157</v>
      </c>
      <c r="BM253" s="5774"/>
      <c r="BN253" s="5774" t="s">
        <v>156</v>
      </c>
      <c r="BO253" s="5774"/>
      <c r="BP253" s="5774" t="s">
        <v>155</v>
      </c>
      <c r="BQ253" s="5774"/>
      <c r="BR253" s="5774" t="s">
        <v>154</v>
      </c>
      <c r="BS253" s="5774"/>
      <c r="BT253" s="5774" t="s">
        <v>153</v>
      </c>
      <c r="BU253" s="5774"/>
      <c r="BV253" s="5774" t="s">
        <v>165</v>
      </c>
      <c r="BW253" s="5774"/>
      <c r="BY253" s="5775" t="s">
        <v>163</v>
      </c>
      <c r="BZ253" s="5775"/>
      <c r="CA253" s="5775" t="s">
        <v>162</v>
      </c>
      <c r="CB253" s="5775"/>
      <c r="CC253" s="5775" t="s">
        <v>161</v>
      </c>
      <c r="CD253" s="5775"/>
      <c r="CE253" s="5775" t="s">
        <v>160</v>
      </c>
      <c r="CF253" s="5775"/>
      <c r="CG253" s="5775" t="s">
        <v>159</v>
      </c>
      <c r="CH253" s="5775"/>
      <c r="CI253" s="5775" t="s">
        <v>158</v>
      </c>
      <c r="CJ253" s="5775"/>
      <c r="CK253" s="5774" t="s">
        <v>157</v>
      </c>
      <c r="CL253" s="5774"/>
      <c r="CM253" s="5774" t="s">
        <v>156</v>
      </c>
      <c r="CN253" s="5774"/>
      <c r="CO253" s="5774" t="s">
        <v>155</v>
      </c>
      <c r="CP253" s="5774"/>
      <c r="CQ253" s="5774" t="s">
        <v>154</v>
      </c>
      <c r="CR253" s="5774"/>
      <c r="CS253" s="5774" t="s">
        <v>153</v>
      </c>
      <c r="CT253" s="5774"/>
      <c r="CU253" s="5774" t="s">
        <v>165</v>
      </c>
      <c r="CV253" s="5774"/>
      <c r="CX253" s="5775" t="s">
        <v>163</v>
      </c>
      <c r="CY253" s="5775"/>
      <c r="CZ253" s="5775" t="s">
        <v>162</v>
      </c>
      <c r="DA253" s="5775"/>
      <c r="DB253" s="5775" t="s">
        <v>161</v>
      </c>
      <c r="DC253" s="5775"/>
      <c r="DD253" s="5775" t="s">
        <v>160</v>
      </c>
      <c r="DE253" s="5775"/>
      <c r="DF253" s="5775" t="s">
        <v>159</v>
      </c>
      <c r="DG253" s="5775"/>
      <c r="DH253" s="5775" t="s">
        <v>158</v>
      </c>
      <c r="DI253" s="5775"/>
      <c r="DJ253" s="5774" t="s">
        <v>157</v>
      </c>
      <c r="DK253" s="5774"/>
      <c r="DL253" s="5774" t="s">
        <v>156</v>
      </c>
      <c r="DM253" s="5774"/>
      <c r="DN253" s="5774" t="s">
        <v>155</v>
      </c>
      <c r="DO253" s="5774"/>
      <c r="DP253" s="5774" t="s">
        <v>154</v>
      </c>
      <c r="DQ253" s="5774"/>
      <c r="DR253" s="5774" t="s">
        <v>153</v>
      </c>
      <c r="DS253" s="5774"/>
      <c r="DT253" s="5774" t="s">
        <v>165</v>
      </c>
      <c r="DU253" s="5774"/>
      <c r="DV253" s="26"/>
      <c r="DW253" s="5775" t="s">
        <v>163</v>
      </c>
      <c r="DX253" s="5775"/>
      <c r="DY253" s="5775" t="s">
        <v>162</v>
      </c>
      <c r="DZ253" s="5775"/>
      <c r="EA253" s="5775" t="s">
        <v>161</v>
      </c>
      <c r="EB253" s="5775"/>
      <c r="EC253" s="5775" t="s">
        <v>160</v>
      </c>
      <c r="ED253" s="5775"/>
      <c r="EE253" s="5775" t="s">
        <v>159</v>
      </c>
      <c r="EF253" s="5775"/>
      <c r="EG253" s="5775" t="s">
        <v>158</v>
      </c>
      <c r="EH253" s="5775"/>
      <c r="EI253" s="5774" t="s">
        <v>157</v>
      </c>
      <c r="EJ253" s="5774"/>
      <c r="EK253" s="5774" t="s">
        <v>156</v>
      </c>
      <c r="EL253" s="5774"/>
      <c r="EM253" s="5774" t="s">
        <v>155</v>
      </c>
      <c r="EN253" s="5774"/>
      <c r="EO253" s="5774" t="s">
        <v>154</v>
      </c>
      <c r="EP253" s="5774"/>
      <c r="EQ253" s="5774" t="s">
        <v>153</v>
      </c>
      <c r="ER253" s="5774"/>
      <c r="ES253" s="5774" t="s">
        <v>165</v>
      </c>
      <c r="ET253" s="5774"/>
      <c r="EU253" s="26"/>
      <c r="EV253" s="5775" t="s">
        <v>163</v>
      </c>
      <c r="EW253" s="5775"/>
      <c r="EX253" s="5775" t="s">
        <v>162</v>
      </c>
      <c r="EY253" s="5775"/>
      <c r="EZ253" s="5775" t="s">
        <v>161</v>
      </c>
      <c r="FA253" s="5775"/>
      <c r="FB253" s="5775" t="s">
        <v>160</v>
      </c>
      <c r="FC253" s="5775"/>
      <c r="FD253" s="5775" t="s">
        <v>159</v>
      </c>
      <c r="FE253" s="5775"/>
      <c r="FF253" s="5775" t="s">
        <v>158</v>
      </c>
      <c r="FG253" s="5775"/>
      <c r="FH253" s="5774" t="s">
        <v>157</v>
      </c>
      <c r="FI253" s="5774"/>
      <c r="FJ253" s="5774" t="s">
        <v>156</v>
      </c>
      <c r="FK253" s="5774"/>
      <c r="FL253" s="5774" t="s">
        <v>155</v>
      </c>
      <c r="FM253" s="5774"/>
      <c r="FN253" s="5774" t="s">
        <v>154</v>
      </c>
      <c r="FO253" s="5774"/>
      <c r="FP253" s="5774" t="s">
        <v>153</v>
      </c>
      <c r="FQ253" s="5774"/>
      <c r="FR253" s="5774" t="s">
        <v>165</v>
      </c>
      <c r="FS253" s="5774"/>
      <c r="FT253" s="26"/>
      <c r="FU253" s="5775" t="s">
        <v>163</v>
      </c>
      <c r="FV253" s="5775"/>
      <c r="FW253" s="5775" t="s">
        <v>162</v>
      </c>
      <c r="FX253" s="5775"/>
      <c r="FY253" s="5775" t="s">
        <v>161</v>
      </c>
      <c r="FZ253" s="5775"/>
      <c r="GA253" s="5775" t="s">
        <v>160</v>
      </c>
      <c r="GB253" s="5775"/>
      <c r="GC253" s="5775" t="s">
        <v>159</v>
      </c>
      <c r="GD253" s="5775"/>
      <c r="GE253" s="5775" t="s">
        <v>158</v>
      </c>
      <c r="GF253" s="5775"/>
      <c r="GG253" s="5774" t="s">
        <v>157</v>
      </c>
      <c r="GH253" s="5774"/>
      <c r="GI253" s="5774" t="s">
        <v>156</v>
      </c>
      <c r="GJ253" s="5774"/>
      <c r="GK253" s="5774" t="s">
        <v>155</v>
      </c>
      <c r="GL253" s="5774"/>
      <c r="GM253" s="5774" t="s">
        <v>154</v>
      </c>
      <c r="GN253" s="5774"/>
      <c r="GO253" s="5774" t="s">
        <v>153</v>
      </c>
      <c r="GP253" s="5774"/>
      <c r="GQ253" s="5774" t="s">
        <v>165</v>
      </c>
      <c r="GR253" s="5774"/>
      <c r="GS253" s="26"/>
      <c r="GT253" s="5775" t="s">
        <v>163</v>
      </c>
      <c r="GU253" s="5775"/>
      <c r="GV253" s="5775" t="s">
        <v>162</v>
      </c>
      <c r="GW253" s="5775"/>
      <c r="GX253" s="5775" t="s">
        <v>161</v>
      </c>
      <c r="GY253" s="5775"/>
      <c r="GZ253" s="5775" t="s">
        <v>160</v>
      </c>
      <c r="HA253" s="5775"/>
      <c r="HB253" s="5775" t="s">
        <v>159</v>
      </c>
      <c r="HC253" s="5775"/>
      <c r="HD253" s="5775" t="s">
        <v>158</v>
      </c>
      <c r="HE253" s="5775"/>
      <c r="HF253" s="5774" t="s">
        <v>157</v>
      </c>
      <c r="HG253" s="5774"/>
      <c r="HH253" s="5774" t="s">
        <v>156</v>
      </c>
      <c r="HI253" s="5774"/>
      <c r="HJ253" s="5774" t="s">
        <v>155</v>
      </c>
      <c r="HK253" s="5774"/>
      <c r="HL253" s="5774" t="s">
        <v>154</v>
      </c>
      <c r="HM253" s="5774"/>
      <c r="HN253" s="5774" t="s">
        <v>153</v>
      </c>
      <c r="HO253" s="5774"/>
      <c r="HP253" s="5774" t="s">
        <v>165</v>
      </c>
      <c r="HQ253" s="5774"/>
      <c r="HR253" s="26"/>
      <c r="HS253" s="5775" t="s">
        <v>163</v>
      </c>
      <c r="HT253" s="5775"/>
      <c r="HU253" s="5775" t="s">
        <v>162</v>
      </c>
      <c r="HV253" s="5775"/>
      <c r="HW253" s="5775" t="s">
        <v>161</v>
      </c>
      <c r="HX253" s="5775"/>
      <c r="HY253" s="5775" t="s">
        <v>160</v>
      </c>
      <c r="HZ253" s="5775"/>
      <c r="IA253" s="5775" t="s">
        <v>159</v>
      </c>
      <c r="IB253" s="5775"/>
      <c r="IC253" s="5775" t="s">
        <v>158</v>
      </c>
      <c r="ID253" s="5775"/>
      <c r="IE253" s="5774" t="s">
        <v>157</v>
      </c>
      <c r="IF253" s="5774"/>
      <c r="IG253" s="5774" t="s">
        <v>156</v>
      </c>
      <c r="IH253" s="5774"/>
      <c r="II253" s="5774" t="s">
        <v>155</v>
      </c>
      <c r="IJ253" s="5774"/>
      <c r="IK253" s="5774" t="s">
        <v>154</v>
      </c>
      <c r="IL253" s="5774"/>
      <c r="IM253" s="5774" t="s">
        <v>153</v>
      </c>
      <c r="IN253" s="5774"/>
      <c r="IO253" s="5774" t="s">
        <v>165</v>
      </c>
      <c r="IP253" s="5774"/>
      <c r="IV253" s="21"/>
    </row>
    <row r="254" spans="1:256" s="21" customFormat="1" ht="6" customHeight="1">
      <c r="A254" s="23"/>
      <c r="B254" s="22"/>
      <c r="C254" s="22"/>
      <c r="D254" s="22"/>
      <c r="E254" s="22"/>
      <c r="F254" s="22"/>
      <c r="G254" s="22"/>
      <c r="H254" s="22"/>
      <c r="I254" s="22"/>
      <c r="J254" s="22"/>
      <c r="K254" s="22"/>
      <c r="L254" s="22"/>
      <c r="M254" s="22"/>
      <c r="N254" s="22"/>
      <c r="O254" s="22"/>
      <c r="P254" s="22"/>
      <c r="Q254" s="22"/>
      <c r="R254" s="22"/>
      <c r="S254" s="22"/>
      <c r="T254" s="22"/>
      <c r="U254" s="22"/>
      <c r="V254" s="22"/>
    </row>
    <row r="255" spans="1:256" s="24" customFormat="1" ht="15" customHeight="1">
      <c r="A255" s="23"/>
      <c r="B255" s="38" t="s">
        <v>171</v>
      </c>
      <c r="C255" s="34"/>
      <c r="D255" s="34"/>
      <c r="E255" s="34"/>
      <c r="F255" s="34"/>
      <c r="G255" s="34"/>
      <c r="H255" s="34"/>
      <c r="I255" s="34"/>
      <c r="J255" s="34"/>
      <c r="K255" s="34"/>
      <c r="L255" s="34"/>
      <c r="M255" s="34"/>
      <c r="N255" s="34"/>
      <c r="O255" s="34"/>
      <c r="P255" s="34"/>
      <c r="Q255" s="34"/>
      <c r="R255" s="34"/>
      <c r="S255" s="34"/>
      <c r="T255" s="39" t="s">
        <v>79</v>
      </c>
      <c r="U255" s="39"/>
      <c r="V255" s="37"/>
      <c r="W255" s="37"/>
      <c r="X255" s="37"/>
      <c r="Y255" s="37"/>
      <c r="Z255" s="34"/>
      <c r="AA255" s="38" t="s">
        <v>171</v>
      </c>
      <c r="AB255" s="34"/>
      <c r="AC255" s="34"/>
      <c r="AD255" s="34"/>
      <c r="AE255" s="34"/>
      <c r="AF255" s="34"/>
      <c r="AG255" s="34"/>
      <c r="AH255" s="34"/>
      <c r="AI255" s="34"/>
      <c r="AJ255" s="34"/>
      <c r="AK255" s="34"/>
      <c r="AL255" s="34"/>
      <c r="AM255" s="34"/>
      <c r="AN255" s="34"/>
      <c r="AO255" s="34"/>
      <c r="AP255" s="34"/>
      <c r="AQ255" s="34"/>
      <c r="AR255" s="34"/>
      <c r="AS255" s="34"/>
      <c r="AT255" s="39" t="s">
        <v>78</v>
      </c>
      <c r="AU255" s="39"/>
      <c r="AV255" s="37"/>
      <c r="AW255" s="37"/>
      <c r="AX255" s="37"/>
      <c r="AZ255" s="38" t="s">
        <v>171</v>
      </c>
      <c r="BA255" s="34"/>
      <c r="BB255" s="34"/>
      <c r="BC255" s="34"/>
      <c r="BD255" s="34"/>
      <c r="BE255" s="34"/>
      <c r="BF255" s="34"/>
      <c r="BG255" s="34"/>
      <c r="BH255" s="34"/>
      <c r="BI255" s="34"/>
      <c r="BJ255" s="34"/>
      <c r="BK255" s="34"/>
      <c r="BL255" s="34"/>
      <c r="BM255" s="34"/>
      <c r="BN255" s="34"/>
      <c r="BO255" s="34"/>
      <c r="BP255" s="34"/>
      <c r="BQ255" s="34"/>
      <c r="BR255" s="34"/>
      <c r="BS255" s="39" t="s">
        <v>77</v>
      </c>
      <c r="BT255" s="39"/>
      <c r="BU255" s="37"/>
      <c r="BV255" s="37"/>
      <c r="BW255" s="37"/>
      <c r="BX255" s="34"/>
      <c r="BY255" s="38" t="s">
        <v>171</v>
      </c>
      <c r="BZ255" s="34"/>
      <c r="CA255" s="34"/>
      <c r="CB255" s="34"/>
      <c r="CC255" s="34"/>
      <c r="CD255" s="34"/>
      <c r="CE255" s="34"/>
      <c r="CF255" s="34"/>
      <c r="CG255" s="34"/>
      <c r="CH255" s="34"/>
      <c r="CI255" s="34"/>
      <c r="CJ255" s="34"/>
      <c r="CK255" s="34"/>
      <c r="CL255" s="34"/>
      <c r="CM255" s="34"/>
      <c r="CN255" s="34"/>
      <c r="CO255" s="34"/>
      <c r="CP255" s="34"/>
      <c r="CQ255" s="34"/>
      <c r="CR255" s="34"/>
      <c r="CS255" s="37" t="s">
        <v>75</v>
      </c>
      <c r="CT255" s="37"/>
      <c r="CU255" s="37"/>
      <c r="CV255" s="37"/>
      <c r="CW255" s="34"/>
      <c r="CX255" s="38" t="s">
        <v>171</v>
      </c>
      <c r="CY255" s="34"/>
      <c r="CZ255" s="34"/>
      <c r="DA255" s="34"/>
      <c r="DB255" s="34"/>
      <c r="DC255" s="34"/>
      <c r="DD255" s="34"/>
      <c r="DE255" s="34"/>
      <c r="DF255" s="34"/>
      <c r="DG255" s="34"/>
      <c r="DH255" s="34"/>
      <c r="DI255" s="34"/>
      <c r="DJ255" s="34"/>
      <c r="DK255" s="34"/>
      <c r="DL255" s="34"/>
      <c r="DM255" s="34"/>
      <c r="DN255" s="34"/>
      <c r="DO255" s="34"/>
      <c r="DP255" s="34"/>
      <c r="DQ255" s="34"/>
      <c r="DR255" s="37" t="s">
        <v>74</v>
      </c>
      <c r="DS255" s="37"/>
      <c r="DT255" s="37"/>
      <c r="DU255" s="37"/>
      <c r="DV255" s="36"/>
      <c r="DW255" s="38" t="s">
        <v>171</v>
      </c>
      <c r="DX255" s="34"/>
      <c r="DY255" s="34"/>
      <c r="DZ255" s="34"/>
      <c r="EA255" s="34"/>
      <c r="EB255" s="34"/>
      <c r="EC255" s="34"/>
      <c r="ED255" s="34"/>
      <c r="EE255" s="34"/>
      <c r="EF255" s="34"/>
      <c r="EG255" s="34"/>
      <c r="EH255" s="34"/>
      <c r="EI255" s="34"/>
      <c r="EJ255" s="34"/>
      <c r="EK255" s="34"/>
      <c r="EL255" s="34"/>
      <c r="EM255" s="34"/>
      <c r="EN255" s="34"/>
      <c r="EO255" s="34"/>
      <c r="EP255" s="34"/>
      <c r="EQ255" s="34"/>
      <c r="ER255" s="39" t="s">
        <v>72</v>
      </c>
      <c r="ES255" s="37"/>
      <c r="ET255" s="37"/>
      <c r="EU255" s="36"/>
      <c r="EV255" s="38" t="s">
        <v>171</v>
      </c>
      <c r="EW255" s="34"/>
      <c r="EX255" s="34"/>
      <c r="EY255" s="34"/>
      <c r="EZ255" s="34"/>
      <c r="FA255" s="34"/>
      <c r="FB255" s="34"/>
      <c r="FC255" s="34"/>
      <c r="FD255" s="34"/>
      <c r="FE255" s="34"/>
      <c r="FF255" s="34"/>
      <c r="FG255" s="34"/>
      <c r="FH255" s="34"/>
      <c r="FI255" s="34"/>
      <c r="FJ255" s="34"/>
      <c r="FK255" s="34"/>
      <c r="FL255" s="34"/>
      <c r="FM255" s="34"/>
      <c r="FN255" s="34"/>
      <c r="FO255" s="34"/>
      <c r="FP255" s="37" t="s">
        <v>71</v>
      </c>
      <c r="FQ255" s="37"/>
      <c r="FR255" s="37"/>
      <c r="FS255" s="37"/>
      <c r="FT255" s="36"/>
      <c r="FU255" s="38" t="s">
        <v>171</v>
      </c>
      <c r="FV255" s="34"/>
      <c r="FW255" s="34"/>
      <c r="FX255" s="34"/>
      <c r="FY255" s="34"/>
      <c r="FZ255" s="34"/>
      <c r="GA255" s="34"/>
      <c r="GB255" s="34"/>
      <c r="GC255" s="34"/>
      <c r="GD255" s="34"/>
      <c r="GE255" s="34"/>
      <c r="GF255" s="34"/>
      <c r="GG255" s="34"/>
      <c r="GH255" s="34"/>
      <c r="GI255" s="34"/>
      <c r="GJ255" s="34"/>
      <c r="GK255" s="34"/>
      <c r="GL255" s="34"/>
      <c r="GM255" s="34"/>
      <c r="GN255" s="39" t="s">
        <v>70</v>
      </c>
      <c r="GO255" s="37"/>
      <c r="GP255" s="37"/>
      <c r="GQ255" s="37"/>
      <c r="GR255" s="37"/>
      <c r="GS255" s="36"/>
      <c r="GT255" s="38" t="s">
        <v>171</v>
      </c>
      <c r="GU255" s="34"/>
      <c r="GV255" s="34"/>
      <c r="GW255" s="34"/>
      <c r="GX255" s="34"/>
      <c r="GY255" s="34"/>
      <c r="GZ255" s="34"/>
      <c r="HA255" s="34"/>
      <c r="HB255" s="34"/>
      <c r="HC255" s="34"/>
      <c r="HD255" s="34"/>
      <c r="HE255" s="34"/>
      <c r="HF255" s="34"/>
      <c r="HG255" s="34"/>
      <c r="HH255" s="34"/>
      <c r="HI255" s="34"/>
      <c r="HJ255" s="34"/>
      <c r="HK255" s="34"/>
      <c r="HL255" s="34"/>
      <c r="HM255" s="34"/>
      <c r="HN255" s="34"/>
      <c r="HO255" s="39" t="s">
        <v>68</v>
      </c>
      <c r="HP255" s="37"/>
      <c r="HQ255" s="37"/>
      <c r="HR255" s="36"/>
      <c r="HS255" s="38" t="s">
        <v>171</v>
      </c>
      <c r="HT255" s="34"/>
      <c r="HU255" s="34"/>
      <c r="HV255" s="34"/>
      <c r="HW255" s="34"/>
      <c r="HX255" s="34"/>
      <c r="HY255" s="34"/>
      <c r="HZ255" s="34"/>
      <c r="IA255" s="34"/>
      <c r="IB255" s="34"/>
      <c r="IC255" s="34"/>
      <c r="ID255" s="34"/>
      <c r="IE255" s="34"/>
      <c r="IF255" s="34"/>
      <c r="IG255" s="34"/>
      <c r="IH255" s="34"/>
      <c r="II255" s="34"/>
      <c r="IJ255" s="34"/>
      <c r="IK255" s="34"/>
      <c r="IL255" s="39" t="s">
        <v>67</v>
      </c>
      <c r="IM255" s="37"/>
      <c r="IN255" s="37"/>
      <c r="IO255" s="37"/>
      <c r="IP255" s="37"/>
      <c r="IV255" s="21"/>
    </row>
    <row r="256" spans="1:256" s="24" customFormat="1" ht="8.1" customHeight="1" thickBot="1">
      <c r="A256" s="23"/>
      <c r="CW256" s="26"/>
      <c r="DV256" s="26"/>
      <c r="EU256" s="26"/>
      <c r="FT256" s="26"/>
      <c r="GS256" s="26"/>
      <c r="HR256" s="26"/>
      <c r="IV256" s="21"/>
    </row>
    <row r="257" spans="1:256" s="24" customFormat="1" ht="14.1" customHeight="1" thickBot="1">
      <c r="A257" s="35">
        <v>21</v>
      </c>
      <c r="B257" s="33">
        <f>'الصفحة 35'!$E$53</f>
        <v>0</v>
      </c>
      <c r="C257" s="32">
        <f>'الصفحة 35'!$F$53</f>
        <v>0</v>
      </c>
      <c r="D257" s="30">
        <f>'الصفحة 35'!$G$53</f>
        <v>0</v>
      </c>
      <c r="E257" s="31">
        <f>'الصفحة 35'!$H$53</f>
        <v>0</v>
      </c>
      <c r="F257" s="30">
        <f>'الصفحة 35'!$I$53</f>
        <v>0</v>
      </c>
      <c r="G257" s="31">
        <f>'الصفحة 35'!$J$53</f>
        <v>0</v>
      </c>
      <c r="H257" s="30">
        <f>'الصفحة 35'!$K$53</f>
        <v>0</v>
      </c>
      <c r="I257" s="31">
        <f>'الصفحة 35'!$L$53</f>
        <v>0</v>
      </c>
      <c r="J257" s="30">
        <f>'الصفحة 35'!$M$53</f>
        <v>0</v>
      </c>
      <c r="K257" s="31">
        <f>'الصفحة 35'!$N$53</f>
        <v>0</v>
      </c>
      <c r="L257" s="30">
        <f>'الصفحة 35'!$O$53</f>
        <v>0</v>
      </c>
      <c r="M257" s="31">
        <f>'الصفحة 35'!$P$53</f>
        <v>0</v>
      </c>
      <c r="N257" s="30">
        <f>'الصفحة 36'!$E$53</f>
        <v>0</v>
      </c>
      <c r="O257" s="31">
        <f>'الصفحة 36'!$F$53</f>
        <v>0</v>
      </c>
      <c r="P257" s="30">
        <f>'الصفحة 36'!$G$53</f>
        <v>0</v>
      </c>
      <c r="Q257" s="31">
        <f>'الصفحة 36'!$H$53</f>
        <v>0</v>
      </c>
      <c r="R257" s="30">
        <f>'الصفحة 36'!$I$53</f>
        <v>0</v>
      </c>
      <c r="S257" s="31">
        <f>'الصفحة 36'!$J$53</f>
        <v>0</v>
      </c>
      <c r="T257" s="30">
        <f>'الصفحة 36'!$K$53</f>
        <v>0</v>
      </c>
      <c r="U257" s="31">
        <f>'الصفحة 36'!$L$53</f>
        <v>0</v>
      </c>
      <c r="V257" s="30">
        <f>'الصفحة 36'!$M$53</f>
        <v>0</v>
      </c>
      <c r="W257" s="31">
        <f>'الصفحة 36'!$N$53</f>
        <v>0</v>
      </c>
      <c r="X257" s="30">
        <f>'الصفحة 36'!$O$53</f>
        <v>0</v>
      </c>
      <c r="Y257" s="29">
        <f>'الصفحة 36'!$P$53</f>
        <v>0</v>
      </c>
      <c r="Z257" s="34"/>
      <c r="AA257" s="33">
        <f>'الصفحة 35'!$E$54</f>
        <v>0</v>
      </c>
      <c r="AB257" s="32">
        <f>'الصفحة 35'!$F$54</f>
        <v>0</v>
      </c>
      <c r="AC257" s="30">
        <f>'الصفحة 35'!$G$54</f>
        <v>0</v>
      </c>
      <c r="AD257" s="31">
        <f>'الصفحة 35'!$H$54</f>
        <v>0</v>
      </c>
      <c r="AE257" s="30">
        <f>'الصفحة 35'!$I$54</f>
        <v>0</v>
      </c>
      <c r="AF257" s="31">
        <f>'الصفحة 35'!$J$54</f>
        <v>0</v>
      </c>
      <c r="AG257" s="30">
        <f>'الصفحة 35'!$K$54</f>
        <v>0</v>
      </c>
      <c r="AH257" s="31">
        <f>'الصفحة 35'!$L$54</f>
        <v>0</v>
      </c>
      <c r="AI257" s="30">
        <f>'الصفحة 35'!$M$54</f>
        <v>0</v>
      </c>
      <c r="AJ257" s="31">
        <f>'الصفحة 35'!$N$54</f>
        <v>0</v>
      </c>
      <c r="AK257" s="30">
        <f>'الصفحة 35'!$O$54</f>
        <v>0</v>
      </c>
      <c r="AL257" s="31">
        <f>'الصفحة 35'!$P$54</f>
        <v>0</v>
      </c>
      <c r="AM257" s="30">
        <f>'الصفحة 36'!$E$54</f>
        <v>0</v>
      </c>
      <c r="AN257" s="31">
        <f>'الصفحة 36'!$F$54</f>
        <v>0</v>
      </c>
      <c r="AO257" s="30">
        <f>'الصفحة 36'!$G$54</f>
        <v>0</v>
      </c>
      <c r="AP257" s="31">
        <f>'الصفحة 36'!$H$54</f>
        <v>0</v>
      </c>
      <c r="AQ257" s="30">
        <f>'الصفحة 36'!$I$54</f>
        <v>0</v>
      </c>
      <c r="AR257" s="31">
        <f>'الصفحة 36'!$J$54</f>
        <v>0</v>
      </c>
      <c r="AS257" s="30">
        <f>'الصفحة 36'!$K$54</f>
        <v>0</v>
      </c>
      <c r="AT257" s="31">
        <f>'الصفحة 36'!$L$54</f>
        <v>0</v>
      </c>
      <c r="AU257" s="30">
        <f>'الصفحة 36'!$M$54</f>
        <v>0</v>
      </c>
      <c r="AV257" s="31">
        <f>'الصفحة 36'!$N$54</f>
        <v>0</v>
      </c>
      <c r="AW257" s="30">
        <f>'الصفحة 36'!$O$54</f>
        <v>0</v>
      </c>
      <c r="AX257" s="29">
        <f>'الصفحة 36'!$P$54</f>
        <v>0</v>
      </c>
      <c r="AZ257" s="33">
        <f>'الصفحة 35'!$E$55</f>
        <v>0</v>
      </c>
      <c r="BA257" s="32">
        <f>'الصفحة 35'!$F$55</f>
        <v>0</v>
      </c>
      <c r="BB257" s="30">
        <f>'الصفحة 35'!$G$55</f>
        <v>0</v>
      </c>
      <c r="BC257" s="31">
        <f>'الصفحة 35'!$H$55</f>
        <v>0</v>
      </c>
      <c r="BD257" s="30">
        <f>'الصفحة 35'!$I$55</f>
        <v>0</v>
      </c>
      <c r="BE257" s="31">
        <f>'الصفحة 35'!$J$55</f>
        <v>0</v>
      </c>
      <c r="BF257" s="30">
        <f>'الصفحة 35'!$K$55</f>
        <v>0</v>
      </c>
      <c r="BG257" s="31">
        <f>'الصفحة 35'!$L$55</f>
        <v>0</v>
      </c>
      <c r="BH257" s="30">
        <f>'الصفحة 35'!$M$55</f>
        <v>0</v>
      </c>
      <c r="BI257" s="31">
        <f>'الصفحة 35'!$N$55</f>
        <v>0</v>
      </c>
      <c r="BJ257" s="30">
        <f>'الصفحة 35'!$O$55</f>
        <v>0</v>
      </c>
      <c r="BK257" s="31">
        <f>'الصفحة 35'!$P$55</f>
        <v>0</v>
      </c>
      <c r="BL257" s="30">
        <f>'الصفحة 36'!$E$55</f>
        <v>0</v>
      </c>
      <c r="BM257" s="31">
        <f>'الصفحة 36'!$F$55</f>
        <v>0</v>
      </c>
      <c r="BN257" s="30">
        <f>'الصفحة 36'!$G$55</f>
        <v>0</v>
      </c>
      <c r="BO257" s="31">
        <f>'الصفحة 36'!$H$55</f>
        <v>0</v>
      </c>
      <c r="BP257" s="30">
        <f>'الصفحة 36'!$I$55</f>
        <v>0</v>
      </c>
      <c r="BQ257" s="31">
        <f>'الصفحة 36'!$J$55</f>
        <v>0</v>
      </c>
      <c r="BR257" s="30">
        <f>'الصفحة 36'!$K$55</f>
        <v>0</v>
      </c>
      <c r="BS257" s="31">
        <f>'الصفحة 36'!$L$55</f>
        <v>0</v>
      </c>
      <c r="BT257" s="30">
        <f>'الصفحة 36'!$M$55</f>
        <v>0</v>
      </c>
      <c r="BU257" s="31">
        <f>'الصفحة 36'!$N$55</f>
        <v>0</v>
      </c>
      <c r="BV257" s="30">
        <f>'الصفحة 36'!$O$55</f>
        <v>0</v>
      </c>
      <c r="BW257" s="29">
        <f>'الصفحة 36'!$P$55</f>
        <v>0</v>
      </c>
      <c r="BX257" s="34"/>
      <c r="BY257" s="33">
        <f>'الصفحة 35'!$E$57</f>
        <v>0</v>
      </c>
      <c r="BZ257" s="32">
        <f>'الصفحة 35'!$F$57</f>
        <v>0</v>
      </c>
      <c r="CA257" s="30">
        <f>'الصفحة 35'!$G$57</f>
        <v>0</v>
      </c>
      <c r="CB257" s="31">
        <f>'الصفحة 35'!$H$57</f>
        <v>0</v>
      </c>
      <c r="CC257" s="30">
        <f>'الصفحة 35'!$I$57</f>
        <v>0</v>
      </c>
      <c r="CD257" s="31">
        <f>'الصفحة 35'!$J$57</f>
        <v>0</v>
      </c>
      <c r="CE257" s="30">
        <f>'الصفحة 35'!$K$57</f>
        <v>0</v>
      </c>
      <c r="CF257" s="31">
        <f>'الصفحة 35'!$L$57</f>
        <v>0</v>
      </c>
      <c r="CG257" s="30">
        <f>'الصفحة 35'!$M$57</f>
        <v>0</v>
      </c>
      <c r="CH257" s="31">
        <f>'الصفحة 35'!$N$57</f>
        <v>0</v>
      </c>
      <c r="CI257" s="30">
        <f>'الصفحة 35'!$O$57</f>
        <v>0</v>
      </c>
      <c r="CJ257" s="31">
        <f>'الصفحة 35'!$P$57</f>
        <v>0</v>
      </c>
      <c r="CK257" s="30">
        <f>'الصفحة 36'!$E$57</f>
        <v>0</v>
      </c>
      <c r="CL257" s="31">
        <f>'الصفحة 36'!$F$57</f>
        <v>0</v>
      </c>
      <c r="CM257" s="30">
        <f>'الصفحة 36'!$G$57</f>
        <v>0</v>
      </c>
      <c r="CN257" s="31">
        <f>'الصفحة 36'!$H$57</f>
        <v>0</v>
      </c>
      <c r="CO257" s="30">
        <f>'الصفحة 36'!$I$57</f>
        <v>0</v>
      </c>
      <c r="CP257" s="31">
        <f>'الصفحة 36'!$J$57</f>
        <v>0</v>
      </c>
      <c r="CQ257" s="30">
        <f>'الصفحة 36'!$K$57</f>
        <v>0</v>
      </c>
      <c r="CR257" s="31">
        <f>'الصفحة 36'!$L$57</f>
        <v>0</v>
      </c>
      <c r="CS257" s="30">
        <f>'الصفحة 36'!$M$57</f>
        <v>0</v>
      </c>
      <c r="CT257" s="31">
        <f>'الصفحة 36'!$N$57</f>
        <v>0</v>
      </c>
      <c r="CU257" s="30">
        <f>'الصفحة 36'!$O$57</f>
        <v>0</v>
      </c>
      <c r="CV257" s="29">
        <f>'الصفحة 36'!$P$57</f>
        <v>0</v>
      </c>
      <c r="CW257" s="28"/>
      <c r="CX257" s="33">
        <f>'الصفحة 35'!$E$58</f>
        <v>0</v>
      </c>
      <c r="CY257" s="32">
        <f>'الصفحة 35'!$F$58</f>
        <v>0</v>
      </c>
      <c r="CZ257" s="30">
        <f>'الصفحة 35'!$G$58</f>
        <v>0</v>
      </c>
      <c r="DA257" s="31">
        <f>'الصفحة 35'!$H$58</f>
        <v>0</v>
      </c>
      <c r="DB257" s="30">
        <f>'الصفحة 35'!$I$58</f>
        <v>0</v>
      </c>
      <c r="DC257" s="31">
        <f>'الصفحة 35'!$J$58</f>
        <v>0</v>
      </c>
      <c r="DD257" s="30">
        <f>'الصفحة 35'!$K$58</f>
        <v>0</v>
      </c>
      <c r="DE257" s="31">
        <f>'الصفحة 35'!$L$58</f>
        <v>0</v>
      </c>
      <c r="DF257" s="30">
        <f>'الصفحة 35'!$M$58</f>
        <v>0</v>
      </c>
      <c r="DG257" s="31">
        <f>'الصفحة 35'!$N$58</f>
        <v>0</v>
      </c>
      <c r="DH257" s="30">
        <f>'الصفحة 35'!$O$58</f>
        <v>0</v>
      </c>
      <c r="DI257" s="31">
        <f>'الصفحة 35'!$P$58</f>
        <v>0</v>
      </c>
      <c r="DJ257" s="30">
        <f>'الصفحة 36'!$E$58</f>
        <v>0</v>
      </c>
      <c r="DK257" s="31">
        <f>'الصفحة 36'!$F$58</f>
        <v>0</v>
      </c>
      <c r="DL257" s="30">
        <f>'الصفحة 36'!$G$58</f>
        <v>0</v>
      </c>
      <c r="DM257" s="31">
        <f>'الصفحة 36'!$H$58</f>
        <v>0</v>
      </c>
      <c r="DN257" s="30">
        <f>'الصفحة 36'!$I$58</f>
        <v>0</v>
      </c>
      <c r="DO257" s="31">
        <f>'الصفحة 36'!$J$58</f>
        <v>0</v>
      </c>
      <c r="DP257" s="30">
        <f>'الصفحة 36'!$K$58</f>
        <v>0</v>
      </c>
      <c r="DQ257" s="31">
        <f>'الصفحة 36'!$L$58</f>
        <v>0</v>
      </c>
      <c r="DR257" s="30">
        <f>'الصفحة 36'!$M$58</f>
        <v>0</v>
      </c>
      <c r="DS257" s="31">
        <f>'الصفحة 36'!$N$58</f>
        <v>0</v>
      </c>
      <c r="DT257" s="30">
        <f>'الصفحة 36'!$O$58</f>
        <v>0</v>
      </c>
      <c r="DU257" s="29">
        <f>'الصفحة 36'!$P$58</f>
        <v>0</v>
      </c>
      <c r="DV257" s="28"/>
      <c r="DW257" s="33">
        <f>'الصفحة 35'!$E$60</f>
        <v>0</v>
      </c>
      <c r="DX257" s="32">
        <f>'الصفحة 35'!$F$60</f>
        <v>0</v>
      </c>
      <c r="DY257" s="30">
        <f>'الصفحة 35'!$G$60</f>
        <v>0</v>
      </c>
      <c r="DZ257" s="31">
        <f>'الصفحة 35'!$H$60</f>
        <v>0</v>
      </c>
      <c r="EA257" s="30">
        <f>'الصفحة 35'!$I$60</f>
        <v>0</v>
      </c>
      <c r="EB257" s="31">
        <f>'الصفحة 35'!$J$60</f>
        <v>0</v>
      </c>
      <c r="EC257" s="30">
        <f>'الصفحة 35'!$K$60</f>
        <v>0</v>
      </c>
      <c r="ED257" s="31">
        <f>'الصفحة 35'!$L$60</f>
        <v>0</v>
      </c>
      <c r="EE257" s="30">
        <f>'الصفحة 35'!$M$60</f>
        <v>0</v>
      </c>
      <c r="EF257" s="31">
        <f>'الصفحة 35'!$N$60</f>
        <v>0</v>
      </c>
      <c r="EG257" s="30">
        <f>'الصفحة 35'!$O$60</f>
        <v>0</v>
      </c>
      <c r="EH257" s="31">
        <f>'الصفحة 35'!$P$60</f>
        <v>0</v>
      </c>
      <c r="EI257" s="30">
        <f>'الصفحة 36'!$E$60</f>
        <v>0</v>
      </c>
      <c r="EJ257" s="31">
        <f>'الصفحة 36'!$F$60</f>
        <v>0</v>
      </c>
      <c r="EK257" s="30">
        <f>'الصفحة 36'!$G$60</f>
        <v>0</v>
      </c>
      <c r="EL257" s="31">
        <f>'الصفحة 36'!$H$60</f>
        <v>0</v>
      </c>
      <c r="EM257" s="30">
        <f>'الصفحة 36'!$I$60</f>
        <v>0</v>
      </c>
      <c r="EN257" s="31">
        <f>'الصفحة 36'!$J$60</f>
        <v>0</v>
      </c>
      <c r="EO257" s="30">
        <f>'الصفحة 36'!$K$60</f>
        <v>0</v>
      </c>
      <c r="EP257" s="31">
        <f>'الصفحة 36'!$L$60</f>
        <v>0</v>
      </c>
      <c r="EQ257" s="30">
        <f>'الصفحة 36'!$M$60</f>
        <v>0</v>
      </c>
      <c r="ER257" s="31">
        <f>'الصفحة 36'!$N$60</f>
        <v>0</v>
      </c>
      <c r="ES257" s="30">
        <f>'الصفحة 36'!$O$60</f>
        <v>0</v>
      </c>
      <c r="ET257" s="29">
        <f>'الصفحة 36'!$P$60</f>
        <v>0</v>
      </c>
      <c r="EU257" s="28"/>
      <c r="EV257" s="33">
        <f>'الصفحة 35'!$E$61</f>
        <v>0</v>
      </c>
      <c r="EW257" s="32">
        <f>'الصفحة 35'!$F$61</f>
        <v>0</v>
      </c>
      <c r="EX257" s="30">
        <f>'الصفحة 35'!$G$61</f>
        <v>0</v>
      </c>
      <c r="EY257" s="31">
        <f>'الصفحة 35'!$H$61</f>
        <v>0</v>
      </c>
      <c r="EZ257" s="30">
        <f>'الصفحة 35'!$I$61</f>
        <v>0</v>
      </c>
      <c r="FA257" s="31">
        <f>'الصفحة 35'!$J$61</f>
        <v>0</v>
      </c>
      <c r="FB257" s="30">
        <f>'الصفحة 35'!$K$61</f>
        <v>0</v>
      </c>
      <c r="FC257" s="31">
        <f>'الصفحة 35'!$L$61</f>
        <v>0</v>
      </c>
      <c r="FD257" s="30">
        <f>'الصفحة 35'!$M$61</f>
        <v>0</v>
      </c>
      <c r="FE257" s="31">
        <f>'الصفحة 35'!$N$61</f>
        <v>0</v>
      </c>
      <c r="FF257" s="30">
        <f>'الصفحة 35'!$O$61</f>
        <v>0</v>
      </c>
      <c r="FG257" s="31">
        <f>'الصفحة 35'!$P$61</f>
        <v>0</v>
      </c>
      <c r="FH257" s="30">
        <f>'الصفحة 36'!$E$61</f>
        <v>0</v>
      </c>
      <c r="FI257" s="31">
        <f>'الصفحة 36'!$F$61</f>
        <v>0</v>
      </c>
      <c r="FJ257" s="30">
        <f>'الصفحة 36'!$G$61</f>
        <v>0</v>
      </c>
      <c r="FK257" s="31">
        <f>'الصفحة 36'!$H$61</f>
        <v>0</v>
      </c>
      <c r="FL257" s="30">
        <f>'الصفحة 36'!$I$61</f>
        <v>0</v>
      </c>
      <c r="FM257" s="31">
        <f>'الصفحة 36'!$J$61</f>
        <v>0</v>
      </c>
      <c r="FN257" s="30">
        <f>'الصفحة 36'!$K$61</f>
        <v>0</v>
      </c>
      <c r="FO257" s="31">
        <f>'الصفحة 36'!$L$61</f>
        <v>0</v>
      </c>
      <c r="FP257" s="30">
        <f>'الصفحة 36'!$M$61</f>
        <v>0</v>
      </c>
      <c r="FQ257" s="31">
        <f>'الصفحة 36'!$N$61</f>
        <v>0</v>
      </c>
      <c r="FR257" s="30">
        <f>'الصفحة 36'!$O$61</f>
        <v>0</v>
      </c>
      <c r="FS257" s="29">
        <f>'الصفحة 36'!$P$61</f>
        <v>0</v>
      </c>
      <c r="FT257" s="28"/>
      <c r="FU257" s="33">
        <f>'الصفحة 35'!$E$62</f>
        <v>0</v>
      </c>
      <c r="FV257" s="32">
        <f>'الصفحة 35'!$F$62</f>
        <v>0</v>
      </c>
      <c r="FW257" s="30">
        <f>'الصفحة 35'!$G$62</f>
        <v>0</v>
      </c>
      <c r="FX257" s="31">
        <f>'الصفحة 35'!$H$62</f>
        <v>0</v>
      </c>
      <c r="FY257" s="30">
        <f>'الصفحة 35'!$I$62</f>
        <v>0</v>
      </c>
      <c r="FZ257" s="31">
        <f>'الصفحة 35'!$J$62</f>
        <v>0</v>
      </c>
      <c r="GA257" s="30">
        <f>'الصفحة 35'!$K$62</f>
        <v>0</v>
      </c>
      <c r="GB257" s="31">
        <f>'الصفحة 35'!$L$62</f>
        <v>0</v>
      </c>
      <c r="GC257" s="30">
        <f>'الصفحة 35'!$M$62</f>
        <v>0</v>
      </c>
      <c r="GD257" s="31">
        <f>'الصفحة 35'!$N$62</f>
        <v>0</v>
      </c>
      <c r="GE257" s="30">
        <f>'الصفحة 35'!$O$62</f>
        <v>0</v>
      </c>
      <c r="GF257" s="31">
        <f>'الصفحة 35'!$P$62</f>
        <v>0</v>
      </c>
      <c r="GG257" s="30">
        <f>'الصفحة 36'!$E$62</f>
        <v>0</v>
      </c>
      <c r="GH257" s="31">
        <f>'الصفحة 36'!$F$62</f>
        <v>0</v>
      </c>
      <c r="GI257" s="30">
        <f>'الصفحة 36'!$G$62</f>
        <v>0</v>
      </c>
      <c r="GJ257" s="31">
        <f>'الصفحة 36'!$H$62</f>
        <v>0</v>
      </c>
      <c r="GK257" s="30">
        <f>'الصفحة 36'!$I$62</f>
        <v>0</v>
      </c>
      <c r="GL257" s="31">
        <f>'الصفحة 36'!$J$62</f>
        <v>0</v>
      </c>
      <c r="GM257" s="30">
        <f>'الصفحة 36'!$K$62</f>
        <v>0</v>
      </c>
      <c r="GN257" s="31">
        <f>'الصفحة 36'!$L$62</f>
        <v>0</v>
      </c>
      <c r="GO257" s="30">
        <f>'الصفحة 36'!$M$62</f>
        <v>0</v>
      </c>
      <c r="GP257" s="31">
        <f>'الصفحة 36'!$N$62</f>
        <v>0</v>
      </c>
      <c r="GQ257" s="30">
        <f>'الصفحة 36'!$O$62</f>
        <v>0</v>
      </c>
      <c r="GR257" s="29">
        <f>'الصفحة 36'!$P$62</f>
        <v>0</v>
      </c>
      <c r="GS257" s="28"/>
      <c r="GT257" s="33">
        <f>'الصفحة 35'!$E$64</f>
        <v>0</v>
      </c>
      <c r="GU257" s="32">
        <f>'الصفحة 35'!$F$64</f>
        <v>0</v>
      </c>
      <c r="GV257" s="30">
        <f>'الصفحة 35'!$G$64</f>
        <v>0</v>
      </c>
      <c r="GW257" s="30">
        <f>'الصفحة 35'!$H$64</f>
        <v>0</v>
      </c>
      <c r="GX257" s="30">
        <f>'الصفحة 35'!$I$64</f>
        <v>0</v>
      </c>
      <c r="GY257" s="31">
        <f>'الصفحة 35'!$J$64</f>
        <v>0</v>
      </c>
      <c r="GZ257" s="30">
        <f>'الصفحة 35'!$K$64</f>
        <v>0</v>
      </c>
      <c r="HA257" s="31">
        <f>'الصفحة 35'!$L$64</f>
        <v>0</v>
      </c>
      <c r="HB257" s="30">
        <f>'الصفحة 35'!$M$64</f>
        <v>1</v>
      </c>
      <c r="HC257" s="31">
        <f>'الصفحة 35'!$N$64</f>
        <v>0</v>
      </c>
      <c r="HD257" s="30">
        <f>'الصفحة 35'!$O$64</f>
        <v>0</v>
      </c>
      <c r="HE257" s="31">
        <f>'الصفحة 35'!$P$64</f>
        <v>0</v>
      </c>
      <c r="HF257" s="30">
        <f>'الصفحة 36'!$E$64</f>
        <v>0</v>
      </c>
      <c r="HG257" s="31">
        <f>'الصفحة 36'!$F$64</f>
        <v>0</v>
      </c>
      <c r="HH257" s="30">
        <f>'الصفحة 36'!$G$64</f>
        <v>0</v>
      </c>
      <c r="HI257" s="31">
        <f>'الصفحة 36'!$H$64</f>
        <v>0</v>
      </c>
      <c r="HJ257" s="30">
        <f>'الصفحة 36'!$I$64</f>
        <v>0</v>
      </c>
      <c r="HK257" s="31">
        <f>'الصفحة 36'!$J$64</f>
        <v>0</v>
      </c>
      <c r="HL257" s="30">
        <f>'الصفحة 36'!$K$64</f>
        <v>0</v>
      </c>
      <c r="HM257" s="31">
        <f>'الصفحة 36'!$L$64</f>
        <v>0</v>
      </c>
      <c r="HN257" s="30">
        <f>'الصفحة 36'!$M$64</f>
        <v>1</v>
      </c>
      <c r="HO257" s="31">
        <f>'الصفحة 36'!$N$64</f>
        <v>1</v>
      </c>
      <c r="HP257" s="30">
        <f>'الصفحة 36'!$O$64</f>
        <v>2</v>
      </c>
      <c r="HQ257" s="29">
        <f>'الصفحة 36'!$P$64</f>
        <v>1</v>
      </c>
      <c r="HR257" s="28"/>
      <c r="HS257" s="33">
        <f>'الصفحة 35'!$E$65</f>
        <v>0</v>
      </c>
      <c r="HT257" s="32">
        <f>'الصفحة 35'!$F$65</f>
        <v>0</v>
      </c>
      <c r="HU257" s="30">
        <f>'الصفحة 35'!$G$65</f>
        <v>0</v>
      </c>
      <c r="HV257" s="30">
        <f>'الصفحة 35'!$H$65</f>
        <v>0</v>
      </c>
      <c r="HW257" s="30">
        <f>'الصفحة 35'!$I$65</f>
        <v>0</v>
      </c>
      <c r="HX257" s="31">
        <f>'الصفحة 35'!$J$65</f>
        <v>0</v>
      </c>
      <c r="HY257" s="30">
        <f>'الصفحة 35'!$K$65</f>
        <v>0</v>
      </c>
      <c r="HZ257" s="31">
        <f>'الصفحة 35'!$L$65</f>
        <v>0</v>
      </c>
      <c r="IA257" s="30">
        <f>'الصفحة 35'!$M$65</f>
        <v>0</v>
      </c>
      <c r="IB257" s="31">
        <f>'الصفحة 35'!$N$65</f>
        <v>0</v>
      </c>
      <c r="IC257" s="30">
        <f>'الصفحة 35'!$O$65</f>
        <v>0</v>
      </c>
      <c r="ID257" s="31">
        <f>'الصفحة 35'!$P$65</f>
        <v>0</v>
      </c>
      <c r="IE257" s="30">
        <f>'الصفحة 36'!$E$65</f>
        <v>0</v>
      </c>
      <c r="IF257" s="31">
        <f>'الصفحة 36'!$F$65</f>
        <v>0</v>
      </c>
      <c r="IG257" s="30">
        <f>'الصفحة 36'!$G$65</f>
        <v>0</v>
      </c>
      <c r="IH257" s="31">
        <f>'الصفحة 36'!$H$65</f>
        <v>0</v>
      </c>
      <c r="II257" s="30">
        <f>'الصفحة 36'!$I$65</f>
        <v>0</v>
      </c>
      <c r="IJ257" s="31">
        <f>'الصفحة 36'!$J$65</f>
        <v>0</v>
      </c>
      <c r="IK257" s="30">
        <f>'الصفحة 36'!$K$65</f>
        <v>0</v>
      </c>
      <c r="IL257" s="31">
        <f>'الصفحة 36'!$L$65</f>
        <v>0</v>
      </c>
      <c r="IM257" s="30">
        <f>'الصفحة 36'!$M$65</f>
        <v>0</v>
      </c>
      <c r="IN257" s="31">
        <f>'الصفحة 36'!$N$65</f>
        <v>0</v>
      </c>
      <c r="IO257" s="30">
        <f>'الصفحة 36'!$O$65</f>
        <v>0</v>
      </c>
      <c r="IP257" s="29">
        <f>'الصفحة 36'!$P$65</f>
        <v>0</v>
      </c>
      <c r="IQ257" s="40"/>
      <c r="IR257" s="27"/>
      <c r="IS257" s="27"/>
      <c r="IT257" s="27"/>
      <c r="IV257" s="21"/>
    </row>
    <row r="258" spans="1:256" s="24" customFormat="1" ht="10.5" customHeight="1">
      <c r="A258" s="23"/>
      <c r="B258" s="5775" t="s">
        <v>163</v>
      </c>
      <c r="C258" s="5775"/>
      <c r="D258" s="5775" t="s">
        <v>162</v>
      </c>
      <c r="E258" s="5775"/>
      <c r="F258" s="5775" t="s">
        <v>161</v>
      </c>
      <c r="G258" s="5775"/>
      <c r="H258" s="5775" t="s">
        <v>160</v>
      </c>
      <c r="I258" s="5775"/>
      <c r="J258" s="5775" t="s">
        <v>159</v>
      </c>
      <c r="K258" s="5775"/>
      <c r="L258" s="5775" t="s">
        <v>158</v>
      </c>
      <c r="M258" s="5775"/>
      <c r="N258" s="5774" t="s">
        <v>157</v>
      </c>
      <c r="O258" s="5774"/>
      <c r="P258" s="5774" t="s">
        <v>156</v>
      </c>
      <c r="Q258" s="5774"/>
      <c r="R258" s="5774" t="s">
        <v>155</v>
      </c>
      <c r="S258" s="5774"/>
      <c r="T258" s="5774" t="s">
        <v>154</v>
      </c>
      <c r="U258" s="5774"/>
      <c r="V258" s="5774" t="s">
        <v>153</v>
      </c>
      <c r="W258" s="5774"/>
      <c r="X258" s="5774" t="s">
        <v>165</v>
      </c>
      <c r="Y258" s="5774"/>
      <c r="AA258" s="5775" t="s">
        <v>163</v>
      </c>
      <c r="AB258" s="5775"/>
      <c r="AC258" s="5775" t="s">
        <v>162</v>
      </c>
      <c r="AD258" s="5775"/>
      <c r="AE258" s="5775" t="s">
        <v>161</v>
      </c>
      <c r="AF258" s="5775"/>
      <c r="AG258" s="5775" t="s">
        <v>160</v>
      </c>
      <c r="AH258" s="5775"/>
      <c r="AI258" s="5775" t="s">
        <v>159</v>
      </c>
      <c r="AJ258" s="5775"/>
      <c r="AK258" s="5775" t="s">
        <v>158</v>
      </c>
      <c r="AL258" s="5775"/>
      <c r="AM258" s="5774" t="s">
        <v>157</v>
      </c>
      <c r="AN258" s="5774"/>
      <c r="AO258" s="5774" t="s">
        <v>156</v>
      </c>
      <c r="AP258" s="5774"/>
      <c r="AQ258" s="5774" t="s">
        <v>155</v>
      </c>
      <c r="AR258" s="5774"/>
      <c r="AS258" s="5774" t="s">
        <v>154</v>
      </c>
      <c r="AT258" s="5774"/>
      <c r="AU258" s="5774" t="s">
        <v>153</v>
      </c>
      <c r="AV258" s="5774"/>
      <c r="AW258" s="5774" t="s">
        <v>165</v>
      </c>
      <c r="AX258" s="5774"/>
      <c r="AZ258" s="5775" t="s">
        <v>163</v>
      </c>
      <c r="BA258" s="5775"/>
      <c r="BB258" s="5775" t="s">
        <v>162</v>
      </c>
      <c r="BC258" s="5775"/>
      <c r="BD258" s="5775" t="s">
        <v>161</v>
      </c>
      <c r="BE258" s="5775"/>
      <c r="BF258" s="5775" t="s">
        <v>160</v>
      </c>
      <c r="BG258" s="5775"/>
      <c r="BH258" s="5775" t="s">
        <v>159</v>
      </c>
      <c r="BI258" s="5775"/>
      <c r="BJ258" s="5775" t="s">
        <v>158</v>
      </c>
      <c r="BK258" s="5775"/>
      <c r="BL258" s="5774" t="s">
        <v>157</v>
      </c>
      <c r="BM258" s="5774"/>
      <c r="BN258" s="5774" t="s">
        <v>156</v>
      </c>
      <c r="BO258" s="5774"/>
      <c r="BP258" s="5774" t="s">
        <v>155</v>
      </c>
      <c r="BQ258" s="5774"/>
      <c r="BR258" s="5774" t="s">
        <v>154</v>
      </c>
      <c r="BS258" s="5774"/>
      <c r="BT258" s="5774" t="s">
        <v>153</v>
      </c>
      <c r="BU258" s="5774"/>
      <c r="BV258" s="5774" t="s">
        <v>165</v>
      </c>
      <c r="BW258" s="5774"/>
      <c r="BY258" s="5775" t="s">
        <v>163</v>
      </c>
      <c r="BZ258" s="5775"/>
      <c r="CA258" s="5775" t="s">
        <v>162</v>
      </c>
      <c r="CB258" s="5775"/>
      <c r="CC258" s="5775" t="s">
        <v>161</v>
      </c>
      <c r="CD258" s="5775"/>
      <c r="CE258" s="5775" t="s">
        <v>160</v>
      </c>
      <c r="CF258" s="5775"/>
      <c r="CG258" s="5775" t="s">
        <v>159</v>
      </c>
      <c r="CH258" s="5775"/>
      <c r="CI258" s="5775" t="s">
        <v>158</v>
      </c>
      <c r="CJ258" s="5775"/>
      <c r="CK258" s="5774" t="s">
        <v>157</v>
      </c>
      <c r="CL258" s="5774"/>
      <c r="CM258" s="5774" t="s">
        <v>156</v>
      </c>
      <c r="CN258" s="5774"/>
      <c r="CO258" s="5774" t="s">
        <v>155</v>
      </c>
      <c r="CP258" s="5774"/>
      <c r="CQ258" s="5774" t="s">
        <v>154</v>
      </c>
      <c r="CR258" s="5774"/>
      <c r="CS258" s="5774" t="s">
        <v>153</v>
      </c>
      <c r="CT258" s="5774"/>
      <c r="CU258" s="5774" t="s">
        <v>165</v>
      </c>
      <c r="CV258" s="5774"/>
      <c r="CX258" s="5775" t="s">
        <v>163</v>
      </c>
      <c r="CY258" s="5775"/>
      <c r="CZ258" s="5775" t="s">
        <v>162</v>
      </c>
      <c r="DA258" s="5775"/>
      <c r="DB258" s="5775" t="s">
        <v>161</v>
      </c>
      <c r="DC258" s="5775"/>
      <c r="DD258" s="5775" t="s">
        <v>160</v>
      </c>
      <c r="DE258" s="5775"/>
      <c r="DF258" s="5775" t="s">
        <v>159</v>
      </c>
      <c r="DG258" s="5775"/>
      <c r="DH258" s="5775" t="s">
        <v>158</v>
      </c>
      <c r="DI258" s="5775"/>
      <c r="DJ258" s="5774" t="s">
        <v>157</v>
      </c>
      <c r="DK258" s="5774"/>
      <c r="DL258" s="5774" t="s">
        <v>156</v>
      </c>
      <c r="DM258" s="5774"/>
      <c r="DN258" s="5774" t="s">
        <v>155</v>
      </c>
      <c r="DO258" s="5774"/>
      <c r="DP258" s="5774" t="s">
        <v>154</v>
      </c>
      <c r="DQ258" s="5774"/>
      <c r="DR258" s="5774" t="s">
        <v>153</v>
      </c>
      <c r="DS258" s="5774"/>
      <c r="DT258" s="5774" t="s">
        <v>165</v>
      </c>
      <c r="DU258" s="5774"/>
      <c r="DV258" s="26"/>
      <c r="DW258" s="5775" t="s">
        <v>163</v>
      </c>
      <c r="DX258" s="5775"/>
      <c r="DY258" s="5775" t="s">
        <v>162</v>
      </c>
      <c r="DZ258" s="5775"/>
      <c r="EA258" s="5775" t="s">
        <v>161</v>
      </c>
      <c r="EB258" s="5775"/>
      <c r="EC258" s="5775" t="s">
        <v>160</v>
      </c>
      <c r="ED258" s="5775"/>
      <c r="EE258" s="5775" t="s">
        <v>159</v>
      </c>
      <c r="EF258" s="5775"/>
      <c r="EG258" s="5775" t="s">
        <v>158</v>
      </c>
      <c r="EH258" s="5775"/>
      <c r="EI258" s="5774" t="s">
        <v>157</v>
      </c>
      <c r="EJ258" s="5774"/>
      <c r="EK258" s="5774" t="s">
        <v>156</v>
      </c>
      <c r="EL258" s="5774"/>
      <c r="EM258" s="5774" t="s">
        <v>155</v>
      </c>
      <c r="EN258" s="5774"/>
      <c r="EO258" s="5774" t="s">
        <v>154</v>
      </c>
      <c r="EP258" s="5774"/>
      <c r="EQ258" s="5774" t="s">
        <v>153</v>
      </c>
      <c r="ER258" s="5774"/>
      <c r="ES258" s="5774" t="s">
        <v>165</v>
      </c>
      <c r="ET258" s="5774"/>
      <c r="EU258" s="26"/>
      <c r="EV258" s="5775" t="s">
        <v>163</v>
      </c>
      <c r="EW258" s="5775"/>
      <c r="EX258" s="5775" t="s">
        <v>162</v>
      </c>
      <c r="EY258" s="5775"/>
      <c r="EZ258" s="5775" t="s">
        <v>161</v>
      </c>
      <c r="FA258" s="5775"/>
      <c r="FB258" s="5775" t="s">
        <v>160</v>
      </c>
      <c r="FC258" s="5775"/>
      <c r="FD258" s="5775" t="s">
        <v>159</v>
      </c>
      <c r="FE258" s="5775"/>
      <c r="FF258" s="5775" t="s">
        <v>158</v>
      </c>
      <c r="FG258" s="5775"/>
      <c r="FH258" s="5774" t="s">
        <v>157</v>
      </c>
      <c r="FI258" s="5774"/>
      <c r="FJ258" s="5774" t="s">
        <v>156</v>
      </c>
      <c r="FK258" s="5774"/>
      <c r="FL258" s="5774" t="s">
        <v>155</v>
      </c>
      <c r="FM258" s="5774"/>
      <c r="FN258" s="5774" t="s">
        <v>154</v>
      </c>
      <c r="FO258" s="5774"/>
      <c r="FP258" s="5774" t="s">
        <v>153</v>
      </c>
      <c r="FQ258" s="5774"/>
      <c r="FR258" s="5774" t="s">
        <v>165</v>
      </c>
      <c r="FS258" s="5774"/>
      <c r="FT258" s="26"/>
      <c r="FU258" s="5775" t="s">
        <v>163</v>
      </c>
      <c r="FV258" s="5775"/>
      <c r="FW258" s="5775" t="s">
        <v>162</v>
      </c>
      <c r="FX258" s="5775"/>
      <c r="FY258" s="5775" t="s">
        <v>161</v>
      </c>
      <c r="FZ258" s="5775"/>
      <c r="GA258" s="5775" t="s">
        <v>160</v>
      </c>
      <c r="GB258" s="5775"/>
      <c r="GC258" s="5775" t="s">
        <v>159</v>
      </c>
      <c r="GD258" s="5775"/>
      <c r="GE258" s="5775" t="s">
        <v>158</v>
      </c>
      <c r="GF258" s="5775"/>
      <c r="GG258" s="5774" t="s">
        <v>157</v>
      </c>
      <c r="GH258" s="5774"/>
      <c r="GI258" s="5774" t="s">
        <v>156</v>
      </c>
      <c r="GJ258" s="5774"/>
      <c r="GK258" s="5774" t="s">
        <v>155</v>
      </c>
      <c r="GL258" s="5774"/>
      <c r="GM258" s="5774" t="s">
        <v>154</v>
      </c>
      <c r="GN258" s="5774"/>
      <c r="GO258" s="5774" t="s">
        <v>153</v>
      </c>
      <c r="GP258" s="5774"/>
      <c r="GQ258" s="5774" t="s">
        <v>165</v>
      </c>
      <c r="GR258" s="5774"/>
      <c r="GS258" s="26"/>
      <c r="GT258" s="5775" t="s">
        <v>163</v>
      </c>
      <c r="GU258" s="5775"/>
      <c r="GV258" s="5775" t="s">
        <v>162</v>
      </c>
      <c r="GW258" s="5775"/>
      <c r="GX258" s="5775" t="s">
        <v>161</v>
      </c>
      <c r="GY258" s="5775"/>
      <c r="GZ258" s="5775" t="s">
        <v>160</v>
      </c>
      <c r="HA258" s="5775"/>
      <c r="HB258" s="5775" t="s">
        <v>159</v>
      </c>
      <c r="HC258" s="5775"/>
      <c r="HD258" s="5775" t="s">
        <v>158</v>
      </c>
      <c r="HE258" s="5775"/>
      <c r="HF258" s="5774" t="s">
        <v>157</v>
      </c>
      <c r="HG258" s="5774"/>
      <c r="HH258" s="5774" t="s">
        <v>156</v>
      </c>
      <c r="HI258" s="5774"/>
      <c r="HJ258" s="5774" t="s">
        <v>155</v>
      </c>
      <c r="HK258" s="5774"/>
      <c r="HL258" s="5774" t="s">
        <v>154</v>
      </c>
      <c r="HM258" s="5774"/>
      <c r="HN258" s="5774" t="s">
        <v>153</v>
      </c>
      <c r="HO258" s="5774"/>
      <c r="HP258" s="5774" t="s">
        <v>165</v>
      </c>
      <c r="HQ258" s="5774"/>
      <c r="HR258" s="26"/>
      <c r="HS258" s="5775" t="s">
        <v>163</v>
      </c>
      <c r="HT258" s="5775"/>
      <c r="HU258" s="5775" t="s">
        <v>162</v>
      </c>
      <c r="HV258" s="5775"/>
      <c r="HW258" s="5775" t="s">
        <v>161</v>
      </c>
      <c r="HX258" s="5775"/>
      <c r="HY258" s="5775" t="s">
        <v>160</v>
      </c>
      <c r="HZ258" s="5775"/>
      <c r="IA258" s="5775" t="s">
        <v>159</v>
      </c>
      <c r="IB258" s="5775"/>
      <c r="IC258" s="5775" t="s">
        <v>158</v>
      </c>
      <c r="ID258" s="5775"/>
      <c r="IE258" s="5774" t="s">
        <v>157</v>
      </c>
      <c r="IF258" s="5774"/>
      <c r="IG258" s="5774" t="s">
        <v>156</v>
      </c>
      <c r="IH258" s="5774"/>
      <c r="II258" s="5774" t="s">
        <v>155</v>
      </c>
      <c r="IJ258" s="5774"/>
      <c r="IK258" s="5774" t="s">
        <v>154</v>
      </c>
      <c r="IL258" s="5774"/>
      <c r="IM258" s="5774" t="s">
        <v>153</v>
      </c>
      <c r="IN258" s="5774"/>
      <c r="IO258" s="5774" t="s">
        <v>165</v>
      </c>
      <c r="IP258" s="5774"/>
      <c r="IV258" s="21"/>
    </row>
    <row r="259" spans="1:256" s="21" customFormat="1" ht="6" customHeight="1">
      <c r="A259" s="23"/>
      <c r="B259" s="22"/>
      <c r="C259" s="22"/>
      <c r="D259" s="22"/>
      <c r="E259" s="22"/>
      <c r="F259" s="22"/>
      <c r="G259" s="22"/>
      <c r="H259" s="22"/>
      <c r="I259" s="22"/>
      <c r="J259" s="22"/>
      <c r="K259" s="22"/>
      <c r="L259" s="22"/>
      <c r="M259" s="22"/>
      <c r="N259" s="22"/>
      <c r="O259" s="22"/>
      <c r="P259" s="22"/>
      <c r="Q259" s="22"/>
      <c r="R259" s="22"/>
      <c r="S259" s="22"/>
      <c r="T259" s="22"/>
      <c r="U259" s="22"/>
      <c r="V259" s="22"/>
    </row>
    <row r="260" spans="1:256" s="24" customFormat="1" ht="15" customHeight="1">
      <c r="A260" s="23"/>
      <c r="B260" s="38" t="s">
        <v>171</v>
      </c>
      <c r="C260" s="34"/>
      <c r="D260" s="34"/>
      <c r="E260" s="34"/>
      <c r="F260" s="34"/>
      <c r="G260" s="34"/>
      <c r="H260" s="34"/>
      <c r="I260" s="34"/>
      <c r="J260" s="34"/>
      <c r="K260" s="34"/>
      <c r="L260" s="34"/>
      <c r="M260" s="34"/>
      <c r="N260" s="34"/>
      <c r="O260" s="34"/>
      <c r="P260" s="34"/>
      <c r="Q260" s="34"/>
      <c r="R260" s="34"/>
      <c r="S260" s="34"/>
      <c r="T260" s="39" t="s">
        <v>66</v>
      </c>
      <c r="U260" s="39"/>
      <c r="V260" s="37"/>
      <c r="W260" s="37"/>
      <c r="X260" s="37"/>
      <c r="Y260" s="37"/>
      <c r="Z260" s="34"/>
      <c r="AA260" s="38" t="s">
        <v>171</v>
      </c>
      <c r="AB260" s="34"/>
      <c r="AC260" s="34"/>
      <c r="AD260" s="34"/>
      <c r="AE260" s="34"/>
      <c r="AF260" s="34"/>
      <c r="AG260" s="34"/>
      <c r="AH260" s="34"/>
      <c r="AI260" s="34"/>
      <c r="AJ260" s="34"/>
      <c r="AK260" s="34"/>
      <c r="AL260" s="34"/>
      <c r="AM260" s="34"/>
      <c r="AN260" s="34"/>
      <c r="AO260" s="34"/>
      <c r="AP260" s="34"/>
      <c r="AQ260" s="34"/>
      <c r="AR260" s="34"/>
      <c r="AS260" s="34"/>
      <c r="AT260" s="39" t="s">
        <v>172</v>
      </c>
      <c r="AU260" s="39"/>
      <c r="AV260" s="37"/>
      <c r="AW260" s="37"/>
      <c r="AX260" s="37"/>
      <c r="AZ260" s="38" t="s">
        <v>171</v>
      </c>
      <c r="BA260" s="34"/>
      <c r="BB260" s="34"/>
      <c r="BC260" s="34"/>
      <c r="BD260" s="34"/>
      <c r="BE260" s="34"/>
      <c r="BF260" s="34"/>
      <c r="BG260" s="34"/>
      <c r="BH260" s="34"/>
      <c r="BI260" s="34"/>
      <c r="BJ260" s="34"/>
      <c r="BK260" s="34"/>
      <c r="BL260" s="34"/>
      <c r="BM260" s="34"/>
      <c r="BN260" s="34"/>
      <c r="BO260" s="34"/>
      <c r="BP260" s="34"/>
      <c r="BQ260" s="34"/>
      <c r="BR260" s="34"/>
      <c r="BS260" s="34"/>
      <c r="BT260" s="34"/>
      <c r="BU260" s="39" t="s">
        <v>64</v>
      </c>
      <c r="BV260" s="37"/>
      <c r="BW260" s="37"/>
      <c r="BX260" s="34"/>
      <c r="BY260" s="38" t="s">
        <v>171</v>
      </c>
      <c r="BZ260" s="34"/>
      <c r="CA260" s="34"/>
      <c r="CB260" s="34"/>
      <c r="CC260" s="34"/>
      <c r="CD260" s="34"/>
      <c r="CE260" s="34"/>
      <c r="CF260" s="34"/>
      <c r="CG260" s="34"/>
      <c r="CH260" s="34"/>
      <c r="CI260" s="34"/>
      <c r="CJ260" s="34"/>
      <c r="CK260" s="34"/>
      <c r="CL260" s="34"/>
      <c r="CM260" s="34"/>
      <c r="CN260" s="34"/>
      <c r="CO260" s="34"/>
      <c r="CP260" s="34"/>
      <c r="CQ260" s="34"/>
      <c r="CR260" s="34"/>
      <c r="CS260" s="39" t="s">
        <v>63</v>
      </c>
      <c r="CT260" s="37"/>
      <c r="CU260" s="37"/>
      <c r="CV260" s="37"/>
      <c r="CW260" s="34"/>
      <c r="CX260" s="38" t="s">
        <v>171</v>
      </c>
      <c r="CY260" s="34"/>
      <c r="CZ260" s="34"/>
      <c r="DA260" s="34"/>
      <c r="DB260" s="34"/>
      <c r="DC260" s="34"/>
      <c r="DD260" s="34"/>
      <c r="DE260" s="34"/>
      <c r="DF260" s="34"/>
      <c r="DG260" s="34"/>
      <c r="DH260" s="34"/>
      <c r="DI260" s="34"/>
      <c r="DJ260" s="34"/>
      <c r="DK260" s="34"/>
      <c r="DL260" s="34"/>
      <c r="DM260" s="34"/>
      <c r="DN260" s="34"/>
      <c r="DO260" s="34"/>
      <c r="DP260" s="34"/>
      <c r="DQ260" s="34"/>
      <c r="DR260" s="37" t="s">
        <v>62</v>
      </c>
      <c r="DS260" s="37"/>
      <c r="DT260" s="37"/>
      <c r="DU260" s="37"/>
      <c r="DV260" s="36"/>
      <c r="DW260" s="38" t="s">
        <v>171</v>
      </c>
      <c r="DX260" s="34"/>
      <c r="DY260" s="34"/>
      <c r="DZ260" s="34"/>
      <c r="EA260" s="34"/>
      <c r="EB260" s="34"/>
      <c r="EC260" s="34"/>
      <c r="ED260" s="34"/>
      <c r="EE260" s="34"/>
      <c r="EF260" s="34"/>
      <c r="EG260" s="34"/>
      <c r="EH260" s="34"/>
      <c r="EI260" s="34"/>
      <c r="EJ260" s="34"/>
      <c r="EK260" s="34"/>
      <c r="EL260" s="34"/>
      <c r="EM260" s="34"/>
      <c r="EN260" s="34"/>
      <c r="EO260" s="34"/>
      <c r="EP260" s="34"/>
      <c r="EQ260" s="34"/>
      <c r="ER260" s="39" t="s">
        <v>61</v>
      </c>
      <c r="ES260" s="37"/>
      <c r="ET260" s="37"/>
      <c r="EU260" s="36"/>
      <c r="EV260" s="38" t="s">
        <v>171</v>
      </c>
      <c r="EW260" s="34"/>
      <c r="EX260" s="34"/>
      <c r="EY260" s="34"/>
      <c r="EZ260" s="34"/>
      <c r="FA260" s="34"/>
      <c r="FB260" s="34"/>
      <c r="FC260" s="34"/>
      <c r="FD260" s="34"/>
      <c r="FE260" s="34"/>
      <c r="FF260" s="34"/>
      <c r="FG260" s="34"/>
      <c r="FH260" s="34"/>
      <c r="FI260" s="34"/>
      <c r="FJ260" s="34"/>
      <c r="FK260" s="34"/>
      <c r="FL260" s="34"/>
      <c r="FM260" s="34"/>
      <c r="FN260" s="34"/>
      <c r="FO260" s="34"/>
      <c r="FP260" s="34"/>
      <c r="FQ260" s="34"/>
      <c r="FR260" s="37" t="s">
        <v>28</v>
      </c>
      <c r="FS260" s="37"/>
      <c r="FT260" s="36"/>
      <c r="FU260" s="25"/>
      <c r="FV260" s="25"/>
      <c r="FW260" s="25"/>
      <c r="FX260" s="25"/>
      <c r="FY260" s="25"/>
      <c r="FZ260" s="25"/>
      <c r="GA260" s="25"/>
      <c r="GB260" s="25"/>
      <c r="GC260" s="25"/>
      <c r="GD260" s="25"/>
      <c r="GE260" s="25"/>
      <c r="GF260" s="25"/>
      <c r="GG260" s="25"/>
      <c r="GH260" s="25"/>
      <c r="GI260" s="25"/>
      <c r="GJ260" s="25"/>
      <c r="GK260" s="25"/>
      <c r="GL260" s="25"/>
      <c r="GM260" s="25"/>
      <c r="GN260" s="25"/>
      <c r="GO260" s="25"/>
      <c r="GP260" s="25"/>
      <c r="GQ260" s="25"/>
      <c r="GR260" s="25"/>
      <c r="GS260" s="25"/>
      <c r="GT260" s="25"/>
      <c r="GU260" s="25"/>
      <c r="GV260" s="25"/>
      <c r="GW260" s="25"/>
      <c r="GX260" s="25"/>
      <c r="GY260" s="25"/>
      <c r="GZ260" s="25"/>
      <c r="HA260" s="25"/>
      <c r="HB260" s="25"/>
      <c r="HC260" s="25"/>
      <c r="HD260" s="25"/>
      <c r="HE260" s="25"/>
      <c r="HF260" s="25"/>
      <c r="HG260" s="25"/>
      <c r="HH260" s="25"/>
      <c r="HI260" s="25"/>
      <c r="HJ260" s="25"/>
      <c r="HK260" s="25"/>
      <c r="HL260" s="25"/>
      <c r="HM260" s="25"/>
      <c r="HN260" s="25"/>
      <c r="HO260" s="25"/>
      <c r="HP260" s="25"/>
      <c r="HQ260" s="25"/>
      <c r="HR260" s="25"/>
      <c r="HS260" s="25"/>
      <c r="HT260" s="25"/>
      <c r="HU260" s="25"/>
      <c r="HV260" s="25"/>
      <c r="HW260" s="25"/>
      <c r="HX260" s="25"/>
      <c r="HY260" s="25"/>
      <c r="HZ260" s="25"/>
      <c r="IA260" s="25"/>
      <c r="IB260" s="25"/>
      <c r="IC260" s="25"/>
      <c r="ID260" s="25"/>
      <c r="IE260" s="25"/>
      <c r="IF260" s="25"/>
      <c r="IG260" s="25"/>
      <c r="IH260" s="25"/>
      <c r="II260" s="25"/>
      <c r="IJ260" s="25"/>
      <c r="IK260" s="25"/>
      <c r="IL260" s="25"/>
      <c r="IM260" s="25"/>
      <c r="IN260" s="25"/>
      <c r="IO260" s="25"/>
      <c r="IP260" s="25"/>
      <c r="IQ260" s="25"/>
      <c r="IR260" s="25"/>
      <c r="IS260" s="25"/>
      <c r="IT260" s="25"/>
      <c r="IV260" s="21"/>
    </row>
    <row r="261" spans="1:256" s="24" customFormat="1" ht="8.1" customHeight="1" thickBot="1">
      <c r="A261" s="23"/>
      <c r="CW261" s="26"/>
      <c r="DV261" s="26"/>
      <c r="EU261" s="26"/>
      <c r="FT261" s="26"/>
      <c r="FU261" s="25"/>
      <c r="FV261" s="25"/>
      <c r="FW261" s="25"/>
      <c r="FX261" s="25"/>
      <c r="FY261" s="25"/>
      <c r="FZ261" s="25"/>
      <c r="GA261" s="25"/>
      <c r="GB261" s="25"/>
      <c r="GC261" s="25"/>
      <c r="GD261" s="25"/>
      <c r="GE261" s="25"/>
      <c r="GF261" s="25"/>
      <c r="GG261" s="25"/>
      <c r="GH261" s="25"/>
      <c r="GI261" s="25"/>
      <c r="GJ261" s="25"/>
      <c r="GK261" s="25"/>
      <c r="GL261" s="25"/>
      <c r="GM261" s="25"/>
      <c r="GN261" s="25"/>
      <c r="GO261" s="25"/>
      <c r="GP261" s="25"/>
      <c r="GQ261" s="25"/>
      <c r="GR261" s="25"/>
      <c r="GS261" s="25"/>
      <c r="GT261" s="25"/>
      <c r="GU261" s="25"/>
      <c r="GV261" s="25"/>
      <c r="GW261" s="25"/>
      <c r="GX261" s="25"/>
      <c r="GY261" s="25"/>
      <c r="GZ261" s="25"/>
      <c r="HA261" s="25"/>
      <c r="HB261" s="25"/>
      <c r="HC261" s="25"/>
      <c r="HD261" s="25"/>
      <c r="HE261" s="25"/>
      <c r="HF261" s="25"/>
      <c r="HG261" s="25"/>
      <c r="HH261" s="25"/>
      <c r="HI261" s="25"/>
      <c r="HJ261" s="25"/>
      <c r="HK261" s="25"/>
      <c r="HL261" s="25"/>
      <c r="HM261" s="25"/>
      <c r="HN261" s="25"/>
      <c r="HO261" s="25"/>
      <c r="HP261" s="25"/>
      <c r="HQ261" s="25"/>
      <c r="HR261" s="25"/>
      <c r="HS261" s="25"/>
      <c r="HT261" s="25"/>
      <c r="HU261" s="25"/>
      <c r="HV261" s="25"/>
      <c r="HW261" s="25"/>
      <c r="HX261" s="25"/>
      <c r="HY261" s="25"/>
      <c r="HZ261" s="25"/>
      <c r="IA261" s="25"/>
      <c r="IB261" s="25"/>
      <c r="IC261" s="25"/>
      <c r="ID261" s="25"/>
      <c r="IE261" s="25"/>
      <c r="IF261" s="25"/>
      <c r="IG261" s="25"/>
      <c r="IH261" s="25"/>
      <c r="II261" s="25"/>
      <c r="IJ261" s="25"/>
      <c r="IK261" s="25"/>
      <c r="IL261" s="25"/>
      <c r="IM261" s="25"/>
      <c r="IN261" s="25"/>
      <c r="IO261" s="25"/>
      <c r="IP261" s="25"/>
      <c r="IQ261" s="25"/>
      <c r="IR261" s="25"/>
      <c r="IS261" s="25"/>
      <c r="IT261" s="25"/>
      <c r="IV261" s="21"/>
    </row>
    <row r="262" spans="1:256" s="24" customFormat="1" ht="14.1" customHeight="1" thickBot="1">
      <c r="A262" s="35">
        <v>22</v>
      </c>
      <c r="B262" s="33">
        <f>'الصفحة 35'!$E$68</f>
        <v>0</v>
      </c>
      <c r="C262" s="32">
        <f>'الصفحة 35'!$F$68</f>
        <v>0</v>
      </c>
      <c r="D262" s="30">
        <f>'الصفحة 35'!$G$68</f>
        <v>0</v>
      </c>
      <c r="E262" s="31">
        <f>'الصفحة 35'!$H$68</f>
        <v>0</v>
      </c>
      <c r="F262" s="30">
        <f>'الصفحة 35'!$I$68</f>
        <v>0</v>
      </c>
      <c r="G262" s="31">
        <f>'الصفحة 35'!$J$68</f>
        <v>0</v>
      </c>
      <c r="H262" s="30">
        <f>'الصفحة 35'!$K$68</f>
        <v>0</v>
      </c>
      <c r="I262" s="31">
        <f>'الصفحة 35'!$L$68</f>
        <v>0</v>
      </c>
      <c r="J262" s="30">
        <f>'الصفحة 35'!$M$68</f>
        <v>0</v>
      </c>
      <c r="K262" s="31">
        <f>'الصفحة 35'!$N$68</f>
        <v>0</v>
      </c>
      <c r="L262" s="30">
        <f>'الصفحة 35'!$O$68</f>
        <v>0</v>
      </c>
      <c r="M262" s="31">
        <f>'الصفحة 35'!$P$68</f>
        <v>0</v>
      </c>
      <c r="N262" s="30">
        <f>'الصفحة 36'!$E$68</f>
        <v>0</v>
      </c>
      <c r="O262" s="31">
        <f>'الصفحة 36'!$F$68</f>
        <v>0</v>
      </c>
      <c r="P262" s="30">
        <f>'الصفحة 36'!$G$68</f>
        <v>0</v>
      </c>
      <c r="Q262" s="31">
        <f>'الصفحة 36'!$H$68</f>
        <v>0</v>
      </c>
      <c r="R262" s="30">
        <f>'الصفحة 36'!$I$68</f>
        <v>0</v>
      </c>
      <c r="S262" s="31">
        <f>'الصفحة 36'!$J$68</f>
        <v>0</v>
      </c>
      <c r="T262" s="30">
        <f>'الصفحة 36'!$K$68</f>
        <v>0</v>
      </c>
      <c r="U262" s="31">
        <f>'الصفحة 36'!$L$68</f>
        <v>0</v>
      </c>
      <c r="V262" s="30">
        <f>'الصفحة 36'!$M$68</f>
        <v>0</v>
      </c>
      <c r="W262" s="31">
        <f>'الصفحة 36'!$N$68</f>
        <v>0</v>
      </c>
      <c r="X262" s="30">
        <f>'الصفحة 36'!$O$68</f>
        <v>0</v>
      </c>
      <c r="Y262" s="29">
        <f>'الصفحة 36'!$P$68</f>
        <v>0</v>
      </c>
      <c r="Z262" s="34"/>
      <c r="AA262" s="33">
        <f>'الصفحة 35'!$E$69</f>
        <v>0</v>
      </c>
      <c r="AB262" s="32">
        <f>'الصفحة 35'!$F$69</f>
        <v>0</v>
      </c>
      <c r="AC262" s="30">
        <f>'الصفحة 35'!$G$69</f>
        <v>0</v>
      </c>
      <c r="AD262" s="31">
        <f>'الصفحة 35'!$H$69</f>
        <v>0</v>
      </c>
      <c r="AE262" s="30">
        <f>'الصفحة 35'!$I$69</f>
        <v>0</v>
      </c>
      <c r="AF262" s="31">
        <f>'الصفحة 35'!$J$69</f>
        <v>0</v>
      </c>
      <c r="AG262" s="30">
        <f>'الصفحة 35'!$K$69</f>
        <v>0</v>
      </c>
      <c r="AH262" s="31">
        <f>'الصفحة 35'!$L$69</f>
        <v>0</v>
      </c>
      <c r="AI262" s="30">
        <f>'الصفحة 35'!$M$69</f>
        <v>0</v>
      </c>
      <c r="AJ262" s="31">
        <f>'الصفحة 35'!$N$69</f>
        <v>0</v>
      </c>
      <c r="AK262" s="30">
        <f>'الصفحة 35'!$O$69</f>
        <v>0</v>
      </c>
      <c r="AL262" s="31">
        <f>'الصفحة 35'!$P$69</f>
        <v>0</v>
      </c>
      <c r="AM262" s="30">
        <f>'الصفحة 36'!$E$69</f>
        <v>0</v>
      </c>
      <c r="AN262" s="31">
        <f>'الصفحة 36'!$F$69</f>
        <v>0</v>
      </c>
      <c r="AO262" s="30">
        <f>'الصفحة 36'!$G$69</f>
        <v>0</v>
      </c>
      <c r="AP262" s="31">
        <f>'الصفحة 36'!$H$69</f>
        <v>0</v>
      </c>
      <c r="AQ262" s="30">
        <f>'الصفحة 36'!$I$69</f>
        <v>0</v>
      </c>
      <c r="AR262" s="31">
        <f>'الصفحة 36'!$J$69</f>
        <v>0</v>
      </c>
      <c r="AS262" s="30">
        <f>'الصفحة 36'!$K$69</f>
        <v>0</v>
      </c>
      <c r="AT262" s="31">
        <f>'الصفحة 36'!$L$69</f>
        <v>0</v>
      </c>
      <c r="AU262" s="30">
        <f>'الصفحة 36'!$M$69</f>
        <v>0</v>
      </c>
      <c r="AV262" s="31">
        <f>'الصفحة 36'!$N$69</f>
        <v>0</v>
      </c>
      <c r="AW262" s="30">
        <f>'الصفحة 36'!$O$69</f>
        <v>0</v>
      </c>
      <c r="AX262" s="29">
        <f>'الصفحة 36'!$P$69</f>
        <v>0</v>
      </c>
      <c r="AZ262" s="33">
        <f>'الصفحة 35'!$E$70</f>
        <v>0</v>
      </c>
      <c r="BA262" s="32">
        <f>'الصفحة 35'!$F$70</f>
        <v>0</v>
      </c>
      <c r="BB262" s="30">
        <f>'الصفحة 35'!$G$70</f>
        <v>0</v>
      </c>
      <c r="BC262" s="31">
        <f>'الصفحة 35'!$H$70</f>
        <v>0</v>
      </c>
      <c r="BD262" s="30">
        <f>'الصفحة 35'!$I$70</f>
        <v>0</v>
      </c>
      <c r="BE262" s="31">
        <f>'الصفحة 35'!$J$70</f>
        <v>0</v>
      </c>
      <c r="BF262" s="30">
        <f>'الصفحة 35'!$K$70</f>
        <v>0</v>
      </c>
      <c r="BG262" s="31">
        <f>'الصفحة 35'!$L$70</f>
        <v>0</v>
      </c>
      <c r="BH262" s="30">
        <f>'الصفحة 35'!$M$70</f>
        <v>0</v>
      </c>
      <c r="BI262" s="31">
        <f>'الصفحة 35'!$N$70</f>
        <v>0</v>
      </c>
      <c r="BJ262" s="30">
        <f>'الصفحة 35'!$O$70</f>
        <v>0</v>
      </c>
      <c r="BK262" s="31">
        <f>'الصفحة 35'!$P$70</f>
        <v>0</v>
      </c>
      <c r="BL262" s="30">
        <f>'الصفحة 36'!$E$70</f>
        <v>0</v>
      </c>
      <c r="BM262" s="31">
        <f>'الصفحة 36'!$F$70</f>
        <v>0</v>
      </c>
      <c r="BN262" s="30">
        <f>'الصفحة 36'!$G$70</f>
        <v>0</v>
      </c>
      <c r="BO262" s="31">
        <f>'الصفحة 36'!$H$70</f>
        <v>0</v>
      </c>
      <c r="BP262" s="30">
        <f>'الصفحة 36'!$I$70</f>
        <v>0</v>
      </c>
      <c r="BQ262" s="31">
        <f>'الصفحة 36'!$J$70</f>
        <v>0</v>
      </c>
      <c r="BR262" s="30">
        <f>'الصفحة 36'!$K$70</f>
        <v>0</v>
      </c>
      <c r="BS262" s="31">
        <f>'الصفحة 36'!$L$70</f>
        <v>0</v>
      </c>
      <c r="BT262" s="30">
        <f>'الصفحة 36'!$M$70</f>
        <v>0</v>
      </c>
      <c r="BU262" s="31">
        <f>'الصفحة 36'!$N$70</f>
        <v>0</v>
      </c>
      <c r="BV262" s="30">
        <f>'الصفحة 36'!$O$70</f>
        <v>0</v>
      </c>
      <c r="BW262" s="29">
        <f>'الصفحة 36'!$P$70</f>
        <v>0</v>
      </c>
      <c r="BX262" s="34"/>
      <c r="BY262" s="33">
        <f>'الصفحة 35'!$E$71</f>
        <v>0</v>
      </c>
      <c r="BZ262" s="32">
        <f>'الصفحة 35'!$F$71</f>
        <v>0</v>
      </c>
      <c r="CA262" s="30">
        <f>'الصفحة 35'!$G$71</f>
        <v>0</v>
      </c>
      <c r="CB262" s="31">
        <f>'الصفحة 35'!$H$71</f>
        <v>0</v>
      </c>
      <c r="CC262" s="30">
        <f>'الصفحة 35'!$I$71</f>
        <v>0</v>
      </c>
      <c r="CD262" s="31">
        <f>'الصفحة 35'!$J$71</f>
        <v>0</v>
      </c>
      <c r="CE262" s="30">
        <f>'الصفحة 35'!$K$71</f>
        <v>0</v>
      </c>
      <c r="CF262" s="31">
        <f>'الصفحة 35'!$L$71</f>
        <v>0</v>
      </c>
      <c r="CG262" s="30">
        <f>'الصفحة 35'!$M$71</f>
        <v>0</v>
      </c>
      <c r="CH262" s="31">
        <f>'الصفحة 35'!$N$71</f>
        <v>0</v>
      </c>
      <c r="CI262" s="30">
        <f>'الصفحة 35'!$O$71</f>
        <v>0</v>
      </c>
      <c r="CJ262" s="31">
        <f>'الصفحة 35'!$P$71</f>
        <v>0</v>
      </c>
      <c r="CK262" s="30">
        <f>'الصفحة 36'!$E$71</f>
        <v>0</v>
      </c>
      <c r="CL262" s="31">
        <f>'الصفحة 36'!$F$71</f>
        <v>0</v>
      </c>
      <c r="CM262" s="30">
        <f>'الصفحة 36'!$G$71</f>
        <v>0</v>
      </c>
      <c r="CN262" s="31">
        <f>'الصفحة 36'!$H$71</f>
        <v>0</v>
      </c>
      <c r="CO262" s="30">
        <f>'الصفحة 36'!$I$71</f>
        <v>0</v>
      </c>
      <c r="CP262" s="31">
        <f>'الصفحة 36'!$J$71</f>
        <v>0</v>
      </c>
      <c r="CQ262" s="30">
        <f>'الصفحة 36'!$K$71</f>
        <v>0</v>
      </c>
      <c r="CR262" s="31">
        <f>'الصفحة 36'!$L$71</f>
        <v>0</v>
      </c>
      <c r="CS262" s="30">
        <f>'الصفحة 36'!$M$71</f>
        <v>0</v>
      </c>
      <c r="CT262" s="31">
        <f>'الصفحة 36'!$N$71</f>
        <v>0</v>
      </c>
      <c r="CU262" s="30">
        <f>'الصفحة 36'!$O$71</f>
        <v>0</v>
      </c>
      <c r="CV262" s="29">
        <f>'الصفحة 36'!$P$71</f>
        <v>0</v>
      </c>
      <c r="CW262" s="28"/>
      <c r="CX262" s="33">
        <f>'الصفحة 35'!$E$72</f>
        <v>0</v>
      </c>
      <c r="CY262" s="32">
        <f>'الصفحة 35'!$F$72</f>
        <v>0</v>
      </c>
      <c r="CZ262" s="30">
        <f>'الصفحة 35'!$G$72</f>
        <v>0</v>
      </c>
      <c r="DA262" s="31">
        <f>'الصفحة 35'!$H$72</f>
        <v>0</v>
      </c>
      <c r="DB262" s="30">
        <f>'الصفحة 35'!$I$72</f>
        <v>0</v>
      </c>
      <c r="DC262" s="31">
        <f>'الصفحة 35'!$J$72</f>
        <v>0</v>
      </c>
      <c r="DD262" s="30">
        <f>'الصفحة 35'!$K$72</f>
        <v>1</v>
      </c>
      <c r="DE262" s="31">
        <f>'الصفحة 35'!$L$72</f>
        <v>0</v>
      </c>
      <c r="DF262" s="30">
        <f>'الصفحة 35'!$M$72</f>
        <v>0</v>
      </c>
      <c r="DG262" s="31">
        <f>'الصفحة 35'!$N$72</f>
        <v>0</v>
      </c>
      <c r="DH262" s="30">
        <f>'الصفحة 35'!$O$72</f>
        <v>0</v>
      </c>
      <c r="DI262" s="31">
        <f>'الصفحة 35'!$P$72</f>
        <v>0</v>
      </c>
      <c r="DJ262" s="30">
        <f>'الصفحة 36'!$E$72</f>
        <v>0</v>
      </c>
      <c r="DK262" s="31">
        <f>'الصفحة 36'!$F$72</f>
        <v>0</v>
      </c>
      <c r="DL262" s="30">
        <f>'الصفحة 36'!$G$72</f>
        <v>0</v>
      </c>
      <c r="DM262" s="31">
        <f>'الصفحة 36'!$H$72</f>
        <v>0</v>
      </c>
      <c r="DN262" s="30">
        <f>'الصفحة 36'!$I$72</f>
        <v>0</v>
      </c>
      <c r="DO262" s="31">
        <f>'الصفحة 36'!$J$72</f>
        <v>0</v>
      </c>
      <c r="DP262" s="30">
        <f>'الصفحة 36'!$K$72</f>
        <v>0</v>
      </c>
      <c r="DQ262" s="31">
        <f>'الصفحة 36'!$L$72</f>
        <v>0</v>
      </c>
      <c r="DR262" s="30">
        <f>'الصفحة 36'!$M$72</f>
        <v>0</v>
      </c>
      <c r="DS262" s="31">
        <f>'الصفحة 36'!$N$72</f>
        <v>0</v>
      </c>
      <c r="DT262" s="30">
        <f>'الصفحة 36'!$O$72</f>
        <v>1</v>
      </c>
      <c r="DU262" s="29">
        <f>'الصفحة 36'!$P$72</f>
        <v>0</v>
      </c>
      <c r="DV262" s="28"/>
      <c r="DW262" s="33">
        <f>'الصفحة 35'!$E$73</f>
        <v>0</v>
      </c>
      <c r="DX262" s="32">
        <f>'الصفحة 35'!$F$73</f>
        <v>0</v>
      </c>
      <c r="DY262" s="30">
        <f>'الصفحة 35'!$G$73</f>
        <v>1</v>
      </c>
      <c r="DZ262" s="31">
        <f>'الصفحة 35'!$H$73</f>
        <v>0</v>
      </c>
      <c r="EA262" s="30">
        <f>'الصفحة 35'!$I$73</f>
        <v>2</v>
      </c>
      <c r="EB262" s="31">
        <f>'الصفحة 35'!$J$73</f>
        <v>0</v>
      </c>
      <c r="EC262" s="30">
        <f>'الصفحة 35'!$K$73</f>
        <v>0</v>
      </c>
      <c r="ED262" s="31">
        <f>'الصفحة 35'!$L$73</f>
        <v>0</v>
      </c>
      <c r="EE262" s="30">
        <f>'الصفحة 35'!$M$73</f>
        <v>1</v>
      </c>
      <c r="EF262" s="31">
        <f>'الصفحة 35'!$N$73</f>
        <v>0</v>
      </c>
      <c r="EG262" s="30">
        <f>'الصفحة 35'!$O$73</f>
        <v>1</v>
      </c>
      <c r="EH262" s="31">
        <f>'الصفحة 35'!$P$73</f>
        <v>0</v>
      </c>
      <c r="EI262" s="30">
        <f>'الصفحة 36'!$E$73</f>
        <v>3</v>
      </c>
      <c r="EJ262" s="31">
        <f>'الصفحة 36'!$F$73</f>
        <v>0</v>
      </c>
      <c r="EK262" s="30">
        <f>'الصفحة 36'!$G$73</f>
        <v>1</v>
      </c>
      <c r="EL262" s="31">
        <f>'الصفحة 36'!$H$73</f>
        <v>0</v>
      </c>
      <c r="EM262" s="30">
        <f>'الصفحة 36'!$I$73</f>
        <v>0</v>
      </c>
      <c r="EN262" s="31">
        <f>'الصفحة 36'!$J$73</f>
        <v>0</v>
      </c>
      <c r="EO262" s="30">
        <f>'الصفحة 36'!$K$73</f>
        <v>0</v>
      </c>
      <c r="EP262" s="31">
        <f>'الصفحة 36'!$L$73</f>
        <v>0</v>
      </c>
      <c r="EQ262" s="30">
        <f>'الصفحة 36'!$M$73</f>
        <v>1</v>
      </c>
      <c r="ER262" s="31">
        <f>'الصفحة 36'!$N$73</f>
        <v>0</v>
      </c>
      <c r="ES262" s="30">
        <f>'الصفحة 36'!$O$73</f>
        <v>10</v>
      </c>
      <c r="ET262" s="29">
        <f>'الصفحة 36'!$P$73</f>
        <v>0</v>
      </c>
      <c r="EU262" s="28"/>
      <c r="EV262" s="33">
        <f>'الصفحة 35'!$E$74</f>
        <v>4</v>
      </c>
      <c r="EW262" s="32">
        <f>'الصفحة 35'!$F$74</f>
        <v>2</v>
      </c>
      <c r="EX262" s="30">
        <f>'الصفحة 35'!$G$74</f>
        <v>13</v>
      </c>
      <c r="EY262" s="31">
        <f>'الصفحة 35'!$H$74</f>
        <v>9</v>
      </c>
      <c r="EZ262" s="30">
        <f>'الصفحة 35'!$I$74</f>
        <v>4</v>
      </c>
      <c r="FA262" s="31">
        <f>'الصفحة 35'!$J$74</f>
        <v>1</v>
      </c>
      <c r="FB262" s="30">
        <f>'الصفحة 35'!$K$74</f>
        <v>2</v>
      </c>
      <c r="FC262" s="31">
        <f>'الصفحة 35'!$L$74</f>
        <v>0</v>
      </c>
      <c r="FD262" s="30">
        <f>'الصفحة 35'!$M$74</f>
        <v>5</v>
      </c>
      <c r="FE262" s="31">
        <f>'الصفحة 35'!$N$74</f>
        <v>2</v>
      </c>
      <c r="FF262" s="30">
        <f>'الصفحة 35'!$O$74</f>
        <v>1</v>
      </c>
      <c r="FG262" s="31">
        <f>'الصفحة 35'!$P$74</f>
        <v>0</v>
      </c>
      <c r="FH262" s="30">
        <f>'الصفحة 36'!$E$74</f>
        <v>3</v>
      </c>
      <c r="FI262" s="31">
        <f>'الصفحة 36'!$F$74</f>
        <v>0</v>
      </c>
      <c r="FJ262" s="30">
        <f>'الصفحة 36'!$G$74</f>
        <v>1</v>
      </c>
      <c r="FK262" s="31">
        <f>'الصفحة 36'!$H$74</f>
        <v>0</v>
      </c>
      <c r="FL262" s="30">
        <f>'الصفحة 36'!$I$74</f>
        <v>1</v>
      </c>
      <c r="FM262" s="31">
        <f>'الصفحة 36'!$J$74</f>
        <v>1</v>
      </c>
      <c r="FN262" s="30">
        <f>'الصفحة 36'!$K$74</f>
        <v>0</v>
      </c>
      <c r="FO262" s="31">
        <f>'الصفحة 36'!$L$74</f>
        <v>0</v>
      </c>
      <c r="FP262" s="30">
        <f>'الصفحة 36'!$M$74</f>
        <v>2</v>
      </c>
      <c r="FQ262" s="31">
        <f>'الصفحة 36'!$N$74</f>
        <v>1</v>
      </c>
      <c r="FR262" s="30">
        <f>'الصفحة 36'!$O$74</f>
        <v>36</v>
      </c>
      <c r="FS262" s="29">
        <f>'الصفحة 36'!$P$74</f>
        <v>16</v>
      </c>
      <c r="FT262" s="28"/>
      <c r="FU262" s="27"/>
      <c r="FV262" s="27"/>
      <c r="FW262" s="27"/>
      <c r="FX262" s="27"/>
      <c r="FY262" s="27"/>
      <c r="FZ262" s="27"/>
      <c r="GA262" s="27"/>
      <c r="GB262" s="27"/>
      <c r="GC262" s="27"/>
      <c r="GD262" s="27"/>
      <c r="GE262" s="27"/>
      <c r="GF262" s="27"/>
      <c r="GG262" s="27"/>
      <c r="GH262" s="27"/>
      <c r="GI262" s="27"/>
      <c r="GJ262" s="27"/>
      <c r="GK262" s="27"/>
      <c r="GL262" s="27"/>
      <c r="GM262" s="27"/>
      <c r="GN262" s="27"/>
      <c r="GO262" s="27"/>
      <c r="GP262" s="27"/>
      <c r="GQ262" s="27"/>
      <c r="GR262" s="27"/>
      <c r="GS262" s="27"/>
      <c r="GT262" s="27"/>
      <c r="GU262" s="27"/>
      <c r="GV262" s="27"/>
      <c r="GW262" s="27"/>
      <c r="GX262" s="27"/>
      <c r="GY262" s="27"/>
      <c r="GZ262" s="27"/>
      <c r="HA262" s="27"/>
      <c r="HB262" s="27"/>
      <c r="HC262" s="27"/>
      <c r="HD262" s="27"/>
      <c r="HE262" s="27"/>
      <c r="HF262" s="27"/>
      <c r="HG262" s="27"/>
      <c r="HH262" s="27"/>
      <c r="HI262" s="27"/>
      <c r="HJ262" s="27"/>
      <c r="HK262" s="27"/>
      <c r="HL262" s="27"/>
      <c r="HM262" s="27"/>
      <c r="HN262" s="27"/>
      <c r="HO262" s="27"/>
      <c r="HP262" s="27"/>
      <c r="HQ262" s="27"/>
      <c r="HR262" s="27"/>
      <c r="HS262" s="27"/>
      <c r="HT262" s="27"/>
      <c r="HU262" s="27"/>
      <c r="HV262" s="27"/>
      <c r="HW262" s="27"/>
      <c r="HX262" s="27"/>
      <c r="HY262" s="27"/>
      <c r="HZ262" s="27"/>
      <c r="IA262" s="27"/>
      <c r="IB262" s="27"/>
      <c r="IC262" s="27"/>
      <c r="ID262" s="27"/>
      <c r="IE262" s="27"/>
      <c r="IF262" s="27"/>
      <c r="IG262" s="27"/>
      <c r="IH262" s="27"/>
      <c r="II262" s="27"/>
      <c r="IJ262" s="27"/>
      <c r="IK262" s="27"/>
      <c r="IL262" s="27"/>
      <c r="IM262" s="27"/>
      <c r="IN262" s="27"/>
      <c r="IO262" s="27"/>
      <c r="IP262" s="27"/>
      <c r="IQ262" s="27"/>
      <c r="IR262" s="27"/>
      <c r="IS262" s="27"/>
      <c r="IT262" s="27"/>
      <c r="IV262" s="21"/>
    </row>
    <row r="263" spans="1:256" s="24" customFormat="1" ht="10.5" customHeight="1">
      <c r="A263" s="23"/>
      <c r="B263" s="5775" t="s">
        <v>163</v>
      </c>
      <c r="C263" s="5775"/>
      <c r="D263" s="5775" t="s">
        <v>162</v>
      </c>
      <c r="E263" s="5775"/>
      <c r="F263" s="5775" t="s">
        <v>161</v>
      </c>
      <c r="G263" s="5775"/>
      <c r="H263" s="5775" t="s">
        <v>160</v>
      </c>
      <c r="I263" s="5775"/>
      <c r="J263" s="5775" t="s">
        <v>159</v>
      </c>
      <c r="K263" s="5775"/>
      <c r="L263" s="5775" t="s">
        <v>158</v>
      </c>
      <c r="M263" s="5775"/>
      <c r="N263" s="5774" t="s">
        <v>157</v>
      </c>
      <c r="O263" s="5774"/>
      <c r="P263" s="5774" t="s">
        <v>156</v>
      </c>
      <c r="Q263" s="5774"/>
      <c r="R263" s="5774" t="s">
        <v>155</v>
      </c>
      <c r="S263" s="5774"/>
      <c r="T263" s="5774" t="s">
        <v>154</v>
      </c>
      <c r="U263" s="5774"/>
      <c r="V263" s="5774" t="s">
        <v>153</v>
      </c>
      <c r="W263" s="5774"/>
      <c r="X263" s="5774" t="s">
        <v>165</v>
      </c>
      <c r="Y263" s="5774"/>
      <c r="AA263" s="5775" t="s">
        <v>163</v>
      </c>
      <c r="AB263" s="5775"/>
      <c r="AC263" s="5775" t="s">
        <v>162</v>
      </c>
      <c r="AD263" s="5775"/>
      <c r="AE263" s="5775" t="s">
        <v>161</v>
      </c>
      <c r="AF263" s="5775"/>
      <c r="AG263" s="5775" t="s">
        <v>160</v>
      </c>
      <c r="AH263" s="5775"/>
      <c r="AI263" s="5775" t="s">
        <v>159</v>
      </c>
      <c r="AJ263" s="5775"/>
      <c r="AK263" s="5775" t="s">
        <v>158</v>
      </c>
      <c r="AL263" s="5775"/>
      <c r="AM263" s="5774" t="s">
        <v>157</v>
      </c>
      <c r="AN263" s="5774"/>
      <c r="AO263" s="5774" t="s">
        <v>156</v>
      </c>
      <c r="AP263" s="5774"/>
      <c r="AQ263" s="5774" t="s">
        <v>155</v>
      </c>
      <c r="AR263" s="5774"/>
      <c r="AS263" s="5774" t="s">
        <v>154</v>
      </c>
      <c r="AT263" s="5774"/>
      <c r="AU263" s="5774" t="s">
        <v>153</v>
      </c>
      <c r="AV263" s="5774"/>
      <c r="AW263" s="5774" t="s">
        <v>165</v>
      </c>
      <c r="AX263" s="5774"/>
      <c r="AZ263" s="5775" t="s">
        <v>163</v>
      </c>
      <c r="BA263" s="5775"/>
      <c r="BB263" s="5775" t="s">
        <v>162</v>
      </c>
      <c r="BC263" s="5775"/>
      <c r="BD263" s="5775" t="s">
        <v>161</v>
      </c>
      <c r="BE263" s="5775"/>
      <c r="BF263" s="5775" t="s">
        <v>160</v>
      </c>
      <c r="BG263" s="5775"/>
      <c r="BH263" s="5775" t="s">
        <v>159</v>
      </c>
      <c r="BI263" s="5775"/>
      <c r="BJ263" s="5775" t="s">
        <v>158</v>
      </c>
      <c r="BK263" s="5775"/>
      <c r="BL263" s="5774" t="s">
        <v>157</v>
      </c>
      <c r="BM263" s="5774"/>
      <c r="BN263" s="5774" t="s">
        <v>156</v>
      </c>
      <c r="BO263" s="5774"/>
      <c r="BP263" s="5774" t="s">
        <v>155</v>
      </c>
      <c r="BQ263" s="5774"/>
      <c r="BR263" s="5774" t="s">
        <v>154</v>
      </c>
      <c r="BS263" s="5774"/>
      <c r="BT263" s="5774" t="s">
        <v>153</v>
      </c>
      <c r="BU263" s="5774"/>
      <c r="BV263" s="5774" t="s">
        <v>165</v>
      </c>
      <c r="BW263" s="5774"/>
      <c r="BY263" s="5775" t="s">
        <v>163</v>
      </c>
      <c r="BZ263" s="5775"/>
      <c r="CA263" s="5775" t="s">
        <v>162</v>
      </c>
      <c r="CB263" s="5775"/>
      <c r="CC263" s="5775" t="s">
        <v>161</v>
      </c>
      <c r="CD263" s="5775"/>
      <c r="CE263" s="5775" t="s">
        <v>160</v>
      </c>
      <c r="CF263" s="5775"/>
      <c r="CG263" s="5775" t="s">
        <v>159</v>
      </c>
      <c r="CH263" s="5775"/>
      <c r="CI263" s="5775" t="s">
        <v>158</v>
      </c>
      <c r="CJ263" s="5775"/>
      <c r="CK263" s="5774" t="s">
        <v>157</v>
      </c>
      <c r="CL263" s="5774"/>
      <c r="CM263" s="5774" t="s">
        <v>156</v>
      </c>
      <c r="CN263" s="5774"/>
      <c r="CO263" s="5774" t="s">
        <v>155</v>
      </c>
      <c r="CP263" s="5774"/>
      <c r="CQ263" s="5774" t="s">
        <v>154</v>
      </c>
      <c r="CR263" s="5774"/>
      <c r="CS263" s="5774" t="s">
        <v>153</v>
      </c>
      <c r="CT263" s="5774"/>
      <c r="CU263" s="5774" t="s">
        <v>165</v>
      </c>
      <c r="CV263" s="5774"/>
      <c r="CX263" s="5775" t="s">
        <v>163</v>
      </c>
      <c r="CY263" s="5775"/>
      <c r="CZ263" s="5775" t="s">
        <v>162</v>
      </c>
      <c r="DA263" s="5775"/>
      <c r="DB263" s="5775" t="s">
        <v>161</v>
      </c>
      <c r="DC263" s="5775"/>
      <c r="DD263" s="5775" t="s">
        <v>160</v>
      </c>
      <c r="DE263" s="5775"/>
      <c r="DF263" s="5775" t="s">
        <v>159</v>
      </c>
      <c r="DG263" s="5775"/>
      <c r="DH263" s="5775" t="s">
        <v>158</v>
      </c>
      <c r="DI263" s="5775"/>
      <c r="DJ263" s="5774" t="s">
        <v>157</v>
      </c>
      <c r="DK263" s="5774"/>
      <c r="DL263" s="5774" t="s">
        <v>156</v>
      </c>
      <c r="DM263" s="5774"/>
      <c r="DN263" s="5774" t="s">
        <v>155</v>
      </c>
      <c r="DO263" s="5774"/>
      <c r="DP263" s="5774" t="s">
        <v>154</v>
      </c>
      <c r="DQ263" s="5774"/>
      <c r="DR263" s="5774" t="s">
        <v>153</v>
      </c>
      <c r="DS263" s="5774"/>
      <c r="DT263" s="5774" t="s">
        <v>165</v>
      </c>
      <c r="DU263" s="5774"/>
      <c r="DV263" s="26"/>
      <c r="DW263" s="5775" t="s">
        <v>163</v>
      </c>
      <c r="DX263" s="5775"/>
      <c r="DY263" s="5775" t="s">
        <v>162</v>
      </c>
      <c r="DZ263" s="5775"/>
      <c r="EA263" s="5775" t="s">
        <v>161</v>
      </c>
      <c r="EB263" s="5775"/>
      <c r="EC263" s="5775" t="s">
        <v>160</v>
      </c>
      <c r="ED263" s="5775"/>
      <c r="EE263" s="5775" t="s">
        <v>159</v>
      </c>
      <c r="EF263" s="5775"/>
      <c r="EG263" s="5775" t="s">
        <v>158</v>
      </c>
      <c r="EH263" s="5775"/>
      <c r="EI263" s="5774" t="s">
        <v>157</v>
      </c>
      <c r="EJ263" s="5774"/>
      <c r="EK263" s="5774" t="s">
        <v>156</v>
      </c>
      <c r="EL263" s="5774"/>
      <c r="EM263" s="5774" t="s">
        <v>155</v>
      </c>
      <c r="EN263" s="5774"/>
      <c r="EO263" s="5774" t="s">
        <v>154</v>
      </c>
      <c r="EP263" s="5774"/>
      <c r="EQ263" s="5774" t="s">
        <v>153</v>
      </c>
      <c r="ER263" s="5774"/>
      <c r="ES263" s="5774" t="s">
        <v>165</v>
      </c>
      <c r="ET263" s="5774"/>
      <c r="EU263" s="26"/>
      <c r="EV263" s="5775" t="s">
        <v>163</v>
      </c>
      <c r="EW263" s="5775"/>
      <c r="EX263" s="5775" t="s">
        <v>162</v>
      </c>
      <c r="EY263" s="5775"/>
      <c r="EZ263" s="5775" t="s">
        <v>161</v>
      </c>
      <c r="FA263" s="5775"/>
      <c r="FB263" s="5775" t="s">
        <v>160</v>
      </c>
      <c r="FC263" s="5775"/>
      <c r="FD263" s="5775" t="s">
        <v>159</v>
      </c>
      <c r="FE263" s="5775"/>
      <c r="FF263" s="5775" t="s">
        <v>158</v>
      </c>
      <c r="FG263" s="5775"/>
      <c r="FH263" s="5774" t="s">
        <v>157</v>
      </c>
      <c r="FI263" s="5774"/>
      <c r="FJ263" s="5774" t="s">
        <v>156</v>
      </c>
      <c r="FK263" s="5774"/>
      <c r="FL263" s="5774" t="s">
        <v>155</v>
      </c>
      <c r="FM263" s="5774"/>
      <c r="FN263" s="5774" t="s">
        <v>154</v>
      </c>
      <c r="FO263" s="5774"/>
      <c r="FP263" s="5774" t="s">
        <v>153</v>
      </c>
      <c r="FQ263" s="5774"/>
      <c r="FR263" s="5774" t="s">
        <v>165</v>
      </c>
      <c r="FS263" s="5774"/>
      <c r="FT263" s="26"/>
      <c r="FU263" s="25"/>
      <c r="FV263" s="25"/>
      <c r="FW263" s="25"/>
      <c r="FX263" s="25"/>
      <c r="FY263" s="25"/>
      <c r="FZ263" s="25"/>
      <c r="GA263" s="25"/>
      <c r="GB263" s="25"/>
      <c r="GC263" s="25"/>
      <c r="GD263" s="25"/>
      <c r="GE263" s="25"/>
      <c r="GF263" s="25"/>
      <c r="GG263" s="25"/>
      <c r="GH263" s="25"/>
      <c r="GI263" s="25"/>
      <c r="GJ263" s="25"/>
      <c r="GK263" s="25"/>
      <c r="GL263" s="25"/>
      <c r="GM263" s="25"/>
      <c r="GN263" s="25"/>
      <c r="GO263" s="25"/>
      <c r="GP263" s="25"/>
      <c r="GQ263" s="25"/>
      <c r="GR263" s="25"/>
      <c r="GS263" s="25"/>
      <c r="GT263" s="25"/>
      <c r="GU263" s="25"/>
      <c r="GV263" s="25"/>
      <c r="GW263" s="25"/>
      <c r="GX263" s="25"/>
      <c r="GY263" s="25"/>
      <c r="GZ263" s="25"/>
      <c r="HA263" s="25"/>
      <c r="HB263" s="25"/>
      <c r="HC263" s="25"/>
      <c r="HD263" s="25"/>
      <c r="HE263" s="25"/>
      <c r="HF263" s="25"/>
      <c r="HG263" s="25"/>
      <c r="HH263" s="25"/>
      <c r="HI263" s="25"/>
      <c r="HJ263" s="25"/>
      <c r="HK263" s="25"/>
      <c r="HL263" s="25"/>
      <c r="HM263" s="25"/>
      <c r="HN263" s="25"/>
      <c r="HO263" s="25"/>
      <c r="HP263" s="25"/>
      <c r="HQ263" s="25"/>
      <c r="HR263" s="25"/>
      <c r="HS263" s="25"/>
      <c r="HT263" s="25"/>
      <c r="HU263" s="25"/>
      <c r="HV263" s="25"/>
      <c r="HW263" s="25"/>
      <c r="HX263" s="25"/>
      <c r="HY263" s="25"/>
      <c r="HZ263" s="25"/>
      <c r="IA263" s="25"/>
      <c r="IB263" s="25"/>
      <c r="IC263" s="25"/>
      <c r="ID263" s="25"/>
      <c r="IE263" s="25"/>
      <c r="IF263" s="25"/>
      <c r="IG263" s="25"/>
      <c r="IH263" s="25"/>
      <c r="II263" s="25"/>
      <c r="IJ263" s="25"/>
      <c r="IK263" s="25"/>
      <c r="IL263" s="25"/>
      <c r="IM263" s="25"/>
      <c r="IN263" s="25"/>
      <c r="IO263" s="25"/>
      <c r="IP263" s="25"/>
      <c r="IQ263" s="25"/>
      <c r="IR263" s="25"/>
      <c r="IS263" s="25"/>
      <c r="IT263" s="25"/>
      <c r="IV263" s="21"/>
    </row>
    <row r="264" spans="1:256" s="21" customFormat="1" ht="6" customHeight="1">
      <c r="A264" s="22"/>
      <c r="B264" s="22"/>
      <c r="C264" s="22"/>
      <c r="D264" s="22"/>
      <c r="E264" s="22"/>
      <c r="F264" s="22"/>
      <c r="G264" s="22"/>
      <c r="H264" s="22"/>
      <c r="I264" s="22"/>
      <c r="J264" s="22"/>
      <c r="K264" s="22"/>
      <c r="L264" s="22"/>
      <c r="M264" s="22"/>
      <c r="N264" s="22"/>
      <c r="O264" s="22"/>
      <c r="P264" s="22"/>
      <c r="Q264" s="22"/>
      <c r="R264" s="22"/>
      <c r="S264" s="22"/>
      <c r="T264" s="22"/>
      <c r="U264" s="22"/>
      <c r="V264" s="22"/>
    </row>
    <row r="265" spans="1:256" ht="21" customHeight="1" thickBot="1">
      <c r="A265" s="22"/>
      <c r="B265" s="38" t="s">
        <v>634</v>
      </c>
      <c r="C265" s="153"/>
      <c r="D265" s="153"/>
      <c r="E265" s="146"/>
      <c r="F265" s="146"/>
      <c r="G265" s="146"/>
      <c r="H265" s="146"/>
      <c r="I265" s="146"/>
      <c r="J265" s="146"/>
      <c r="K265" s="146"/>
      <c r="L265" s="146"/>
      <c r="M265" s="146"/>
      <c r="N265" s="146"/>
      <c r="O265" s="38" t="s">
        <v>635</v>
      </c>
      <c r="P265" s="146"/>
      <c r="Q265" s="146"/>
      <c r="R265" s="146"/>
      <c r="S265" s="146"/>
      <c r="T265" s="146"/>
      <c r="U265" s="146"/>
      <c r="V265" s="146"/>
      <c r="W265" s="146"/>
      <c r="X265" s="146"/>
      <c r="Y265" s="146"/>
      <c r="Z265" s="146"/>
      <c r="AA265" s="146"/>
      <c r="AB265" s="88"/>
      <c r="AC265" s="24"/>
      <c r="AD265" s="153"/>
      <c r="AE265" s="153"/>
      <c r="AF265" s="153"/>
      <c r="AG265" s="146"/>
      <c r="AH265" s="146"/>
      <c r="AI265" s="146"/>
      <c r="AJ265" s="146"/>
      <c r="AK265" s="146"/>
      <c r="AL265" s="146"/>
      <c r="AM265" s="146"/>
      <c r="AN265" s="38" t="s">
        <v>636</v>
      </c>
      <c r="AO265" s="146"/>
      <c r="AP265" s="146"/>
      <c r="AQ265" s="146"/>
      <c r="AR265" s="146"/>
      <c r="AS265" s="146"/>
      <c r="AT265" s="146"/>
      <c r="AU265" s="146"/>
      <c r="AV265" s="146"/>
      <c r="AW265" s="146"/>
      <c r="AX265" s="146"/>
      <c r="AY265" s="146"/>
      <c r="AZ265" s="146"/>
      <c r="BA265" s="146"/>
      <c r="BB265" s="146"/>
      <c r="BC265" s="88"/>
      <c r="BD265" s="24"/>
      <c r="BE265" s="153"/>
      <c r="BF265" s="146"/>
      <c r="BG265" s="146"/>
      <c r="BH265" s="146"/>
      <c r="BI265" s="146"/>
      <c r="BJ265" s="146"/>
      <c r="BK265" s="146"/>
      <c r="BM265" s="38" t="s">
        <v>648</v>
      </c>
      <c r="BN265" s="146"/>
      <c r="BO265" s="146"/>
      <c r="BP265" s="146"/>
      <c r="BQ265" s="146"/>
      <c r="BR265" s="146"/>
      <c r="BS265" s="146"/>
      <c r="BT265" s="146"/>
      <c r="BU265" s="146"/>
      <c r="BV265" s="146"/>
      <c r="BW265" s="146"/>
      <c r="BX265" s="146"/>
      <c r="BY265" s="146"/>
      <c r="BZ265" s="146"/>
      <c r="CA265" s="146"/>
      <c r="CB265" s="146"/>
      <c r="CC265" s="146"/>
      <c r="CD265" s="88"/>
      <c r="CE265" s="24"/>
      <c r="CF265" s="153"/>
      <c r="CG265" s="153"/>
      <c r="CH265" s="5141" t="s">
        <v>241</v>
      </c>
      <c r="CI265" s="5141"/>
      <c r="CJ265" s="5141"/>
      <c r="CK265" s="146"/>
      <c r="CL265" s="38" t="s">
        <v>637</v>
      </c>
      <c r="CM265" s="146"/>
      <c r="CN265" s="146"/>
      <c r="CO265" s="146"/>
      <c r="CP265" s="146"/>
      <c r="CQ265" s="146"/>
      <c r="CR265" s="146"/>
      <c r="CS265" s="146"/>
      <c r="CT265" s="146"/>
      <c r="CU265" s="146"/>
      <c r="CV265" s="146"/>
      <c r="CW265" s="146"/>
    </row>
    <row r="266" spans="1:256" ht="23.25" customHeight="1" thickBot="1">
      <c r="A266" s="22"/>
      <c r="B266" s="152"/>
      <c r="C266" s="144"/>
      <c r="D266" s="144"/>
      <c r="E266" s="144"/>
      <c r="F266" s="144"/>
      <c r="G266" s="144"/>
      <c r="H266" s="93"/>
      <c r="I266" s="93"/>
      <c r="J266" s="93"/>
      <c r="K266" s="553" t="s">
        <v>48</v>
      </c>
      <c r="L266" s="552" t="e">
        <f>#REF!</f>
        <v>#REF!</v>
      </c>
      <c r="M266" s="152"/>
      <c r="N266" s="144"/>
      <c r="O266" s="168"/>
      <c r="P266" s="112"/>
      <c r="Q266" s="112"/>
      <c r="R266" s="112"/>
      <c r="S266" s="112"/>
      <c r="T266" s="112"/>
      <c r="U266" s="112"/>
      <c r="V266" s="112"/>
      <c r="W266" s="112"/>
      <c r="X266" s="112"/>
      <c r="Y266" s="112"/>
      <c r="Z266" s="112"/>
      <c r="AA266" s="112"/>
      <c r="AB266" s="112"/>
      <c r="AC266" s="112"/>
      <c r="AD266" s="112"/>
      <c r="AE266" s="112"/>
      <c r="AF266" s="93"/>
      <c r="AG266" s="93"/>
      <c r="AH266" s="93"/>
      <c r="AI266" s="93"/>
      <c r="AJ266" s="529" t="s">
        <v>48</v>
      </c>
      <c r="AK266" s="134" t="e">
        <f>#REF!</f>
        <v>#REF!</v>
      </c>
      <c r="AL266" s="137" t="e">
        <f>#REF!</f>
        <v>#REF!</v>
      </c>
      <c r="AM266" s="146"/>
      <c r="AN266" s="146"/>
      <c r="AO266" s="167"/>
      <c r="AP266" s="152"/>
      <c r="AQ266" s="144"/>
      <c r="AR266" s="112"/>
      <c r="AS266" s="112"/>
      <c r="AT266" s="112"/>
      <c r="AU266" s="112"/>
      <c r="AV266" s="112"/>
      <c r="AW266" s="112"/>
      <c r="AX266" s="112"/>
      <c r="AY266" s="112"/>
      <c r="AZ266" s="112"/>
      <c r="BA266" s="112"/>
      <c r="BB266" s="112"/>
      <c r="BC266" s="112"/>
      <c r="BD266" s="93"/>
      <c r="BE266" s="93"/>
      <c r="BF266" s="93"/>
      <c r="BG266" s="93"/>
      <c r="BH266" s="93"/>
      <c r="BI266" s="529" t="s">
        <v>48</v>
      </c>
      <c r="BJ266" s="134" t="e">
        <f>#REF!</f>
        <v>#REF!</v>
      </c>
      <c r="BK266" s="137" t="e">
        <f>#REF!</f>
        <v>#REF!</v>
      </c>
      <c r="BM266" s="529" t="s">
        <v>47</v>
      </c>
      <c r="BN266" s="24"/>
      <c r="BO266" s="529" t="s">
        <v>612</v>
      </c>
      <c r="BP266" s="24"/>
      <c r="BQ266" s="529" t="s">
        <v>45</v>
      </c>
      <c r="BR266" s="24"/>
      <c r="BS266" s="529" t="s">
        <v>611</v>
      </c>
      <c r="BT266" s="24"/>
      <c r="BU266" s="529" t="s">
        <v>613</v>
      </c>
      <c r="BV266" s="24"/>
      <c r="BW266" s="529" t="s">
        <v>614</v>
      </c>
      <c r="BX266" s="24"/>
      <c r="BY266" s="529" t="s">
        <v>615</v>
      </c>
      <c r="BZ266" s="24"/>
      <c r="CA266" s="529" t="s">
        <v>40</v>
      </c>
      <c r="CB266" s="24"/>
      <c r="CC266" s="529" t="s">
        <v>616</v>
      </c>
      <c r="CD266" s="24"/>
      <c r="CE266" s="529" t="s">
        <v>617</v>
      </c>
      <c r="CF266" s="24"/>
      <c r="CG266" s="529" t="s">
        <v>618</v>
      </c>
      <c r="CH266" s="529" t="s">
        <v>48</v>
      </c>
      <c r="CI266" s="134" t="e">
        <f>#REF!</f>
        <v>#REF!</v>
      </c>
      <c r="CJ266" s="137" t="e">
        <f>#REF!</f>
        <v>#REF!</v>
      </c>
      <c r="CK266" s="93"/>
      <c r="CL266" s="152"/>
      <c r="CM266" s="144"/>
      <c r="CN266" s="144"/>
      <c r="CO266" s="144"/>
      <c r="CP266" s="144"/>
      <c r="CQ266" s="144"/>
      <c r="CR266" s="93"/>
      <c r="CS266" s="93"/>
      <c r="CT266" s="93"/>
      <c r="CU266" s="553" t="s">
        <v>48</v>
      </c>
      <c r="CV266" s="552" t="e">
        <f>#REF!</f>
        <v>#REF!</v>
      </c>
      <c r="CW266" s="144"/>
    </row>
    <row r="267" spans="1:256" ht="19.5" customHeight="1" thickBot="1">
      <c r="A267" s="35">
        <v>23</v>
      </c>
      <c r="B267" s="134" t="e">
        <f>#REF!</f>
        <v>#REF!</v>
      </c>
      <c r="C267" s="151" t="e">
        <f>#REF!</f>
        <v>#REF!</v>
      </c>
      <c r="D267" s="151" t="e">
        <f>#REF!</f>
        <v>#REF!</v>
      </c>
      <c r="E267" s="151" t="e">
        <f>#REF!</f>
        <v>#REF!</v>
      </c>
      <c r="F267" s="151" t="e">
        <f>#REF!</f>
        <v>#REF!</v>
      </c>
      <c r="G267" s="151" t="e">
        <f>#REF!</f>
        <v>#REF!</v>
      </c>
      <c r="H267" s="151" t="e">
        <f>#REF!</f>
        <v>#REF!</v>
      </c>
      <c r="I267" s="151" t="e">
        <f>#REF!</f>
        <v>#REF!</v>
      </c>
      <c r="J267" s="151" t="e">
        <f>#REF!</f>
        <v>#REF!</v>
      </c>
      <c r="K267" s="151" t="e">
        <f>#REF!</f>
        <v>#REF!</v>
      </c>
      <c r="L267" s="151" t="e">
        <f>#REF!</f>
        <v>#REF!</v>
      </c>
      <c r="M267" s="69" t="e">
        <f>SUM(B267:L267)+(L266)</f>
        <v>#REF!</v>
      </c>
      <c r="N267" s="24"/>
      <c r="O267" s="134" t="e">
        <f>#REF!</f>
        <v>#REF!</v>
      </c>
      <c r="P267" s="133" t="e">
        <f>#REF!</f>
        <v>#REF!</v>
      </c>
      <c r="Q267" s="132" t="e">
        <f>#REF!</f>
        <v>#REF!</v>
      </c>
      <c r="R267" s="131" t="e">
        <f>#REF!</f>
        <v>#REF!</v>
      </c>
      <c r="S267" s="132" t="e">
        <f>#REF!</f>
        <v>#REF!</v>
      </c>
      <c r="T267" s="131" t="e">
        <f>#REF!</f>
        <v>#REF!</v>
      </c>
      <c r="U267" s="132" t="e">
        <f>#REF!</f>
        <v>#REF!</v>
      </c>
      <c r="V267" s="131" t="e">
        <f>#REF!</f>
        <v>#REF!</v>
      </c>
      <c r="W267" s="132" t="e">
        <f>#REF!</f>
        <v>#REF!</v>
      </c>
      <c r="X267" s="131" t="e">
        <f>#REF!</f>
        <v>#REF!</v>
      </c>
      <c r="Y267" s="132" t="e">
        <f>#REF!</f>
        <v>#REF!</v>
      </c>
      <c r="Z267" s="131" t="e">
        <f>#REF!</f>
        <v>#REF!</v>
      </c>
      <c r="AA267" s="132" t="e">
        <f>#REF!</f>
        <v>#REF!</v>
      </c>
      <c r="AB267" s="131" t="e">
        <f>#REF!</f>
        <v>#REF!</v>
      </c>
      <c r="AC267" s="132" t="e">
        <f>#REF!</f>
        <v>#REF!</v>
      </c>
      <c r="AD267" s="131" t="e">
        <f>#REF!</f>
        <v>#REF!</v>
      </c>
      <c r="AE267" s="132" t="e">
        <f>#REF!</f>
        <v>#REF!</v>
      </c>
      <c r="AF267" s="131" t="e">
        <f>#REF!</f>
        <v>#REF!</v>
      </c>
      <c r="AG267" s="132" t="e">
        <f>#REF!</f>
        <v>#REF!</v>
      </c>
      <c r="AH267" s="131" t="e">
        <f>#REF!</f>
        <v>#REF!</v>
      </c>
      <c r="AI267" s="132" t="e">
        <f>#REF!</f>
        <v>#REF!</v>
      </c>
      <c r="AJ267" s="133" t="e">
        <f>#REF!</f>
        <v>#REF!</v>
      </c>
      <c r="AK267" s="90" t="e">
        <f>AI267+AG267+AE267+AC267+AA267+Y267+W267+U267+S267+Q267+O267+AK266</f>
        <v>#REF!</v>
      </c>
      <c r="AL267" s="89" t="e">
        <f>AJ267+AH267+AF267+AD267+AB267+Z267+X267+V267+T267+R267+P267+AL266</f>
        <v>#REF!</v>
      </c>
      <c r="AM267" s="24"/>
      <c r="AN267" s="134" t="e">
        <f>#REF!</f>
        <v>#REF!</v>
      </c>
      <c r="AO267" s="133" t="e">
        <f>#REF!</f>
        <v>#REF!</v>
      </c>
      <c r="AP267" s="132" t="e">
        <f>#REF!</f>
        <v>#REF!</v>
      </c>
      <c r="AQ267" s="131" t="e">
        <f>#REF!</f>
        <v>#REF!</v>
      </c>
      <c r="AR267" s="132" t="e">
        <f>#REF!</f>
        <v>#REF!</v>
      </c>
      <c r="AS267" s="131" t="e">
        <f>#REF!</f>
        <v>#REF!</v>
      </c>
      <c r="AT267" s="132" t="e">
        <f>#REF!</f>
        <v>#REF!</v>
      </c>
      <c r="AU267" s="131" t="e">
        <f>#REF!</f>
        <v>#REF!</v>
      </c>
      <c r="AV267" s="132" t="e">
        <f>#REF!</f>
        <v>#REF!</v>
      </c>
      <c r="AW267" s="131" t="e">
        <f>#REF!</f>
        <v>#REF!</v>
      </c>
      <c r="AX267" s="132" t="e">
        <f>#REF!</f>
        <v>#REF!</v>
      </c>
      <c r="AY267" s="131" t="e">
        <f>#REF!</f>
        <v>#REF!</v>
      </c>
      <c r="AZ267" s="132" t="e">
        <f>#REF!</f>
        <v>#REF!</v>
      </c>
      <c r="BA267" s="131" t="e">
        <f>#REF!</f>
        <v>#REF!</v>
      </c>
      <c r="BB267" s="132" t="e">
        <f>#REF!</f>
        <v>#REF!</v>
      </c>
      <c r="BC267" s="131" t="e">
        <f>#REF!</f>
        <v>#REF!</v>
      </c>
      <c r="BD267" s="132" t="e">
        <f>#REF!</f>
        <v>#REF!</v>
      </c>
      <c r="BE267" s="131" t="e">
        <f>#REF!</f>
        <v>#REF!</v>
      </c>
      <c r="BF267" s="132" t="e">
        <f>#REF!</f>
        <v>#REF!</v>
      </c>
      <c r="BG267" s="131" t="e">
        <f>#REF!</f>
        <v>#REF!</v>
      </c>
      <c r="BH267" s="132" t="e">
        <f>#REF!</f>
        <v>#REF!</v>
      </c>
      <c r="BI267" s="133" t="e">
        <f>#REF!</f>
        <v>#REF!</v>
      </c>
      <c r="BJ267" s="90" t="e">
        <f>BH267+BF267+BD267+BB267+AZ267+AX267+AV267+AT267+AR267+AP267+AN267+BJ266</f>
        <v>#REF!</v>
      </c>
      <c r="BK267" s="89" t="e">
        <f>BI267+BG267+BE267+BC267+BA267+AY267+AW267+AU267+AS267+AQ267+AO267+BK266</f>
        <v>#REF!</v>
      </c>
      <c r="BM267" s="134" t="e">
        <f>#REF!</f>
        <v>#REF!</v>
      </c>
      <c r="BN267" s="133" t="e">
        <f>#REF!</f>
        <v>#REF!</v>
      </c>
      <c r="BO267" s="132" t="e">
        <f>#REF!</f>
        <v>#REF!</v>
      </c>
      <c r="BP267" s="131" t="e">
        <f>#REF!</f>
        <v>#REF!</v>
      </c>
      <c r="BQ267" s="132" t="e">
        <f>#REF!</f>
        <v>#REF!</v>
      </c>
      <c r="BR267" s="131" t="e">
        <f>#REF!</f>
        <v>#REF!</v>
      </c>
      <c r="BS267" s="132" t="e">
        <f>#REF!</f>
        <v>#REF!</v>
      </c>
      <c r="BT267" s="131" t="e">
        <f>#REF!</f>
        <v>#REF!</v>
      </c>
      <c r="BU267" s="132" t="e">
        <f>#REF!</f>
        <v>#REF!</v>
      </c>
      <c r="BV267" s="131" t="e">
        <f>#REF!</f>
        <v>#REF!</v>
      </c>
      <c r="BW267" s="132" t="e">
        <f>#REF!</f>
        <v>#REF!</v>
      </c>
      <c r="BX267" s="131" t="e">
        <f>#REF!</f>
        <v>#REF!</v>
      </c>
      <c r="BY267" s="132" t="e">
        <f>#REF!</f>
        <v>#REF!</v>
      </c>
      <c r="BZ267" s="131" t="e">
        <f>#REF!</f>
        <v>#REF!</v>
      </c>
      <c r="CA267" s="132" t="e">
        <f>#REF!</f>
        <v>#REF!</v>
      </c>
      <c r="CB267" s="131" t="e">
        <f>#REF!</f>
        <v>#REF!</v>
      </c>
      <c r="CC267" s="132" t="e">
        <f>#REF!</f>
        <v>#REF!</v>
      </c>
      <c r="CD267" s="131" t="e">
        <f>#REF!</f>
        <v>#REF!</v>
      </c>
      <c r="CE267" s="132" t="e">
        <f>#REF!</f>
        <v>#REF!</v>
      </c>
      <c r="CF267" s="131" t="e">
        <f>#REF!</f>
        <v>#REF!</v>
      </c>
      <c r="CG267" s="132" t="e">
        <f>#REF!</f>
        <v>#REF!</v>
      </c>
      <c r="CH267" s="133" t="e">
        <f>#REF!</f>
        <v>#REF!</v>
      </c>
      <c r="CI267" s="90" t="e">
        <f>CG267+CE267+CC267+CA267+BY267+BW267+BU267+BS267+BQ267+BO267+BM267+CI266</f>
        <v>#REF!</v>
      </c>
      <c r="CJ267" s="197" t="e">
        <f>CH267+CF267+CD267+CB267+BZ267+BX267+BV267+BT267+BR267+BP267+BN267+CJ266</f>
        <v>#REF!</v>
      </c>
      <c r="CK267" s="24"/>
      <c r="CL267" s="134" t="e">
        <f>#REF!</f>
        <v>#REF!</v>
      </c>
      <c r="CM267" s="151" t="e">
        <f>#REF!</f>
        <v>#REF!</v>
      </c>
      <c r="CN267" s="151" t="e">
        <f>#REF!</f>
        <v>#REF!</v>
      </c>
      <c r="CO267" s="151" t="e">
        <f>#REF!</f>
        <v>#REF!</v>
      </c>
      <c r="CP267" s="151" t="e">
        <f>#REF!</f>
        <v>#REF!</v>
      </c>
      <c r="CQ267" s="151" t="e">
        <f>#REF!</f>
        <v>#REF!</v>
      </c>
      <c r="CR267" s="151" t="e">
        <f>#REF!</f>
        <v>#REF!</v>
      </c>
      <c r="CS267" s="151" t="e">
        <f>#REF!</f>
        <v>#REF!</v>
      </c>
      <c r="CT267" s="151" t="e">
        <f>#REF!</f>
        <v>#REF!</v>
      </c>
      <c r="CU267" s="151" t="e">
        <f>#REF!</f>
        <v>#REF!</v>
      </c>
      <c r="CV267" s="151" t="e">
        <f>#REF!</f>
        <v>#REF!</v>
      </c>
      <c r="CW267" s="69" t="e">
        <f>SUM(CL267:CV267)+(CV266)</f>
        <v>#REF!</v>
      </c>
    </row>
    <row r="268" spans="1:256" ht="24.75" customHeight="1" thickBot="1">
      <c r="A268" s="22"/>
      <c r="B268" s="529" t="s">
        <v>47</v>
      </c>
      <c r="C268" s="529" t="s">
        <v>612</v>
      </c>
      <c r="D268" s="529" t="s">
        <v>45</v>
      </c>
      <c r="E268" s="529" t="s">
        <v>611</v>
      </c>
      <c r="F268" s="529" t="s">
        <v>613</v>
      </c>
      <c r="G268" s="529" t="s">
        <v>614</v>
      </c>
      <c r="H268" s="529" t="s">
        <v>615</v>
      </c>
      <c r="I268" s="529" t="s">
        <v>40</v>
      </c>
      <c r="J268" s="529" t="s">
        <v>616</v>
      </c>
      <c r="K268" s="529" t="s">
        <v>617</v>
      </c>
      <c r="L268" s="529" t="s">
        <v>618</v>
      </c>
      <c r="M268" s="24"/>
      <c r="N268" s="24"/>
      <c r="O268" s="529" t="s">
        <v>47</v>
      </c>
      <c r="P268" s="24"/>
      <c r="Q268" s="529" t="s">
        <v>612</v>
      </c>
      <c r="R268" s="24"/>
      <c r="S268" s="529" t="s">
        <v>45</v>
      </c>
      <c r="T268" s="24"/>
      <c r="U268" s="529" t="s">
        <v>611</v>
      </c>
      <c r="V268" s="24"/>
      <c r="W268" s="529" t="s">
        <v>613</v>
      </c>
      <c r="X268" s="24"/>
      <c r="Y268" s="529" t="s">
        <v>614</v>
      </c>
      <c r="Z268" s="24"/>
      <c r="AA268" s="529" t="s">
        <v>615</v>
      </c>
      <c r="AB268" s="24"/>
      <c r="AC268" s="529" t="s">
        <v>40</v>
      </c>
      <c r="AD268" s="24"/>
      <c r="AE268" s="529" t="s">
        <v>616</v>
      </c>
      <c r="AF268" s="24"/>
      <c r="AG268" s="529" t="s">
        <v>617</v>
      </c>
      <c r="AH268" s="24"/>
      <c r="AI268" s="529" t="s">
        <v>618</v>
      </c>
      <c r="AJ268" s="24"/>
      <c r="AK268" s="24"/>
      <c r="AL268" s="24"/>
      <c r="AM268" s="24"/>
      <c r="AN268" s="529" t="s">
        <v>47</v>
      </c>
      <c r="AO268" s="24"/>
      <c r="AP268" s="529" t="s">
        <v>612</v>
      </c>
      <c r="AQ268" s="24"/>
      <c r="AR268" s="529" t="s">
        <v>45</v>
      </c>
      <c r="AS268" s="24"/>
      <c r="AT268" s="529" t="s">
        <v>611</v>
      </c>
      <c r="AU268" s="24"/>
      <c r="AV268" s="529" t="s">
        <v>613</v>
      </c>
      <c r="AW268" s="24"/>
      <c r="AX268" s="529" t="s">
        <v>614</v>
      </c>
      <c r="AY268" s="24"/>
      <c r="AZ268" s="529" t="s">
        <v>615</v>
      </c>
      <c r="BA268" s="24"/>
      <c r="BB268" s="529" t="s">
        <v>40</v>
      </c>
      <c r="BC268" s="24"/>
      <c r="BD268" s="529" t="s">
        <v>616</v>
      </c>
      <c r="BE268" s="24"/>
      <c r="BF268" s="529" t="s">
        <v>617</v>
      </c>
      <c r="BG268" s="24"/>
      <c r="BH268" s="529" t="s">
        <v>618</v>
      </c>
      <c r="BI268" s="24"/>
      <c r="BJ268" s="24"/>
      <c r="BK268" s="24"/>
      <c r="BM268" s="150" t="e">
        <f>+O267+AN267+BM267</f>
        <v>#REF!</v>
      </c>
      <c r="BN268" s="147" t="e">
        <f t="shared" ref="BN268:CH268" si="9">+P267+AO267+BN267</f>
        <v>#REF!</v>
      </c>
      <c r="BO268" s="148" t="e">
        <f t="shared" si="9"/>
        <v>#REF!</v>
      </c>
      <c r="BP268" s="149" t="e">
        <f t="shared" si="9"/>
        <v>#REF!</v>
      </c>
      <c r="BQ268" s="148" t="e">
        <f t="shared" si="9"/>
        <v>#REF!</v>
      </c>
      <c r="BR268" s="149" t="e">
        <f t="shared" si="9"/>
        <v>#REF!</v>
      </c>
      <c r="BS268" s="148" t="e">
        <f t="shared" si="9"/>
        <v>#REF!</v>
      </c>
      <c r="BT268" s="149" t="e">
        <f t="shared" si="9"/>
        <v>#REF!</v>
      </c>
      <c r="BU268" s="148" t="e">
        <f t="shared" si="9"/>
        <v>#REF!</v>
      </c>
      <c r="BV268" s="149" t="e">
        <f t="shared" si="9"/>
        <v>#REF!</v>
      </c>
      <c r="BW268" s="148" t="e">
        <f t="shared" si="9"/>
        <v>#REF!</v>
      </c>
      <c r="BX268" s="149" t="e">
        <f t="shared" si="9"/>
        <v>#REF!</v>
      </c>
      <c r="BY268" s="148" t="e">
        <f t="shared" si="9"/>
        <v>#REF!</v>
      </c>
      <c r="BZ268" s="149" t="e">
        <f t="shared" si="9"/>
        <v>#REF!</v>
      </c>
      <c r="CA268" s="148" t="e">
        <f t="shared" si="9"/>
        <v>#REF!</v>
      </c>
      <c r="CB268" s="149" t="e">
        <f t="shared" si="9"/>
        <v>#REF!</v>
      </c>
      <c r="CC268" s="148" t="e">
        <f t="shared" si="9"/>
        <v>#REF!</v>
      </c>
      <c r="CD268" s="149" t="e">
        <f t="shared" si="9"/>
        <v>#REF!</v>
      </c>
      <c r="CE268" s="148" t="e">
        <f t="shared" si="9"/>
        <v>#REF!</v>
      </c>
      <c r="CF268" s="149" t="e">
        <f t="shared" si="9"/>
        <v>#REF!</v>
      </c>
      <c r="CG268" s="148" t="e">
        <f t="shared" si="9"/>
        <v>#REF!</v>
      </c>
      <c r="CH268" s="147" t="e">
        <f t="shared" si="9"/>
        <v>#REF!</v>
      </c>
      <c r="CI268" s="90" t="e">
        <f>CG268+CE268+CC268+CA268+BY268+BW268+BU268+BS268+BQ268+BO268+BM268+CI269</f>
        <v>#REF!</v>
      </c>
      <c r="CJ268" s="197" t="e">
        <f>CH268+CF268+CD268+CB268+BZ268+BX268+BV268+BT268+BR268+BP268+BN268+CJ269</f>
        <v>#REF!</v>
      </c>
      <c r="CK268" s="24"/>
      <c r="CL268" s="529" t="s">
        <v>47</v>
      </c>
      <c r="CM268" s="529" t="s">
        <v>612</v>
      </c>
      <c r="CN268" s="529" t="s">
        <v>45</v>
      </c>
      <c r="CO268" s="529" t="s">
        <v>611</v>
      </c>
      <c r="CP268" s="529" t="s">
        <v>613</v>
      </c>
      <c r="CQ268" s="529" t="s">
        <v>614</v>
      </c>
      <c r="CR268" s="529" t="s">
        <v>615</v>
      </c>
      <c r="CS268" s="529" t="s">
        <v>40</v>
      </c>
      <c r="CT268" s="529" t="s">
        <v>616</v>
      </c>
      <c r="CU268" s="529" t="s">
        <v>617</v>
      </c>
      <c r="CV268" s="529" t="s">
        <v>618</v>
      </c>
      <c r="CW268" s="24"/>
    </row>
    <row r="269" spans="1:256" ht="13.8" thickBot="1">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1"/>
      <c r="CI269" s="148" t="e">
        <f>+AK266+BJ266+CI266</f>
        <v>#REF!</v>
      </c>
      <c r="CJ269" s="149" t="e">
        <f>+AL266+BK266+CJ266</f>
        <v>#REF!</v>
      </c>
      <c r="CK269" s="21"/>
      <c r="CL269" s="21"/>
      <c r="CM269" s="21"/>
      <c r="CN269" s="21"/>
      <c r="CO269" s="21"/>
      <c r="CP269" s="21"/>
      <c r="CQ269" s="21"/>
      <c r="CR269" s="21"/>
      <c r="CS269" s="21"/>
      <c r="CT269" s="21"/>
      <c r="CU269" s="21"/>
      <c r="CV269" s="21"/>
      <c r="CW269" s="21"/>
      <c r="CX269" s="21"/>
      <c r="CY269" s="21"/>
      <c r="CZ269" s="21"/>
      <c r="DA269" s="21"/>
      <c r="DB269" s="21"/>
      <c r="DC269" s="21"/>
      <c r="DD269" s="21"/>
      <c r="DE269" s="21"/>
      <c r="DF269" s="21"/>
      <c r="DG269" s="21"/>
      <c r="DH269" s="21"/>
      <c r="DI269" s="21"/>
      <c r="DJ269" s="21"/>
      <c r="DK269" s="21"/>
      <c r="DL269" s="21"/>
      <c r="DM269" s="21"/>
      <c r="DN269" s="21"/>
      <c r="DO269" s="21"/>
      <c r="DP269" s="21"/>
      <c r="DQ269" s="21"/>
      <c r="DR269" s="21"/>
      <c r="DS269" s="21"/>
      <c r="DT269" s="21"/>
      <c r="DU269" s="21"/>
      <c r="DV269" s="21"/>
      <c r="DW269" s="21"/>
      <c r="DX269" s="21"/>
      <c r="DY269" s="21"/>
      <c r="DZ269" s="21"/>
      <c r="EA269" s="21"/>
      <c r="EB269" s="21"/>
      <c r="EC269" s="21"/>
      <c r="ED269" s="21"/>
      <c r="EE269" s="21"/>
      <c r="EF269" s="21"/>
      <c r="EG269" s="21"/>
      <c r="EH269" s="21"/>
      <c r="EI269" s="21"/>
      <c r="EJ269" s="21"/>
      <c r="EK269" s="21"/>
      <c r="EL269" s="21"/>
      <c r="EM269" s="21"/>
      <c r="EN269" s="21"/>
      <c r="EO269" s="21"/>
      <c r="EP269" s="21"/>
      <c r="EQ269" s="21"/>
      <c r="ER269" s="21"/>
      <c r="ES269" s="21"/>
      <c r="ET269" s="21"/>
      <c r="EU269" s="21"/>
      <c r="EV269" s="21"/>
      <c r="EW269" s="21"/>
      <c r="EX269" s="21"/>
      <c r="EY269" s="21"/>
      <c r="EZ269" s="21"/>
      <c r="FA269" s="21"/>
      <c r="FB269" s="21"/>
      <c r="FC269" s="21"/>
      <c r="FD269" s="21"/>
      <c r="FE269" s="21"/>
      <c r="FF269" s="21"/>
      <c r="FG269" s="21"/>
      <c r="FH269" s="21"/>
      <c r="FI269" s="21"/>
      <c r="FJ269" s="21"/>
      <c r="FK269" s="21"/>
      <c r="FL269" s="21"/>
      <c r="FM269" s="21"/>
      <c r="FN269" s="21"/>
      <c r="FO269" s="21"/>
      <c r="FP269" s="21"/>
      <c r="FQ269" s="21"/>
      <c r="FR269" s="21"/>
      <c r="FS269" s="21"/>
      <c r="FT269" s="21"/>
      <c r="FU269" s="21"/>
      <c r="FV269" s="21"/>
      <c r="FW269" s="21"/>
      <c r="FX269" s="21"/>
      <c r="FY269" s="21"/>
      <c r="FZ269" s="21"/>
      <c r="GA269" s="21"/>
      <c r="GB269" s="21"/>
      <c r="GC269" s="21"/>
      <c r="GD269" s="21"/>
      <c r="GE269" s="21"/>
      <c r="GF269" s="21"/>
      <c r="GG269" s="21"/>
      <c r="GH269" s="21"/>
      <c r="GI269" s="21"/>
      <c r="GJ269" s="21"/>
      <c r="GK269" s="21"/>
      <c r="GL269" s="21"/>
      <c r="GM269" s="21"/>
      <c r="GN269" s="21"/>
      <c r="GO269" s="21"/>
      <c r="GP269" s="21"/>
      <c r="GQ269" s="21"/>
      <c r="GR269" s="21"/>
      <c r="GS269" s="21"/>
      <c r="GT269" s="21"/>
      <c r="GU269" s="21"/>
      <c r="GV269" s="21"/>
      <c r="GW269" s="21"/>
      <c r="GX269" s="21"/>
      <c r="GY269" s="21"/>
      <c r="GZ269" s="21"/>
      <c r="HA269" s="21"/>
      <c r="HB269" s="21"/>
      <c r="HC269" s="21"/>
      <c r="HD269" s="21"/>
      <c r="HE269" s="21"/>
      <c r="HF269" s="21"/>
      <c r="HG269" s="21"/>
      <c r="HH269" s="21"/>
      <c r="HI269" s="21"/>
      <c r="HJ269" s="21"/>
      <c r="HK269" s="21"/>
      <c r="HL269" s="21"/>
      <c r="HM269" s="21"/>
      <c r="HN269" s="21"/>
      <c r="HO269" s="21"/>
      <c r="HP269" s="21"/>
      <c r="HQ269" s="21"/>
      <c r="HR269" s="21"/>
      <c r="HS269" s="21"/>
      <c r="HT269" s="21"/>
      <c r="HU269" s="21"/>
      <c r="HV269" s="21"/>
      <c r="HW269" s="21"/>
      <c r="HX269" s="21"/>
      <c r="HY269" s="21"/>
      <c r="HZ269" s="21"/>
      <c r="IA269" s="21"/>
      <c r="IB269" s="21"/>
      <c r="IC269" s="21"/>
      <c r="ID269" s="21"/>
      <c r="IE269" s="21"/>
      <c r="IF269" s="21"/>
      <c r="IG269" s="21"/>
      <c r="IH269" s="21"/>
      <c r="II269" s="21"/>
      <c r="IJ269" s="21"/>
      <c r="IK269" s="21"/>
      <c r="IL269" s="21"/>
      <c r="IM269" s="21"/>
      <c r="IN269" s="21"/>
      <c r="IO269" s="21"/>
      <c r="IP269" s="21"/>
      <c r="IQ269" s="21"/>
      <c r="IR269" s="21"/>
      <c r="IS269" s="21"/>
      <c r="IT269" s="21"/>
      <c r="IU269" s="21"/>
      <c r="IV269" s="21"/>
    </row>
    <row r="271" spans="1:256">
      <c r="BR271" s="702"/>
    </row>
  </sheetData>
  <sheetProtection password="C26D" sheet="1" formatCells="0" formatColumns="0" formatRows="0" insertColumns="0" insertRows="0" insertHyperlinks="0" deleteColumns="0" deleteRows="0" sort="0" autoFilter="0"/>
  <mergeCells count="2057">
    <mergeCell ref="BN157:BO157"/>
    <mergeCell ref="AA263:AB263"/>
    <mergeCell ref="X263:Y263"/>
    <mergeCell ref="V263:W263"/>
    <mergeCell ref="T263:U263"/>
    <mergeCell ref="AM263:AN263"/>
    <mergeCell ref="BJ263:BK263"/>
    <mergeCell ref="AK263:AL263"/>
    <mergeCell ref="AI263:AJ263"/>
    <mergeCell ref="AQ263:AR263"/>
    <mergeCell ref="AF132:AK133"/>
    <mergeCell ref="AM132:AR133"/>
    <mergeCell ref="Y140:AD141"/>
    <mergeCell ref="Y132:AD133"/>
    <mergeCell ref="BG148:BL149"/>
    <mergeCell ref="R152:W152"/>
    <mergeCell ref="Y152:AD152"/>
    <mergeCell ref="AF152:AK152"/>
    <mergeCell ref="AM152:AR152"/>
    <mergeCell ref="AT152:AY152"/>
    <mergeCell ref="BG152:BL152"/>
    <mergeCell ref="BN263:BO263"/>
    <mergeCell ref="X258:Y258"/>
    <mergeCell ref="AU258:AV258"/>
    <mergeCell ref="AS258:AT258"/>
    <mergeCell ref="AQ258:AR258"/>
    <mergeCell ref="AS248:AT248"/>
    <mergeCell ref="AQ248:AR248"/>
    <mergeCell ref="BN248:BO248"/>
    <mergeCell ref="BL248:BM248"/>
    <mergeCell ref="V204:Y204"/>
    <mergeCell ref="V194:Y194"/>
    <mergeCell ref="B258:C258"/>
    <mergeCell ref="V258:W258"/>
    <mergeCell ref="T258:U258"/>
    <mergeCell ref="R258:S258"/>
    <mergeCell ref="P258:Q258"/>
    <mergeCell ref="J258:K258"/>
    <mergeCell ref="H258:I258"/>
    <mergeCell ref="DW263:DX263"/>
    <mergeCell ref="DT263:DU263"/>
    <mergeCell ref="DR263:DS263"/>
    <mergeCell ref="BV263:BW263"/>
    <mergeCell ref="BT263:BU263"/>
    <mergeCell ref="BR263:BS263"/>
    <mergeCell ref="DJ263:DK263"/>
    <mergeCell ref="DH263:DI263"/>
    <mergeCell ref="B263:C263"/>
    <mergeCell ref="N263:O263"/>
    <mergeCell ref="L263:M263"/>
    <mergeCell ref="J263:K263"/>
    <mergeCell ref="H263:I263"/>
    <mergeCell ref="F263:G263"/>
    <mergeCell ref="D263:E263"/>
    <mergeCell ref="AG263:AH263"/>
    <mergeCell ref="BL263:BM263"/>
    <mergeCell ref="CC258:CD258"/>
    <mergeCell ref="CA258:CB258"/>
    <mergeCell ref="CE263:CF263"/>
    <mergeCell ref="CC263:CD263"/>
    <mergeCell ref="CA263:CB263"/>
    <mergeCell ref="BY263:BZ263"/>
    <mergeCell ref="CE258:CF258"/>
    <mergeCell ref="BP263:BQ263"/>
    <mergeCell ref="N258:O258"/>
    <mergeCell ref="L258:M258"/>
    <mergeCell ref="BH258:BI258"/>
    <mergeCell ref="BF258:BG258"/>
    <mergeCell ref="BD258:BE258"/>
    <mergeCell ref="BB258:BC258"/>
    <mergeCell ref="F258:G258"/>
    <mergeCell ref="D258:E258"/>
    <mergeCell ref="BV258:BW258"/>
    <mergeCell ref="AI258:AJ258"/>
    <mergeCell ref="AG258:AH258"/>
    <mergeCell ref="AE258:AF258"/>
    <mergeCell ref="AC258:AD258"/>
    <mergeCell ref="AZ258:BA258"/>
    <mergeCell ref="AW258:AX258"/>
    <mergeCell ref="AA258:AB258"/>
    <mergeCell ref="R263:S263"/>
    <mergeCell ref="P263:Q263"/>
    <mergeCell ref="AW263:AX263"/>
    <mergeCell ref="BB263:BC263"/>
    <mergeCell ref="AZ263:BA263"/>
    <mergeCell ref="AO263:AP263"/>
    <mergeCell ref="AU263:AV263"/>
    <mergeCell ref="AS263:AT263"/>
    <mergeCell ref="BH263:BI263"/>
    <mergeCell ref="BF263:BG263"/>
    <mergeCell ref="AC263:AD263"/>
    <mergeCell ref="FR263:FS263"/>
    <mergeCell ref="FP263:FQ263"/>
    <mergeCell ref="FN263:FO263"/>
    <mergeCell ref="FL263:FM263"/>
    <mergeCell ref="FJ263:FK263"/>
    <mergeCell ref="EX263:EY263"/>
    <mergeCell ref="FH263:FI263"/>
    <mergeCell ref="FF263:FG263"/>
    <mergeCell ref="FD263:FE263"/>
    <mergeCell ref="FB263:FC263"/>
    <mergeCell ref="EV263:EW263"/>
    <mergeCell ref="ES263:ET263"/>
    <mergeCell ref="DD263:DE263"/>
    <mergeCell ref="DB263:DC263"/>
    <mergeCell ref="CZ263:DA263"/>
    <mergeCell ref="CX263:CY263"/>
    <mergeCell ref="DF263:DG263"/>
    <mergeCell ref="EC263:ED263"/>
    <mergeCell ref="EA263:EB263"/>
    <mergeCell ref="DY263:DZ263"/>
    <mergeCell ref="EZ263:FA263"/>
    <mergeCell ref="EE263:EF263"/>
    <mergeCell ref="EQ263:ER263"/>
    <mergeCell ref="EO263:EP263"/>
    <mergeCell ref="EM263:EN263"/>
    <mergeCell ref="EK263:EL263"/>
    <mergeCell ref="DL263:DM263"/>
    <mergeCell ref="EG263:EH263"/>
    <mergeCell ref="EA258:EB258"/>
    <mergeCell ref="DY258:DZ258"/>
    <mergeCell ref="DW258:DX258"/>
    <mergeCell ref="DT258:DU258"/>
    <mergeCell ref="DR258:DS258"/>
    <mergeCell ref="BT258:BU258"/>
    <mergeCell ref="BR258:BS258"/>
    <mergeCell ref="BP258:BQ258"/>
    <mergeCell ref="BN258:BO258"/>
    <mergeCell ref="BL258:BM258"/>
    <mergeCell ref="BJ258:BK258"/>
    <mergeCell ref="CQ258:CR258"/>
    <mergeCell ref="AO258:AP258"/>
    <mergeCell ref="AM258:AN258"/>
    <mergeCell ref="AK258:AL258"/>
    <mergeCell ref="CO258:CP258"/>
    <mergeCell ref="CM258:CN258"/>
    <mergeCell ref="CK258:CL258"/>
    <mergeCell ref="CI258:CJ258"/>
    <mergeCell ref="CG258:CH258"/>
    <mergeCell ref="CU258:CV258"/>
    <mergeCell ref="CS258:CT258"/>
    <mergeCell ref="DP258:DQ258"/>
    <mergeCell ref="CI263:CJ263"/>
    <mergeCell ref="CG263:CH263"/>
    <mergeCell ref="FD258:FE258"/>
    <mergeCell ref="FB258:FC258"/>
    <mergeCell ref="DN258:DO258"/>
    <mergeCell ref="DL258:DM258"/>
    <mergeCell ref="DJ258:DK258"/>
    <mergeCell ref="EZ258:FA258"/>
    <mergeCell ref="EX258:EY258"/>
    <mergeCell ref="EV258:EW258"/>
    <mergeCell ref="ES258:ET258"/>
    <mergeCell ref="EQ258:ER258"/>
    <mergeCell ref="EO258:EP258"/>
    <mergeCell ref="CM263:CN263"/>
    <mergeCell ref="CK263:CL263"/>
    <mergeCell ref="BY253:BZ253"/>
    <mergeCell ref="AE263:AF263"/>
    <mergeCell ref="CS263:CT263"/>
    <mergeCell ref="CQ263:CR263"/>
    <mergeCell ref="CO263:CP263"/>
    <mergeCell ref="BD263:BE263"/>
    <mergeCell ref="DP263:DQ263"/>
    <mergeCell ref="DN263:DO263"/>
    <mergeCell ref="CU263:CV263"/>
    <mergeCell ref="BY258:BZ258"/>
    <mergeCell ref="EE258:EF258"/>
    <mergeCell ref="EC258:ED258"/>
    <mergeCell ref="DH258:DI258"/>
    <mergeCell ref="DF258:DG258"/>
    <mergeCell ref="DD258:DE258"/>
    <mergeCell ref="DB258:DC258"/>
    <mergeCell ref="EI263:EJ263"/>
    <mergeCell ref="D253:E253"/>
    <mergeCell ref="B253:C253"/>
    <mergeCell ref="T253:U253"/>
    <mergeCell ref="R253:S253"/>
    <mergeCell ref="P253:Q253"/>
    <mergeCell ref="N253:O253"/>
    <mergeCell ref="L253:M253"/>
    <mergeCell ref="J253:K253"/>
    <mergeCell ref="H253:I253"/>
    <mergeCell ref="F253:G253"/>
    <mergeCell ref="FU258:FV258"/>
    <mergeCell ref="FR258:FS258"/>
    <mergeCell ref="FP258:FQ258"/>
    <mergeCell ref="FN258:FO258"/>
    <mergeCell ref="FL258:FM258"/>
    <mergeCell ref="DR253:DS253"/>
    <mergeCell ref="EM258:EN258"/>
    <mergeCell ref="EK258:EL258"/>
    <mergeCell ref="EI258:EJ258"/>
    <mergeCell ref="EG258:EH258"/>
    <mergeCell ref="CZ258:DA258"/>
    <mergeCell ref="BR253:BS253"/>
    <mergeCell ref="CO253:CP253"/>
    <mergeCell ref="CM253:CN253"/>
    <mergeCell ref="CK253:CL253"/>
    <mergeCell ref="CI253:CJ253"/>
    <mergeCell ref="CG253:CH253"/>
    <mergeCell ref="CX258:CY258"/>
    <mergeCell ref="EA253:EB253"/>
    <mergeCell ref="FJ258:FK258"/>
    <mergeCell ref="FH258:FI258"/>
    <mergeCell ref="FF258:FG258"/>
    <mergeCell ref="IC258:ID258"/>
    <mergeCell ref="IA258:IB258"/>
    <mergeCell ref="HY258:HZ258"/>
    <mergeCell ref="HW258:HX258"/>
    <mergeCell ref="HU258:HV258"/>
    <mergeCell ref="GG258:GH258"/>
    <mergeCell ref="GI258:GJ258"/>
    <mergeCell ref="HF258:HG258"/>
    <mergeCell ref="HD258:HE258"/>
    <mergeCell ref="HB258:HC258"/>
    <mergeCell ref="GE258:GF258"/>
    <mergeCell ref="GC258:GD258"/>
    <mergeCell ref="GA258:GB258"/>
    <mergeCell ref="FY258:FZ258"/>
    <mergeCell ref="FW258:FX258"/>
    <mergeCell ref="GT258:GU258"/>
    <mergeCell ref="GQ258:GR258"/>
    <mergeCell ref="GO258:GP258"/>
    <mergeCell ref="GM258:GN258"/>
    <mergeCell ref="GK258:GL258"/>
    <mergeCell ref="GZ258:HA258"/>
    <mergeCell ref="GX258:GY258"/>
    <mergeCell ref="GV258:GW258"/>
    <mergeCell ref="HS258:HT258"/>
    <mergeCell ref="HP258:HQ258"/>
    <mergeCell ref="HN258:HO258"/>
    <mergeCell ref="HL258:HM258"/>
    <mergeCell ref="HJ258:HK258"/>
    <mergeCell ref="HH258:HI258"/>
    <mergeCell ref="IO258:IP258"/>
    <mergeCell ref="IM258:IN258"/>
    <mergeCell ref="IK258:IL258"/>
    <mergeCell ref="II258:IJ258"/>
    <mergeCell ref="IG258:IH258"/>
    <mergeCell ref="IE258:IF258"/>
    <mergeCell ref="AG253:AH253"/>
    <mergeCell ref="AE253:AF253"/>
    <mergeCell ref="AC253:AD253"/>
    <mergeCell ref="AA253:AB253"/>
    <mergeCell ref="X253:Y253"/>
    <mergeCell ref="V253:W253"/>
    <mergeCell ref="AS253:AT253"/>
    <mergeCell ref="AQ253:AR253"/>
    <mergeCell ref="AO253:AP253"/>
    <mergeCell ref="AM253:AN253"/>
    <mergeCell ref="AK253:AL253"/>
    <mergeCell ref="AI253:AJ253"/>
    <mergeCell ref="BF253:BG253"/>
    <mergeCell ref="BD253:BE253"/>
    <mergeCell ref="BB253:BC253"/>
    <mergeCell ref="AZ253:BA253"/>
    <mergeCell ref="AW253:AX253"/>
    <mergeCell ref="AU253:AV253"/>
    <mergeCell ref="BJ253:BK253"/>
    <mergeCell ref="BH253:BI253"/>
    <mergeCell ref="DY253:DZ253"/>
    <mergeCell ref="DW253:DX253"/>
    <mergeCell ref="DT253:DU253"/>
    <mergeCell ref="DP253:DQ253"/>
    <mergeCell ref="BT253:BU253"/>
    <mergeCell ref="CU253:CV253"/>
    <mergeCell ref="IO253:IP253"/>
    <mergeCell ref="IM253:IN253"/>
    <mergeCell ref="IK253:IL253"/>
    <mergeCell ref="II253:IJ253"/>
    <mergeCell ref="IG253:IH253"/>
    <mergeCell ref="IE253:IF253"/>
    <mergeCell ref="IC253:ID253"/>
    <mergeCell ref="IA253:IB253"/>
    <mergeCell ref="D248:E248"/>
    <mergeCell ref="B248:C248"/>
    <mergeCell ref="HO245:HQ245"/>
    <mergeCell ref="GP245:GR245"/>
    <mergeCell ref="FQ245:FS245"/>
    <mergeCell ref="ER245:ET245"/>
    <mergeCell ref="DS245:DU245"/>
    <mergeCell ref="FU253:FV253"/>
    <mergeCell ref="FR253:FS253"/>
    <mergeCell ref="GG253:GH253"/>
    <mergeCell ref="GE253:GF253"/>
    <mergeCell ref="GC253:GD253"/>
    <mergeCell ref="GA253:GB253"/>
    <mergeCell ref="FY253:FZ253"/>
    <mergeCell ref="FW253:FX253"/>
    <mergeCell ref="EI253:EJ253"/>
    <mergeCell ref="EG253:EH253"/>
    <mergeCell ref="EE253:EF253"/>
    <mergeCell ref="EC253:ED253"/>
    <mergeCell ref="CE253:CF253"/>
    <mergeCell ref="EM253:EN253"/>
    <mergeCell ref="EK253:EL253"/>
    <mergeCell ref="DB253:DC253"/>
    <mergeCell ref="CZ253:DA253"/>
    <mergeCell ref="HY253:HZ253"/>
    <mergeCell ref="HW253:HX253"/>
    <mergeCell ref="HU253:HV253"/>
    <mergeCell ref="HS253:HT253"/>
    <mergeCell ref="HP253:HQ253"/>
    <mergeCell ref="HN253:HO253"/>
    <mergeCell ref="GQ253:GR253"/>
    <mergeCell ref="GO253:GP253"/>
    <mergeCell ref="GM253:GN253"/>
    <mergeCell ref="GK253:GL253"/>
    <mergeCell ref="GI253:GJ253"/>
    <mergeCell ref="EV253:EW253"/>
    <mergeCell ref="FP253:FQ253"/>
    <mergeCell ref="FN253:FO253"/>
    <mergeCell ref="FL253:FM253"/>
    <mergeCell ref="FJ253:FK253"/>
    <mergeCell ref="ES253:ET253"/>
    <mergeCell ref="FH253:FI253"/>
    <mergeCell ref="FF253:FG253"/>
    <mergeCell ref="FD253:FE253"/>
    <mergeCell ref="FB253:FC253"/>
    <mergeCell ref="EZ253:FA253"/>
    <mergeCell ref="EX253:EY253"/>
    <mergeCell ref="GZ253:HA253"/>
    <mergeCell ref="GX253:GY253"/>
    <mergeCell ref="GV253:GW253"/>
    <mergeCell ref="GT253:GU253"/>
    <mergeCell ref="HL253:HM253"/>
    <mergeCell ref="HJ253:HK253"/>
    <mergeCell ref="HH253:HI253"/>
    <mergeCell ref="HF253:HG253"/>
    <mergeCell ref="HD253:HE253"/>
    <mergeCell ref="HB253:HC253"/>
    <mergeCell ref="EQ253:ER253"/>
    <mergeCell ref="EO253:EP253"/>
    <mergeCell ref="CX253:CY253"/>
    <mergeCell ref="DN253:DO253"/>
    <mergeCell ref="DL253:DM253"/>
    <mergeCell ref="DJ253:DK253"/>
    <mergeCell ref="DH253:DI253"/>
    <mergeCell ref="DF253:DG253"/>
    <mergeCell ref="DD253:DE253"/>
    <mergeCell ref="CS253:CT253"/>
    <mergeCell ref="CQ253:CR253"/>
    <mergeCell ref="BL253:BM253"/>
    <mergeCell ref="CC253:CD253"/>
    <mergeCell ref="CA253:CB253"/>
    <mergeCell ref="DR248:DS248"/>
    <mergeCell ref="DP248:DQ248"/>
    <mergeCell ref="DN248:DO248"/>
    <mergeCell ref="DL248:DM248"/>
    <mergeCell ref="DJ248:DK248"/>
    <mergeCell ref="BV253:BW253"/>
    <mergeCell ref="BP253:BQ253"/>
    <mergeCell ref="BN253:BO253"/>
    <mergeCell ref="GK248:GL248"/>
    <mergeCell ref="GI248:GJ248"/>
    <mergeCell ref="GG248:GH248"/>
    <mergeCell ref="GE248:GF248"/>
    <mergeCell ref="GC248:GD248"/>
    <mergeCell ref="EO248:EP248"/>
    <mergeCell ref="EM248:EN248"/>
    <mergeCell ref="EK248:EL248"/>
    <mergeCell ref="EI248:EJ248"/>
    <mergeCell ref="BU245:BW245"/>
    <mergeCell ref="AV245:AX245"/>
    <mergeCell ref="P248:Q248"/>
    <mergeCell ref="N248:O248"/>
    <mergeCell ref="L248:M248"/>
    <mergeCell ref="AO248:AP248"/>
    <mergeCell ref="AM248:AN248"/>
    <mergeCell ref="AK248:AL248"/>
    <mergeCell ref="AI248:AJ248"/>
    <mergeCell ref="J248:K248"/>
    <mergeCell ref="H248:I248"/>
    <mergeCell ref="F248:G248"/>
    <mergeCell ref="AC248:AD248"/>
    <mergeCell ref="AA248:AB248"/>
    <mergeCell ref="X248:Y248"/>
    <mergeCell ref="V248:W248"/>
    <mergeCell ref="T248:U248"/>
    <mergeCell ref="R248:S248"/>
    <mergeCell ref="BJ248:BK248"/>
    <mergeCell ref="BH248:BI248"/>
    <mergeCell ref="BF248:BG248"/>
    <mergeCell ref="BD248:BE248"/>
    <mergeCell ref="AG248:AH248"/>
    <mergeCell ref="BV248:BW248"/>
    <mergeCell ref="BT248:BU248"/>
    <mergeCell ref="BR248:BS248"/>
    <mergeCell ref="BP248:BQ248"/>
    <mergeCell ref="AE248:AF248"/>
    <mergeCell ref="BB248:BC248"/>
    <mergeCell ref="AZ248:BA248"/>
    <mergeCell ref="AW248:AX248"/>
    <mergeCell ref="AU248:AV248"/>
    <mergeCell ref="EG248:EH248"/>
    <mergeCell ref="EE248:EF248"/>
    <mergeCell ref="FB248:FC248"/>
    <mergeCell ref="EZ248:FA248"/>
    <mergeCell ref="EX248:EY248"/>
    <mergeCell ref="EV248:EW248"/>
    <mergeCell ref="ES248:ET248"/>
    <mergeCell ref="CT245:CV245"/>
    <mergeCell ref="CU248:CV248"/>
    <mergeCell ref="CS248:CT248"/>
    <mergeCell ref="FH248:FI248"/>
    <mergeCell ref="FF248:FG248"/>
    <mergeCell ref="FD248:FE248"/>
    <mergeCell ref="GA248:GB248"/>
    <mergeCell ref="FY248:FZ248"/>
    <mergeCell ref="FW248:FX248"/>
    <mergeCell ref="FU248:FV248"/>
    <mergeCell ref="FR248:FS248"/>
    <mergeCell ref="FP248:FQ248"/>
    <mergeCell ref="EC248:ED248"/>
    <mergeCell ref="EA248:EB248"/>
    <mergeCell ref="DY248:DZ248"/>
    <mergeCell ref="DW248:DX248"/>
    <mergeCell ref="FL248:FM248"/>
    <mergeCell ref="FJ248:FK248"/>
    <mergeCell ref="EQ248:ER248"/>
    <mergeCell ref="CI248:CJ248"/>
    <mergeCell ref="CG248:CH248"/>
    <mergeCell ref="CE248:CF248"/>
    <mergeCell ref="CC248:CD248"/>
    <mergeCell ref="CA248:CB248"/>
    <mergeCell ref="CO248:CP248"/>
    <mergeCell ref="CM248:CN248"/>
    <mergeCell ref="CK248:CL248"/>
    <mergeCell ref="DH248:DI248"/>
    <mergeCell ref="DF248:DG248"/>
    <mergeCell ref="DD248:DE248"/>
    <mergeCell ref="DB248:DC248"/>
    <mergeCell ref="CZ248:DA248"/>
    <mergeCell ref="CX248:CY248"/>
    <mergeCell ref="BY248:BZ248"/>
    <mergeCell ref="CQ248:CR248"/>
    <mergeCell ref="DT248:DU248"/>
    <mergeCell ref="GO248:GP248"/>
    <mergeCell ref="GM248:GN248"/>
    <mergeCell ref="IK243:IL243"/>
    <mergeCell ref="IE248:IF248"/>
    <mergeCell ref="IC248:ID248"/>
    <mergeCell ref="IA248:IB248"/>
    <mergeCell ref="HY248:HZ248"/>
    <mergeCell ref="HH248:HI248"/>
    <mergeCell ref="HF248:HG248"/>
    <mergeCell ref="HD248:HE248"/>
    <mergeCell ref="HB248:HC248"/>
    <mergeCell ref="GZ248:HA248"/>
    <mergeCell ref="GX248:GY248"/>
    <mergeCell ref="HU248:HV248"/>
    <mergeCell ref="HS248:HT248"/>
    <mergeCell ref="HP248:HQ248"/>
    <mergeCell ref="HN248:HO248"/>
    <mergeCell ref="HL248:HM248"/>
    <mergeCell ref="HJ248:HK248"/>
    <mergeCell ref="HW248:HX248"/>
    <mergeCell ref="II243:IJ243"/>
    <mergeCell ref="II248:IJ248"/>
    <mergeCell ref="IC243:ID243"/>
    <mergeCell ref="IE243:IF243"/>
    <mergeCell ref="IG243:IH243"/>
    <mergeCell ref="IG248:IH248"/>
    <mergeCell ref="IA243:IB243"/>
    <mergeCell ref="HY243:HZ243"/>
    <mergeCell ref="IM243:IN243"/>
    <mergeCell ref="IO243:IP243"/>
    <mergeCell ref="IO248:IP248"/>
    <mergeCell ref="IM248:IN248"/>
    <mergeCell ref="IK248:IL248"/>
    <mergeCell ref="IN245:IP245"/>
    <mergeCell ref="GV248:GW248"/>
    <mergeCell ref="GT248:GU248"/>
    <mergeCell ref="FQ240:FS240"/>
    <mergeCell ref="HS243:HT243"/>
    <mergeCell ref="FF243:FG243"/>
    <mergeCell ref="FH243:FI243"/>
    <mergeCell ref="FJ243:FK243"/>
    <mergeCell ref="FL243:FM243"/>
    <mergeCell ref="EV243:EW243"/>
    <mergeCell ref="EX243:EY243"/>
    <mergeCell ref="EZ243:FA243"/>
    <mergeCell ref="FR243:FS243"/>
    <mergeCell ref="GX243:GY243"/>
    <mergeCell ref="GZ243:HA243"/>
    <mergeCell ref="HB243:HC243"/>
    <mergeCell ref="HD243:HE243"/>
    <mergeCell ref="GM243:GN243"/>
    <mergeCell ref="GO243:GP243"/>
    <mergeCell ref="GQ243:GR243"/>
    <mergeCell ref="GE243:GF243"/>
    <mergeCell ref="GG243:GH243"/>
    <mergeCell ref="FN243:FO243"/>
    <mergeCell ref="FP243:FQ243"/>
    <mergeCell ref="FN248:FO248"/>
    <mergeCell ref="GQ248:GR248"/>
    <mergeCell ref="GI243:GJ243"/>
    <mergeCell ref="EK243:EL243"/>
    <mergeCell ref="CX243:CY243"/>
    <mergeCell ref="CZ243:DA243"/>
    <mergeCell ref="DB243:DC243"/>
    <mergeCell ref="DD243:DE243"/>
    <mergeCell ref="DF243:DG243"/>
    <mergeCell ref="DL243:DM243"/>
    <mergeCell ref="FB243:FC243"/>
    <mergeCell ref="FD243:FE243"/>
    <mergeCell ref="DS240:DU240"/>
    <mergeCell ref="DN243:DO243"/>
    <mergeCell ref="DP243:DQ243"/>
    <mergeCell ref="DR243:DS243"/>
    <mergeCell ref="DT243:DU243"/>
    <mergeCell ref="GK243:GL243"/>
    <mergeCell ref="HU243:HV243"/>
    <mergeCell ref="HW243:HX243"/>
    <mergeCell ref="DH243:DI243"/>
    <mergeCell ref="FU243:FV243"/>
    <mergeCell ref="FW243:FX243"/>
    <mergeCell ref="FY243:FZ243"/>
    <mergeCell ref="GA243:GB243"/>
    <mergeCell ref="GC243:GD243"/>
    <mergeCell ref="HN243:HO243"/>
    <mergeCell ref="HP243:HQ243"/>
    <mergeCell ref="GT243:GU243"/>
    <mergeCell ref="GV243:GW243"/>
    <mergeCell ref="HH243:HI243"/>
    <mergeCell ref="HJ243:HK243"/>
    <mergeCell ref="HL243:HM243"/>
    <mergeCell ref="HF243:HG243"/>
    <mergeCell ref="EM243:EN243"/>
    <mergeCell ref="V219:Y219"/>
    <mergeCell ref="AU219:AX219"/>
    <mergeCell ref="V199:Y199"/>
    <mergeCell ref="W214:Y214"/>
    <mergeCell ref="AU199:AX199"/>
    <mergeCell ref="X209:AA209"/>
    <mergeCell ref="R243:S243"/>
    <mergeCell ref="T243:U243"/>
    <mergeCell ref="V243:W243"/>
    <mergeCell ref="X243:Y243"/>
    <mergeCell ref="AA243:AB243"/>
    <mergeCell ref="W225:Y225"/>
    <mergeCell ref="X235:Y235"/>
    <mergeCell ref="W230:Y230"/>
    <mergeCell ref="AC243:AD243"/>
    <mergeCell ref="AE243:AF243"/>
    <mergeCell ref="AG243:AH243"/>
    <mergeCell ref="AI243:AJ243"/>
    <mergeCell ref="AW235:AX235"/>
    <mergeCell ref="EQ243:ER243"/>
    <mergeCell ref="ES243:ET243"/>
    <mergeCell ref="DJ243:DK243"/>
    <mergeCell ref="BU240:BW240"/>
    <mergeCell ref="BR243:BS243"/>
    <mergeCell ref="BT243:BU243"/>
    <mergeCell ref="BV243:BW243"/>
    <mergeCell ref="BL243:BM243"/>
    <mergeCell ref="BN243:BO243"/>
    <mergeCell ref="BP243:BQ243"/>
    <mergeCell ref="B243:C243"/>
    <mergeCell ref="F243:G243"/>
    <mergeCell ref="H243:I243"/>
    <mergeCell ref="J243:K243"/>
    <mergeCell ref="L243:M243"/>
    <mergeCell ref="N243:O243"/>
    <mergeCell ref="D243:E243"/>
    <mergeCell ref="P243:Q243"/>
    <mergeCell ref="W240:Y240"/>
    <mergeCell ref="AV240:AX240"/>
    <mergeCell ref="BD243:BE243"/>
    <mergeCell ref="BF243:BG243"/>
    <mergeCell ref="BH243:BI243"/>
    <mergeCell ref="BJ243:BK243"/>
    <mergeCell ref="ER240:ET240"/>
    <mergeCell ref="DW243:DX243"/>
    <mergeCell ref="DY243:DZ243"/>
    <mergeCell ref="EA243:EB243"/>
    <mergeCell ref="EC243:ED243"/>
    <mergeCell ref="EE243:EF243"/>
    <mergeCell ref="EG243:EH243"/>
    <mergeCell ref="EI243:EJ243"/>
    <mergeCell ref="EG115:EL116"/>
    <mergeCell ref="DK117:DM117"/>
    <mergeCell ref="EA147:EF148"/>
    <mergeCell ref="BA152:BF152"/>
    <mergeCell ref="CM243:CN243"/>
    <mergeCell ref="CK243:CL243"/>
    <mergeCell ref="FK115:FP116"/>
    <mergeCell ref="AW243:AX243"/>
    <mergeCell ref="AZ243:BA243"/>
    <mergeCell ref="BB243:BC243"/>
    <mergeCell ref="FO182:FP182"/>
    <mergeCell ref="DX182:DY182"/>
    <mergeCell ref="BF182:BG182"/>
    <mergeCell ref="BN182:BO182"/>
    <mergeCell ref="AK243:AL243"/>
    <mergeCell ref="AM243:AN243"/>
    <mergeCell ref="AO243:AP243"/>
    <mergeCell ref="AQ243:AR243"/>
    <mergeCell ref="AS243:AT243"/>
    <mergeCell ref="AU243:AV243"/>
    <mergeCell ref="CS243:CT243"/>
    <mergeCell ref="CU243:CV243"/>
    <mergeCell ref="CT240:CV240"/>
    <mergeCell ref="BY243:BZ243"/>
    <mergeCell ref="CA243:CB243"/>
    <mergeCell ref="CC243:CD243"/>
    <mergeCell ref="CE243:CF243"/>
    <mergeCell ref="CG243:CH243"/>
    <mergeCell ref="CI243:CJ243"/>
    <mergeCell ref="CQ243:CR243"/>
    <mergeCell ref="CO243:CP243"/>
    <mergeCell ref="EO243:EP243"/>
    <mergeCell ref="ES147:EX148"/>
    <mergeCell ref="EY131:FD132"/>
    <mergeCell ref="CJ149:CL149"/>
    <mergeCell ref="CB149:CD149"/>
    <mergeCell ref="CB147:CG148"/>
    <mergeCell ref="BV159:BW159"/>
    <mergeCell ref="BT204:BW204"/>
    <mergeCell ref="CM169:CN169"/>
    <mergeCell ref="CM164:CN164"/>
    <mergeCell ref="BT147:BY148"/>
    <mergeCell ref="BT194:BW194"/>
    <mergeCell ref="BS189:BT189"/>
    <mergeCell ref="BT149:BV149"/>
    <mergeCell ref="HO240:HQ240"/>
    <mergeCell ref="HH53:HJ53"/>
    <mergeCell ref="GY53:HA53"/>
    <mergeCell ref="HB53:HD53"/>
    <mergeCell ref="GP53:GR53"/>
    <mergeCell ref="FK91:FP92"/>
    <mergeCell ref="GP240:GR240"/>
    <mergeCell ref="FK107:FP108"/>
    <mergeCell ref="FK147:FP148"/>
    <mergeCell ref="FK139:FP140"/>
    <mergeCell ref="EM147:ER148"/>
    <mergeCell ref="DH131:DM132"/>
    <mergeCell ref="DH125:DJ125"/>
    <mergeCell ref="DP123:DR124"/>
    <mergeCell ref="EM115:ER116"/>
    <mergeCell ref="DH123:DM124"/>
    <mergeCell ref="DH117:DJ117"/>
    <mergeCell ref="DU123:DZ124"/>
    <mergeCell ref="EM123:ER124"/>
    <mergeCell ref="FK75:FP76"/>
    <mergeCell ref="EG91:EL92"/>
    <mergeCell ref="FT45:FV45"/>
    <mergeCell ref="CE149:CG149"/>
    <mergeCell ref="EY99:FD100"/>
    <mergeCell ref="EA115:EF116"/>
    <mergeCell ref="DP149:DR149"/>
    <mergeCell ref="EA139:EF140"/>
    <mergeCell ref="EM139:ER140"/>
    <mergeCell ref="ES131:EX132"/>
    <mergeCell ref="DP117:DR117"/>
    <mergeCell ref="DP115:DR116"/>
    <mergeCell ref="ES115:EX116"/>
    <mergeCell ref="FE139:FJ140"/>
    <mergeCell ref="DP133:DR133"/>
    <mergeCell ref="EA123:EF124"/>
    <mergeCell ref="EA131:EF132"/>
    <mergeCell ref="DP131:DR132"/>
    <mergeCell ref="DP125:DR125"/>
    <mergeCell ref="DU139:DZ140"/>
    <mergeCell ref="EY147:FD148"/>
    <mergeCell ref="FE147:FJ148"/>
    <mergeCell ref="ES99:EX100"/>
    <mergeCell ref="EY123:FD124"/>
    <mergeCell ref="ES139:EX140"/>
    <mergeCell ref="FE99:FJ100"/>
    <mergeCell ref="EY139:FD140"/>
    <mergeCell ref="ES123:EX124"/>
    <mergeCell ref="EY107:FD108"/>
    <mergeCell ref="FE107:FJ108"/>
    <mergeCell ref="EG147:EL148"/>
    <mergeCell ref="EG139:EL140"/>
    <mergeCell ref="FK131:FP132"/>
    <mergeCell ref="DP147:DR148"/>
    <mergeCell ref="CZ139:DE140"/>
    <mergeCell ref="DH139:DM140"/>
    <mergeCell ref="CZ141:DB141"/>
    <mergeCell ref="DK141:DM141"/>
    <mergeCell ref="DH133:DJ133"/>
    <mergeCell ref="CZ115:DE116"/>
    <mergeCell ref="DH149:DJ149"/>
    <mergeCell ref="FK59:FP60"/>
    <mergeCell ref="FQ53:FS53"/>
    <mergeCell ref="FE67:FJ68"/>
    <mergeCell ref="ER53:ET53"/>
    <mergeCell ref="FE59:FJ60"/>
    <mergeCell ref="EM59:ER60"/>
    <mergeCell ref="FK67:FP68"/>
    <mergeCell ref="ES59:EX60"/>
    <mergeCell ref="FK99:FP100"/>
    <mergeCell ref="FK83:FP84"/>
    <mergeCell ref="DH69:DJ69"/>
    <mergeCell ref="EA83:EF84"/>
    <mergeCell ref="DH83:DM84"/>
    <mergeCell ref="DH77:DJ77"/>
    <mergeCell ref="DP69:DR69"/>
    <mergeCell ref="DK77:DM77"/>
    <mergeCell ref="DP77:DR77"/>
    <mergeCell ref="EY59:FD60"/>
    <mergeCell ref="EY115:FD116"/>
    <mergeCell ref="FK123:FP124"/>
    <mergeCell ref="FE115:FJ116"/>
    <mergeCell ref="EM75:ER76"/>
    <mergeCell ref="DP99:DR100"/>
    <mergeCell ref="CR147:CW148"/>
    <mergeCell ref="DC149:DE149"/>
    <mergeCell ref="CZ147:DE148"/>
    <mergeCell ref="CR133:CT133"/>
    <mergeCell ref="CM149:CO149"/>
    <mergeCell ref="CR149:CT149"/>
    <mergeCell ref="DH85:DJ85"/>
    <mergeCell ref="DH91:DM92"/>
    <mergeCell ref="DK93:DM93"/>
    <mergeCell ref="CJ131:CO132"/>
    <mergeCell ref="CM125:CO125"/>
    <mergeCell ref="CJ141:CL141"/>
    <mergeCell ref="CJ107:CO108"/>
    <mergeCell ref="CM85:CO85"/>
    <mergeCell ref="CM93:CO93"/>
    <mergeCell ref="CJ93:CL93"/>
    <mergeCell ref="CJ91:CO92"/>
    <mergeCell ref="CU117:CW117"/>
    <mergeCell ref="CR125:CT125"/>
    <mergeCell ref="CR117:CT117"/>
    <mergeCell ref="CU109:CW109"/>
    <mergeCell ref="CJ99:CO100"/>
    <mergeCell ref="CB107:CG108"/>
    <mergeCell ref="DH141:DJ141"/>
    <mergeCell ref="DC141:DE141"/>
    <mergeCell ref="CR141:CT141"/>
    <mergeCell ref="CB101:CD101"/>
    <mergeCell ref="CE101:CG101"/>
    <mergeCell ref="CJ101:CL101"/>
    <mergeCell ref="CE109:CG109"/>
    <mergeCell ref="CJ109:CL109"/>
    <mergeCell ref="CB109:CD109"/>
    <mergeCell ref="FE123:FJ124"/>
    <mergeCell ref="CZ131:DE132"/>
    <mergeCell ref="CU125:CW125"/>
    <mergeCell ref="DC117:DE117"/>
    <mergeCell ref="CZ117:DB117"/>
    <mergeCell ref="CZ123:DE124"/>
    <mergeCell ref="EG131:EL132"/>
    <mergeCell ref="EG123:EL124"/>
    <mergeCell ref="DU131:DZ132"/>
    <mergeCell ref="DK101:DM101"/>
    <mergeCell ref="CR107:CW108"/>
    <mergeCell ref="DH109:DJ109"/>
    <mergeCell ref="DC109:DE109"/>
    <mergeCell ref="CR123:CW124"/>
    <mergeCell ref="CR101:CT101"/>
    <mergeCell ref="CR109:CT109"/>
    <mergeCell ref="DU115:DZ116"/>
    <mergeCell ref="DU107:DZ108"/>
    <mergeCell ref="CR131:CW132"/>
    <mergeCell ref="DC125:DE125"/>
    <mergeCell ref="CZ125:DB125"/>
    <mergeCell ref="DP109:DR109"/>
    <mergeCell ref="ES107:EX108"/>
    <mergeCell ref="EM107:ER108"/>
    <mergeCell ref="EG107:EL108"/>
    <mergeCell ref="EG99:EL100"/>
    <mergeCell ref="DU99:DZ100"/>
    <mergeCell ref="DP141:DR141"/>
    <mergeCell ref="DP139:DR140"/>
    <mergeCell ref="DK109:DM109"/>
    <mergeCell ref="CZ109:DB109"/>
    <mergeCell ref="CZ99:DE100"/>
    <mergeCell ref="CU93:CW93"/>
    <mergeCell ref="DC93:DE93"/>
    <mergeCell ref="DH107:DM108"/>
    <mergeCell ref="CZ101:DB101"/>
    <mergeCell ref="CZ107:DE108"/>
    <mergeCell ref="CU101:CW101"/>
    <mergeCell ref="DC101:DE101"/>
    <mergeCell ref="DH101:DJ101"/>
    <mergeCell ref="DH99:DM100"/>
    <mergeCell ref="DP93:DR93"/>
    <mergeCell ref="CU141:CW141"/>
    <mergeCell ref="CU133:CW133"/>
    <mergeCell ref="DK133:DM133"/>
    <mergeCell ref="CZ133:DB133"/>
    <mergeCell ref="DK125:DM125"/>
    <mergeCell ref="DH115:DM116"/>
    <mergeCell ref="DC133:DE133"/>
    <mergeCell ref="EA107:EF108"/>
    <mergeCell ref="EM99:ER100"/>
    <mergeCell ref="DP107:DR108"/>
    <mergeCell ref="DP101:DR101"/>
    <mergeCell ref="CR115:CW116"/>
    <mergeCell ref="CE93:CG93"/>
    <mergeCell ref="CZ69:DB69"/>
    <mergeCell ref="DU67:DZ68"/>
    <mergeCell ref="CZ67:DE68"/>
    <mergeCell ref="DP67:DR68"/>
    <mergeCell ref="DC69:DE69"/>
    <mergeCell ref="DH67:DM68"/>
    <mergeCell ref="DK69:DM69"/>
    <mergeCell ref="CR67:CW68"/>
    <mergeCell ref="CR69:CT69"/>
    <mergeCell ref="CJ77:CL77"/>
    <mergeCell ref="CM77:CO77"/>
    <mergeCell ref="CJ75:CO76"/>
    <mergeCell ref="CE77:CG77"/>
    <mergeCell ref="CU69:CW69"/>
    <mergeCell ref="CE69:CG69"/>
    <mergeCell ref="CR75:CW76"/>
    <mergeCell ref="DP85:DR85"/>
    <mergeCell ref="DC85:DE85"/>
    <mergeCell ref="CZ85:DB85"/>
    <mergeCell ref="CR85:CT85"/>
    <mergeCell ref="CR91:CW92"/>
    <mergeCell ref="DK85:DM85"/>
    <mergeCell ref="CZ93:DB93"/>
    <mergeCell ref="CU77:CW77"/>
    <mergeCell ref="CR77:CT77"/>
    <mergeCell ref="CR83:CW84"/>
    <mergeCell ref="DH75:DM76"/>
    <mergeCell ref="DU75:DZ76"/>
    <mergeCell ref="DP75:DR76"/>
    <mergeCell ref="DP37:DR37"/>
    <mergeCell ref="DS37:DU37"/>
    <mergeCell ref="DP53:DR53"/>
    <mergeCell ref="DM53:DO53"/>
    <mergeCell ref="DJ51:DO52"/>
    <mergeCell ref="DS53:DU53"/>
    <mergeCell ref="DM37:DO37"/>
    <mergeCell ref="DJ45:DL45"/>
    <mergeCell ref="DJ43:DO44"/>
    <mergeCell ref="DP61:DR61"/>
    <mergeCell ref="DU83:DZ84"/>
    <mergeCell ref="DC77:DE77"/>
    <mergeCell ref="EA75:EF76"/>
    <mergeCell ref="EG83:EL84"/>
    <mergeCell ref="EM67:ER68"/>
    <mergeCell ref="DU91:DZ92"/>
    <mergeCell ref="DP83:DR84"/>
    <mergeCell ref="DP91:DR92"/>
    <mergeCell ref="CZ75:DE76"/>
    <mergeCell ref="CZ77:DB77"/>
    <mergeCell ref="CZ83:DE84"/>
    <mergeCell ref="CX53:CZ53"/>
    <mergeCell ref="DD51:DI52"/>
    <mergeCell ref="CX45:CZ45"/>
    <mergeCell ref="EC43:EH44"/>
    <mergeCell ref="DW37:DY37"/>
    <mergeCell ref="CZ91:DE92"/>
    <mergeCell ref="DH61:DJ61"/>
    <mergeCell ref="EG75:EL76"/>
    <mergeCell ref="EG67:EL68"/>
    <mergeCell ref="DJ53:DL53"/>
    <mergeCell ref="DG53:DI53"/>
    <mergeCell ref="CU53:CW53"/>
    <mergeCell ref="CR51:CW52"/>
    <mergeCell ref="CR53:CT53"/>
    <mergeCell ref="EF53:EH53"/>
    <mergeCell ref="DP45:DR45"/>
    <mergeCell ref="DP59:DR60"/>
    <mergeCell ref="DA53:DC53"/>
    <mergeCell ref="DD45:DF45"/>
    <mergeCell ref="DD53:DF53"/>
    <mergeCell ref="EG59:EL60"/>
    <mergeCell ref="DW45:DY45"/>
    <mergeCell ref="CZ61:DB61"/>
    <mergeCell ref="DC61:DE61"/>
    <mergeCell ref="DK61:DM61"/>
    <mergeCell ref="DS45:DU45"/>
    <mergeCell ref="CU61:CW61"/>
    <mergeCell ref="CZ59:DE60"/>
    <mergeCell ref="CX51:DC52"/>
    <mergeCell ref="DG45:DI45"/>
    <mergeCell ref="EI51:EN52"/>
    <mergeCell ref="EC45:EE45"/>
    <mergeCell ref="DP51:DU52"/>
    <mergeCell ref="DW53:DY53"/>
    <mergeCell ref="DZ53:EB53"/>
    <mergeCell ref="DU59:DZ60"/>
    <mergeCell ref="EA99:EF100"/>
    <mergeCell ref="EM83:ER84"/>
    <mergeCell ref="ES91:EX92"/>
    <mergeCell ref="FB51:FG52"/>
    <mergeCell ref="EO45:EQ45"/>
    <mergeCell ref="EU43:EZ44"/>
    <mergeCell ref="EO53:EQ53"/>
    <mergeCell ref="ER45:ET45"/>
    <mergeCell ref="EX53:EZ53"/>
    <mergeCell ref="EX45:EZ45"/>
    <mergeCell ref="ES75:EX76"/>
    <mergeCell ref="EY91:FD92"/>
    <mergeCell ref="EC53:EE53"/>
    <mergeCell ref="ES83:EX84"/>
    <mergeCell ref="FE36:FE38"/>
    <mergeCell ref="FF27:FH28"/>
    <mergeCell ref="EX37:EZ37"/>
    <mergeCell ref="FF36:FF38"/>
    <mergeCell ref="EL37:EN37"/>
    <mergeCell ref="EI45:EK45"/>
    <mergeCell ref="EU35:EZ36"/>
    <mergeCell ref="EU45:EW45"/>
    <mergeCell ref="EM91:ER92"/>
    <mergeCell ref="EA91:EF92"/>
    <mergeCell ref="DZ37:EB37"/>
    <mergeCell ref="EC51:EH52"/>
    <mergeCell ref="FE83:FJ84"/>
    <mergeCell ref="FE75:FJ76"/>
    <mergeCell ref="EY83:FD84"/>
    <mergeCell ref="FE91:FJ92"/>
    <mergeCell ref="EO51:ET52"/>
    <mergeCell ref="EY75:FD76"/>
    <mergeCell ref="DU147:DZ148"/>
    <mergeCell ref="EM131:ER132"/>
    <mergeCell ref="BA140:BF141"/>
    <mergeCell ref="BT133:BV133"/>
    <mergeCell ref="BT131:BY132"/>
    <mergeCell ref="R189:U189"/>
    <mergeCell ref="AM189:AP189"/>
    <mergeCell ref="V164:W164"/>
    <mergeCell ref="V169:W169"/>
    <mergeCell ref="T169:U169"/>
    <mergeCell ref="BY184:CB184"/>
    <mergeCell ref="V174:W174"/>
    <mergeCell ref="AS164:AT164"/>
    <mergeCell ref="AS169:AT169"/>
    <mergeCell ref="BD189:BE189"/>
    <mergeCell ref="X159:Y159"/>
    <mergeCell ref="CU159:CV159"/>
    <mergeCell ref="AQ174:AR174"/>
    <mergeCell ref="AS174:AT174"/>
    <mergeCell ref="BP164:BQ164"/>
    <mergeCell ref="AW159:AX159"/>
    <mergeCell ref="CS159:CT159"/>
    <mergeCell ref="BP169:BQ169"/>
    <mergeCell ref="CK164:CL164"/>
    <mergeCell ref="DR159:DS159"/>
    <mergeCell ref="CE133:CG133"/>
    <mergeCell ref="CR139:CW140"/>
    <mergeCell ref="CB141:CD141"/>
    <mergeCell ref="CE141:CG141"/>
    <mergeCell ref="CB139:CG140"/>
    <mergeCell ref="CB131:CG132"/>
    <mergeCell ref="CU149:CW149"/>
    <mergeCell ref="EQ194:ET194"/>
    <mergeCell ref="CB133:CD133"/>
    <mergeCell ref="CM141:CO141"/>
    <mergeCell ref="X179:Y179"/>
    <mergeCell ref="AW179:AX179"/>
    <mergeCell ref="FE184:FH184"/>
    <mergeCell ref="DH169:DI169"/>
    <mergeCell ref="AO193:AP193"/>
    <mergeCell ref="DE189:DH189"/>
    <mergeCell ref="W184:Y184"/>
    <mergeCell ref="CD180:CE180"/>
    <mergeCell ref="CF182:CG182"/>
    <mergeCell ref="AU194:AX194"/>
    <mergeCell ref="BD184:BG184"/>
    <mergeCell ref="DJ164:DK164"/>
    <mergeCell ref="CT184:CW184"/>
    <mergeCell ref="EE174:EF174"/>
    <mergeCell ref="BP174:BQ174"/>
    <mergeCell ref="CM174:CN174"/>
    <mergeCell ref="DJ174:DK174"/>
    <mergeCell ref="BV182:BW182"/>
    <mergeCell ref="DJ169:DK169"/>
    <mergeCell ref="DO184:DR184"/>
    <mergeCell ref="FC189:FF189"/>
    <mergeCell ref="CH189:CI189"/>
    <mergeCell ref="CS194:CV194"/>
    <mergeCell ref="CM133:CO133"/>
    <mergeCell ref="CJ133:CL133"/>
    <mergeCell ref="CJ139:CO140"/>
    <mergeCell ref="DK149:DM149"/>
    <mergeCell ref="CZ149:DB149"/>
    <mergeCell ref="DH147:DM148"/>
    <mergeCell ref="IQ154:IR154"/>
    <mergeCell ref="HT154:HU154"/>
    <mergeCell ref="IR164:IS164"/>
    <mergeCell ref="IK159:IL159"/>
    <mergeCell ref="HU164:HV164"/>
    <mergeCell ref="GQ159:GR159"/>
    <mergeCell ref="HR154:HS154"/>
    <mergeCell ref="IM159:IN159"/>
    <mergeCell ref="HN159:HO159"/>
    <mergeCell ref="IR169:IS169"/>
    <mergeCell ref="FD169:FE169"/>
    <mergeCell ref="GA169:GB169"/>
    <mergeCell ref="GX169:GY169"/>
    <mergeCell ref="GA164:GB164"/>
    <mergeCell ref="HP174:HQ174"/>
    <mergeCell ref="HP184:HS184"/>
    <mergeCell ref="FP174:FQ174"/>
    <mergeCell ref="IK184:IN184"/>
    <mergeCell ref="HU169:HV169"/>
    <mergeCell ref="IO174:IP174"/>
    <mergeCell ref="IS214:IT214"/>
    <mergeCell ref="HP214:HR214"/>
    <mergeCell ref="GN214:GP214"/>
    <mergeCell ref="HB214:HD214"/>
    <mergeCell ref="HA209:HD209"/>
    <mergeCell ref="FZ209:GC209"/>
    <mergeCell ref="FZ214:GB214"/>
    <mergeCell ref="IM194:IP194"/>
    <mergeCell ref="HZ189:IC189"/>
    <mergeCell ref="GO199:GR199"/>
    <mergeCell ref="GQ204:GT204"/>
    <mergeCell ref="ID214:IF214"/>
    <mergeCell ref="IM199:IP199"/>
    <mergeCell ref="IH209:II209"/>
    <mergeCell ref="HE209:HH209"/>
    <mergeCell ref="HN199:HQ199"/>
    <mergeCell ref="HR204:HU204"/>
    <mergeCell ref="HA189:HD189"/>
    <mergeCell ref="GD209:GG209"/>
    <mergeCell ref="GO194:GR194"/>
    <mergeCell ref="FO230:FQ230"/>
    <mergeCell ref="FY230:GA230"/>
    <mergeCell ref="HE230:HF230"/>
    <mergeCell ref="EP225:ER225"/>
    <mergeCell ref="BT219:BW219"/>
    <mergeCell ref="AV225:AX225"/>
    <mergeCell ref="CR225:CT225"/>
    <mergeCell ref="DQ225:DS225"/>
    <mergeCell ref="AU235:AV235"/>
    <mergeCell ref="AY209:BB209"/>
    <mergeCell ref="BT199:BW199"/>
    <mergeCell ref="AU204:AX204"/>
    <mergeCell ref="BZ209:CC209"/>
    <mergeCell ref="CS219:CV219"/>
    <mergeCell ref="DV214:DX214"/>
    <mergeCell ref="DA209:DD209"/>
    <mergeCell ref="CS204:CV204"/>
    <mergeCell ref="DR219:DU219"/>
    <mergeCell ref="CW214:CW217"/>
    <mergeCell ref="EA209:EE209"/>
    <mergeCell ref="FC209:FF209"/>
    <mergeCell ref="AV214:AX214"/>
    <mergeCell ref="EQ204:ET204"/>
    <mergeCell ref="ES199:ET199"/>
    <mergeCell ref="FL214:FN214"/>
    <mergeCell ref="EJ214:EL214"/>
    <mergeCell ref="EX214:EZ214"/>
    <mergeCell ref="FP199:FS199"/>
    <mergeCell ref="BU225:BW225"/>
    <mergeCell ref="FR204:FS204"/>
    <mergeCell ref="DR199:DU199"/>
    <mergeCell ref="CO199:CQ199"/>
    <mergeCell ref="IJ225:IL225"/>
    <mergeCell ref="GL225:GN225"/>
    <mergeCell ref="HK225:HM225"/>
    <mergeCell ref="IL219:IO219"/>
    <mergeCell ref="HM219:HP219"/>
    <mergeCell ref="GQ219:GR219"/>
    <mergeCell ref="AT230:AV230"/>
    <mergeCell ref="BQ230:BT230"/>
    <mergeCell ref="EV230:EW230"/>
    <mergeCell ref="CP230:CS230"/>
    <mergeCell ref="DV230:DW230"/>
    <mergeCell ref="DZ230:EG230"/>
    <mergeCell ref="FP194:FS194"/>
    <mergeCell ref="DH59:DM60"/>
    <mergeCell ref="FB43:FG44"/>
    <mergeCell ref="DW51:EB52"/>
    <mergeCell ref="FE45:FG45"/>
    <mergeCell ref="EL45:EN45"/>
    <mergeCell ref="DD43:DI44"/>
    <mergeCell ref="FB45:FD45"/>
    <mergeCell ref="FE53:FG53"/>
    <mergeCell ref="ES67:EX68"/>
    <mergeCell ref="EY67:FD68"/>
    <mergeCell ref="EA67:EF68"/>
    <mergeCell ref="GU154:GV154"/>
    <mergeCell ref="GV53:GX53"/>
    <mergeCell ref="GS53:GU53"/>
    <mergeCell ref="EU53:EW53"/>
    <mergeCell ref="FE131:FJ132"/>
    <mergeCell ref="EA59:EF60"/>
    <mergeCell ref="CK43:CP44"/>
    <mergeCell ref="CJ61:CL61"/>
    <mergeCell ref="BY27:CD28"/>
    <mergeCell ref="AZ27:BE28"/>
    <mergeCell ref="AW37:AY37"/>
    <mergeCell ref="DA45:DC45"/>
    <mergeCell ref="CU45:CW45"/>
    <mergeCell ref="DJ19:DL21"/>
    <mergeCell ref="DJ29:DL29"/>
    <mergeCell ref="DS29:DU29"/>
    <mergeCell ref="IM53:IO53"/>
    <mergeCell ref="IA53:IC53"/>
    <mergeCell ref="FK53:FM53"/>
    <mergeCell ref="FH53:FJ53"/>
    <mergeCell ref="DM29:DO29"/>
    <mergeCell ref="FW53:FY53"/>
    <mergeCell ref="DW35:EB36"/>
    <mergeCell ref="FD35:FF35"/>
    <mergeCell ref="DJ27:DO28"/>
    <mergeCell ref="EA27:EC28"/>
    <mergeCell ref="DG29:DI29"/>
    <mergeCell ref="DW43:EB44"/>
    <mergeCell ref="DG37:DI37"/>
    <mergeCell ref="DZ45:EB45"/>
    <mergeCell ref="DJ37:DL37"/>
    <mergeCell ref="DM45:DO45"/>
    <mergeCell ref="DD35:DI36"/>
    <mergeCell ref="DD37:DF37"/>
    <mergeCell ref="EI37:EK37"/>
    <mergeCell ref="EO37:EQ37"/>
    <mergeCell ref="EF37:EH37"/>
    <mergeCell ref="EU37:EW37"/>
    <mergeCell ref="EL53:EN53"/>
    <mergeCell ref="EI53:EK53"/>
    <mergeCell ref="AT68:AY69"/>
    <mergeCell ref="BA68:BF69"/>
    <mergeCell ref="BA92:BF93"/>
    <mergeCell ref="BA76:BF77"/>
    <mergeCell ref="R76:W77"/>
    <mergeCell ref="AF76:AK77"/>
    <mergeCell ref="R92:W93"/>
    <mergeCell ref="Y92:AD93"/>
    <mergeCell ref="Y84:AD85"/>
    <mergeCell ref="Y76:AD77"/>
    <mergeCell ref="R84:W85"/>
    <mergeCell ref="AT84:AY85"/>
    <mergeCell ref="AZ35:BE36"/>
    <mergeCell ref="DP29:DR29"/>
    <mergeCell ref="DP27:DU28"/>
    <mergeCell ref="CR43:CW44"/>
    <mergeCell ref="CR45:CT45"/>
    <mergeCell ref="CU37:CW37"/>
    <mergeCell ref="CX43:DC44"/>
    <mergeCell ref="CR37:CT37"/>
    <mergeCell ref="BV45:BX45"/>
    <mergeCell ref="DP43:DU44"/>
    <mergeCell ref="BS35:BX36"/>
    <mergeCell ref="BM27:BR28"/>
    <mergeCell ref="BF29:BH29"/>
    <mergeCell ref="BV37:BX37"/>
    <mergeCell ref="BS29:BU29"/>
    <mergeCell ref="BI29:BK29"/>
    <mergeCell ref="BM29:BO29"/>
    <mergeCell ref="BF27:BK28"/>
    <mergeCell ref="BV29:BX29"/>
    <mergeCell ref="BS27:BX28"/>
    <mergeCell ref="BG60:BL61"/>
    <mergeCell ref="BG68:BL69"/>
    <mergeCell ref="BG76:BL77"/>
    <mergeCell ref="AT60:AY61"/>
    <mergeCell ref="AT76:AY77"/>
    <mergeCell ref="AM68:AR69"/>
    <mergeCell ref="AM76:AR77"/>
    <mergeCell ref="BA60:BF61"/>
    <mergeCell ref="Y68:AD69"/>
    <mergeCell ref="AF68:AK69"/>
    <mergeCell ref="BA84:BF85"/>
    <mergeCell ref="AF60:AK61"/>
    <mergeCell ref="BT77:BV77"/>
    <mergeCell ref="R60:W61"/>
    <mergeCell ref="BG124:BL125"/>
    <mergeCell ref="BW77:BY77"/>
    <mergeCell ref="CJ125:CL125"/>
    <mergeCell ref="CB115:CG116"/>
    <mergeCell ref="BT123:BY124"/>
    <mergeCell ref="CB125:CD125"/>
    <mergeCell ref="CB123:CG124"/>
    <mergeCell ref="CJ115:CO116"/>
    <mergeCell ref="CJ117:CL117"/>
    <mergeCell ref="CE117:CG117"/>
    <mergeCell ref="CJ83:CO84"/>
    <mergeCell ref="CB93:CD93"/>
    <mergeCell ref="CB91:CG92"/>
    <mergeCell ref="CM101:CO101"/>
    <mergeCell ref="BG84:BL85"/>
    <mergeCell ref="BT125:BV125"/>
    <mergeCell ref="BT115:BY116"/>
    <mergeCell ref="BT101:BV101"/>
    <mergeCell ref="A106:A111"/>
    <mergeCell ref="A114:A119"/>
    <mergeCell ref="AT108:AY109"/>
    <mergeCell ref="BA108:BF109"/>
    <mergeCell ref="BT107:BY108"/>
    <mergeCell ref="A146:A151"/>
    <mergeCell ref="BA147:BF147"/>
    <mergeCell ref="AF84:AK85"/>
    <mergeCell ref="Y100:AD101"/>
    <mergeCell ref="AM84:AR85"/>
    <mergeCell ref="AT92:AY93"/>
    <mergeCell ref="A82:A87"/>
    <mergeCell ref="A122:A127"/>
    <mergeCell ref="BA124:BF125"/>
    <mergeCell ref="BA100:BF101"/>
    <mergeCell ref="AT116:AY117"/>
    <mergeCell ref="BA116:BF117"/>
    <mergeCell ref="AM108:AR109"/>
    <mergeCell ref="AF116:AK117"/>
    <mergeCell ref="N123:P125"/>
    <mergeCell ref="R116:W117"/>
    <mergeCell ref="Y116:AD117"/>
    <mergeCell ref="BG92:BL93"/>
    <mergeCell ref="BG100:BL101"/>
    <mergeCell ref="BG108:BL109"/>
    <mergeCell ref="BG116:BL117"/>
    <mergeCell ref="BT85:BV85"/>
    <mergeCell ref="AM100:AR101"/>
    <mergeCell ref="AT100:AY101"/>
    <mergeCell ref="AM92:AR93"/>
    <mergeCell ref="BG147:BL147"/>
    <mergeCell ref="A90:A95"/>
    <mergeCell ref="A98:A103"/>
    <mergeCell ref="AM116:AR117"/>
    <mergeCell ref="N115:P117"/>
    <mergeCell ref="BT139:BY140"/>
    <mergeCell ref="R68:W69"/>
    <mergeCell ref="AT147:AY147"/>
    <mergeCell ref="Y147:AD147"/>
    <mergeCell ref="BA148:BF149"/>
    <mergeCell ref="BA132:BF133"/>
    <mergeCell ref="R132:W133"/>
    <mergeCell ref="A138:A143"/>
    <mergeCell ref="A130:A135"/>
    <mergeCell ref="AT140:AY141"/>
    <mergeCell ref="R147:W147"/>
    <mergeCell ref="AT148:AY149"/>
    <mergeCell ref="AF148:AK149"/>
    <mergeCell ref="AF140:AK141"/>
    <mergeCell ref="R148:W149"/>
    <mergeCell ref="Y148:AD149"/>
    <mergeCell ref="AM148:AR149"/>
    <mergeCell ref="AM147:AR147"/>
    <mergeCell ref="N147:P149"/>
    <mergeCell ref="Y108:AD109"/>
    <mergeCell ref="Y124:AD125"/>
    <mergeCell ref="AF92:AK93"/>
    <mergeCell ref="AF147:AK147"/>
    <mergeCell ref="R140:W141"/>
    <mergeCell ref="A74:A79"/>
    <mergeCell ref="AF124:AK125"/>
    <mergeCell ref="AF100:AK101"/>
    <mergeCell ref="AM124:AR125"/>
    <mergeCell ref="AT124:AY125"/>
    <mergeCell ref="R124:W125"/>
    <mergeCell ref="R108:W109"/>
    <mergeCell ref="AT132:AY133"/>
    <mergeCell ref="AM140:AR141"/>
    <mergeCell ref="U37:W37"/>
    <mergeCell ref="AA51:AF52"/>
    <mergeCell ref="AD45:AF45"/>
    <mergeCell ref="I53:K53"/>
    <mergeCell ref="AH43:AM44"/>
    <mergeCell ref="X29:Z29"/>
    <mergeCell ref="U35:Z36"/>
    <mergeCell ref="AA29:AC29"/>
    <mergeCell ref="AD29:AF29"/>
    <mergeCell ref="AA37:AC37"/>
    <mergeCell ref="AH29:AJ29"/>
    <mergeCell ref="AH37:AJ37"/>
    <mergeCell ref="AA35:AF36"/>
    <mergeCell ref="AA43:AF44"/>
    <mergeCell ref="AD53:AF53"/>
    <mergeCell ref="AH45:AJ45"/>
    <mergeCell ref="AK45:AM45"/>
    <mergeCell ref="AA53:AC53"/>
    <mergeCell ref="AA45:AC45"/>
    <mergeCell ref="AH51:AM52"/>
    <mergeCell ref="AD37:AF37"/>
    <mergeCell ref="AK37:AM37"/>
    <mergeCell ref="AK29:AM29"/>
    <mergeCell ref="O51:T52"/>
    <mergeCell ref="I45:K45"/>
    <mergeCell ref="L45:N45"/>
    <mergeCell ref="O29:Q29"/>
    <mergeCell ref="O35:T36"/>
    <mergeCell ref="O43:T44"/>
    <mergeCell ref="R29:T29"/>
    <mergeCell ref="C43:H44"/>
    <mergeCell ref="I29:K29"/>
    <mergeCell ref="L53:N53"/>
    <mergeCell ref="O53:Q53"/>
    <mergeCell ref="C35:H36"/>
    <mergeCell ref="F53:H53"/>
    <mergeCell ref="U45:W45"/>
    <mergeCell ref="O37:Q37"/>
    <mergeCell ref="R45:T45"/>
    <mergeCell ref="I37:K37"/>
    <mergeCell ref="O45:Q45"/>
    <mergeCell ref="C51:H52"/>
    <mergeCell ref="I51:N52"/>
    <mergeCell ref="C37:E37"/>
    <mergeCell ref="R37:T37"/>
    <mergeCell ref="U51:Z52"/>
    <mergeCell ref="X37:Z37"/>
    <mergeCell ref="R53:T53"/>
    <mergeCell ref="U29:W29"/>
    <mergeCell ref="U53:W53"/>
    <mergeCell ref="I35:N36"/>
    <mergeCell ref="L37:N37"/>
    <mergeCell ref="A66:A71"/>
    <mergeCell ref="A50:A56"/>
    <mergeCell ref="A26:A32"/>
    <mergeCell ref="N3:N6"/>
    <mergeCell ref="I19:K21"/>
    <mergeCell ref="C27:H28"/>
    <mergeCell ref="C3:C6"/>
    <mergeCell ref="C21:D21"/>
    <mergeCell ref="C13:D13"/>
    <mergeCell ref="F37:H37"/>
    <mergeCell ref="F45:H45"/>
    <mergeCell ref="C11:H12"/>
    <mergeCell ref="L4:L6"/>
    <mergeCell ref="J4:J6"/>
    <mergeCell ref="L19:N21"/>
    <mergeCell ref="D3:D6"/>
    <mergeCell ref="K4:K6"/>
    <mergeCell ref="H3:L3"/>
    <mergeCell ref="E13:F13"/>
    <mergeCell ref="A42:A48"/>
    <mergeCell ref="A34:A40"/>
    <mergeCell ref="A58:A63"/>
    <mergeCell ref="C45:E45"/>
    <mergeCell ref="C53:E53"/>
    <mergeCell ref="C29:E29"/>
    <mergeCell ref="F29:H29"/>
    <mergeCell ref="I27:N28"/>
    <mergeCell ref="L29:N29"/>
    <mergeCell ref="I43:N44"/>
    <mergeCell ref="O27:T28"/>
    <mergeCell ref="O19:Q21"/>
    <mergeCell ref="U19:W21"/>
    <mergeCell ref="AB3:AD4"/>
    <mergeCell ref="R3:R6"/>
    <mergeCell ref="R19:T21"/>
    <mergeCell ref="P3:Q4"/>
    <mergeCell ref="L11:N13"/>
    <mergeCell ref="O3:O6"/>
    <mergeCell ref="AA27:AF28"/>
    <mergeCell ref="I11:K13"/>
    <mergeCell ref="AG19:AI21"/>
    <mergeCell ref="AD19:AF21"/>
    <mergeCell ref="Q5:Q6"/>
    <mergeCell ref="B1:C1"/>
    <mergeCell ref="E3:E6"/>
    <mergeCell ref="F3:F6"/>
    <mergeCell ref="E21:F21"/>
    <mergeCell ref="H4:H6"/>
    <mergeCell ref="G13:H13"/>
    <mergeCell ref="G21:H21"/>
    <mergeCell ref="G3:G6"/>
    <mergeCell ref="C19:H20"/>
    <mergeCell ref="AA19:AC21"/>
    <mergeCell ref="X19:Z21"/>
    <mergeCell ref="AC5:AC6"/>
    <mergeCell ref="CU19:CW21"/>
    <mergeCell ref="CB5:CB6"/>
    <mergeCell ref="CB13:CC13"/>
    <mergeCell ref="BU5:BU6"/>
    <mergeCell ref="BZ5:BZ6"/>
    <mergeCell ref="CE5:CE6"/>
    <mergeCell ref="BY5:BY6"/>
    <mergeCell ref="BZ21:CA21"/>
    <mergeCell ref="CB21:CC21"/>
    <mergeCell ref="BZ13:CA13"/>
    <mergeCell ref="BV11:BX13"/>
    <mergeCell ref="BZ19:CE20"/>
    <mergeCell ref="CD21:CE21"/>
    <mergeCell ref="CC5:CC6"/>
    <mergeCell ref="BW5:BW6"/>
    <mergeCell ref="BZ11:CE12"/>
    <mergeCell ref="A2:A8"/>
    <mergeCell ref="A10:A16"/>
    <mergeCell ref="AG11:AI13"/>
    <mergeCell ref="AD11:AF13"/>
    <mergeCell ref="AB5:AB6"/>
    <mergeCell ref="Y3:AA4"/>
    <mergeCell ref="I4:I6"/>
    <mergeCell ref="A18:A24"/>
    <mergeCell ref="AJ19:AL21"/>
    <mergeCell ref="BP19:BR21"/>
    <mergeCell ref="AU3:AW4"/>
    <mergeCell ref="AX3:AZ4"/>
    <mergeCell ref="AV5:AV6"/>
    <mergeCell ref="BJ5:BJ6"/>
    <mergeCell ref="BD5:BD6"/>
    <mergeCell ref="BG5:BG6"/>
    <mergeCell ref="AZ37:BB37"/>
    <mergeCell ref="AN37:AP37"/>
    <mergeCell ref="AQ37:AS37"/>
    <mergeCell ref="BC37:BE37"/>
    <mergeCell ref="BY35:CD36"/>
    <mergeCell ref="BL19:BN21"/>
    <mergeCell ref="BV19:BX21"/>
    <mergeCell ref="CD13:CE13"/>
    <mergeCell ref="DA37:DC37"/>
    <mergeCell ref="CX29:CZ29"/>
    <mergeCell ref="CX37:CZ37"/>
    <mergeCell ref="DA29:DC29"/>
    <mergeCell ref="BF37:BH37"/>
    <mergeCell ref="AS19:AU21"/>
    <mergeCell ref="AV19:AX21"/>
    <mergeCell ref="AZ19:BB21"/>
    <mergeCell ref="AW29:AY29"/>
    <mergeCell ref="CE35:CJ36"/>
    <mergeCell ref="CK35:CP36"/>
    <mergeCell ref="BF35:BK36"/>
    <mergeCell ref="CI19:CK21"/>
    <mergeCell ref="CL11:CN13"/>
    <mergeCell ref="CL19:CN21"/>
    <mergeCell ref="CF11:CH13"/>
    <mergeCell ref="BC11:BE13"/>
    <mergeCell ref="BL11:BN13"/>
    <mergeCell ref="CB29:CD29"/>
    <mergeCell ref="CU29:CW29"/>
    <mergeCell ref="CE37:CG37"/>
    <mergeCell ref="CX27:DC28"/>
    <mergeCell ref="BS11:BU13"/>
    <mergeCell ref="BF11:BH13"/>
    <mergeCell ref="EC11:EE13"/>
    <mergeCell ref="EG27:EI28"/>
    <mergeCell ref="EP27:ER28"/>
    <mergeCell ref="EI11:EK13"/>
    <mergeCell ref="ED27:EF28"/>
    <mergeCell ref="EI19:EK21"/>
    <mergeCell ref="EM27:EO28"/>
    <mergeCell ref="EC19:EE21"/>
    <mergeCell ref="FC27:FE28"/>
    <mergeCell ref="EW11:EY12"/>
    <mergeCell ref="FI27:FK28"/>
    <mergeCell ref="ES19:EU21"/>
    <mergeCell ref="EV27:EX28"/>
    <mergeCell ref="DD19:DF21"/>
    <mergeCell ref="CR19:CT21"/>
    <mergeCell ref="DA19:DC21"/>
    <mergeCell ref="CF19:CH21"/>
    <mergeCell ref="CO11:CQ13"/>
    <mergeCell ref="CX19:CZ21"/>
    <mergeCell ref="DW19:DY21"/>
    <mergeCell ref="DX27:DZ28"/>
    <mergeCell ref="DD27:DI28"/>
    <mergeCell ref="EY27:FA28"/>
    <mergeCell ref="EF11:EH13"/>
    <mergeCell ref="EM19:EO21"/>
    <mergeCell ref="FC11:FE12"/>
    <mergeCell ref="EZ19:FB21"/>
    <mergeCell ref="DD11:DF13"/>
    <mergeCell ref="CU11:CW13"/>
    <mergeCell ref="CI11:CK13"/>
    <mergeCell ref="CR11:CT13"/>
    <mergeCell ref="CE27:CJ28"/>
    <mergeCell ref="AQ29:AS29"/>
    <mergeCell ref="BP29:BR29"/>
    <mergeCell ref="CR29:CT29"/>
    <mergeCell ref="CR27:CW28"/>
    <mergeCell ref="BC29:BE29"/>
    <mergeCell ref="AM19:AO21"/>
    <mergeCell ref="AP19:AR21"/>
    <mergeCell ref="DD29:DF29"/>
    <mergeCell ref="HV27:HX28"/>
    <mergeCell ref="HP27:HR28"/>
    <mergeCell ref="FH51:FM52"/>
    <mergeCell ref="EU51:EZ52"/>
    <mergeCell ref="FB53:FD53"/>
    <mergeCell ref="FH45:FJ45"/>
    <mergeCell ref="FZ43:GE44"/>
    <mergeCell ref="FZ45:GB45"/>
    <mergeCell ref="AT37:AV37"/>
    <mergeCell ref="AN29:AP29"/>
    <mergeCell ref="AT29:AV29"/>
    <mergeCell ref="DP35:DU36"/>
    <mergeCell ref="DJ35:DO36"/>
    <mergeCell ref="AH35:AM36"/>
    <mergeCell ref="CX35:DC36"/>
    <mergeCell ref="CR35:CW36"/>
    <mergeCell ref="CE29:CG29"/>
    <mergeCell ref="AZ29:BB29"/>
    <mergeCell ref="BY29:CA29"/>
    <mergeCell ref="AT35:AY36"/>
    <mergeCell ref="CB37:CD37"/>
    <mergeCell ref="CB45:CD45"/>
    <mergeCell ref="AN35:AS36"/>
    <mergeCell ref="EF45:EH45"/>
    <mergeCell ref="GS45:GU45"/>
    <mergeCell ref="GY51:HD52"/>
    <mergeCell ref="HG5:HG6"/>
    <mergeCell ref="HJ5:HJ6"/>
    <mergeCell ref="GG43:GL44"/>
    <mergeCell ref="EP5:EP6"/>
    <mergeCell ref="EM5:EM6"/>
    <mergeCell ref="ET5:ET6"/>
    <mergeCell ref="ER5:ER6"/>
    <mergeCell ref="EQ5:EQ6"/>
    <mergeCell ref="HX43:IC44"/>
    <mergeCell ref="HR45:HT45"/>
    <mergeCell ref="FH43:FM44"/>
    <mergeCell ref="FN43:FS44"/>
    <mergeCell ref="GC45:GE45"/>
    <mergeCell ref="GA27:GC28"/>
    <mergeCell ref="GN27:GP28"/>
    <mergeCell ref="FV11:FX12"/>
    <mergeCell ref="FU27:FW28"/>
    <mergeCell ref="HR19:HR22"/>
    <mergeCell ref="HT19:HV20"/>
    <mergeCell ref="HQ19:HQ22"/>
    <mergeCell ref="HM19:HO20"/>
    <mergeCell ref="FW45:FY45"/>
    <mergeCell ref="EI35:EN36"/>
    <mergeCell ref="EO43:ET44"/>
    <mergeCell ref="ES27:EU28"/>
    <mergeCell ref="EO35:ET36"/>
    <mergeCell ref="EJ27:EL28"/>
    <mergeCell ref="EI43:EN44"/>
    <mergeCell ref="HY11:IA12"/>
    <mergeCell ref="HU11:HW12"/>
    <mergeCell ref="FY19:GA21"/>
    <mergeCell ref="HO11:HQ12"/>
    <mergeCell ref="HR11:HT12"/>
    <mergeCell ref="FM11:FO12"/>
    <mergeCell ref="IE11:IG12"/>
    <mergeCell ref="HX45:HZ45"/>
    <mergeCell ref="ID43:II44"/>
    <mergeCell ref="IJ45:IL45"/>
    <mergeCell ref="IG45:II45"/>
    <mergeCell ref="HR51:HW52"/>
    <mergeCell ref="HH45:HJ45"/>
    <mergeCell ref="HL53:HN53"/>
    <mergeCell ref="HE45:HG45"/>
    <mergeCell ref="HX51:IC52"/>
    <mergeCell ref="FN53:FP53"/>
    <mergeCell ref="GG53:GI53"/>
    <mergeCell ref="FT43:FY44"/>
    <mergeCell ref="GJ53:GL53"/>
    <mergeCell ref="FZ53:GB53"/>
    <mergeCell ref="HZ19:IB20"/>
    <mergeCell ref="IH11:IJ12"/>
    <mergeCell ref="GM43:GR44"/>
    <mergeCell ref="GG51:GL52"/>
    <mergeCell ref="HE43:HJ44"/>
    <mergeCell ref="GM51:GR52"/>
    <mergeCell ref="GP45:GR45"/>
    <mergeCell ref="HE51:HJ52"/>
    <mergeCell ref="HO45:HQ45"/>
    <mergeCell ref="GS43:GX44"/>
    <mergeCell ref="GY43:HD44"/>
    <mergeCell ref="HO53:HQ53"/>
    <mergeCell ref="HR53:HT53"/>
    <mergeCell ref="EC35:EH36"/>
    <mergeCell ref="FD36:FD38"/>
    <mergeCell ref="ER37:ET37"/>
    <mergeCell ref="IJ53:IL53"/>
    <mergeCell ref="HU53:HW53"/>
    <mergeCell ref="HX53:HZ53"/>
    <mergeCell ref="GS51:GX52"/>
    <mergeCell ref="HU45:HW45"/>
    <mergeCell ref="FQ45:FS45"/>
    <mergeCell ref="GV45:GX45"/>
    <mergeCell ref="FT53:FV53"/>
    <mergeCell ref="FN51:FS52"/>
    <mergeCell ref="FT51:FY52"/>
    <mergeCell ref="FZ51:GE52"/>
    <mergeCell ref="GC53:GE53"/>
    <mergeCell ref="EC37:EE37"/>
    <mergeCell ref="IN27:IP28"/>
    <mergeCell ref="ID53:IF53"/>
    <mergeCell ref="ID45:IF45"/>
    <mergeCell ref="IG53:II53"/>
    <mergeCell ref="IJ51:IO52"/>
    <mergeCell ref="ID51:II52"/>
    <mergeCell ref="HE53:HG53"/>
    <mergeCell ref="GM53:GO53"/>
    <mergeCell ref="GJ45:GL45"/>
    <mergeCell ref="GY45:HA45"/>
    <mergeCell ref="HB45:HD45"/>
    <mergeCell ref="HR43:HW44"/>
    <mergeCell ref="IJ43:IO44"/>
    <mergeCell ref="IA45:IC45"/>
    <mergeCell ref="IM45:IO45"/>
    <mergeCell ref="HL43:HQ44"/>
    <mergeCell ref="GM45:GO45"/>
    <mergeCell ref="HL45:HN45"/>
    <mergeCell ref="HL51:HQ52"/>
    <mergeCell ref="HS27:HU28"/>
    <mergeCell ref="HP19:HP22"/>
    <mergeCell ref="IB27:ID28"/>
    <mergeCell ref="IE27:IG28"/>
    <mergeCell ref="IH27:IJ28"/>
    <mergeCell ref="HI3:HK4"/>
    <mergeCell ref="GV5:GV6"/>
    <mergeCell ref="HD5:HD6"/>
    <mergeCell ref="GX5:GX6"/>
    <mergeCell ref="HL5:HL6"/>
    <mergeCell ref="IJ19:IL20"/>
    <mergeCell ref="HW19:HY20"/>
    <mergeCell ref="HY27:IA28"/>
    <mergeCell ref="HI11:HK12"/>
    <mergeCell ref="HB11:HD12"/>
    <mergeCell ref="IK27:IM28"/>
    <mergeCell ref="IG19:II20"/>
    <mergeCell ref="ID19:IF20"/>
    <mergeCell ref="GV11:GX12"/>
    <mergeCell ref="GY19:HA20"/>
    <mergeCell ref="HI27:HK28"/>
    <mergeCell ref="GY21:HA21"/>
    <mergeCell ref="HB21:HD21"/>
    <mergeCell ref="HL11:HN12"/>
    <mergeCell ref="HN5:HN6"/>
    <mergeCell ref="GZ3:HB4"/>
    <mergeCell ref="HM27:HO28"/>
    <mergeCell ref="IK11:IM12"/>
    <mergeCell ref="GW27:GY28"/>
    <mergeCell ref="HC27:HE28"/>
    <mergeCell ref="HF27:HH28"/>
    <mergeCell ref="GZ27:HB28"/>
    <mergeCell ref="IR3:IT4"/>
    <mergeCell ref="IC3:IE4"/>
    <mergeCell ref="IF3:IH4"/>
    <mergeCell ref="II3:IK4"/>
    <mergeCell ref="IL3:IN4"/>
    <mergeCell ref="FI5:FI6"/>
    <mergeCell ref="IO3:IQ4"/>
    <mergeCell ref="HE5:HE6"/>
    <mergeCell ref="FV5:FV6"/>
    <mergeCell ref="FW5:FW6"/>
    <mergeCell ref="FB3:FD4"/>
    <mergeCell ref="FH5:FH6"/>
    <mergeCell ref="FE3:FG4"/>
    <mergeCell ref="FC5:FC6"/>
    <mergeCell ref="FO27:FQ28"/>
    <mergeCell ref="FP19:FR21"/>
    <mergeCell ref="FR27:FT28"/>
    <mergeCell ref="FV19:FX21"/>
    <mergeCell ref="FS19:FU21"/>
    <mergeCell ref="GY11:HA12"/>
    <mergeCell ref="HG19:HI20"/>
    <mergeCell ref="HE11:HG12"/>
    <mergeCell ref="GO19:GQ20"/>
    <mergeCell ref="GV21:GX21"/>
    <mergeCell ref="GL11:GN12"/>
    <mergeCell ref="GO11:GQ12"/>
    <mergeCell ref="GS19:GS22"/>
    <mergeCell ref="HF3:HH4"/>
    <mergeCell ref="HZ3:IB4"/>
    <mergeCell ref="GV3:GX4"/>
    <mergeCell ref="GJ3:GL4"/>
    <mergeCell ref="GB5:GB6"/>
    <mergeCell ref="HL3:HN4"/>
    <mergeCell ref="HC5:HC6"/>
    <mergeCell ref="GH5:GH6"/>
    <mergeCell ref="HF5:HF6"/>
    <mergeCell ref="FW3:FY4"/>
    <mergeCell ref="FT5:FT6"/>
    <mergeCell ref="FZ5:FZ6"/>
    <mergeCell ref="HQ3:HS4"/>
    <mergeCell ref="HT3:HV4"/>
    <mergeCell ref="HW3:HY4"/>
    <mergeCell ref="GZ5:GZ6"/>
    <mergeCell ref="HB5:HB6"/>
    <mergeCell ref="HK5:HK6"/>
    <mergeCell ref="GS3:GU4"/>
    <mergeCell ref="HM5:HM6"/>
    <mergeCell ref="FX5:FX6"/>
    <mergeCell ref="EO3:EQ4"/>
    <mergeCell ref="GM5:GM6"/>
    <mergeCell ref="EN5:EN6"/>
    <mergeCell ref="EL3:EN4"/>
    <mergeCell ref="FA5:FA6"/>
    <mergeCell ref="EY3:FA4"/>
    <mergeCell ref="ER3:ET4"/>
    <mergeCell ref="FH3:FJ4"/>
    <mergeCell ref="ES5:ES6"/>
    <mergeCell ref="EW5:EW6"/>
    <mergeCell ref="EV5:EV6"/>
    <mergeCell ref="EZ5:EZ6"/>
    <mergeCell ref="FD5:FD6"/>
    <mergeCell ref="GL5:GL6"/>
    <mergeCell ref="FR3:FR6"/>
    <mergeCell ref="GR5:GR6"/>
    <mergeCell ref="GQ5:GQ6"/>
    <mergeCell ref="FU5:FU6"/>
    <mergeCell ref="GM3:GO4"/>
    <mergeCell ref="FZ3:GB4"/>
    <mergeCell ref="GF3:GH4"/>
    <mergeCell ref="GJ5:GJ6"/>
    <mergeCell ref="GF5:GF6"/>
    <mergeCell ref="EO5:EO6"/>
    <mergeCell ref="EL5:EL6"/>
    <mergeCell ref="GC3:GE4"/>
    <mergeCell ref="EV3:EX4"/>
    <mergeCell ref="FF5:FF6"/>
    <mergeCell ref="EY5:EY6"/>
    <mergeCell ref="CK27:CP28"/>
    <mergeCell ref="CO19:CQ21"/>
    <mergeCell ref="DA11:DC13"/>
    <mergeCell ref="CK29:CM29"/>
    <mergeCell ref="CH29:CJ29"/>
    <mergeCell ref="CN29:CP29"/>
    <mergeCell ref="CR5:CT5"/>
    <mergeCell ref="BR5:BR6"/>
    <mergeCell ref="BI5:BI6"/>
    <mergeCell ref="BM51:BR52"/>
    <mergeCell ref="BP53:BR53"/>
    <mergeCell ref="BP45:BR45"/>
    <mergeCell ref="AH53:AJ53"/>
    <mergeCell ref="BF51:BK52"/>
    <mergeCell ref="AN51:AS52"/>
    <mergeCell ref="AW45:AY45"/>
    <mergeCell ref="AK53:AM53"/>
    <mergeCell ref="BI53:BK53"/>
    <mergeCell ref="BM53:BO53"/>
    <mergeCell ref="AT51:AY52"/>
    <mergeCell ref="BF53:BH53"/>
    <mergeCell ref="AZ51:BE52"/>
    <mergeCell ref="BC53:BE53"/>
    <mergeCell ref="AZ45:BB45"/>
    <mergeCell ref="BC45:BE45"/>
    <mergeCell ref="AT53:AV53"/>
    <mergeCell ref="AN45:AP45"/>
    <mergeCell ref="AN43:AS44"/>
    <mergeCell ref="AT43:AY44"/>
    <mergeCell ref="AZ43:BE44"/>
    <mergeCell ref="AN27:AS28"/>
    <mergeCell ref="AW53:AY53"/>
    <mergeCell ref="BF45:BH45"/>
    <mergeCell ref="BY43:CD44"/>
    <mergeCell ref="BY45:CA45"/>
    <mergeCell ref="AN53:AP53"/>
    <mergeCell ref="AQ53:AS53"/>
    <mergeCell ref="AT45:AV45"/>
    <mergeCell ref="AQ45:AS45"/>
    <mergeCell ref="BS43:BX44"/>
    <mergeCell ref="EF19:EH21"/>
    <mergeCell ref="EM11:EO13"/>
    <mergeCell ref="FF19:FH21"/>
    <mergeCell ref="FI11:FK12"/>
    <mergeCell ref="EP19:ER21"/>
    <mergeCell ref="EP11:ER13"/>
    <mergeCell ref="EW19:EY21"/>
    <mergeCell ref="CH37:CJ37"/>
    <mergeCell ref="CN37:CP37"/>
    <mergeCell ref="CN45:CP45"/>
    <mergeCell ref="DP11:DR13"/>
    <mergeCell ref="DW11:DY13"/>
    <mergeCell ref="FI19:FK21"/>
    <mergeCell ref="DS19:DU21"/>
    <mergeCell ref="DJ11:DL13"/>
    <mergeCell ref="DG19:DI21"/>
    <mergeCell ref="DG11:DI13"/>
    <mergeCell ref="DZ19:EB21"/>
    <mergeCell ref="DM19:DO21"/>
    <mergeCell ref="DM11:DO13"/>
    <mergeCell ref="DP19:DR21"/>
    <mergeCell ref="DS11:DU13"/>
    <mergeCell ref="BM35:BR36"/>
    <mergeCell ref="AT27:AY28"/>
    <mergeCell ref="FN45:FP45"/>
    <mergeCell ref="FL27:FN28"/>
    <mergeCell ref="FK45:FM45"/>
    <mergeCell ref="FS11:FU12"/>
    <mergeCell ref="GC11:GE12"/>
    <mergeCell ref="FY11:GA12"/>
    <mergeCell ref="GD27:GF28"/>
    <mergeCell ref="GG45:GI45"/>
    <mergeCell ref="GS11:GU12"/>
    <mergeCell ref="GU5:GU6"/>
    <mergeCell ref="GT5:GT6"/>
    <mergeCell ref="GQ27:GS28"/>
    <mergeCell ref="GT27:GV28"/>
    <mergeCell ref="GB19:GD21"/>
    <mergeCell ref="GK27:GM28"/>
    <mergeCell ref="GH27:GJ28"/>
    <mergeCell ref="EG5:EG6"/>
    <mergeCell ref="GS5:GS6"/>
    <mergeCell ref="FB5:FB6"/>
    <mergeCell ref="EH5:EH6"/>
    <mergeCell ref="FC19:FE21"/>
    <mergeCell ref="FF11:FH12"/>
    <mergeCell ref="ES11:EU13"/>
    <mergeCell ref="FP11:FR12"/>
    <mergeCell ref="FL19:FN21"/>
    <mergeCell ref="EZ11:FB12"/>
    <mergeCell ref="GT19:GT22"/>
    <mergeCell ref="GR19:GR22"/>
    <mergeCell ref="GF11:GH12"/>
    <mergeCell ref="GV19:GX20"/>
    <mergeCell ref="GI19:GK20"/>
    <mergeCell ref="GL19:GN20"/>
    <mergeCell ref="GI11:GK12"/>
    <mergeCell ref="GE19:GG21"/>
    <mergeCell ref="EI5:EI6"/>
    <mergeCell ref="EJ5:EJ6"/>
    <mergeCell ref="HI5:HI6"/>
    <mergeCell ref="EF5:EF6"/>
    <mergeCell ref="DR5:DT5"/>
    <mergeCell ref="DB5:DD5"/>
    <mergeCell ref="HC3:HE4"/>
    <mergeCell ref="FT3:FV4"/>
    <mergeCell ref="FE5:FE6"/>
    <mergeCell ref="GG5:GG6"/>
    <mergeCell ref="GD5:GD6"/>
    <mergeCell ref="FM3:FO5"/>
    <mergeCell ref="FQ3:FQ6"/>
    <mergeCell ref="FP3:FP6"/>
    <mergeCell ref="FG5:FG6"/>
    <mergeCell ref="FL3:FL6"/>
    <mergeCell ref="HH5:HH6"/>
    <mergeCell ref="HA5:HA6"/>
    <mergeCell ref="GK5:GK6"/>
    <mergeCell ref="GO5:GO6"/>
    <mergeCell ref="GP5:GP6"/>
    <mergeCell ref="GW5:GW6"/>
    <mergeCell ref="DV4:ED4"/>
    <mergeCell ref="DE5:DG5"/>
    <mergeCell ref="DO5:DQ5"/>
    <mergeCell ref="DY5:EA5"/>
    <mergeCell ref="GC5:GC6"/>
    <mergeCell ref="EB5:ED5"/>
    <mergeCell ref="EI3:EK4"/>
    <mergeCell ref="GP3:GR4"/>
    <mergeCell ref="EF3:EH4"/>
    <mergeCell ref="DV3:ED3"/>
    <mergeCell ref="EK5:EK6"/>
    <mergeCell ref="DV5:DX5"/>
    <mergeCell ref="DL4:DT4"/>
    <mergeCell ref="DL5:DN5"/>
    <mergeCell ref="DH5:DJ5"/>
    <mergeCell ref="BX3:BZ4"/>
    <mergeCell ref="CA3:CC4"/>
    <mergeCell ref="DL3:DT3"/>
    <mergeCell ref="DB3:DJ3"/>
    <mergeCell ref="DB4:DJ4"/>
    <mergeCell ref="CR3:CZ3"/>
    <mergeCell ref="CU5:CW5"/>
    <mergeCell ref="CF5:CF6"/>
    <mergeCell ref="BU3:BW4"/>
    <mergeCell ref="BK3:BM4"/>
    <mergeCell ref="BR3:BT4"/>
    <mergeCell ref="BN3:BP4"/>
    <mergeCell ref="CA5:CA6"/>
    <mergeCell ref="BX5:BX6"/>
    <mergeCell ref="BV5:BV6"/>
    <mergeCell ref="CD5:CD6"/>
    <mergeCell ref="BO5:BO6"/>
    <mergeCell ref="BN5:BN6"/>
    <mergeCell ref="BK5:BK6"/>
    <mergeCell ref="BS5:BS6"/>
    <mergeCell ref="BM5:BM6"/>
    <mergeCell ref="BL5:BL6"/>
    <mergeCell ref="AJ11:AL13"/>
    <mergeCell ref="AP11:AR13"/>
    <mergeCell ref="CR4:CZ4"/>
    <mergeCell ref="BE5:BE6"/>
    <mergeCell ref="CX5:CZ5"/>
    <mergeCell ref="CD3:CF4"/>
    <mergeCell ref="AL3:AN4"/>
    <mergeCell ref="BH5:BH6"/>
    <mergeCell ref="BH3:BJ4"/>
    <mergeCell ref="BP5:BP6"/>
    <mergeCell ref="AX5:AX6"/>
    <mergeCell ref="AR5:AR6"/>
    <mergeCell ref="AQ5:AQ6"/>
    <mergeCell ref="AR3:AT4"/>
    <mergeCell ref="AO3:AQ4"/>
    <mergeCell ref="AV11:AX13"/>
    <mergeCell ref="BI11:BK13"/>
    <mergeCell ref="BP11:BR13"/>
    <mergeCell ref="AZ5:AZ6"/>
    <mergeCell ref="HJ19:HL20"/>
    <mergeCell ref="HB19:HD20"/>
    <mergeCell ref="BE3:BG4"/>
    <mergeCell ref="P5:P6"/>
    <mergeCell ref="AO5:AO6"/>
    <mergeCell ref="AN5:AN6"/>
    <mergeCell ref="AG5:AG6"/>
    <mergeCell ref="AL5:AL6"/>
    <mergeCell ref="V5:V6"/>
    <mergeCell ref="R11:T13"/>
    <mergeCell ref="U11:W13"/>
    <mergeCell ref="BB3:BD4"/>
    <mergeCell ref="AS5:AS6"/>
    <mergeCell ref="AJ5:AJ6"/>
    <mergeCell ref="X5:X6"/>
    <mergeCell ref="AH5:AH6"/>
    <mergeCell ref="AW5:AW6"/>
    <mergeCell ref="V3:X4"/>
    <mergeCell ref="X11:Z13"/>
    <mergeCell ref="AE5:AE6"/>
    <mergeCell ref="AA11:AC13"/>
    <mergeCell ref="Y5:Y6"/>
    <mergeCell ref="AE3:AG4"/>
    <mergeCell ref="AD5:AD6"/>
    <mergeCell ref="AH3:AJ4"/>
    <mergeCell ref="BB5:BB6"/>
    <mergeCell ref="AU5:AU6"/>
    <mergeCell ref="BF5:BF6"/>
    <mergeCell ref="AT5:AT6"/>
    <mergeCell ref="BC5:BC6"/>
    <mergeCell ref="AS11:AU13"/>
    <mergeCell ref="O11:Q13"/>
    <mergeCell ref="AF108:AK109"/>
    <mergeCell ref="R100:W101"/>
    <mergeCell ref="BY37:CA37"/>
    <mergeCell ref="CE51:CJ52"/>
    <mergeCell ref="BT91:BY92"/>
    <mergeCell ref="BY51:CD52"/>
    <mergeCell ref="BW117:BY117"/>
    <mergeCell ref="IB11:ID12"/>
    <mergeCell ref="GA5:GA6"/>
    <mergeCell ref="FY5:FY6"/>
    <mergeCell ref="BS19:BU21"/>
    <mergeCell ref="BF19:BH21"/>
    <mergeCell ref="BI19:BK21"/>
    <mergeCell ref="EX5:EX6"/>
    <mergeCell ref="BT5:BT6"/>
    <mergeCell ref="GE5:GE6"/>
    <mergeCell ref="FJ5:FJ6"/>
    <mergeCell ref="GN5:GN6"/>
    <mergeCell ref="FX27:FZ28"/>
    <mergeCell ref="CX11:CZ13"/>
    <mergeCell ref="DZ11:EB13"/>
    <mergeCell ref="AF5:AF6"/>
    <mergeCell ref="AY5:AY6"/>
    <mergeCell ref="U27:Z28"/>
    <mergeCell ref="Z5:Z6"/>
    <mergeCell ref="AP5:AP6"/>
    <mergeCell ref="W5:W6"/>
    <mergeCell ref="AH27:AM28"/>
    <mergeCell ref="AI5:AI6"/>
    <mergeCell ref="AM5:AM6"/>
    <mergeCell ref="AA5:AA6"/>
    <mergeCell ref="AM11:AO13"/>
    <mergeCell ref="BP237:BS237"/>
    <mergeCell ref="BV53:BX53"/>
    <mergeCell ref="BW133:BY133"/>
    <mergeCell ref="BT141:BV141"/>
    <mergeCell ref="BG132:BL133"/>
    <mergeCell ref="BG140:BL141"/>
    <mergeCell ref="CH53:CJ53"/>
    <mergeCell ref="BC19:BE21"/>
    <mergeCell ref="AZ11:BB13"/>
    <mergeCell ref="AZ53:BB53"/>
    <mergeCell ref="BS51:BX52"/>
    <mergeCell ref="BM45:BO45"/>
    <mergeCell ref="BS45:BU45"/>
    <mergeCell ref="BL237:BO237"/>
    <mergeCell ref="X53:Z53"/>
    <mergeCell ref="AZ237:BC237"/>
    <mergeCell ref="CK37:CM37"/>
    <mergeCell ref="CK45:CM45"/>
    <mergeCell ref="BI37:BK37"/>
    <mergeCell ref="BI45:BK45"/>
    <mergeCell ref="CH45:CJ45"/>
    <mergeCell ref="CE45:CG45"/>
    <mergeCell ref="BM43:BR44"/>
    <mergeCell ref="BF43:BK44"/>
    <mergeCell ref="CE43:CJ44"/>
    <mergeCell ref="BM37:BO37"/>
    <mergeCell ref="BP37:BR37"/>
    <mergeCell ref="BS37:BU37"/>
    <mergeCell ref="X45:Z45"/>
    <mergeCell ref="U43:Z44"/>
    <mergeCell ref="Y60:AD61"/>
    <mergeCell ref="AM60:AR61"/>
    <mergeCell ref="CK51:CP52"/>
    <mergeCell ref="CM117:CO117"/>
    <mergeCell ref="CE125:CG125"/>
    <mergeCell ref="CB117:CD117"/>
    <mergeCell ref="CJ123:CO124"/>
    <mergeCell ref="CM109:CO109"/>
    <mergeCell ref="CJ147:CO148"/>
    <mergeCell ref="BD237:BG237"/>
    <mergeCell ref="BW125:BY125"/>
    <mergeCell ref="BW109:BY109"/>
    <mergeCell ref="CH265:CJ265"/>
    <mergeCell ref="CB69:CD69"/>
    <mergeCell ref="CJ69:CL69"/>
    <mergeCell ref="BW93:BY93"/>
    <mergeCell ref="BT237:BW237"/>
    <mergeCell ref="CG237:CJ237"/>
    <mergeCell ref="BW85:BY85"/>
    <mergeCell ref="CK237:CN237"/>
    <mergeCell ref="CB237:CE237"/>
    <mergeCell ref="BX237:CA237"/>
    <mergeCell ref="CK53:CM53"/>
    <mergeCell ref="CM69:CO69"/>
    <mergeCell ref="BY53:CA53"/>
    <mergeCell ref="CJ67:CO68"/>
    <mergeCell ref="CB67:CG68"/>
    <mergeCell ref="CE53:CG53"/>
    <mergeCell ref="BS53:BU53"/>
    <mergeCell ref="CM61:CO61"/>
    <mergeCell ref="CJ59:CO60"/>
    <mergeCell ref="CN53:CP53"/>
    <mergeCell ref="CB53:CD53"/>
    <mergeCell ref="BH237:BK237"/>
    <mergeCell ref="DN199:DP199"/>
    <mergeCell ref="CS199:CV199"/>
    <mergeCell ref="BW61:BY61"/>
    <mergeCell ref="CE61:CG61"/>
    <mergeCell ref="CB61:CD61"/>
    <mergeCell ref="BT67:BY68"/>
    <mergeCell ref="CB59:CG60"/>
    <mergeCell ref="BT61:BV61"/>
    <mergeCell ref="BT59:BY60"/>
    <mergeCell ref="BW149:BY149"/>
    <mergeCell ref="BT75:BY76"/>
    <mergeCell ref="CB75:CG76"/>
    <mergeCell ref="BT83:BY84"/>
    <mergeCell ref="BT109:BV109"/>
    <mergeCell ref="BT69:BV69"/>
    <mergeCell ref="BU214:BW214"/>
    <mergeCell ref="CR61:CT61"/>
    <mergeCell ref="BW101:BY101"/>
    <mergeCell ref="BW141:BY141"/>
    <mergeCell ref="BT99:BY100"/>
    <mergeCell ref="BT117:BV117"/>
    <mergeCell ref="CB83:CG84"/>
    <mergeCell ref="CJ85:CL85"/>
    <mergeCell ref="CB85:CD85"/>
    <mergeCell ref="CR93:CT93"/>
    <mergeCell ref="CR99:CW100"/>
    <mergeCell ref="BW69:BY69"/>
    <mergeCell ref="CR59:CW60"/>
    <mergeCell ref="CE85:CG85"/>
    <mergeCell ref="DH93:DJ93"/>
    <mergeCell ref="CU85:CW85"/>
    <mergeCell ref="CB99:CG100"/>
    <mergeCell ref="ID230:IE230"/>
    <mergeCell ref="CB77:CD77"/>
    <mergeCell ref="BT93:BV93"/>
    <mergeCell ref="HQ217:HS217"/>
    <mergeCell ref="ID192:IG192"/>
    <mergeCell ref="CO237:CR237"/>
    <mergeCell ref="FP219:FS219"/>
    <mergeCell ref="EQ219:ET219"/>
    <mergeCell ref="HN194:HQ194"/>
    <mergeCell ref="EM204:EO204"/>
    <mergeCell ref="DH214:DJ214"/>
    <mergeCell ref="DN204:DP204"/>
    <mergeCell ref="FD164:FE164"/>
    <mergeCell ref="GU184:GX184"/>
    <mergeCell ref="GQ174:GR174"/>
    <mergeCell ref="GX164:GY164"/>
    <mergeCell ref="GB189:GE189"/>
    <mergeCell ref="DR204:DU204"/>
    <mergeCell ref="DG190:DH190"/>
    <mergeCell ref="EF190:EG190"/>
    <mergeCell ref="EJ184:EM184"/>
    <mergeCell ref="EG169:EH169"/>
    <mergeCell ref="FZ184:GC184"/>
    <mergeCell ref="FT159:FU159"/>
    <mergeCell ref="FY164:FZ164"/>
    <mergeCell ref="DT194:DU194"/>
    <mergeCell ref="ED189:EG189"/>
    <mergeCell ref="EG174:EH174"/>
    <mergeCell ref="EG164:EH164"/>
    <mergeCell ref="FO225:FQ225"/>
    <mergeCell ref="FA230:FG230"/>
    <mergeCell ref="EK230:EQ230"/>
  </mergeCells>
  <conditionalFormatting sqref="CX7:CZ7 EB7:ED7 DH7:DJ7 DR7:DT7 CN7:CP7">
    <cfRule type="cellIs" dxfId="0" priority="1" stopIfTrue="1" operator="lessThan">
      <formula>0</formula>
    </cfRule>
  </conditionalFormatting>
  <printOptions horizontalCentered="1" headings="1"/>
  <pageMargins left="0.19685039370078741" right="0.19685039370078741" top="3.1496062992125986" bottom="0.19685039370078741" header="0.19685039370078741" footer="0.1968503937007874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FFC000"/>
  </sheetPr>
  <dimension ref="A1:AL87"/>
  <sheetViews>
    <sheetView showGridLines="0" rightToLeft="1" tabSelected="1" view="pageBreakPreview" zoomScale="60" zoomScaleNormal="81" workbookViewId="0">
      <selection activeCell="AD3" sqref="AD3:AK5"/>
    </sheetView>
  </sheetViews>
  <sheetFormatPr baseColWidth="10" defaultColWidth="0" defaultRowHeight="14.4" zeroHeight="1"/>
  <cols>
    <col min="1" max="1" width="2.6640625" customWidth="1"/>
    <col min="2" max="2" width="1.6640625" customWidth="1"/>
    <col min="3" max="3" width="8.33203125" customWidth="1"/>
    <col min="4" max="4" width="12.6640625" customWidth="1"/>
    <col min="5" max="5" width="5.109375" customWidth="1"/>
    <col min="6" max="6" width="2.109375" customWidth="1"/>
    <col min="7" max="7" width="5.109375" customWidth="1"/>
    <col min="8" max="8" width="2.109375" customWidth="1"/>
    <col min="9" max="9" width="6.109375" customWidth="1"/>
    <col min="10" max="10" width="5.6640625" customWidth="1"/>
    <col min="11" max="14" width="2.109375" customWidth="1"/>
    <col min="15" max="15" width="3.6640625" customWidth="1"/>
    <col min="16" max="16" width="2.109375" customWidth="1"/>
    <col min="17" max="17" width="3.6640625" customWidth="1"/>
    <col min="18" max="18" width="2.109375" customWidth="1"/>
    <col min="19" max="19" width="5.6640625" customWidth="1"/>
    <col min="20" max="22" width="2.109375" customWidth="1"/>
    <col min="23" max="23" width="3.5546875" customWidth="1"/>
    <col min="24" max="24" width="2.109375" customWidth="1"/>
    <col min="25" max="25" width="5.109375" customWidth="1"/>
    <col min="26" max="26" width="2.109375" customWidth="1"/>
    <col min="27" max="27" width="0.88671875" customWidth="1"/>
    <col min="28" max="28" width="1.6640625" customWidth="1"/>
    <col min="29" max="29" width="3.6640625" customWidth="1"/>
    <col min="30" max="30" width="24.88671875" customWidth="1"/>
    <col min="31" max="31" width="0.88671875" customWidth="1"/>
    <col min="32" max="32" width="19.5546875" customWidth="1"/>
    <col min="33" max="33" width="1.33203125" customWidth="1"/>
    <col min="34" max="34" width="10.88671875" customWidth="1"/>
    <col min="35" max="35" width="6.44140625" customWidth="1"/>
    <col min="36" max="36" width="1.33203125" customWidth="1"/>
    <col min="37" max="37" width="17.33203125" customWidth="1"/>
    <col min="38" max="38" width="2.6640625" customWidth="1"/>
    <col min="39" max="16384" width="11.44140625" hidden="1"/>
  </cols>
  <sheetData>
    <row r="1" spans="1:38" ht="18.75" customHeight="1" thickBot="1">
      <c r="A1" s="1420"/>
      <c r="B1" s="1420"/>
      <c r="C1" s="1420"/>
      <c r="D1" s="1420"/>
      <c r="E1" s="1420"/>
      <c r="F1" s="1420"/>
      <c r="G1" s="1420"/>
      <c r="H1" s="1420"/>
      <c r="I1" s="1420"/>
      <c r="J1" s="1420"/>
      <c r="K1" s="1420"/>
      <c r="L1" s="1420"/>
      <c r="M1" s="1420"/>
      <c r="N1" s="1420"/>
      <c r="O1" s="1420"/>
      <c r="P1" s="1420"/>
      <c r="Q1" s="1420"/>
      <c r="R1" s="1420"/>
      <c r="S1" s="1420"/>
      <c r="T1" s="1420"/>
      <c r="U1" s="1420"/>
      <c r="V1" s="1420"/>
      <c r="W1" s="1420"/>
      <c r="X1" s="1420"/>
      <c r="Y1" s="1420"/>
      <c r="Z1" s="1420"/>
      <c r="AA1" s="1420"/>
      <c r="AB1" s="1420"/>
      <c r="AC1" s="1420"/>
      <c r="AD1" s="3128" t="str">
        <f>'صفحة الدفتـر'!$B$68</f>
        <v>السنة الدراسية  2022 - 2023</v>
      </c>
      <c r="AE1" s="1515"/>
      <c r="AF1" s="1516"/>
      <c r="AG1" s="1516"/>
      <c r="AH1" s="1515"/>
      <c r="AI1" s="1515"/>
      <c r="AJ1" s="1517"/>
      <c r="AK1" s="1515"/>
      <c r="AL1" s="1518"/>
    </row>
    <row r="2" spans="1:38" ht="8.1" customHeight="1" thickBot="1">
      <c r="A2" s="1420"/>
      <c r="B2" s="1519"/>
      <c r="C2" s="1520"/>
      <c r="D2" s="1520"/>
      <c r="E2" s="1520"/>
      <c r="F2" s="1520"/>
      <c r="G2" s="1520"/>
      <c r="H2" s="1520"/>
      <c r="I2" s="1520"/>
      <c r="J2" s="1520"/>
      <c r="K2" s="1520"/>
      <c r="L2" s="1520"/>
      <c r="M2" s="1520"/>
      <c r="N2" s="1520"/>
      <c r="O2" s="1520"/>
      <c r="P2" s="1520"/>
      <c r="Q2" s="1520"/>
      <c r="R2" s="1520"/>
      <c r="S2" s="1520"/>
      <c r="T2" s="1520"/>
      <c r="U2" s="1520"/>
      <c r="V2" s="1520"/>
      <c r="W2" s="1520"/>
      <c r="X2" s="1520"/>
      <c r="Y2" s="1520"/>
      <c r="Z2" s="1520"/>
      <c r="AA2" s="1520"/>
      <c r="AB2" s="1521"/>
      <c r="AC2" s="1420"/>
      <c r="AD2" s="2625"/>
      <c r="AE2" s="2625"/>
      <c r="AF2" s="2625"/>
      <c r="AG2" s="2625"/>
      <c r="AH2" s="2625"/>
      <c r="AI2" s="2625"/>
      <c r="AJ2" s="2625"/>
      <c r="AK2" s="2625"/>
      <c r="AL2" s="1420"/>
    </row>
    <row r="3" spans="1:38" ht="12" customHeight="1">
      <c r="A3" s="1420"/>
      <c r="B3" s="1522"/>
      <c r="C3" s="4075" t="s">
        <v>7</v>
      </c>
      <c r="D3" s="4076"/>
      <c r="E3" s="4076"/>
      <c r="F3" s="4076"/>
      <c r="G3" s="4076"/>
      <c r="H3" s="4076"/>
      <c r="I3" s="4077"/>
      <c r="J3" s="761"/>
      <c r="K3" s="761"/>
      <c r="L3" s="761"/>
      <c r="M3" s="761"/>
      <c r="N3" s="761"/>
      <c r="O3" s="4081" t="s">
        <v>6</v>
      </c>
      <c r="P3" s="4082"/>
      <c r="Q3" s="4082"/>
      <c r="R3" s="4082"/>
      <c r="S3" s="4082"/>
      <c r="T3" s="4082"/>
      <c r="U3" s="4082"/>
      <c r="V3" s="4082"/>
      <c r="W3" s="4082"/>
      <c r="X3" s="4082"/>
      <c r="Y3" s="4082"/>
      <c r="Z3" s="4082"/>
      <c r="AA3" s="4083"/>
      <c r="AB3" s="1523"/>
      <c r="AC3" s="1420"/>
      <c r="AD3" s="4053" t="s">
        <v>603</v>
      </c>
      <c r="AE3" s="4053"/>
      <c r="AF3" s="4053"/>
      <c r="AG3" s="4053"/>
      <c r="AH3" s="4053"/>
      <c r="AI3" s="4053"/>
      <c r="AJ3" s="4053"/>
      <c r="AK3" s="4053"/>
      <c r="AL3" s="1420"/>
    </row>
    <row r="4" spans="1:38" ht="12" customHeight="1">
      <c r="A4" s="1420"/>
      <c r="B4" s="1522"/>
      <c r="C4" s="4078"/>
      <c r="D4" s="4079"/>
      <c r="E4" s="4079"/>
      <c r="F4" s="4079"/>
      <c r="G4" s="4079"/>
      <c r="H4" s="4079"/>
      <c r="I4" s="4080"/>
      <c r="J4" s="761"/>
      <c r="K4" s="761"/>
      <c r="L4" s="761"/>
      <c r="M4" s="761"/>
      <c r="N4" s="761"/>
      <c r="O4" s="4084"/>
      <c r="P4" s="4085"/>
      <c r="Q4" s="4085"/>
      <c r="R4" s="4085"/>
      <c r="S4" s="4085"/>
      <c r="T4" s="4085"/>
      <c r="U4" s="4085"/>
      <c r="V4" s="4085"/>
      <c r="W4" s="4085"/>
      <c r="X4" s="4085"/>
      <c r="Y4" s="4085"/>
      <c r="Z4" s="4085"/>
      <c r="AA4" s="4086"/>
      <c r="AB4" s="1523"/>
      <c r="AC4" s="1420"/>
      <c r="AD4" s="4053"/>
      <c r="AE4" s="4053"/>
      <c r="AF4" s="4053"/>
      <c r="AG4" s="4053"/>
      <c r="AH4" s="4053"/>
      <c r="AI4" s="4053"/>
      <c r="AJ4" s="4053"/>
      <c r="AK4" s="4053"/>
      <c r="AL4" s="1420"/>
    </row>
    <row r="5" spans="1:38" ht="14.1" customHeight="1">
      <c r="A5" s="1420"/>
      <c r="B5" s="1522"/>
      <c r="C5" s="4054" t="s">
        <v>5</v>
      </c>
      <c r="D5" s="4055"/>
      <c r="E5" s="4055"/>
      <c r="F5" s="4055"/>
      <c r="G5" s="4055"/>
      <c r="H5" s="4055"/>
      <c r="I5" s="4056"/>
      <c r="J5" s="761"/>
      <c r="K5" s="761"/>
      <c r="L5" s="761"/>
      <c r="M5" s="761"/>
      <c r="N5" s="761"/>
      <c r="O5" s="4084"/>
      <c r="P5" s="4085"/>
      <c r="Q5" s="4085"/>
      <c r="R5" s="4085"/>
      <c r="S5" s="4085"/>
      <c r="T5" s="4085"/>
      <c r="U5" s="4085"/>
      <c r="V5" s="4085"/>
      <c r="W5" s="4085"/>
      <c r="X5" s="4085"/>
      <c r="Y5" s="4085"/>
      <c r="Z5" s="4085"/>
      <c r="AA5" s="4086"/>
      <c r="AB5" s="1523"/>
      <c r="AC5" s="1420"/>
      <c r="AD5" s="4053"/>
      <c r="AE5" s="4053"/>
      <c r="AF5" s="4053"/>
      <c r="AG5" s="4053"/>
      <c r="AH5" s="4053"/>
      <c r="AI5" s="4053"/>
      <c r="AJ5" s="4053"/>
      <c r="AK5" s="4053"/>
      <c r="AL5" s="1420"/>
    </row>
    <row r="6" spans="1:38" ht="9.9" customHeight="1">
      <c r="A6" s="1420"/>
      <c r="B6" s="1522"/>
      <c r="C6" s="3958" t="s">
        <v>1468</v>
      </c>
      <c r="D6" s="3959"/>
      <c r="E6" s="3959"/>
      <c r="F6" s="3959"/>
      <c r="G6" s="3959"/>
      <c r="H6" s="3959"/>
      <c r="I6" s="3960"/>
      <c r="J6" s="761"/>
      <c r="K6" s="761"/>
      <c r="L6" s="761"/>
      <c r="M6" s="761"/>
      <c r="N6" s="761"/>
      <c r="O6" s="4084"/>
      <c r="P6" s="4085"/>
      <c r="Q6" s="4085"/>
      <c r="R6" s="4085"/>
      <c r="S6" s="4085"/>
      <c r="T6" s="4085"/>
      <c r="U6" s="4085"/>
      <c r="V6" s="4085"/>
      <c r="W6" s="4085"/>
      <c r="X6" s="4085"/>
      <c r="Y6" s="4085"/>
      <c r="Z6" s="4085"/>
      <c r="AA6" s="4086"/>
      <c r="AB6" s="1523"/>
      <c r="AC6" s="1420"/>
      <c r="AD6" s="4057" t="s">
        <v>658</v>
      </c>
      <c r="AE6" s="4057"/>
      <c r="AF6" s="4057"/>
      <c r="AG6" s="4057"/>
      <c r="AH6" s="4057"/>
      <c r="AI6" s="4057"/>
      <c r="AJ6" s="4057"/>
      <c r="AK6" s="4057"/>
      <c r="AL6" s="1420"/>
    </row>
    <row r="7" spans="1:38" ht="12" customHeight="1" thickBot="1">
      <c r="A7" s="1420"/>
      <c r="B7" s="1522"/>
      <c r="C7" s="3961"/>
      <c r="D7" s="3962"/>
      <c r="E7" s="3962"/>
      <c r="F7" s="3962"/>
      <c r="G7" s="3962"/>
      <c r="H7" s="3962"/>
      <c r="I7" s="3963"/>
      <c r="J7" s="761"/>
      <c r="K7" s="761"/>
      <c r="L7" s="761"/>
      <c r="M7" s="761"/>
      <c r="N7" s="761"/>
      <c r="O7" s="4087"/>
      <c r="P7" s="4088"/>
      <c r="Q7" s="4088"/>
      <c r="R7" s="4088"/>
      <c r="S7" s="4088"/>
      <c r="T7" s="4088"/>
      <c r="U7" s="4088"/>
      <c r="V7" s="4088"/>
      <c r="W7" s="4088"/>
      <c r="X7" s="4088"/>
      <c r="Y7" s="4088"/>
      <c r="Z7" s="4088"/>
      <c r="AA7" s="4089"/>
      <c r="AB7" s="1523"/>
      <c r="AC7" s="1420"/>
      <c r="AD7" s="4057"/>
      <c r="AE7" s="4057"/>
      <c r="AF7" s="4057"/>
      <c r="AG7" s="4057"/>
      <c r="AH7" s="4057"/>
      <c r="AI7" s="4057"/>
      <c r="AJ7" s="4057"/>
      <c r="AK7" s="4057"/>
      <c r="AL7" s="1420"/>
    </row>
    <row r="8" spans="1:38" ht="8.1" customHeight="1" thickBot="1">
      <c r="A8" s="1420"/>
      <c r="B8" s="1522"/>
      <c r="C8" s="9"/>
      <c r="D8" s="9"/>
      <c r="E8" s="9"/>
      <c r="F8" s="9"/>
      <c r="G8" s="9"/>
      <c r="H8" s="9"/>
      <c r="I8" s="9"/>
      <c r="J8" s="9"/>
      <c r="K8" s="9"/>
      <c r="L8" s="9"/>
      <c r="M8" s="9"/>
      <c r="N8" s="9"/>
      <c r="O8" s="9"/>
      <c r="P8" s="9"/>
      <c r="Q8" s="8"/>
      <c r="R8" s="8"/>
      <c r="S8" s="8"/>
      <c r="T8" s="8"/>
      <c r="U8" s="8"/>
      <c r="V8" s="8"/>
      <c r="W8" s="8"/>
      <c r="X8" s="8"/>
      <c r="Y8" s="8"/>
      <c r="Z8" s="8"/>
      <c r="AA8" s="8"/>
      <c r="AB8" s="1523"/>
      <c r="AC8" s="1420"/>
      <c r="AD8" s="4058" t="s">
        <v>805</v>
      </c>
      <c r="AE8" s="4058"/>
      <c r="AF8" s="4058"/>
      <c r="AG8" s="4058"/>
      <c r="AH8" s="4058"/>
      <c r="AI8" s="4058"/>
      <c r="AJ8" s="4058"/>
      <c r="AK8" s="4058"/>
      <c r="AL8" s="1420"/>
    </row>
    <row r="9" spans="1:38" ht="12" customHeight="1">
      <c r="A9" s="1420"/>
      <c r="B9" s="1522"/>
      <c r="C9" s="8"/>
      <c r="D9" s="8"/>
      <c r="E9" s="8"/>
      <c r="F9" s="8"/>
      <c r="G9" s="7"/>
      <c r="H9" s="8"/>
      <c r="I9" s="4060" t="s">
        <v>806</v>
      </c>
      <c r="J9" s="4061"/>
      <c r="K9" s="4061"/>
      <c r="L9" s="4061"/>
      <c r="M9" s="4061"/>
      <c r="N9" s="4061"/>
      <c r="O9" s="4061"/>
      <c r="P9" s="4061"/>
      <c r="Q9" s="4062"/>
      <c r="R9" s="8"/>
      <c r="S9" s="8"/>
      <c r="T9" s="8"/>
      <c r="U9" s="8"/>
      <c r="V9" s="8"/>
      <c r="W9" s="8"/>
      <c r="X9" s="8"/>
      <c r="Y9" s="8"/>
      <c r="Z9" s="8"/>
      <c r="AA9" s="8"/>
      <c r="AB9" s="1523"/>
      <c r="AC9" s="1420"/>
      <c r="AD9" s="4059"/>
      <c r="AE9" s="4059"/>
      <c r="AF9" s="4059"/>
      <c r="AG9" s="4059"/>
      <c r="AH9" s="4059"/>
      <c r="AI9" s="4059"/>
      <c r="AJ9" s="4059"/>
      <c r="AK9" s="4059"/>
      <c r="AL9" s="1420"/>
    </row>
    <row r="10" spans="1:38" ht="12" customHeight="1" thickBot="1">
      <c r="A10" s="1420"/>
      <c r="B10" s="1522"/>
      <c r="C10" s="8"/>
      <c r="D10" s="8"/>
      <c r="E10" s="8"/>
      <c r="F10" s="8"/>
      <c r="G10" s="7"/>
      <c r="H10" s="8"/>
      <c r="I10" s="4063"/>
      <c r="J10" s="4064"/>
      <c r="K10" s="4064"/>
      <c r="L10" s="4064"/>
      <c r="M10" s="4064"/>
      <c r="N10" s="4064"/>
      <c r="O10" s="4064"/>
      <c r="P10" s="4064"/>
      <c r="Q10" s="4065"/>
      <c r="R10" s="8"/>
      <c r="S10" s="8"/>
      <c r="T10" s="8"/>
      <c r="U10" s="8"/>
      <c r="V10" s="8"/>
      <c r="W10" s="8"/>
      <c r="X10" s="8"/>
      <c r="Y10" s="10"/>
      <c r="Z10" s="8"/>
      <c r="AA10" s="8"/>
      <c r="AB10" s="1523"/>
      <c r="AC10" s="1420"/>
      <c r="AD10" s="4066" t="s">
        <v>1433</v>
      </c>
      <c r="AE10" s="4066"/>
      <c r="AF10" s="4066"/>
      <c r="AG10" s="4066"/>
      <c r="AH10" s="4066"/>
      <c r="AI10" s="4066"/>
      <c r="AJ10" s="4066"/>
      <c r="AK10" s="4066"/>
      <c r="AL10" s="1420"/>
    </row>
    <row r="11" spans="1:38" ht="12" customHeight="1">
      <c r="A11" s="1420"/>
      <c r="B11" s="1522"/>
      <c r="C11" s="4067" t="str">
        <f>'الصفحة 1'!$E$16</f>
        <v>بلحاتم رابح</v>
      </c>
      <c r="D11" s="4068"/>
      <c r="E11" s="4068"/>
      <c r="F11" s="4068"/>
      <c r="G11" s="4069"/>
      <c r="J11" s="4070" t="s">
        <v>807</v>
      </c>
      <c r="K11" s="4071"/>
      <c r="L11" s="4071"/>
      <c r="M11" s="4071"/>
      <c r="N11" s="4071"/>
      <c r="O11" s="4072"/>
      <c r="P11" s="8"/>
      <c r="Q11" s="8"/>
      <c r="R11" s="8"/>
      <c r="S11" s="8"/>
      <c r="T11" s="8"/>
      <c r="U11" s="8"/>
      <c r="V11" s="8"/>
      <c r="W11" s="8"/>
      <c r="X11" s="8"/>
      <c r="Y11" s="8"/>
      <c r="Z11" s="8"/>
      <c r="AA11" s="8"/>
      <c r="AB11" s="1523"/>
      <c r="AC11" s="1420"/>
      <c r="AD11" s="4066"/>
      <c r="AE11" s="4066"/>
      <c r="AF11" s="4066"/>
      <c r="AG11" s="4066"/>
      <c r="AH11" s="4066"/>
      <c r="AI11" s="4066"/>
      <c r="AJ11" s="4066"/>
      <c r="AK11" s="4066"/>
      <c r="AL11" s="1420"/>
    </row>
    <row r="12" spans="1:38" ht="6" customHeight="1" thickBot="1">
      <c r="A12" s="1420"/>
      <c r="B12" s="1524"/>
      <c r="C12" s="8"/>
      <c r="D12" s="8"/>
      <c r="E12" s="8"/>
      <c r="F12" s="8"/>
      <c r="G12" s="8"/>
      <c r="H12" s="8"/>
      <c r="I12" s="8"/>
      <c r="J12" s="8"/>
      <c r="K12" s="8"/>
      <c r="L12" s="8"/>
      <c r="M12" s="8"/>
      <c r="N12" s="8"/>
      <c r="O12" s="8"/>
      <c r="P12" s="8"/>
      <c r="Q12" s="8"/>
      <c r="R12" s="8"/>
      <c r="S12" s="8"/>
      <c r="T12" s="8"/>
      <c r="U12" s="8"/>
      <c r="V12" s="8"/>
      <c r="W12" s="8"/>
      <c r="X12" s="8"/>
      <c r="Y12" s="8"/>
      <c r="Z12" s="8"/>
      <c r="AA12" s="8"/>
      <c r="AB12" s="1525"/>
      <c r="AC12" s="1420"/>
      <c r="AD12" s="4066"/>
      <c r="AE12" s="4066"/>
      <c r="AF12" s="4066"/>
      <c r="AG12" s="4066"/>
      <c r="AH12" s="4066"/>
      <c r="AI12" s="4066"/>
      <c r="AJ12" s="4066"/>
      <c r="AK12" s="4066"/>
      <c r="AL12" s="1420"/>
    </row>
    <row r="13" spans="1:38" ht="3.9" customHeight="1" thickBot="1">
      <c r="A13" s="1420"/>
      <c r="B13" s="1524"/>
      <c r="C13" s="1526"/>
      <c r="D13" s="1527"/>
      <c r="E13" s="1527"/>
      <c r="F13" s="1527"/>
      <c r="G13" s="1527"/>
      <c r="H13" s="1527"/>
      <c r="I13" s="1527"/>
      <c r="J13" s="1527"/>
      <c r="K13" s="1527"/>
      <c r="L13" s="1527"/>
      <c r="M13" s="1527"/>
      <c r="N13" s="1527"/>
      <c r="O13" s="1527"/>
      <c r="P13" s="1527"/>
      <c r="Q13" s="1527"/>
      <c r="R13" s="1527"/>
      <c r="S13" s="1527"/>
      <c r="T13" s="1527"/>
      <c r="U13" s="1527"/>
      <c r="V13" s="1527"/>
      <c r="W13" s="1527"/>
      <c r="X13" s="1527"/>
      <c r="Y13" s="1527"/>
      <c r="Z13" s="1527"/>
      <c r="AA13" s="1528"/>
      <c r="AB13" s="1525"/>
      <c r="AC13" s="1420"/>
      <c r="AD13" s="1032"/>
      <c r="AE13" s="1032"/>
      <c r="AF13" s="1032"/>
      <c r="AG13" s="1032"/>
      <c r="AH13" s="1032"/>
      <c r="AI13" s="1032"/>
      <c r="AJ13" s="1032"/>
      <c r="AK13" s="1032"/>
      <c r="AL13" s="1420"/>
    </row>
    <row r="14" spans="1:38" ht="15" customHeight="1" thickBot="1">
      <c r="A14" s="1420"/>
      <c r="B14" s="1524"/>
      <c r="C14" s="1841" t="s">
        <v>594</v>
      </c>
      <c r="D14" s="519"/>
      <c r="H14" s="802" t="s">
        <v>1224</v>
      </c>
      <c r="J14" s="761"/>
      <c r="K14" s="761"/>
      <c r="L14" s="761"/>
      <c r="M14" s="761"/>
      <c r="N14" s="701">
        <v>1</v>
      </c>
      <c r="O14" s="761"/>
      <c r="Q14" s="1840" t="s">
        <v>686</v>
      </c>
      <c r="R14" s="4073">
        <v>20000</v>
      </c>
      <c r="S14" s="4074"/>
      <c r="T14" s="4074"/>
      <c r="U14" s="4074"/>
      <c r="V14" s="786" t="s">
        <v>593</v>
      </c>
      <c r="W14" s="1373" t="str">
        <f>IF(('الصفحة 1'!$Q$14&gt;0),IF((N14=0),((IF((R14&gt;0),"خطء مساحة غير موجودة",IF((R14=0)," ",IF((R14=0),""))))),""),"")</f>
        <v/>
      </c>
      <c r="Z14" s="761"/>
      <c r="AA14" s="1530"/>
      <c r="AB14" s="1523"/>
      <c r="AC14" s="1420"/>
      <c r="AD14" s="2922" t="str">
        <f>IF(('الصفحة 1'!$Q$14&gt;0),((IF((N14=""),"حدد الساحـــــــة",IF((N14&gt;=0)," ",IF((N14&gt;=1),""))))),"")</f>
        <v xml:space="preserve"> </v>
      </c>
      <c r="AE14" s="2602" t="e">
        <f>#REF!+'الصفحة 1'!H58</f>
        <v>#REF!</v>
      </c>
      <c r="AF14" s="2922" t="str">
        <f>IF(('الصفحة 1'!$Q$14&gt;0),IF((N14&gt;=1),((IF((R14=""),"حدد مساحة الساحـة",IF((R14&gt;=0)," ",IF((R14&gt;0),""))))),""),"")</f>
        <v xml:space="preserve"> </v>
      </c>
      <c r="AG14" s="1032"/>
      <c r="AH14" s="1032"/>
      <c r="AI14" s="1032"/>
      <c r="AJ14" s="1032"/>
      <c r="AK14" s="1032"/>
      <c r="AL14" s="1420"/>
    </row>
    <row r="15" spans="1:38" ht="3.9" customHeight="1">
      <c r="A15" s="1420"/>
      <c r="B15" s="1522"/>
      <c r="C15" s="1531"/>
      <c r="D15" s="761"/>
      <c r="E15" s="761"/>
      <c r="F15" s="761"/>
      <c r="G15" s="761"/>
      <c r="H15" s="761"/>
      <c r="I15" s="761"/>
      <c r="J15" s="761"/>
      <c r="K15" s="761"/>
      <c r="L15" s="761"/>
      <c r="M15" s="761"/>
      <c r="N15" s="761"/>
      <c r="O15" s="761"/>
      <c r="P15" s="761"/>
      <c r="Q15" s="761"/>
      <c r="R15" s="761"/>
      <c r="S15" s="761"/>
      <c r="T15" s="761"/>
      <c r="U15" s="761"/>
      <c r="V15" s="761"/>
      <c r="W15" s="761"/>
      <c r="X15" s="761"/>
      <c r="Y15" s="761"/>
      <c r="Z15" s="761"/>
      <c r="AA15" s="1530"/>
      <c r="AB15" s="1523"/>
      <c r="AC15" s="1420"/>
      <c r="AD15" s="1032"/>
      <c r="AE15" s="1032"/>
      <c r="AF15" s="1032"/>
      <c r="AG15" s="1032"/>
      <c r="AH15" s="1032"/>
      <c r="AI15" s="1032"/>
      <c r="AJ15" s="1032"/>
      <c r="AK15" s="1032"/>
      <c r="AL15" s="1420"/>
    </row>
    <row r="16" spans="1:38" ht="15" customHeight="1">
      <c r="A16" s="1420"/>
      <c r="B16" s="1522"/>
      <c r="C16" s="1611" t="s">
        <v>1225</v>
      </c>
      <c r="D16" s="1533"/>
      <c r="E16" s="1534"/>
      <c r="F16" s="1534"/>
      <c r="G16" s="1534"/>
      <c r="H16" s="1535"/>
      <c r="I16" s="1535"/>
      <c r="J16" s="1535"/>
      <c r="K16" s="1535"/>
      <c r="L16" s="1535"/>
      <c r="M16" s="1535"/>
      <c r="N16" s="1535"/>
      <c r="O16" s="1535"/>
      <c r="P16" s="1535"/>
      <c r="Q16" s="1535"/>
      <c r="R16" s="1535"/>
      <c r="S16" s="1535"/>
      <c r="T16" s="1536"/>
      <c r="U16" s="1535"/>
      <c r="V16" s="1535"/>
      <c r="W16" s="1535"/>
      <c r="X16" s="1535"/>
      <c r="Y16" s="1537" t="s">
        <v>808</v>
      </c>
      <c r="Z16" s="1535"/>
      <c r="AA16" s="1538"/>
      <c r="AB16" s="1539"/>
      <c r="AC16" s="1420"/>
      <c r="AD16" s="1032"/>
      <c r="AE16" s="1032"/>
      <c r="AF16" s="1032"/>
      <c r="AG16" s="1032"/>
      <c r="AH16" s="1032"/>
      <c r="AI16" s="1032"/>
      <c r="AJ16" s="1032"/>
      <c r="AK16" s="1032"/>
      <c r="AL16" s="1420"/>
    </row>
    <row r="17" spans="1:38" ht="3.9" customHeight="1" thickBot="1">
      <c r="A17" s="1420"/>
      <c r="B17" s="1522"/>
      <c r="C17" s="1540"/>
      <c r="D17" s="486"/>
      <c r="E17" s="2"/>
      <c r="F17" s="2"/>
      <c r="G17" s="2"/>
      <c r="H17" s="2"/>
      <c r="I17" s="484"/>
      <c r="J17" s="484"/>
      <c r="K17" s="1541"/>
      <c r="L17" s="1541"/>
      <c r="M17" s="487"/>
      <c r="N17" s="484"/>
      <c r="O17" s="484"/>
      <c r="P17" s="484"/>
      <c r="Q17" s="2"/>
      <c r="R17" s="2"/>
      <c r="S17" s="487"/>
      <c r="T17" s="484"/>
      <c r="U17" s="7"/>
      <c r="V17" s="484"/>
      <c r="W17" s="484"/>
      <c r="X17" s="484"/>
      <c r="Y17" s="487"/>
      <c r="Z17" s="487"/>
      <c r="AA17" s="1538"/>
      <c r="AB17" s="1539"/>
      <c r="AC17" s="1420"/>
      <c r="AD17" s="1032"/>
      <c r="AE17" s="1032"/>
      <c r="AF17" s="1032"/>
      <c r="AG17" s="1032"/>
      <c r="AH17" s="1032"/>
      <c r="AI17" s="1032"/>
      <c r="AJ17" s="1032"/>
      <c r="AK17" s="1032"/>
      <c r="AL17" s="1420"/>
    </row>
    <row r="18" spans="1:38" ht="15" customHeight="1" thickBot="1">
      <c r="A18" s="1420"/>
      <c r="B18" s="1522"/>
      <c r="C18" s="1540"/>
      <c r="D18" s="486"/>
      <c r="E18" s="1542" t="s">
        <v>809</v>
      </c>
      <c r="F18" s="1543">
        <v>0</v>
      </c>
      <c r="G18" s="1363"/>
      <c r="H18" s="1544"/>
      <c r="I18" s="1544"/>
      <c r="J18" s="1032"/>
      <c r="K18" s="1032"/>
      <c r="L18" s="1545"/>
      <c r="M18" s="1546"/>
      <c r="N18" s="1365"/>
      <c r="O18" s="1365"/>
      <c r="P18" s="484"/>
      <c r="Q18" s="1032"/>
      <c r="R18" s="1032"/>
      <c r="S18" s="1547"/>
      <c r="T18" s="1365"/>
      <c r="U18" s="1372"/>
      <c r="V18" s="1365"/>
      <c r="W18" s="1365"/>
      <c r="X18" s="1365"/>
      <c r="Y18" s="1547"/>
      <c r="Z18" s="1547"/>
      <c r="AA18" s="1538"/>
      <c r="AB18" s="1539"/>
      <c r="AC18" s="1420"/>
      <c r="AD18" s="3218" t="s">
        <v>810</v>
      </c>
      <c r="AE18" s="2627"/>
      <c r="AF18" s="3220" t="str">
        <f>IF(('الصفحة 1'!$Q$14&gt;0),((IF((F18=""),"للنشاطات الفنيــة",IF((F18=0)," ",IF((F18=1),""))))),"")</f>
        <v xml:space="preserve"> </v>
      </c>
      <c r="AG18" s="1032"/>
      <c r="AH18" s="1032"/>
      <c r="AI18" s="1032"/>
      <c r="AJ18" s="1032"/>
      <c r="AK18" s="1032"/>
      <c r="AL18" s="1420"/>
    </row>
    <row r="19" spans="1:38" ht="3.9" customHeight="1" thickBot="1">
      <c r="A19" s="1420"/>
      <c r="B19" s="1522"/>
      <c r="C19" s="1540"/>
      <c r="D19" s="486"/>
      <c r="E19" s="2"/>
      <c r="F19" s="3221"/>
      <c r="G19" s="1363"/>
      <c r="H19" s="1363"/>
      <c r="I19" s="1365"/>
      <c r="J19" s="1365"/>
      <c r="K19" s="1548"/>
      <c r="L19" s="1548"/>
      <c r="M19" s="1547"/>
      <c r="N19" s="1365"/>
      <c r="O19" s="1365"/>
      <c r="P19" s="484"/>
      <c r="Q19" s="1363"/>
      <c r="R19" s="1363"/>
      <c r="S19" s="1547"/>
      <c r="T19" s="1365"/>
      <c r="U19" s="1372"/>
      <c r="V19" s="1365"/>
      <c r="W19" s="1365"/>
      <c r="X19" s="1365"/>
      <c r="Y19" s="1547"/>
      <c r="Z19" s="1547"/>
      <c r="AA19" s="1538"/>
      <c r="AB19" s="1539"/>
      <c r="AC19" s="1420"/>
      <c r="AD19" s="2923"/>
      <c r="AE19" s="1032"/>
      <c r="AF19" s="2923"/>
      <c r="AG19" s="1032"/>
      <c r="AH19" s="1032"/>
      <c r="AI19" s="1032"/>
      <c r="AJ19" s="1032"/>
      <c r="AK19" s="1032"/>
      <c r="AL19" s="1420"/>
    </row>
    <row r="20" spans="1:38" ht="15" customHeight="1" thickBot="1">
      <c r="A20" s="1420"/>
      <c r="B20" s="1522"/>
      <c r="C20" s="1540"/>
      <c r="D20" s="468"/>
      <c r="E20" s="1542" t="s">
        <v>811</v>
      </c>
      <c r="F20" s="1549">
        <v>0</v>
      </c>
      <c r="G20" s="1363"/>
      <c r="H20" s="1065"/>
      <c r="I20" s="1365"/>
      <c r="J20" s="1032"/>
      <c r="K20" s="1032"/>
      <c r="L20" s="1065"/>
      <c r="M20" s="1547"/>
      <c r="N20" s="1065"/>
      <c r="O20" s="1365"/>
      <c r="P20" s="484"/>
      <c r="Q20" s="1032"/>
      <c r="R20" s="1032"/>
      <c r="S20" s="1547"/>
      <c r="T20" s="1365"/>
      <c r="U20" s="1372"/>
      <c r="V20" s="1365"/>
      <c r="W20" s="1365"/>
      <c r="X20" s="1365"/>
      <c r="Y20" s="1547"/>
      <c r="Z20" s="1547"/>
      <c r="AA20" s="1538"/>
      <c r="AB20" s="1539"/>
      <c r="AC20" s="1420"/>
      <c r="AD20" s="3218" t="s">
        <v>812</v>
      </c>
      <c r="AE20" s="2627"/>
      <c r="AF20" s="3220" t="str">
        <f>IF(('الصفحة 1'!$Q$14&gt;0),((IF((F20=""),"للنشاطات الرياضية",IF((F20=0)," ",IF((F20=1),""))))),"")</f>
        <v xml:space="preserve"> </v>
      </c>
      <c r="AG20" s="1032"/>
      <c r="AH20" s="1032"/>
      <c r="AI20" s="1032"/>
      <c r="AJ20" s="1032"/>
      <c r="AK20" s="1032"/>
      <c r="AL20" s="1420"/>
    </row>
    <row r="21" spans="1:38" ht="3.9" customHeight="1" thickBot="1">
      <c r="A21" s="1420"/>
      <c r="B21" s="1522"/>
      <c r="C21" s="1540"/>
      <c r="D21" s="486"/>
      <c r="E21" s="2"/>
      <c r="F21" s="3221"/>
      <c r="G21" s="1363"/>
      <c r="H21" s="1363"/>
      <c r="I21" s="1365"/>
      <c r="J21" s="1365"/>
      <c r="K21" s="1548"/>
      <c r="L21" s="1548"/>
      <c r="M21" s="1547"/>
      <c r="N21" s="1365"/>
      <c r="O21" s="1365"/>
      <c r="P21" s="484"/>
      <c r="Q21" s="1363"/>
      <c r="R21" s="1363"/>
      <c r="S21" s="1547"/>
      <c r="T21" s="1365"/>
      <c r="U21" s="1372"/>
      <c r="V21" s="1365"/>
      <c r="W21" s="1365"/>
      <c r="X21" s="1365"/>
      <c r="Y21" s="1547"/>
      <c r="Z21" s="1547"/>
      <c r="AA21" s="1538"/>
      <c r="AB21" s="1539"/>
      <c r="AC21" s="1420"/>
      <c r="AD21" s="2923"/>
      <c r="AE21" s="1032"/>
      <c r="AF21" s="2923"/>
      <c r="AG21" s="1032"/>
      <c r="AH21" s="1032"/>
      <c r="AI21" s="1032"/>
      <c r="AJ21" s="1032"/>
      <c r="AK21" s="1032"/>
      <c r="AL21" s="1420"/>
    </row>
    <row r="22" spans="1:38" ht="15" customHeight="1" thickBot="1">
      <c r="A22" s="1420"/>
      <c r="B22" s="1522"/>
      <c r="C22" s="1540"/>
      <c r="D22" s="486"/>
      <c r="E22" s="1550" t="s">
        <v>813</v>
      </c>
      <c r="F22" s="1549">
        <v>0</v>
      </c>
      <c r="G22" s="1551"/>
      <c r="H22" s="2140"/>
      <c r="I22" s="1546"/>
      <c r="J22" s="2140"/>
      <c r="K22" s="1032"/>
      <c r="L22" s="1032"/>
      <c r="M22" s="1032"/>
      <c r="N22" s="1365"/>
      <c r="O22" s="1365"/>
      <c r="P22" s="484"/>
      <c r="Q22" s="1363"/>
      <c r="R22" s="1032"/>
      <c r="S22" s="1032"/>
      <c r="T22" s="1365"/>
      <c r="U22" s="1372"/>
      <c r="V22" s="1365"/>
      <c r="W22" s="1365"/>
      <c r="X22" s="1365"/>
      <c r="Y22" s="1547"/>
      <c r="Z22" s="1547"/>
      <c r="AA22" s="1538"/>
      <c r="AB22" s="1539"/>
      <c r="AC22" s="1420"/>
      <c r="AD22" s="3218" t="s">
        <v>814</v>
      </c>
      <c r="AE22" s="2627"/>
      <c r="AF22" s="3220" t="str">
        <f>IF(('الصفحة 1'!$Q$14&gt;0),((IF((F22=""),"كــمــكــتــبــــــــــة",IF((F22=0)," ",IF((F22=1),""))))),"")</f>
        <v xml:space="preserve"> </v>
      </c>
      <c r="AG22" s="1032"/>
      <c r="AH22" s="4033" t="s">
        <v>921</v>
      </c>
      <c r="AI22" s="4033"/>
      <c r="AJ22" s="1032"/>
      <c r="AK22" s="1032"/>
      <c r="AL22" s="1420"/>
    </row>
    <row r="23" spans="1:38" ht="3.9" customHeight="1" thickBot="1">
      <c r="A23" s="1420"/>
      <c r="B23" s="1522"/>
      <c r="C23" s="1540"/>
      <c r="D23" s="486"/>
      <c r="E23" s="2"/>
      <c r="F23" s="3221"/>
      <c r="G23" s="1363"/>
      <c r="H23" s="1363"/>
      <c r="I23" s="1365"/>
      <c r="J23" s="1365"/>
      <c r="K23" s="1548"/>
      <c r="L23" s="1548"/>
      <c r="M23" s="1547"/>
      <c r="N23" s="1365"/>
      <c r="O23" s="1365"/>
      <c r="P23" s="484"/>
      <c r="Q23" s="1363"/>
      <c r="R23" s="1363"/>
      <c r="S23" s="1547"/>
      <c r="T23" s="1365"/>
      <c r="U23" s="1372"/>
      <c r="V23" s="1365"/>
      <c r="W23" s="1365"/>
      <c r="X23" s="1365"/>
      <c r="Y23" s="1547"/>
      <c r="Z23" s="1547"/>
      <c r="AA23" s="1538"/>
      <c r="AB23" s="1539"/>
      <c r="AC23" s="1420"/>
      <c r="AD23" s="2923"/>
      <c r="AE23" s="1032"/>
      <c r="AF23" s="2923"/>
      <c r="AG23" s="1032"/>
      <c r="AH23" s="1032"/>
      <c r="AI23" s="1032"/>
      <c r="AJ23" s="1032"/>
      <c r="AK23" s="1032"/>
      <c r="AL23" s="1420"/>
    </row>
    <row r="24" spans="1:38" ht="15" customHeight="1" thickBot="1">
      <c r="A24" s="1420"/>
      <c r="B24" s="1522"/>
      <c r="C24" s="1552"/>
      <c r="D24" s="1553"/>
      <c r="E24" s="1554" t="s">
        <v>1378</v>
      </c>
      <c r="F24" s="3222">
        <v>0</v>
      </c>
      <c r="G24" s="1555"/>
      <c r="H24" s="1556"/>
      <c r="I24" s="1557"/>
      <c r="J24" s="1558"/>
      <c r="K24" s="1558"/>
      <c r="L24" s="1558"/>
      <c r="M24" s="1558"/>
      <c r="N24" s="1557"/>
      <c r="O24" s="1558"/>
      <c r="P24" s="1559"/>
      <c r="Q24" s="1560" t="str">
        <f>IF(('الصفحة 1'!$Q$14&gt;0),IF(($F$26=0),((IF((P26&gt;0),"خطء مخبـر الإعــلام الآلي غير مجهــــز ",IF((P26=0)," ",IF((P26=0),""))))),""),"")</f>
        <v xml:space="preserve"> </v>
      </c>
      <c r="R24" s="1558"/>
      <c r="S24" s="1561"/>
      <c r="T24" s="1562"/>
      <c r="U24" s="1563"/>
      <c r="V24" s="1557"/>
      <c r="W24" s="1557"/>
      <c r="X24" s="1564"/>
      <c r="Y24" s="1565"/>
      <c r="Z24" s="1566"/>
      <c r="AA24" s="1567"/>
      <c r="AB24" s="1539"/>
      <c r="AC24" s="1420"/>
      <c r="AD24" s="3218" t="s">
        <v>815</v>
      </c>
      <c r="AE24" s="2627"/>
      <c r="AF24" s="3220" t="str">
        <f>IF(('الصفحة 1'!$Q$14&gt;0),((IF((F24=""),"كمخبر للإعلام الآلي",IF((F24=0)," ",IF((F24=1),""))))),"")</f>
        <v xml:space="preserve"> </v>
      </c>
      <c r="AG24" s="1032"/>
      <c r="AH24" s="1032"/>
      <c r="AI24" s="1032"/>
      <c r="AJ24" s="1032"/>
      <c r="AK24" s="2630" t="s">
        <v>816</v>
      </c>
      <c r="AL24" s="1420"/>
    </row>
    <row r="25" spans="1:38" ht="3.9" customHeight="1" thickBot="1">
      <c r="A25" s="1420"/>
      <c r="B25" s="1522"/>
      <c r="C25" s="1540"/>
      <c r="D25" s="486"/>
      <c r="E25" s="2"/>
      <c r="F25" s="3221"/>
      <c r="G25" s="1363"/>
      <c r="H25" s="1363"/>
      <c r="I25" s="1365"/>
      <c r="J25" s="1568"/>
      <c r="K25" s="1569"/>
      <c r="L25" s="1569"/>
      <c r="M25" s="1569"/>
      <c r="N25" s="1365"/>
      <c r="O25" s="1365"/>
      <c r="P25" s="484"/>
      <c r="Q25" s="1363"/>
      <c r="R25" s="1568"/>
      <c r="S25" s="1569"/>
      <c r="T25" s="1546"/>
      <c r="U25" s="1372"/>
      <c r="V25" s="1365"/>
      <c r="W25" s="1365"/>
      <c r="X25" s="1365"/>
      <c r="Y25" s="1547"/>
      <c r="Z25" s="1547"/>
      <c r="AA25" s="1538"/>
      <c r="AB25" s="1539"/>
      <c r="AC25" s="1420"/>
      <c r="AD25" s="2923"/>
      <c r="AE25" s="1032"/>
      <c r="AF25" s="2923"/>
      <c r="AG25" s="1032"/>
      <c r="AH25" s="1032"/>
      <c r="AI25" s="1032"/>
      <c r="AJ25" s="1032"/>
      <c r="AK25" s="1032"/>
      <c r="AL25" s="1420"/>
    </row>
    <row r="26" spans="1:38" ht="15" customHeight="1" thickBot="1">
      <c r="A26" s="1420"/>
      <c r="B26" s="1522"/>
      <c r="C26" s="1570"/>
      <c r="D26" s="14"/>
      <c r="E26" s="1571" t="s">
        <v>1379</v>
      </c>
      <c r="F26" s="1642">
        <v>0</v>
      </c>
      <c r="G26" s="1380"/>
      <c r="H26" s="1380"/>
      <c r="I26" s="1032"/>
      <c r="J26" s="1573"/>
      <c r="K26" s="1032"/>
      <c r="L26" s="1032"/>
      <c r="M26" s="1032"/>
      <c r="N26" s="1065"/>
      <c r="O26" s="3224" t="s">
        <v>1426</v>
      </c>
      <c r="P26" s="1572">
        <v>0</v>
      </c>
      <c r="R26" s="1575"/>
      <c r="S26" s="1065"/>
      <c r="T26" s="1065"/>
      <c r="U26" s="1065"/>
      <c r="V26" s="1065"/>
      <c r="W26" s="1065"/>
      <c r="X26" s="1575"/>
      <c r="Y26" s="3224" t="s">
        <v>1427</v>
      </c>
      <c r="Z26" s="1572">
        <v>0</v>
      </c>
      <c r="AA26" s="1576">
        <f>IF(((F26)=1),(1000),(0))</f>
        <v>0</v>
      </c>
      <c r="AB26" s="1539"/>
      <c r="AC26" s="1420"/>
      <c r="AD26" s="3219" t="s">
        <v>817</v>
      </c>
      <c r="AE26" s="2631"/>
      <c r="AF26" s="3220" t="str">
        <f>IF(('الصفحة 1'!$Q$14&gt;0),IF(($F$24=1),((IF((F26=""),"مخبر للإعلام الآلي مجهــــز ",IF((F26=0)," ",IF((F26=1),""))))),""),"")</f>
        <v/>
      </c>
      <c r="AG26" s="1670"/>
      <c r="AH26" s="4046" t="s">
        <v>818</v>
      </c>
      <c r="AI26" s="4047"/>
      <c r="AJ26" s="2629"/>
      <c r="AK26" s="2628" t="str">
        <f>IF(('الصفحة 1'!$Q$14&gt;0),IF(($F$24=1),((IF((P26=""),"مخبر متصل بالأنترنت ",IF((P26=0)," ",IF((P26=1),""))))),""),"")</f>
        <v/>
      </c>
      <c r="AL26" s="1420"/>
    </row>
    <row r="27" spans="1:38" ht="5.0999999999999996" customHeight="1">
      <c r="A27" s="1420"/>
      <c r="B27" s="1522"/>
      <c r="C27" s="1570"/>
      <c r="D27" s="14"/>
      <c r="G27" s="1380"/>
      <c r="H27" s="1380"/>
      <c r="I27" s="1032"/>
      <c r="J27" s="1573"/>
      <c r="K27" s="1032"/>
      <c r="L27" s="1032"/>
      <c r="M27" s="1032"/>
      <c r="N27" s="1065"/>
      <c r="O27" s="1380"/>
      <c r="P27" s="1575"/>
      <c r="Q27" s="1380"/>
      <c r="R27" s="1575"/>
      <c r="S27" s="1065"/>
      <c r="T27" s="1065"/>
      <c r="U27" s="1065"/>
      <c r="V27" s="1065"/>
      <c r="W27" s="1065"/>
      <c r="X27" s="1575"/>
      <c r="Y27" s="1065"/>
      <c r="Z27" s="1575"/>
      <c r="AA27" s="1576"/>
      <c r="AB27" s="1539"/>
      <c r="AC27" s="1420"/>
      <c r="AD27" s="2923"/>
      <c r="AE27" s="1032"/>
      <c r="AF27" s="2923"/>
      <c r="AG27" s="1032"/>
      <c r="AH27" s="2923"/>
      <c r="AI27" s="2923"/>
      <c r="AJ27" s="1032"/>
      <c r="AK27" s="1032"/>
      <c r="AL27" s="1420"/>
    </row>
    <row r="28" spans="1:38" ht="17.399999999999999">
      <c r="A28" s="1420"/>
      <c r="B28" s="1522"/>
      <c r="C28" s="1570"/>
      <c r="D28" s="14"/>
      <c r="E28" s="1577" t="s">
        <v>819</v>
      </c>
      <c r="F28" s="3908">
        <v>0</v>
      </c>
      <c r="G28" s="3910"/>
      <c r="I28" s="1032"/>
      <c r="J28" s="1573"/>
      <c r="K28" s="1032"/>
      <c r="L28" s="1032"/>
      <c r="M28" s="1032"/>
      <c r="N28" s="1065"/>
      <c r="O28" s="1574" t="s">
        <v>1428</v>
      </c>
      <c r="P28" s="3908">
        <v>0</v>
      </c>
      <c r="Q28" s="3910"/>
      <c r="R28" s="3406" t="str">
        <f>IF(('الصفحة 1'!$Q$14&gt;0),IF((F28=""),IF((F24=0),"","  وضعية غير صحيحة عدد الأجهزة"),((IF((F28&gt;=0),IF((F24=1),"","وضعية غير صحيحة، مخبر إعلام الآلي غير موجود "))))),"")</f>
        <v xml:space="preserve">وضعية غير صحيحة، مخبر إعلام الآلي غير موجود </v>
      </c>
      <c r="S28" s="1065"/>
      <c r="T28" s="1065"/>
      <c r="U28" s="1065"/>
      <c r="V28" s="1065"/>
      <c r="W28" s="1065"/>
      <c r="X28" s="1575"/>
      <c r="Z28" s="1575"/>
      <c r="AA28" s="1576"/>
      <c r="AB28" s="1539"/>
      <c r="AC28" s="1420"/>
      <c r="AD28" s="3219" t="s">
        <v>609</v>
      </c>
      <c r="AE28" s="2631"/>
      <c r="AF28" s="3220" t="str">
        <f>IF(('الصفحة 1'!$Q$14&gt;0),IF(($F$24=1),IF(($F$26=1),((IF((F28=""),"عدد الأجهزة الموجودة",IF((F28=0)," ",IF((F28&gt;0),""))))),""),""),"")</f>
        <v/>
      </c>
      <c r="AG28" s="1032"/>
      <c r="AH28" s="4039" t="str">
        <f>IF(('الصفحة 1'!$Q$14&gt;0),IF(($F$26=""),IF((F28&gt;0),"المخبر غير مجهز",IF(($F$26=1),(F28&gt;0),"")),""),"")</f>
        <v/>
      </c>
      <c r="AI28" s="4040"/>
      <c r="AJ28" s="1032"/>
      <c r="AK28" s="2628" t="str">
        <f>IF(('الصفحة 1'!$Q$14&gt;0),(IF(($F$24=0),(IF((F26&gt;0),("F26 إجابة غيرصحيحة"),(IF((F26=""),(""),(IF((F26=0),(""),(""))))))),(""))),(""))</f>
        <v/>
      </c>
      <c r="AL28" s="1420"/>
    </row>
    <row r="29" spans="1:38" ht="3.9" customHeight="1">
      <c r="A29" s="1420"/>
      <c r="B29" s="1522"/>
      <c r="C29" s="1570"/>
      <c r="D29" s="14"/>
      <c r="G29" s="1506"/>
      <c r="H29" s="1380"/>
      <c r="I29" s="1032"/>
      <c r="J29" s="1573"/>
      <c r="K29" s="1032"/>
      <c r="L29" s="1032"/>
      <c r="M29" s="1032"/>
      <c r="N29" s="1065"/>
      <c r="O29" s="1380"/>
      <c r="P29" s="1575"/>
      <c r="Q29" s="1380"/>
      <c r="R29" s="1575"/>
      <c r="S29" s="1065"/>
      <c r="T29" s="1065"/>
      <c r="U29" s="1065"/>
      <c r="V29" s="1065"/>
      <c r="W29" s="1065"/>
      <c r="X29" s="1575"/>
      <c r="Y29" s="1065"/>
      <c r="Z29" s="1575"/>
      <c r="AA29" s="1576"/>
      <c r="AB29" s="1539"/>
      <c r="AC29" s="1420"/>
      <c r="AD29" s="2923"/>
      <c r="AE29" s="1032"/>
      <c r="AF29" s="2923"/>
      <c r="AG29" s="1032"/>
      <c r="AH29" s="2923"/>
      <c r="AI29" s="2923"/>
      <c r="AJ29" s="1032"/>
      <c r="AK29" s="1032"/>
      <c r="AL29" s="1420"/>
    </row>
    <row r="30" spans="1:38" ht="17.399999999999999">
      <c r="A30" s="1420"/>
      <c r="B30" s="1522"/>
      <c r="C30" s="1570"/>
      <c r="D30" s="14"/>
      <c r="E30" s="1550" t="s">
        <v>1381</v>
      </c>
      <c r="F30" s="3908">
        <v>0</v>
      </c>
      <c r="G30" s="3910"/>
      <c r="H30" s="1578" t="str">
        <f>IF(('الصفحة 1'!$Q$14&gt;0),IF(($F$28&gt;0),((IF(((F30+F32)&lt;&gt;F28),"خطء في عدد الأجهزة الإعلام الآلي الموجودة ",IF(((F30+F32)=F28),"",IF(((F30+F32)=F28),""))))),""),"")</f>
        <v/>
      </c>
      <c r="I30" s="1032"/>
      <c r="J30" s="1573"/>
      <c r="K30" s="1032"/>
      <c r="L30" s="1032"/>
      <c r="M30" s="1032"/>
      <c r="N30" s="1065"/>
      <c r="O30" s="1380"/>
      <c r="P30" s="1575"/>
      <c r="Q30" s="1380"/>
      <c r="R30" s="2984" t="str">
        <f>IF(($Z$26=1),IF(($P$26=""),"راقب مخبر متصل بالأنترنت",IF((P26=1),"","راقب مخبر متصل بالأنترنت")),"")</f>
        <v/>
      </c>
      <c r="S30" s="1065"/>
      <c r="T30" s="1065"/>
      <c r="U30" s="1065"/>
      <c r="V30" s="1065"/>
      <c r="W30" s="1065"/>
      <c r="X30" s="1575"/>
      <c r="Y30" s="1065"/>
      <c r="AA30" s="1576"/>
      <c r="AB30" s="1539"/>
      <c r="AC30" s="1420"/>
      <c r="AD30" s="3219" t="s">
        <v>606</v>
      </c>
      <c r="AE30" s="2631"/>
      <c r="AF30" s="3220" t="str">
        <f>IF(('الصفحة 1'!$Q$14&gt;0),IF(($F$24=1),IF(($F$26=1),((IF((F30=""),"عدد الأجهـزة المركزية",IF((F30=0)," ",IF((F30&gt;0),""))))),""),""),"")</f>
        <v/>
      </c>
      <c r="AG30" s="1032"/>
      <c r="AH30" s="4039" t="str">
        <f>IF(('الصفحة 1'!$Q$14&gt;0),IF(($F$26=""),IF((F30&gt;0),"المخبر غير مجهز",IF(($F$26=1),(F30&gt;0),"")),""),"")</f>
        <v/>
      </c>
      <c r="AI30" s="4040"/>
      <c r="AJ30" s="1032"/>
      <c r="AK30" s="2628" t="str">
        <f>IF(('الصفحة 1'!$Q$14&gt;0),(IF(($F$24=0),(IF((P26&gt;0),("P26 إجابة غيرصحيحة"),(IF((P26=""),(""),(IF((P26=0),(""),(""))))))),(""))),(""))</f>
        <v/>
      </c>
      <c r="AL30" s="1420"/>
    </row>
    <row r="31" spans="1:38" ht="3.9" customHeight="1">
      <c r="A31" s="1420"/>
      <c r="B31" s="1522"/>
      <c r="C31" s="1570"/>
      <c r="D31" s="14"/>
      <c r="G31" s="1506"/>
      <c r="H31" s="1380"/>
      <c r="I31" s="1032"/>
      <c r="J31" s="1573"/>
      <c r="K31" s="1032"/>
      <c r="L31" s="1032"/>
      <c r="M31" s="1032"/>
      <c r="N31" s="1065"/>
      <c r="O31" s="1380"/>
      <c r="P31" s="1575"/>
      <c r="Q31" s="1380"/>
      <c r="R31" s="1575"/>
      <c r="S31" s="1065"/>
      <c r="T31" s="1065"/>
      <c r="U31" s="1065"/>
      <c r="V31" s="1065"/>
      <c r="W31" s="1065"/>
      <c r="X31" s="1575"/>
      <c r="Y31" s="1065"/>
      <c r="Z31" s="1575"/>
      <c r="AA31" s="1576"/>
      <c r="AB31" s="1539"/>
      <c r="AC31" s="1420"/>
      <c r="AD31" s="2923"/>
      <c r="AE31" s="1032"/>
      <c r="AF31" s="2923"/>
      <c r="AG31" s="1032"/>
      <c r="AH31" s="2923"/>
      <c r="AI31" s="2923"/>
      <c r="AJ31" s="1032"/>
      <c r="AK31" s="1032"/>
      <c r="AL31" s="1420"/>
    </row>
    <row r="32" spans="1:38" ht="17.399999999999999">
      <c r="A32" s="1420"/>
      <c r="B32" s="1522"/>
      <c r="C32" s="1570"/>
      <c r="D32" s="14"/>
      <c r="E32" s="1550" t="s">
        <v>1380</v>
      </c>
      <c r="F32" s="3908">
        <v>0</v>
      </c>
      <c r="G32" s="3910"/>
      <c r="H32" s="1578" t="str">
        <f>IF(('الصفحة 1'!$Q$14&gt;0),IF(($F$28=0),((IF(((F30+F32)&gt;0),"خطء الأجهزة الإعلام الآلي الموجودة ",IF(((F30+F32)=0)," ",IF(((F30+F32)=0),""))))),""),"")</f>
        <v xml:space="preserve"> </v>
      </c>
      <c r="I32" s="1032"/>
      <c r="J32" s="1573"/>
      <c r="K32" s="1032"/>
      <c r="L32" s="1032"/>
      <c r="M32" s="1032"/>
      <c r="N32" s="1065"/>
      <c r="O32" s="1380"/>
      <c r="P32" s="1575"/>
      <c r="Q32" s="1380"/>
      <c r="R32" s="1551"/>
      <c r="S32" s="1065"/>
      <c r="T32" s="1065"/>
      <c r="U32" s="1065"/>
      <c r="V32" s="1065"/>
      <c r="W32" s="1065"/>
      <c r="X32" s="1575"/>
      <c r="Y32" s="1065"/>
      <c r="Z32" s="1575"/>
      <c r="AA32" s="1576"/>
      <c r="AB32" s="1539"/>
      <c r="AC32" s="1420"/>
      <c r="AD32" s="3219" t="s">
        <v>607</v>
      </c>
      <c r="AE32" s="2631"/>
      <c r="AF32" s="3220" t="str">
        <f>IF(('الصفحة 1'!$Q$14&gt;0),IF(($F$24=1),IF(($F$26=1),((IF((F32=""),"عدد الأجهـزة العادية",IF((F32=0)," ",IF((F32&gt;0),""))))),""),""),"")</f>
        <v/>
      </c>
      <c r="AG32" s="1032"/>
      <c r="AH32" s="4039" t="str">
        <f>IF(('الصفحة 1'!$Q$14&gt;0),IF(($F$26=""),IF((F32&gt;0),"المخبر غير مجهز",IF(($F$26=1),(F32&gt;0),"")),""),"")</f>
        <v/>
      </c>
      <c r="AI32" s="4040"/>
      <c r="AJ32" s="1032"/>
      <c r="AK32" s="1032"/>
      <c r="AL32" s="1420"/>
    </row>
    <row r="33" spans="1:38" ht="3.9" customHeight="1">
      <c r="A33" s="1420"/>
      <c r="B33" s="1522"/>
      <c r="C33" s="1570"/>
      <c r="D33" s="14"/>
      <c r="G33" s="1506"/>
      <c r="H33" s="1380"/>
      <c r="I33" s="1032"/>
      <c r="J33" s="1573"/>
      <c r="K33" s="1032"/>
      <c r="L33" s="1032"/>
      <c r="M33" s="1032"/>
      <c r="N33" s="1065"/>
      <c r="O33" s="1380"/>
      <c r="P33" s="1575"/>
      <c r="Q33" s="1380"/>
      <c r="R33" s="1575"/>
      <c r="S33" s="1065"/>
      <c r="T33" s="1065"/>
      <c r="U33" s="1065"/>
      <c r="V33" s="1065"/>
      <c r="W33" s="1065"/>
      <c r="X33" s="1575"/>
      <c r="Y33" s="1065"/>
      <c r="Z33" s="1575"/>
      <c r="AA33" s="1576"/>
      <c r="AB33" s="1539"/>
      <c r="AC33" s="1420"/>
      <c r="AD33" s="2923"/>
      <c r="AE33" s="1032"/>
      <c r="AF33" s="2923"/>
      <c r="AG33" s="1032"/>
      <c r="AH33" s="2923"/>
      <c r="AI33" s="2923"/>
      <c r="AJ33" s="1032"/>
      <c r="AK33" s="1032"/>
      <c r="AL33" s="1420"/>
    </row>
    <row r="34" spans="1:38" ht="17.399999999999999">
      <c r="A34" s="1420"/>
      <c r="B34" s="1522"/>
      <c r="C34" s="1570"/>
      <c r="D34" s="14"/>
      <c r="E34" s="1550" t="s">
        <v>820</v>
      </c>
      <c r="F34" s="3908">
        <v>0</v>
      </c>
      <c r="G34" s="3910"/>
      <c r="H34" s="1578" t="str">
        <f>IF(('الصفحة 1'!$Q$14&gt;0),IF(($F$28&gt;0),((IF(((F30+F32)&lt;&gt;(F34+F36)),"خطء في عدد الأجهزة الصالحة و للتعويض ",IF(((F30+F32)=(F34+F36))," ",IF(((F30+F32)&lt;(F34+F36)),""))))),""),"")</f>
        <v/>
      </c>
      <c r="I34" s="1032"/>
      <c r="J34" s="1573"/>
      <c r="K34" s="1032"/>
      <c r="L34" s="1032"/>
      <c r="M34" s="1032"/>
      <c r="N34" s="1065"/>
      <c r="O34" s="1380"/>
      <c r="P34" s="1575"/>
      <c r="Q34" s="1380"/>
      <c r="R34" s="1575"/>
      <c r="S34" s="1065"/>
      <c r="T34" s="1065"/>
      <c r="U34" s="1065"/>
      <c r="V34" s="1065"/>
      <c r="W34" s="1065"/>
      <c r="X34" s="1575"/>
      <c r="Y34" s="1065"/>
      <c r="Z34" s="1575"/>
      <c r="AA34" s="1576"/>
      <c r="AB34" s="1539"/>
      <c r="AC34" s="1420"/>
      <c r="AD34" s="3219" t="s">
        <v>608</v>
      </c>
      <c r="AE34" s="2631"/>
      <c r="AF34" s="3220" t="str">
        <f>IF(('الصفحة 1'!$Q$14&gt;0),IF(($F$24=1),IF(($F$26=1),((IF((F34=""),"عدد الأجهزة الصالحة",IF((F34=0)," ",IF((F34&gt;0),""))))),""),""),"")</f>
        <v/>
      </c>
      <c r="AG34" s="1032"/>
      <c r="AH34" s="4039" t="str">
        <f>IF(('الصفحة 1'!$Q$14&gt;0),IF(($F$26=""),IF((F34&gt;0),"المخبر غير مجهز",IF(($F$26=1),(F34&gt;0),"")),""),"")</f>
        <v/>
      </c>
      <c r="AI34" s="4040"/>
      <c r="AJ34" s="1032"/>
      <c r="AK34" s="1032"/>
      <c r="AL34" s="1420"/>
    </row>
    <row r="35" spans="1:38" ht="3.9" customHeight="1">
      <c r="A35" s="1420"/>
      <c r="B35" s="1522"/>
      <c r="C35" s="1570"/>
      <c r="D35" s="14"/>
      <c r="G35" s="1506"/>
      <c r="H35" s="1380"/>
      <c r="I35" s="1032"/>
      <c r="J35" s="1573"/>
      <c r="K35" s="1032"/>
      <c r="L35" s="1032"/>
      <c r="M35" s="1032"/>
      <c r="N35" s="1065"/>
      <c r="O35" s="1380"/>
      <c r="P35" s="1575"/>
      <c r="Q35" s="1380"/>
      <c r="R35" s="1575"/>
      <c r="S35" s="1065"/>
      <c r="T35" s="1065"/>
      <c r="U35" s="1065"/>
      <c r="V35" s="1065"/>
      <c r="W35" s="1065"/>
      <c r="X35" s="1575"/>
      <c r="Y35" s="1065"/>
      <c r="Z35" s="1575"/>
      <c r="AA35" s="1576"/>
      <c r="AB35" s="1539"/>
      <c r="AC35" s="1420"/>
      <c r="AD35" s="2923"/>
      <c r="AE35" s="1032"/>
      <c r="AF35" s="2923"/>
      <c r="AG35" s="1032"/>
      <c r="AH35" s="2923"/>
      <c r="AI35" s="2923"/>
      <c r="AJ35" s="1032"/>
      <c r="AK35" s="1032"/>
      <c r="AL35" s="1420"/>
    </row>
    <row r="36" spans="1:38" ht="17.399999999999999">
      <c r="A36" s="1420"/>
      <c r="B36" s="1522"/>
      <c r="C36" s="1570"/>
      <c r="D36" s="14"/>
      <c r="E36" s="1550" t="s">
        <v>821</v>
      </c>
      <c r="F36" s="3908">
        <v>0</v>
      </c>
      <c r="G36" s="3910"/>
      <c r="H36" s="1578" t="str">
        <f>IF(('الصفحة 1'!$Q$14&gt;0),IF(($F$28=0),((IF(((F34+F36)&gt;0)," خطء الأجهزة الصالحة وللتعويض ",IF(((F34+F36)=0)," ",IF(((F34+F36)=0),""))))),""),"")</f>
        <v xml:space="preserve"> </v>
      </c>
      <c r="I36" s="1032"/>
      <c r="J36" s="1573"/>
      <c r="K36" s="1032"/>
      <c r="L36" s="1032"/>
      <c r="M36" s="1032"/>
      <c r="N36" s="1065"/>
      <c r="O36" s="1380"/>
      <c r="P36" s="1575"/>
      <c r="Q36" s="1380"/>
      <c r="R36" s="1575"/>
      <c r="S36" s="1065"/>
      <c r="T36" s="1065"/>
      <c r="U36" s="1065"/>
      <c r="V36" s="1065"/>
      <c r="W36" s="1065"/>
      <c r="X36" s="1575"/>
      <c r="Y36" s="1065"/>
      <c r="Z36" s="1575"/>
      <c r="AA36" s="1576"/>
      <c r="AB36" s="1539"/>
      <c r="AC36" s="1420"/>
      <c r="AD36" s="3219" t="s">
        <v>638</v>
      </c>
      <c r="AE36" s="2631"/>
      <c r="AF36" s="3220" t="str">
        <f>IF(('الصفحة 1'!$Q$14&gt;0),IF(($F$24=1),IF(($F$26=1),((IF((F36=""),"عدد الأجهزة للتعويض",IF((F36=0)," ",IF((F36&gt;0),""))))),""),""),"")</f>
        <v/>
      </c>
      <c r="AG36" s="1032"/>
      <c r="AH36" s="4039" t="str">
        <f>IF(('الصفحة 1'!$Q$14&gt;0),IF(($F$26=""),IF((F36&gt;0),"المخبر غير مجهز",IF(($F$26=1),(F36&gt;0),"")),""),"")</f>
        <v/>
      </c>
      <c r="AI36" s="4040"/>
      <c r="AJ36" s="1032"/>
      <c r="AK36" s="1032"/>
      <c r="AL36" s="1420"/>
    </row>
    <row r="37" spans="1:38" ht="3.9" customHeight="1">
      <c r="A37" s="1420"/>
      <c r="B37" s="1522"/>
      <c r="C37" s="1570"/>
      <c r="D37" s="761"/>
      <c r="H37" s="761"/>
      <c r="I37" s="761"/>
      <c r="J37" s="761"/>
      <c r="K37" s="761"/>
      <c r="L37" s="761"/>
      <c r="M37" s="761"/>
      <c r="N37" s="761"/>
      <c r="O37" s="761"/>
      <c r="P37" s="761"/>
      <c r="Q37" s="761"/>
      <c r="R37" s="761"/>
      <c r="S37" s="761"/>
      <c r="T37" s="761"/>
      <c r="U37" s="761"/>
      <c r="V37" s="761"/>
      <c r="W37" s="761"/>
      <c r="X37" s="761"/>
      <c r="Y37" s="761"/>
      <c r="Z37" s="761"/>
      <c r="AA37" s="1530"/>
      <c r="AB37" s="1539"/>
      <c r="AC37" s="1420"/>
      <c r="AD37" s="1032"/>
      <c r="AE37" s="1032"/>
      <c r="AF37" s="1032"/>
      <c r="AG37" s="1032"/>
      <c r="AH37" s="1032"/>
      <c r="AI37" s="1032"/>
      <c r="AJ37" s="1032"/>
      <c r="AK37" s="1032"/>
      <c r="AL37" s="1420"/>
    </row>
    <row r="38" spans="1:38" ht="15" customHeight="1">
      <c r="A38" s="1420"/>
      <c r="B38" s="1522"/>
      <c r="C38" s="1611" t="s">
        <v>1226</v>
      </c>
      <c r="D38" s="1533"/>
      <c r="E38" s="1579"/>
      <c r="F38" s="1579"/>
      <c r="G38" s="1580"/>
      <c r="H38" s="1579"/>
      <c r="I38" s="1581"/>
      <c r="J38" s="1582"/>
      <c r="K38" s="1583"/>
      <c r="L38" s="1582"/>
      <c r="M38" s="1583"/>
      <c r="N38" s="1583"/>
      <c r="O38" s="1579"/>
      <c r="P38" s="1579"/>
      <c r="Q38" s="1579"/>
      <c r="R38" s="1579"/>
      <c r="S38" s="1582"/>
      <c r="T38" s="1582"/>
      <c r="U38" s="1584"/>
      <c r="V38" s="1584"/>
      <c r="W38" s="1584"/>
      <c r="X38" s="1584"/>
      <c r="Y38" s="1585" t="s">
        <v>822</v>
      </c>
      <c r="Z38" s="1586"/>
      <c r="AA38" s="1587"/>
      <c r="AB38" s="1539"/>
      <c r="AC38" s="1420"/>
      <c r="AD38" s="4050" t="str">
        <f>IF(('الصفحة 1'!$Q$14&gt;0),IF((F28)&lt;&gt;(F30+F32)," خطأ في عدد الاجهزة المركزية و العادية"," "),"")</f>
        <v xml:space="preserve"> </v>
      </c>
      <c r="AE38" s="4051"/>
      <c r="AF38" s="4052"/>
      <c r="AG38" s="2632"/>
      <c r="AH38" s="4050" t="str">
        <f>IF(('الصفحة 1'!$Q$14&gt;0),IF((F28)&lt;&gt;(F34+F36)," خطأ في عدد الاجهزة الصالحة و للتعويض"," "),"")</f>
        <v xml:space="preserve"> </v>
      </c>
      <c r="AI38" s="4051"/>
      <c r="AJ38" s="4051"/>
      <c r="AK38" s="4052"/>
      <c r="AL38" s="1420"/>
    </row>
    <row r="39" spans="1:38" ht="3.9" customHeight="1" thickBot="1">
      <c r="A39" s="1420"/>
      <c r="B39" s="1522"/>
      <c r="C39" s="1570"/>
      <c r="D39" s="1588"/>
      <c r="H39" s="1588"/>
      <c r="I39" s="1588"/>
      <c r="J39" s="1588"/>
      <c r="K39" s="1588"/>
      <c r="L39" s="1588"/>
      <c r="M39" s="1588"/>
      <c r="N39" s="1588"/>
      <c r="O39" s="1588"/>
      <c r="P39" s="1588"/>
      <c r="Q39" s="1588"/>
      <c r="R39" s="1588"/>
      <c r="S39" s="1588"/>
      <c r="T39" s="1588"/>
      <c r="U39" s="1588"/>
      <c r="V39" s="1588"/>
      <c r="W39" s="1588"/>
      <c r="X39" s="1588"/>
      <c r="Y39" s="1588"/>
      <c r="Z39" s="1588"/>
      <c r="AA39" s="1589"/>
      <c r="AB39" s="1539"/>
      <c r="AC39" s="1420"/>
      <c r="AD39" s="1032"/>
      <c r="AE39" s="1032"/>
      <c r="AF39" s="1032"/>
      <c r="AG39" s="1032"/>
      <c r="AH39" s="1032"/>
      <c r="AI39" s="1032"/>
      <c r="AJ39" s="1032"/>
      <c r="AK39" s="1032"/>
      <c r="AL39" s="1420"/>
    </row>
    <row r="40" spans="1:38" ht="15" customHeight="1" thickBot="1">
      <c r="A40" s="1420"/>
      <c r="B40" s="1522"/>
      <c r="C40" s="1590"/>
      <c r="D40" s="1588"/>
      <c r="E40" s="1591" t="s">
        <v>823</v>
      </c>
      <c r="F40" s="1642">
        <v>1</v>
      </c>
      <c r="G40" s="1593"/>
      <c r="H40" s="1594"/>
      <c r="I40" s="1594"/>
      <c r="J40" s="1594"/>
      <c r="K40" s="1594"/>
      <c r="L40" s="1594"/>
      <c r="M40" s="1595"/>
      <c r="N40" s="761"/>
      <c r="O40" s="1845" t="s">
        <v>890</v>
      </c>
      <c r="P40" s="1642">
        <v>1</v>
      </c>
      <c r="Q40" s="1594"/>
      <c r="R40" s="1594"/>
      <c r="S40" s="3223" t="str">
        <f>IF(('الصفحة 1'!$Q$14&gt;0),IF(($F$40=0),IF((F50&gt;0),"خطء فضاءات للغسل مع إنعدام الماء",IF(($F$40=1),(F40&gt;0),"")),""),"")</f>
        <v/>
      </c>
      <c r="T40" s="1594"/>
      <c r="U40" s="1594"/>
      <c r="V40" s="1594"/>
      <c r="W40" s="1594"/>
      <c r="X40" s="1594"/>
      <c r="Y40" s="1594"/>
      <c r="Z40" s="1594"/>
      <c r="AA40" s="1589"/>
      <c r="AB40" s="1539"/>
      <c r="AC40" s="1420"/>
      <c r="AD40" s="1032"/>
      <c r="AE40" s="1032"/>
      <c r="AF40" s="1032"/>
      <c r="AG40" s="1032"/>
      <c r="AH40" s="1032"/>
      <c r="AI40" s="1032"/>
      <c r="AJ40" s="1032"/>
      <c r="AK40" s="1032"/>
      <c r="AL40" s="1420"/>
    </row>
    <row r="41" spans="1:38" ht="3.9" customHeight="1" thickBot="1">
      <c r="A41" s="1420"/>
      <c r="B41" s="1522"/>
      <c r="C41" s="1570"/>
      <c r="D41" s="1588"/>
      <c r="G41" s="1032"/>
      <c r="H41" s="1594"/>
      <c r="I41" s="1594"/>
      <c r="J41" s="1594"/>
      <c r="K41" s="1594"/>
      <c r="L41" s="1594"/>
      <c r="M41" s="1594"/>
      <c r="N41" s="1594"/>
      <c r="O41" s="1594"/>
      <c r="P41" s="1594"/>
      <c r="Q41" s="1594"/>
      <c r="R41" s="1594"/>
      <c r="S41" s="1594"/>
      <c r="T41" s="1594"/>
      <c r="U41" s="1594"/>
      <c r="V41" s="1594"/>
      <c r="W41" s="1594"/>
      <c r="X41" s="1594"/>
      <c r="Y41" s="1594"/>
      <c r="Z41" s="1594"/>
      <c r="AA41" s="1589"/>
      <c r="AB41" s="1539"/>
      <c r="AC41" s="1420"/>
      <c r="AD41" s="1032"/>
      <c r="AE41" s="1032"/>
      <c r="AF41" s="1032"/>
      <c r="AG41" s="1032"/>
      <c r="AH41" s="1032"/>
      <c r="AI41" s="1032"/>
      <c r="AJ41" s="1032"/>
      <c r="AK41" s="1032"/>
      <c r="AL41" s="1420"/>
    </row>
    <row r="42" spans="1:38" ht="15" customHeight="1" thickBot="1">
      <c r="A42" s="1420"/>
      <c r="B42" s="1522"/>
      <c r="C42" s="1570"/>
      <c r="D42" s="1588"/>
      <c r="E42" s="1571" t="s">
        <v>824</v>
      </c>
      <c r="F42" s="1642">
        <v>0</v>
      </c>
      <c r="G42" s="1032"/>
      <c r="H42" s="1594"/>
      <c r="I42" s="1594"/>
      <c r="J42" s="1594"/>
      <c r="K42" s="1594"/>
      <c r="L42" s="1594"/>
      <c r="O42" s="1594"/>
      <c r="P42" s="1594"/>
      <c r="Q42" s="1594"/>
      <c r="R42" s="1594"/>
      <c r="S42" s="1602" t="str">
        <f>IF(('الصفحة 1'!$Q$14&gt;0),IF(($F$48=0),IF((K48&gt;0),"خطء مع إنعدام مراخيض",IF(($F$48=1),(K48&gt;0),"")),""),"")</f>
        <v/>
      </c>
      <c r="T42" s="1594"/>
      <c r="U42" s="1594"/>
      <c r="V42" s="1594"/>
      <c r="W42" s="1594"/>
      <c r="X42" s="1594"/>
      <c r="Y42" s="1594"/>
      <c r="Z42" s="1594"/>
      <c r="AA42" s="1589"/>
      <c r="AB42" s="1539"/>
      <c r="AC42" s="1420"/>
      <c r="AD42" s="3235" t="s">
        <v>825</v>
      </c>
      <c r="AE42" s="2633"/>
      <c r="AF42" s="3220" t="str">
        <f>IF(('الصفحة 1'!$Q$14&gt;0),((IF((F40=""),"الربط بشبكة الماء ",IF((F40=0)," ",IF((F40=1),""))))),"")</f>
        <v/>
      </c>
      <c r="AG42" s="1670"/>
      <c r="AH42" s="4046" t="s">
        <v>826</v>
      </c>
      <c r="AI42" s="4047"/>
      <c r="AJ42" s="2633"/>
      <c r="AK42" s="3220" t="str">
        <f>IF(('الصفحة 1'!$Q$14&gt;0),((IF((F42=""),"توجد صهاريـج الميـاه ",IF((F42=0)," ",IF((F42=1),""))))),"")</f>
        <v xml:space="preserve"> </v>
      </c>
      <c r="AL42" s="1420"/>
    </row>
    <row r="43" spans="1:38" ht="3.9" customHeight="1" thickBot="1">
      <c r="A43" s="1420"/>
      <c r="B43" s="1522"/>
      <c r="C43" s="1570"/>
      <c r="D43" s="1588"/>
      <c r="E43" s="1588"/>
      <c r="F43" s="1588"/>
      <c r="G43" s="1594"/>
      <c r="H43" s="1594"/>
      <c r="I43" s="1594"/>
      <c r="J43" s="1594"/>
      <c r="K43" s="1594"/>
      <c r="L43" s="1594"/>
      <c r="M43" s="1594"/>
      <c r="N43" s="1594"/>
      <c r="O43" s="1594"/>
      <c r="P43" s="1594"/>
      <c r="Q43" s="1594"/>
      <c r="R43" s="1594"/>
      <c r="S43" s="1594"/>
      <c r="T43" s="1594"/>
      <c r="U43" s="1594"/>
      <c r="V43" s="1594"/>
      <c r="W43" s="1594"/>
      <c r="X43" s="1594"/>
      <c r="Y43" s="1594"/>
      <c r="Z43" s="1594"/>
      <c r="AA43" s="1589"/>
      <c r="AB43" s="1539"/>
      <c r="AC43" s="1420"/>
      <c r="AD43" s="3236"/>
      <c r="AE43" s="2614"/>
      <c r="AF43" s="3226"/>
      <c r="AG43" s="2614"/>
      <c r="AH43" s="3236"/>
      <c r="AI43" s="3236"/>
      <c r="AJ43" s="2614"/>
      <c r="AK43" s="3226"/>
      <c r="AL43" s="1420"/>
    </row>
    <row r="44" spans="1:38" ht="15" customHeight="1" thickBot="1">
      <c r="A44" s="1420"/>
      <c r="B44" s="1522"/>
      <c r="C44" s="1570"/>
      <c r="E44" s="1571" t="s">
        <v>827</v>
      </c>
      <c r="F44" s="1642">
        <v>1</v>
      </c>
      <c r="G44" s="1596"/>
      <c r="H44" s="1594"/>
      <c r="I44" s="1594"/>
      <c r="J44" s="1594"/>
      <c r="K44" s="1594"/>
      <c r="L44" s="1594"/>
      <c r="M44" s="1595"/>
      <c r="O44" s="1621" t="s">
        <v>891</v>
      </c>
      <c r="P44" s="1642">
        <v>1</v>
      </c>
      <c r="Q44" s="1594"/>
      <c r="R44" s="1594"/>
      <c r="S44" s="1594"/>
      <c r="T44" s="1594"/>
      <c r="U44" s="1594"/>
      <c r="V44" s="1594"/>
      <c r="W44" s="1594"/>
      <c r="X44" s="1594"/>
      <c r="Y44" s="1594"/>
      <c r="Z44" s="1594"/>
      <c r="AA44" s="1589"/>
      <c r="AB44" s="1539"/>
      <c r="AC44" s="1420"/>
      <c r="AD44" s="3235" t="s">
        <v>828</v>
      </c>
      <c r="AE44" s="2633"/>
      <c r="AF44" s="3220" t="str">
        <f>IF(('الصفحة 1'!$Q$14&gt;0),((IF((F46=""),"أجهــزة تبريـد الميـاه ",IF((F46=0)," ",IF((F46=1),""))))),"")</f>
        <v xml:space="preserve"> </v>
      </c>
      <c r="AG44" s="2614"/>
      <c r="AH44" s="4046" t="s">
        <v>829</v>
      </c>
      <c r="AI44" s="4047"/>
      <c r="AJ44" s="2633"/>
      <c r="AK44" s="3220" t="str">
        <f>IF(('الصفحة 1'!$Q$14&gt;0),((IF((F44="")," يوجـد خــزان المـاء ",IF((F44=0)," ",IF((F44=1),""))))),"")</f>
        <v/>
      </c>
      <c r="AL44" s="1420"/>
    </row>
    <row r="45" spans="1:38" ht="3.9" customHeight="1" thickBot="1">
      <c r="A45" s="1420"/>
      <c r="B45" s="1522"/>
      <c r="C45" s="1570"/>
      <c r="D45" s="1588"/>
      <c r="E45" s="1588"/>
      <c r="F45" s="1588"/>
      <c r="G45" s="1594"/>
      <c r="H45" s="1594"/>
      <c r="I45" s="1594"/>
      <c r="J45" s="1594"/>
      <c r="K45" s="1594"/>
      <c r="L45" s="1594"/>
      <c r="M45" s="1594"/>
      <c r="N45" s="1594"/>
      <c r="O45" s="1594"/>
      <c r="P45" s="1594"/>
      <c r="Q45" s="1594"/>
      <c r="R45" s="1594"/>
      <c r="S45" s="1594"/>
      <c r="T45" s="1594"/>
      <c r="U45" s="1594"/>
      <c r="V45" s="1594"/>
      <c r="W45" s="1594"/>
      <c r="X45" s="1594"/>
      <c r="Y45" s="1594"/>
      <c r="Z45" s="1594"/>
      <c r="AA45" s="1589"/>
      <c r="AB45" s="1539"/>
      <c r="AC45" s="1420"/>
      <c r="AD45" s="3236"/>
      <c r="AE45" s="2614"/>
      <c r="AF45" s="3226"/>
      <c r="AG45" s="2614"/>
      <c r="AH45" s="3236"/>
      <c r="AI45" s="3241"/>
      <c r="AJ45" s="2614"/>
      <c r="AK45" s="3226"/>
      <c r="AL45" s="1420"/>
    </row>
    <row r="46" spans="1:38" ht="15" customHeight="1" thickBot="1">
      <c r="A46" s="1420"/>
      <c r="B46" s="1522"/>
      <c r="C46" s="1597"/>
      <c r="D46" s="1588"/>
      <c r="E46" s="1598" t="s">
        <v>830</v>
      </c>
      <c r="F46" s="1642">
        <v>0</v>
      </c>
      <c r="G46" s="1599"/>
      <c r="H46" s="1600"/>
      <c r="I46" s="1588"/>
      <c r="J46" s="1601" t="s">
        <v>831</v>
      </c>
      <c r="K46" s="3908">
        <v>0</v>
      </c>
      <c r="L46" s="3909"/>
      <c r="M46" s="3910"/>
      <c r="N46" s="1602" t="str">
        <f>IF(('الصفحة 1'!$Q$14&gt;0),IF(($F$46=""),IF((K46&gt;0),"خطء أجهزة تبريـد غيرموجودة",IF(($F$46=1),(K46&gt;0),"")),""),"")</f>
        <v/>
      </c>
      <c r="O46" s="1594"/>
      <c r="P46" s="1594"/>
      <c r="Q46" s="1594"/>
      <c r="R46" s="1594"/>
      <c r="T46" s="1594"/>
      <c r="U46" s="1594"/>
      <c r="W46" s="1594"/>
      <c r="X46" s="1594"/>
      <c r="Y46" s="1594"/>
      <c r="Z46" s="1594"/>
      <c r="AA46" s="1603"/>
      <c r="AB46" s="1539"/>
      <c r="AC46" s="1420"/>
      <c r="AD46" s="3235" t="s">
        <v>832</v>
      </c>
      <c r="AE46" s="2633"/>
      <c r="AF46" s="3220" t="str">
        <f>IF(('الصفحة 1'!$Q$14&gt;0),IF(($F$46=1),((IF((K46=""),"عـدد أجهــزة تبريـد الميـاه ",IF((K46=0)," ",IF((K46&gt;0),""))))),""),"")</f>
        <v/>
      </c>
      <c r="AG46" s="1032"/>
      <c r="AH46" s="4039" t="str">
        <f>IF(('الصفحة 1'!$Q$14&gt;0),IF(($F$46=""),IF((K46&gt;0),"أجهزة تبريد غيرموجودة",IF(($F$46=1),(K46&gt;0),"")),""),"")</f>
        <v/>
      </c>
      <c r="AI46" s="4040"/>
      <c r="AJ46" s="1032"/>
      <c r="AK46" s="2923"/>
      <c r="AL46" s="1420"/>
    </row>
    <row r="47" spans="1:38" ht="3.9" customHeight="1" thickBot="1">
      <c r="A47" s="1420"/>
      <c r="B47" s="1522"/>
      <c r="C47" s="1570"/>
      <c r="D47" s="1588"/>
      <c r="E47" s="1588"/>
      <c r="F47" s="1588"/>
      <c r="G47" s="1588"/>
      <c r="H47" s="1588"/>
      <c r="I47" s="1588"/>
      <c r="J47" s="1588"/>
      <c r="K47" s="1588"/>
      <c r="L47" s="1588"/>
      <c r="M47" s="1588"/>
      <c r="N47" s="1594"/>
      <c r="O47" s="1594"/>
      <c r="P47" s="1594"/>
      <c r="Q47" s="1594"/>
      <c r="R47" s="1594"/>
      <c r="S47" s="1594"/>
      <c r="T47" s="1594"/>
      <c r="U47" s="1594"/>
      <c r="V47" s="1594"/>
      <c r="W47" s="1594"/>
      <c r="X47" s="1594"/>
      <c r="Y47" s="1594"/>
      <c r="Z47" s="1594"/>
      <c r="AA47" s="1603"/>
      <c r="AB47" s="1539"/>
      <c r="AC47" s="1420"/>
      <c r="AD47" s="3236"/>
      <c r="AE47" s="2614"/>
      <c r="AF47" s="3226"/>
      <c r="AG47" s="2614"/>
      <c r="AH47" s="3236"/>
      <c r="AI47" s="3236"/>
      <c r="AJ47" s="2614"/>
      <c r="AK47" s="3226"/>
      <c r="AL47" s="1420"/>
    </row>
    <row r="48" spans="1:38" ht="15" customHeight="1" thickBot="1">
      <c r="A48" s="1420"/>
      <c r="B48" s="1522"/>
      <c r="C48" s="1604"/>
      <c r="D48" s="477"/>
      <c r="E48" s="1605" t="s">
        <v>1382</v>
      </c>
      <c r="F48" s="1642">
        <v>1</v>
      </c>
      <c r="G48" s="2985"/>
      <c r="H48" s="1529"/>
      <c r="I48" s="1606"/>
      <c r="J48" s="1607" t="s">
        <v>1383</v>
      </c>
      <c r="K48" s="4090">
        <v>31</v>
      </c>
      <c r="L48" s="4091"/>
      <c r="M48" s="4092"/>
      <c r="N48" s="7"/>
      <c r="O48" s="761"/>
      <c r="P48" s="493"/>
      <c r="Q48" s="477"/>
      <c r="R48" s="1608"/>
      <c r="S48" s="761"/>
      <c r="T48" s="3254" t="s">
        <v>833</v>
      </c>
      <c r="U48" s="3908">
        <v>16</v>
      </c>
      <c r="V48" s="3910"/>
      <c r="W48" s="1882" t="str">
        <f>IF(('الصفحة 1'!$Q$14&gt;0),IF(($K$48=""),IF((U48&gt;0),"خطء مراحيض بنات",IF(($K$48&gt;0),(U48&gt;0),"")),""),"")</f>
        <v/>
      </c>
      <c r="X48" s="1371"/>
      <c r="Y48" s="1383"/>
      <c r="Z48" s="1383"/>
      <c r="AA48" s="1603"/>
      <c r="AB48" s="1539"/>
      <c r="AC48" s="1420"/>
      <c r="AD48" s="3235" t="s">
        <v>834</v>
      </c>
      <c r="AE48" s="2633"/>
      <c r="AF48" s="3220" t="str">
        <f>IF(('الصفحة 1'!$Q$14&gt;0),((IF((K48=""),"المراحيض",IF((K48=0)," ",IF((K48&gt;0),""))))),"")</f>
        <v/>
      </c>
      <c r="AG48" s="2614"/>
      <c r="AH48" s="4046" t="s">
        <v>1386</v>
      </c>
      <c r="AI48" s="4047"/>
      <c r="AJ48" s="2633"/>
      <c r="AK48" s="3220" t="str">
        <f>IF(('الصفحة 1'!$Q$14&gt;0),((IF((K50=""),"عـدد الحنفيات",IF((K50=0)," ",IF((K50&gt;0),""))))),"")</f>
        <v/>
      </c>
      <c r="AL48" s="1420"/>
    </row>
    <row r="49" spans="1:38" ht="3.9" customHeight="1" thickBot="1">
      <c r="A49" s="1420"/>
      <c r="B49" s="1522"/>
      <c r="C49" s="1570"/>
      <c r="D49" s="1588"/>
      <c r="E49" s="1588"/>
      <c r="F49" s="1588"/>
      <c r="G49" s="1588"/>
      <c r="H49" s="1588"/>
      <c r="I49" s="1588"/>
      <c r="J49" s="1588"/>
      <c r="K49" s="1588"/>
      <c r="L49" s="1588"/>
      <c r="M49" s="1588"/>
      <c r="N49" s="1588"/>
      <c r="O49" s="1588"/>
      <c r="P49" s="1588"/>
      <c r="Q49" s="1588"/>
      <c r="R49" s="1588"/>
      <c r="S49" s="1588"/>
      <c r="T49" s="3255"/>
      <c r="U49" s="1588"/>
      <c r="V49" s="1588"/>
      <c r="W49" s="1594"/>
      <c r="X49" s="1594"/>
      <c r="Y49" s="1594"/>
      <c r="Z49" s="1594"/>
      <c r="AA49" s="1603"/>
      <c r="AB49" s="1539"/>
      <c r="AC49" s="1420"/>
      <c r="AD49" s="3236"/>
      <c r="AE49" s="2614"/>
      <c r="AF49" s="3226"/>
      <c r="AG49" s="2614"/>
      <c r="AH49" s="3236"/>
      <c r="AI49" s="3236"/>
      <c r="AJ49" s="2614"/>
      <c r="AK49" s="2634"/>
      <c r="AL49" s="1420"/>
    </row>
    <row r="50" spans="1:38" ht="15" customHeight="1" thickBot="1">
      <c r="A50" s="1420"/>
      <c r="B50" s="1522"/>
      <c r="C50" s="1590"/>
      <c r="D50" s="1588"/>
      <c r="E50" s="1609" t="s">
        <v>1384</v>
      </c>
      <c r="F50" s="1642">
        <v>1</v>
      </c>
      <c r="G50" s="2985"/>
      <c r="H50" s="1676"/>
      <c r="I50" s="1610"/>
      <c r="J50" s="1607" t="s">
        <v>1385</v>
      </c>
      <c r="K50" s="3908">
        <v>10</v>
      </c>
      <c r="L50" s="3909"/>
      <c r="M50" s="3910"/>
      <c r="N50" s="469"/>
      <c r="O50" s="469"/>
      <c r="P50" s="469"/>
      <c r="Q50" s="468"/>
      <c r="R50" s="468"/>
      <c r="S50" s="761"/>
      <c r="T50" s="3254" t="s">
        <v>833</v>
      </c>
      <c r="U50" s="3908">
        <v>4</v>
      </c>
      <c r="V50" s="3910"/>
      <c r="W50" s="1882" t="str">
        <f>IF(('الصفحة 1'!$Q$14&gt;0),IF(($K$50=""),IF((U50&gt;0),"خطء حنفيات بنات",IF(($K$50&gt;0),(U50&gt;0),"")),""),"")</f>
        <v/>
      </c>
      <c r="X50" s="1065"/>
      <c r="Y50" s="1065"/>
      <c r="Z50" s="1065"/>
      <c r="AA50" s="1603"/>
      <c r="AB50" s="1539"/>
      <c r="AC50" s="1420"/>
      <c r="AD50" s="3235" t="s">
        <v>835</v>
      </c>
      <c r="AE50" s="2633"/>
      <c r="AF50" s="3220" t="str">
        <f>IF(('الصفحة 1'!$Q$14&gt;0),((IF((U48=""),"المراحيض مخصصة للبنات",IF((U48=0)," ",IF((U48&gt;0),""))))),"")</f>
        <v/>
      </c>
      <c r="AG50" s="2614"/>
      <c r="AH50" s="4048" t="s">
        <v>1387</v>
      </c>
      <c r="AI50" s="4049"/>
      <c r="AJ50" s="2633"/>
      <c r="AK50" s="2628" t="str">
        <f>IF(('الصفحة 1'!$Q$14&gt;0),((IF((U50=""),"الحنفيات مخصصة للبنات",IF((U50=0)," ",IF((U50&gt;0),""))))),"")</f>
        <v/>
      </c>
      <c r="AL50" s="1420"/>
    </row>
    <row r="51" spans="1:38" ht="3.9" customHeight="1" thickBot="1">
      <c r="A51" s="1420"/>
      <c r="B51" s="1522"/>
      <c r="C51" s="1570"/>
      <c r="D51" s="1588"/>
      <c r="E51" s="1588"/>
      <c r="F51" s="1588">
        <v>1</v>
      </c>
      <c r="G51" s="1588"/>
      <c r="H51" s="1588"/>
      <c r="I51" s="1588"/>
      <c r="J51" s="1588"/>
      <c r="K51" s="1588"/>
      <c r="L51" s="1588"/>
      <c r="M51" s="1588"/>
      <c r="N51" s="1588"/>
      <c r="O51" s="1588"/>
      <c r="P51" s="1588"/>
      <c r="Q51" s="1588"/>
      <c r="R51" s="1588"/>
      <c r="S51" s="1588"/>
      <c r="T51" s="1588"/>
      <c r="U51" s="1588"/>
      <c r="V51" s="1588"/>
      <c r="W51" s="1588"/>
      <c r="X51" s="1588"/>
      <c r="Y51" s="1588"/>
      <c r="Z51" s="1588"/>
      <c r="AA51" s="1589"/>
      <c r="AB51" s="1539"/>
      <c r="AC51" s="1420"/>
      <c r="AD51" s="3236"/>
      <c r="AE51" s="2614"/>
      <c r="AF51" s="3226"/>
      <c r="AG51" s="2614"/>
      <c r="AH51" s="3236"/>
      <c r="AI51" s="3236"/>
      <c r="AJ51" s="2614"/>
      <c r="AK51" s="2634"/>
      <c r="AL51" s="1420"/>
    </row>
    <row r="52" spans="1:38" ht="15" customHeight="1" thickBot="1">
      <c r="A52" s="1420"/>
      <c r="B52" s="1522"/>
      <c r="C52" s="1611"/>
      <c r="D52" s="1612"/>
      <c r="E52" s="1842" t="s">
        <v>1227</v>
      </c>
      <c r="F52" s="1642">
        <v>1</v>
      </c>
      <c r="G52" s="1614"/>
      <c r="H52" s="1615"/>
      <c r="I52" s="1615"/>
      <c r="J52" s="1615"/>
      <c r="K52" s="1615"/>
      <c r="L52" s="1615"/>
      <c r="M52" s="1842" t="s">
        <v>892</v>
      </c>
      <c r="N52" s="1642">
        <v>1</v>
      </c>
      <c r="O52" s="3739">
        <f>IF((F52+N52=2),(1),(2))</f>
        <v>1</v>
      </c>
      <c r="P52" s="1616"/>
      <c r="Q52" s="1615"/>
      <c r="R52" s="1615"/>
      <c r="S52" s="1617"/>
      <c r="T52" s="1617"/>
      <c r="U52" s="1615"/>
      <c r="V52" s="1615"/>
      <c r="W52" s="1615"/>
      <c r="X52" s="1615"/>
      <c r="Y52" s="1618" t="s">
        <v>836</v>
      </c>
      <c r="Z52" s="1615"/>
      <c r="AA52" s="1619"/>
      <c r="AB52" s="1539"/>
      <c r="AC52" s="1420"/>
      <c r="AD52" s="3237" t="s">
        <v>837</v>
      </c>
      <c r="AE52" s="2627"/>
      <c r="AF52" s="3220" t="str">
        <f>IF(('الصفحة 1'!$Q$14&gt;0),((IF((F52=""),"الربط بشبكة الكهرباء ",IF((F52=0)," ",IF((F52=1),""))))),"")</f>
        <v/>
      </c>
      <c r="AG52" s="2614"/>
      <c r="AH52" s="3242"/>
      <c r="AI52" s="3236"/>
      <c r="AJ52" s="2614"/>
      <c r="AK52" s="1889" t="s">
        <v>1337</v>
      </c>
      <c r="AL52" s="1420"/>
    </row>
    <row r="53" spans="1:38" ht="3.9" customHeight="1" thickBot="1">
      <c r="A53" s="1420"/>
      <c r="B53" s="1522"/>
      <c r="C53" s="1570"/>
      <c r="D53" s="1588"/>
      <c r="E53" s="1588"/>
      <c r="F53" s="1588"/>
      <c r="G53" s="1594"/>
      <c r="H53" s="1594"/>
      <c r="I53" s="1594"/>
      <c r="J53" s="1594"/>
      <c r="K53" s="1594"/>
      <c r="L53" s="1594"/>
      <c r="M53" s="1594"/>
      <c r="N53" s="1594"/>
      <c r="O53" s="1594"/>
      <c r="P53" s="1594"/>
      <c r="Q53" s="1594"/>
      <c r="R53" s="1594"/>
      <c r="S53" s="1594"/>
      <c r="T53" s="1594"/>
      <c r="U53" s="1594"/>
      <c r="V53" s="1594"/>
      <c r="W53" s="1594"/>
      <c r="X53" s="1594"/>
      <c r="Y53" s="1594"/>
      <c r="Z53" s="1594"/>
      <c r="AA53" s="1603">
        <f>'الصفحة 1'!G46</f>
        <v>1</v>
      </c>
      <c r="AB53" s="1539"/>
      <c r="AC53" s="1420"/>
      <c r="AD53" s="3238"/>
      <c r="AE53" s="2627"/>
      <c r="AF53" s="3227"/>
      <c r="AG53" s="2614"/>
      <c r="AH53" s="3236"/>
      <c r="AI53" s="3236"/>
      <c r="AJ53" s="2614"/>
      <c r="AK53" s="2614"/>
      <c r="AL53" s="1420"/>
    </row>
    <row r="54" spans="1:38" ht="15" customHeight="1" thickBot="1">
      <c r="A54" s="1420"/>
      <c r="B54" s="1522"/>
      <c r="C54" s="1570"/>
      <c r="D54" s="1588"/>
      <c r="E54" s="3675" t="s">
        <v>838</v>
      </c>
      <c r="F54" s="1642">
        <v>0</v>
      </c>
      <c r="I54" s="1594"/>
      <c r="J54" s="3232" t="s">
        <v>1450</v>
      </c>
      <c r="K54" s="4044">
        <v>0</v>
      </c>
      <c r="L54" s="4045"/>
      <c r="M54" s="1594"/>
      <c r="N54" s="3257"/>
      <c r="O54" s="3258"/>
      <c r="P54" s="3258"/>
      <c r="Q54" s="3258"/>
      <c r="R54" s="3258"/>
      <c r="S54" s="3258"/>
      <c r="T54" s="3258"/>
      <c r="U54" s="3258"/>
      <c r="V54" s="3258"/>
      <c r="W54" s="3258"/>
      <c r="X54" s="3258"/>
      <c r="Y54" s="3258"/>
      <c r="Z54" s="3259" t="s">
        <v>1436</v>
      </c>
      <c r="AA54" s="3260"/>
      <c r="AB54" s="1539"/>
      <c r="AC54" s="1420"/>
      <c r="AD54" s="3237" t="s">
        <v>839</v>
      </c>
      <c r="AE54" s="2627"/>
      <c r="AF54" s="3228" t="str">
        <f>IF(('الصفحة 1'!$Q$14&gt;0),((IF((F54=""),"مكيفـات هوائية  موجودة",IF((F54=0)," ",IF((F54=1),""))))),"")</f>
        <v xml:space="preserve"> </v>
      </c>
      <c r="AG54" s="1032"/>
      <c r="AH54" s="4039" t="str">
        <f>IF(('الصفحة 1'!$Q$14&gt;0),IF(($F$52=""),IF((F54=1),"شبكة الكهـرباء",IF(($F$52&gt;0),(F54=1),"")),""),"")</f>
        <v/>
      </c>
      <c r="AI54" s="4040"/>
      <c r="AJ54" s="1032"/>
      <c r="AK54" s="1889" t="s">
        <v>1338</v>
      </c>
      <c r="AL54" s="1420"/>
    </row>
    <row r="55" spans="1:38" ht="3.9" customHeight="1" thickBot="1">
      <c r="A55" s="1420"/>
      <c r="B55" s="1522"/>
      <c r="C55" s="3676"/>
      <c r="D55" s="3677"/>
      <c r="E55" s="3677"/>
      <c r="F55" s="3677"/>
      <c r="G55" s="3678"/>
      <c r="H55" s="3678"/>
      <c r="I55" s="3678"/>
      <c r="J55" s="3678"/>
      <c r="K55" s="3678"/>
      <c r="L55" s="3678"/>
      <c r="M55" s="1594"/>
      <c r="N55" s="3265"/>
      <c r="O55" s="3263"/>
      <c r="P55" s="3263"/>
      <c r="Q55" s="3263"/>
      <c r="R55" s="3263"/>
      <c r="S55" s="3263"/>
      <c r="T55" s="3263"/>
      <c r="U55" s="3263"/>
      <c r="V55" s="3263"/>
      <c r="W55" s="3263"/>
      <c r="X55" s="3263"/>
      <c r="Y55" s="3263"/>
      <c r="Z55" s="3263"/>
      <c r="AA55" s="3261"/>
      <c r="AB55" s="1539"/>
      <c r="AC55" s="1420"/>
      <c r="AD55" s="3238"/>
      <c r="AE55" s="2627"/>
      <c r="AF55" s="3227"/>
      <c r="AG55" s="2614"/>
      <c r="AH55" s="3236"/>
      <c r="AI55" s="3236"/>
      <c r="AJ55" s="2614"/>
      <c r="AK55" s="2634"/>
      <c r="AL55" s="1420"/>
    </row>
    <row r="56" spans="1:38" ht="15" customHeight="1" thickBot="1">
      <c r="A56" s="1420"/>
      <c r="B56" s="1522"/>
      <c r="C56" s="1570"/>
      <c r="D56" s="1588"/>
      <c r="E56" s="3682" t="s">
        <v>1440</v>
      </c>
      <c r="F56" s="1642">
        <v>0</v>
      </c>
      <c r="G56" s="3679"/>
      <c r="H56" s="3679"/>
      <c r="I56" s="3680"/>
      <c r="J56" s="3681" t="s">
        <v>1454</v>
      </c>
      <c r="K56" s="4095">
        <v>0</v>
      </c>
      <c r="L56" s="4096"/>
      <c r="M56" s="1594"/>
      <c r="N56" s="3265"/>
      <c r="O56" s="3263"/>
      <c r="P56" s="3263"/>
      <c r="Q56" s="3263"/>
      <c r="R56" s="3263"/>
      <c r="S56" s="3263"/>
      <c r="T56" s="3266"/>
      <c r="U56" s="3266" t="s">
        <v>1434</v>
      </c>
      <c r="V56" s="1642">
        <v>0</v>
      </c>
      <c r="W56" s="3263"/>
      <c r="X56" s="3263"/>
      <c r="Y56" s="3266" t="s">
        <v>1438</v>
      </c>
      <c r="Z56" s="1642">
        <v>0</v>
      </c>
      <c r="AA56" s="3327">
        <f>IF((Z56+V56=2),(1),(2))</f>
        <v>2</v>
      </c>
      <c r="AB56" s="1539"/>
      <c r="AC56" s="1420"/>
      <c r="AD56" s="3237" t="s">
        <v>841</v>
      </c>
      <c r="AE56" s="2627"/>
      <c r="AF56" s="3220" t="str">
        <f>IF(('الصفحة 1'!$Q$14&gt;0),IF(($F$54=1),((IF((K54=""),"القاعات المكيفة ",IF((K54=0)," ",IF((K54&gt;0),""))))),""),"")</f>
        <v/>
      </c>
      <c r="AG56" s="2614"/>
      <c r="AH56" s="4039" t="str">
        <f>IF(('الصفحة 1'!$Q$14&gt;0),IF(($F$54=""),IF((K54&gt;0),"مكيفات غير موجودة",IF(($F$54&gt;0),(K54&gt;0),"")),""),"")</f>
        <v/>
      </c>
      <c r="AI56" s="4040"/>
      <c r="AJ56" s="4093" t="s">
        <v>1439</v>
      </c>
      <c r="AK56" s="4094"/>
      <c r="AL56" s="1420"/>
    </row>
    <row r="57" spans="1:38" ht="3.9" customHeight="1" thickBot="1">
      <c r="A57" s="1420"/>
      <c r="B57" s="1522"/>
      <c r="C57" s="3338"/>
      <c r="D57" s="3339"/>
      <c r="E57" s="3339"/>
      <c r="F57" s="3339"/>
      <c r="G57" s="3339"/>
      <c r="H57" s="3340"/>
      <c r="I57" s="3340"/>
      <c r="J57" s="3340"/>
      <c r="K57" s="3340"/>
      <c r="L57" s="3340"/>
      <c r="M57" s="1594"/>
      <c r="N57" s="3265"/>
      <c r="O57" s="3263"/>
      <c r="P57" s="3263"/>
      <c r="Q57" s="3263"/>
      <c r="R57" s="3263"/>
      <c r="S57" s="3263"/>
      <c r="T57" s="3263"/>
      <c r="U57" s="3263"/>
      <c r="V57" s="3263"/>
      <c r="W57" s="3263"/>
      <c r="X57" s="3263"/>
      <c r="Y57" s="3267"/>
      <c r="Z57" s="3263"/>
      <c r="AA57" s="3261"/>
      <c r="AB57" s="1539"/>
      <c r="AC57" s="1420"/>
      <c r="AD57" s="2923"/>
      <c r="AE57" s="1032"/>
      <c r="AF57" s="2923"/>
      <c r="AG57" s="1032"/>
      <c r="AH57" s="2923"/>
      <c r="AI57" s="2923"/>
      <c r="AJ57" s="1032"/>
      <c r="AK57" s="1032"/>
      <c r="AL57" s="1420"/>
    </row>
    <row r="58" spans="1:38" ht="15" customHeight="1" thickBot="1">
      <c r="A58" s="1420"/>
      <c r="B58" s="1522"/>
      <c r="C58" s="3342"/>
      <c r="D58" s="3343"/>
      <c r="E58" s="3344" t="s">
        <v>842</v>
      </c>
      <c r="F58" s="4044">
        <v>0</v>
      </c>
      <c r="G58" s="4045"/>
      <c r="H58" s="1622" t="str">
        <f>IF(('الصفحة 1'!$Q$14&gt;0),IF(($K$54=0),IF((F58&gt;0),"خطء  قاعات غير مكيفــات",IF(($F$58=1),(F58&gt;0),"")),""),"")</f>
        <v/>
      </c>
      <c r="I58" s="1594"/>
      <c r="J58" s="1623"/>
      <c r="K58" s="1594"/>
      <c r="L58" s="1594"/>
      <c r="M58" s="1594"/>
      <c r="N58" s="3265"/>
      <c r="O58" s="3263"/>
      <c r="P58" s="3263"/>
      <c r="Q58" s="3263"/>
      <c r="R58" s="3263"/>
      <c r="S58" s="3263"/>
      <c r="T58" s="3263"/>
      <c r="U58" s="3263"/>
      <c r="V58" s="3263"/>
      <c r="W58" s="3263"/>
      <c r="X58" s="3263"/>
      <c r="Y58" s="3266" t="s">
        <v>1452</v>
      </c>
      <c r="Z58" s="1642">
        <v>0</v>
      </c>
      <c r="AA58" s="3327">
        <f>IF((Z56=1),(Z56),(2))</f>
        <v>2</v>
      </c>
      <c r="AB58" s="1539"/>
      <c r="AC58" s="1420"/>
      <c r="AD58" s="3237" t="s">
        <v>843</v>
      </c>
      <c r="AE58" s="2627"/>
      <c r="AF58" s="3220" t="str">
        <f>IF(('الصفحة 1'!$Q$14&gt;0),IF(($F$54=1),((IF((F58=""),"المكيفات الهوائية الصالحة",IF((F58=0)," ",IF((F58&gt;0),""))))),""),"")</f>
        <v/>
      </c>
      <c r="AG58" s="1670"/>
      <c r="AH58" s="4039" t="str">
        <f>IF(('الصفحة 1'!$Q$14&gt;0),IF(($F$54=""),IF((F58&gt;0),"مكيفات غير موجودة",IF(($F$54&gt;0),(F58&gt;0),"")),""),"")</f>
        <v/>
      </c>
      <c r="AI58" s="4040"/>
      <c r="AJ58" s="1032"/>
      <c r="AK58" s="3220" t="str">
        <f>IF(('الصفحة 1'!$Q$14&gt;0),((IF((V56=""),"الطاقة الشمسية منصبة",IF((V56=0)," ",IF((V56&gt;0),""))))),"")</f>
        <v xml:space="preserve"> </v>
      </c>
      <c r="AL58" s="1420"/>
    </row>
    <row r="59" spans="1:38" ht="3.9" customHeight="1" thickBot="1">
      <c r="A59" s="1420"/>
      <c r="B59" s="1522"/>
      <c r="C59" s="3342"/>
      <c r="D59" s="3343"/>
      <c r="E59" s="3343"/>
      <c r="F59" s="1588"/>
      <c r="G59" s="1588"/>
      <c r="H59" s="1594"/>
      <c r="I59" s="1594"/>
      <c r="J59" s="1594"/>
      <c r="K59" s="1594"/>
      <c r="L59" s="1594"/>
      <c r="M59" s="1594"/>
      <c r="N59" s="3265"/>
      <c r="O59" s="3263"/>
      <c r="P59" s="3263"/>
      <c r="Q59" s="3263"/>
      <c r="R59" s="3263"/>
      <c r="S59" s="3263"/>
      <c r="T59" s="3263"/>
      <c r="U59" s="3263"/>
      <c r="V59" s="3263"/>
      <c r="W59" s="3263"/>
      <c r="X59" s="3263"/>
      <c r="Y59" s="3267"/>
      <c r="Z59" s="3326"/>
      <c r="AA59" s="3327"/>
      <c r="AB59" s="1539"/>
      <c r="AC59" s="1420"/>
      <c r="AD59" s="2923"/>
      <c r="AE59" s="1032"/>
      <c r="AF59" s="2923"/>
      <c r="AG59" s="1032"/>
      <c r="AH59" s="2923"/>
      <c r="AI59" s="2923"/>
      <c r="AJ59" s="1032"/>
      <c r="AK59" s="1032"/>
      <c r="AL59" s="1420"/>
    </row>
    <row r="60" spans="1:38" ht="15" customHeight="1" thickBot="1">
      <c r="A60" s="1420"/>
      <c r="B60" s="1522"/>
      <c r="C60" s="3342"/>
      <c r="D60" s="3345"/>
      <c r="E60" s="3344" t="s">
        <v>844</v>
      </c>
      <c r="F60" s="4044">
        <v>0</v>
      </c>
      <c r="G60" s="4045"/>
      <c r="I60" s="1594"/>
      <c r="J60" s="3341" t="s">
        <v>1441</v>
      </c>
      <c r="K60" s="4097">
        <f>F58+F60</f>
        <v>0</v>
      </c>
      <c r="L60" s="4098"/>
      <c r="M60" s="1594"/>
      <c r="N60" s="3265"/>
      <c r="O60" s="3263"/>
      <c r="P60" s="3263"/>
      <c r="Q60" s="3263"/>
      <c r="R60" s="3263"/>
      <c r="S60" s="3263"/>
      <c r="T60" s="3263"/>
      <c r="U60" s="3263"/>
      <c r="V60" s="3263"/>
      <c r="W60" s="3263"/>
      <c r="X60" s="3263"/>
      <c r="Y60" s="3266" t="s">
        <v>1453</v>
      </c>
      <c r="Z60" s="1642">
        <v>0</v>
      </c>
      <c r="AA60" s="3327">
        <f>IF((Z56=1),(Z56),(2))</f>
        <v>2</v>
      </c>
      <c r="AB60" s="1539"/>
      <c r="AC60" s="1420"/>
      <c r="AD60" s="3237" t="s">
        <v>845</v>
      </c>
      <c r="AE60" s="2627"/>
      <c r="AF60" s="3220" t="str">
        <f>IF(('الصفحة 1'!$Q$14&gt;0),IF(($F$54=1),((IF((F60=""),"لمكيفات الهوئية للتعويض",IF((F60=0)," ",IF((F60&gt;0),""))))),""),"")</f>
        <v/>
      </c>
      <c r="AG60" s="1032"/>
      <c r="AH60" s="4039" t="str">
        <f>IF(('الصفحة 1'!$Q$14&gt;0),IF(($F$54=""),IF((F60&gt;0),"مكيفات غير موجودة",IF(($F$54&gt;0),(F60&gt;0),"")),""),"")</f>
        <v/>
      </c>
      <c r="AI60" s="4040"/>
      <c r="AJ60" s="1032"/>
      <c r="AK60" s="3220" t="str">
        <f>IF(('الصفحة 1'!$Q$14&gt;0),((IF((Z56=""),"ط الشمسية غير منصبة",IF((Z56=0)," ",IF((Z56&gt;0),""))))),"")</f>
        <v xml:space="preserve"> </v>
      </c>
      <c r="AL60" s="1420"/>
    </row>
    <row r="61" spans="1:38" ht="3.9" customHeight="1" thickBot="1">
      <c r="A61" s="1420"/>
      <c r="B61" s="1522"/>
      <c r="C61" s="3338"/>
      <c r="D61" s="3339"/>
      <c r="E61" s="3339"/>
      <c r="F61" s="3339"/>
      <c r="G61" s="3339"/>
      <c r="H61" s="3340"/>
      <c r="I61" s="3340"/>
      <c r="J61" s="3340"/>
      <c r="K61" s="3340"/>
      <c r="L61" s="3340"/>
      <c r="M61" s="1594"/>
      <c r="N61" s="3265"/>
      <c r="O61" s="3263"/>
      <c r="P61" s="3263"/>
      <c r="Q61" s="3263"/>
      <c r="R61" s="3263"/>
      <c r="S61" s="3263"/>
      <c r="T61" s="3263"/>
      <c r="U61" s="3263"/>
      <c r="V61" s="3263"/>
      <c r="W61" s="3263"/>
      <c r="X61" s="3263"/>
      <c r="Y61" s="3263"/>
      <c r="Z61" s="3326"/>
      <c r="AA61" s="3327"/>
      <c r="AB61" s="1539"/>
      <c r="AC61" s="1420"/>
      <c r="AD61" s="2923"/>
      <c r="AE61" s="1032"/>
      <c r="AF61" s="2923"/>
      <c r="AG61" s="1032"/>
      <c r="AH61" s="1032"/>
      <c r="AI61" s="1032"/>
      <c r="AJ61" s="1032"/>
      <c r="AK61" s="1032"/>
      <c r="AL61" s="1420"/>
    </row>
    <row r="62" spans="1:38" ht="15" customHeight="1" thickBot="1">
      <c r="A62" s="1420"/>
      <c r="B62" s="1522"/>
      <c r="C62" s="1570"/>
      <c r="D62" s="1588"/>
      <c r="E62" s="1621" t="s">
        <v>846</v>
      </c>
      <c r="F62" s="1642">
        <v>0</v>
      </c>
      <c r="G62" s="3405" t="str">
        <f>IF(('الصفحة 1'!$Q$14&gt;0),IF(($F$62=1),((IF((F64&gt;'الصفحة 1'!$G$46),"خطء عدد قاعات ",IF((F64='الصفحة 1'!$G$46)," ",IF((F64&lt;'الصفحة 1'!$G$46),""))))),""),"")</f>
        <v/>
      </c>
      <c r="I62" s="1594"/>
      <c r="J62" s="3405" t="str">
        <f>IF(('الصفحة 1'!$Q$14&gt;0),IF(($K$54&gt;0),((IF((K54&gt;'الصفحة 1'!$G$46),"خطء عدد قاعات المكيفة",IF((K54='الصفحة 1'!$G$46)," ",IF((K54&lt;'الصفحة 1'!$G$46),""))))),""),"")</f>
        <v/>
      </c>
      <c r="K62" s="1594"/>
      <c r="L62" s="1594"/>
      <c r="M62" s="1594"/>
      <c r="N62" s="3265"/>
      <c r="O62" s="3263"/>
      <c r="P62" s="3263"/>
      <c r="Q62" s="3263"/>
      <c r="R62" s="3263"/>
      <c r="S62" s="3263"/>
      <c r="T62" s="3263"/>
      <c r="U62" s="3263"/>
      <c r="V62" s="3263"/>
      <c r="W62" s="3263"/>
      <c r="X62" s="3263"/>
      <c r="Y62" s="3266" t="s">
        <v>1435</v>
      </c>
      <c r="Z62" s="1642">
        <v>0</v>
      </c>
      <c r="AA62" s="3327">
        <f>IF((Z56=1),(Z56),(2))</f>
        <v>2</v>
      </c>
      <c r="AB62" s="1539"/>
      <c r="AC62" s="1420"/>
      <c r="AD62" s="3237" t="s">
        <v>847</v>
      </c>
      <c r="AE62" s="2627"/>
      <c r="AF62" s="3220" t="str">
        <f>IF(('الصفحة 1'!$Q$14&gt;0),((IF((F62=""),"مروحيات سقفية موجودة ",IF((F62=0)," ",IF((F62&gt;0),""))))),"")</f>
        <v xml:space="preserve"> </v>
      </c>
      <c r="AG62" s="1032"/>
      <c r="AH62" s="1032"/>
      <c r="AI62" s="2338" t="s">
        <v>840</v>
      </c>
      <c r="AJ62" s="1032"/>
      <c r="AK62" s="2338"/>
      <c r="AL62" s="1420"/>
    </row>
    <row r="63" spans="1:38" ht="3.9" customHeight="1" thickBot="1">
      <c r="A63" s="1420"/>
      <c r="B63" s="1522"/>
      <c r="C63" s="1570"/>
      <c r="D63" s="1588"/>
      <c r="E63" s="1588"/>
      <c r="F63" s="1588"/>
      <c r="G63" s="1588"/>
      <c r="H63" s="1594"/>
      <c r="I63" s="1594"/>
      <c r="J63" s="1594"/>
      <c r="K63" s="1594"/>
      <c r="L63" s="1594"/>
      <c r="M63" s="1594"/>
      <c r="N63" s="3268"/>
      <c r="O63" s="3264"/>
      <c r="P63" s="3264"/>
      <c r="Q63" s="3264"/>
      <c r="R63" s="3264"/>
      <c r="S63" s="3264"/>
      <c r="T63" s="3264"/>
      <c r="U63" s="3264"/>
      <c r="V63" s="3264"/>
      <c r="W63" s="3264"/>
      <c r="X63" s="3264"/>
      <c r="Y63" s="3264"/>
      <c r="Z63" s="3264"/>
      <c r="AA63" s="3262"/>
      <c r="AB63" s="1539"/>
      <c r="AC63" s="1420"/>
      <c r="AD63" s="2923"/>
      <c r="AE63" s="1032"/>
      <c r="AF63" s="2923"/>
      <c r="AG63" s="1032"/>
      <c r="AH63" s="1032"/>
      <c r="AI63" s="1032"/>
      <c r="AJ63" s="1032"/>
      <c r="AK63" s="1032"/>
      <c r="AL63" s="1420"/>
    </row>
    <row r="64" spans="1:38" ht="15" customHeight="1">
      <c r="A64" s="1420"/>
      <c r="B64" s="1522"/>
      <c r="C64" s="1570"/>
      <c r="D64" s="1588"/>
      <c r="E64" s="1621" t="s">
        <v>848</v>
      </c>
      <c r="F64" s="4044">
        <v>0</v>
      </c>
      <c r="G64" s="4045"/>
      <c r="H64" s="1602" t="str">
        <f>IF(('الصفحة 1'!$Q$14&gt;0),IF(($F$62&lt;1),IF((F64&gt;0),"خطء مروحيات غير موجودة",IF(($F$62=1),(F64&gt;0),"")),""),"")</f>
        <v/>
      </c>
      <c r="I64" s="1594"/>
      <c r="J64" s="1602"/>
      <c r="M64" s="1594"/>
      <c r="N64" s="3407" t="str">
        <f>IF(('الصفحة 1'!$Q$14&gt;0),IF(($F$52+$N$52&lt;1),IF((F64&gt;0),"خطء الربط بالكهرباء",IF((F52+N52&gt;=1),(F64&gt;0),"")),""),"")</f>
        <v/>
      </c>
      <c r="O64" s="1594"/>
      <c r="P64" s="1594"/>
      <c r="Q64" s="1594"/>
      <c r="R64" s="3407" t="str">
        <f>IF(('الصفحة 1'!$Q$14&gt;0),IF(($F$54=0),IF((K54&gt;0),"خطء مكيفــات هوائيــة  غيرموجودة",IF(($F$54=1),(K54&gt;0),"")),""),"")</f>
        <v/>
      </c>
      <c r="V64" s="1594"/>
      <c r="W64" s="1594"/>
      <c r="X64" s="1594"/>
      <c r="Y64" s="1882" t="str">
        <f>IF(('الصفحة 1'!$Q$14&gt;0),IF(($K$54=0),IF((F60&gt;0),"خطء قاعات غيرمكيفـات",IF(($F$60=1),(F60&gt;0),"")),""),"")</f>
        <v/>
      </c>
      <c r="Z64" s="1594"/>
      <c r="AA64" s="1589">
        <f>IF((V56+Z56=0),(0),(2))</f>
        <v>0</v>
      </c>
      <c r="AB64" s="1539"/>
      <c r="AC64" s="1420"/>
      <c r="AD64" s="3237" t="s">
        <v>849</v>
      </c>
      <c r="AE64" s="2627"/>
      <c r="AF64" s="3220" t="str">
        <f>IF(('الصفحة 1'!$Q$14&gt;0),IF(($F$62=1),((IF((F64=""),"عدد الأقسام بالمروحيات",IF((F64=0)," ",IF((F64&gt;0),""))))),""),"")</f>
        <v/>
      </c>
      <c r="AG64" s="1032"/>
      <c r="AH64" s="1032"/>
      <c r="AI64" s="1032"/>
      <c r="AJ64" s="1032"/>
      <c r="AK64" s="1032"/>
      <c r="AL64" s="1420"/>
    </row>
    <row r="65" spans="1:38" ht="3.9" customHeight="1" thickBot="1">
      <c r="A65" s="1420"/>
      <c r="B65" s="1522"/>
      <c r="C65" s="1570"/>
      <c r="D65" s="1588"/>
      <c r="E65" s="1588"/>
      <c r="F65" s="1588"/>
      <c r="G65" s="1588"/>
      <c r="H65" s="1594"/>
      <c r="I65" s="1594"/>
      <c r="J65" s="1594"/>
      <c r="K65" s="1594"/>
      <c r="L65" s="1594"/>
      <c r="M65" s="1594"/>
      <c r="N65" s="1594"/>
      <c r="O65" s="1594"/>
      <c r="P65" s="1594"/>
      <c r="Q65" s="1594"/>
      <c r="R65" s="1594"/>
      <c r="S65" s="1594"/>
      <c r="T65" s="1594"/>
      <c r="U65" s="1594"/>
      <c r="V65" s="1594"/>
      <c r="W65" s="1594"/>
      <c r="X65" s="1594"/>
      <c r="Y65" s="1594"/>
      <c r="Z65" s="1594"/>
      <c r="AA65" s="1589"/>
      <c r="AB65" s="1539"/>
      <c r="AC65" s="1420"/>
      <c r="AD65" s="2923"/>
      <c r="AE65" s="1032"/>
      <c r="AF65" s="2923"/>
      <c r="AG65" s="1032"/>
      <c r="AH65" s="1032"/>
      <c r="AI65" s="1032"/>
      <c r="AJ65" s="1032"/>
      <c r="AK65" s="1032"/>
      <c r="AL65" s="1420"/>
    </row>
    <row r="66" spans="1:38" ht="15" customHeight="1" thickBot="1">
      <c r="A66" s="1420"/>
      <c r="B66" s="1522"/>
      <c r="C66" s="1625"/>
      <c r="D66" s="1533"/>
      <c r="E66" s="1837" t="s">
        <v>1228</v>
      </c>
      <c r="F66" s="1642">
        <v>1</v>
      </c>
      <c r="G66" s="1626"/>
      <c r="H66" s="1627"/>
      <c r="I66" s="1627"/>
      <c r="J66" s="1627"/>
      <c r="K66" s="1627"/>
      <c r="L66" s="1627"/>
      <c r="M66" s="1613" t="s">
        <v>1339</v>
      </c>
      <c r="N66" s="1642">
        <v>1</v>
      </c>
      <c r="O66" s="3337">
        <f>IF((F66+N66=2),(1),(2))</f>
        <v>1</v>
      </c>
      <c r="P66" s="1627"/>
      <c r="Q66" s="1627"/>
      <c r="R66" s="1627"/>
      <c r="S66" s="1627"/>
      <c r="T66" s="1627"/>
      <c r="U66" s="1627"/>
      <c r="V66" s="1627"/>
      <c r="W66" s="1627"/>
      <c r="X66" s="1627"/>
      <c r="Y66" s="1628" t="s">
        <v>850</v>
      </c>
      <c r="Z66" s="1627"/>
      <c r="AA66" s="1629"/>
      <c r="AB66" s="1539"/>
      <c r="AC66" s="1420"/>
      <c r="AD66" s="3235" t="s">
        <v>851</v>
      </c>
      <c r="AE66" s="2627"/>
      <c r="AF66" s="3220" t="str">
        <f>IF(('الصفحة 1'!$Q$14&gt;0),((IF((F66=""),"الربط بشبكة الغاز ",IF((F66=0)," ",IF((F66=1),""))))),"")</f>
        <v/>
      </c>
      <c r="AG66" s="1032"/>
      <c r="AH66" s="2635" t="s">
        <v>850</v>
      </c>
      <c r="AI66" s="2609"/>
      <c r="AJ66" s="2609"/>
      <c r="AK66" s="2636" t="s">
        <v>852</v>
      </c>
      <c r="AL66" s="1420"/>
    </row>
    <row r="67" spans="1:38" ht="6" customHeight="1" thickBot="1">
      <c r="A67" s="1420"/>
      <c r="B67" s="1522"/>
      <c r="C67" s="1570"/>
      <c r="D67" s="1588"/>
      <c r="E67" s="1588"/>
      <c r="F67" s="1588"/>
      <c r="G67" s="1588"/>
      <c r="H67" s="1594"/>
      <c r="I67" s="1594"/>
      <c r="J67" s="1594"/>
      <c r="K67" s="1594"/>
      <c r="L67" s="1594"/>
      <c r="M67" s="1594"/>
      <c r="N67" s="1594"/>
      <c r="O67" s="1594"/>
      <c r="P67" s="1594"/>
      <c r="Q67" s="1594"/>
      <c r="R67" s="1594"/>
      <c r="S67" s="1594"/>
      <c r="T67" s="1594"/>
      <c r="U67" s="1594"/>
      <c r="V67" s="1594"/>
      <c r="W67" s="1594"/>
      <c r="X67" s="1594"/>
      <c r="Y67" s="1594"/>
      <c r="Z67" s="1594"/>
      <c r="AA67" s="1589"/>
      <c r="AB67" s="1523"/>
      <c r="AC67" s="1420"/>
      <c r="AD67" s="2923"/>
      <c r="AE67" s="1032"/>
      <c r="AF67" s="2923"/>
      <c r="AG67" s="1032"/>
      <c r="AH67" s="1032"/>
      <c r="AI67" s="1032"/>
      <c r="AJ67" s="1032"/>
      <c r="AK67" s="1032"/>
      <c r="AL67" s="1420"/>
    </row>
    <row r="68" spans="1:38" ht="15" customHeight="1" thickBot="1">
      <c r="A68" s="1420"/>
      <c r="B68" s="1522"/>
      <c r="C68" s="1570"/>
      <c r="D68" s="1588"/>
      <c r="E68" s="1631" t="s">
        <v>1430</v>
      </c>
      <c r="F68" s="1642">
        <v>0</v>
      </c>
      <c r="G68" s="3420" t="str">
        <f>IF(('الصفحة 1'!Q14&gt;0),IF(($F$68=0),IF(((N68+X68)&gt;=1),"خطء",IF(($F$68=1),(N68+X68=1),"")),""),"")</f>
        <v/>
      </c>
      <c r="H68" s="1594"/>
      <c r="I68" s="1594"/>
      <c r="J68" s="1594"/>
      <c r="K68" s="1594"/>
      <c r="L68" s="1594"/>
      <c r="M68" s="2986" t="s">
        <v>1431</v>
      </c>
      <c r="N68" s="1642">
        <v>0</v>
      </c>
      <c r="O68" s="3225">
        <f>IF(((N68+X68)&gt;1),(1),(2))</f>
        <v>2</v>
      </c>
      <c r="P68" s="1594"/>
      <c r="Q68" s="1594"/>
      <c r="R68" s="1594"/>
      <c r="S68" s="1594"/>
      <c r="T68" s="1594"/>
      <c r="U68" s="1594"/>
      <c r="V68" s="1594"/>
      <c r="W68" s="2986" t="s">
        <v>1432</v>
      </c>
      <c r="X68" s="1642">
        <v>0</v>
      </c>
      <c r="Y68" s="3425">
        <f>IF(((X68+N68)&gt;1),(1),(2))</f>
        <v>2</v>
      </c>
      <c r="Z68" s="3423"/>
      <c r="AA68" s="3424"/>
      <c r="AB68" s="1523"/>
      <c r="AC68" s="1420"/>
      <c r="AD68" s="3239" t="s">
        <v>853</v>
      </c>
      <c r="AE68" s="2627"/>
      <c r="AF68" s="3220" t="str">
        <f>IF(('الصفحة 1'!$Q$14&gt;0),((IF((F68=""),"هل التدفئة  موجودة ",IF((F68=0)," ",IF((F68=1),""))))),"")</f>
        <v xml:space="preserve"> </v>
      </c>
      <c r="AG68" s="1032"/>
      <c r="AH68" s="1032"/>
      <c r="AI68" s="1032"/>
      <c r="AJ68" s="1032"/>
      <c r="AK68" s="2628"/>
      <c r="AL68" s="1420"/>
    </row>
    <row r="69" spans="1:38" ht="6" customHeight="1" thickBot="1">
      <c r="A69" s="1420"/>
      <c r="B69" s="1522"/>
      <c r="C69" s="1570"/>
      <c r="D69" s="1588"/>
      <c r="E69" s="1588"/>
      <c r="F69" s="1588"/>
      <c r="G69" s="1588"/>
      <c r="H69" s="1594"/>
      <c r="I69" s="1594"/>
      <c r="J69" s="1594"/>
      <c r="K69" s="1594"/>
      <c r="L69" s="1594"/>
      <c r="M69" s="1594"/>
      <c r="N69" s="1594"/>
      <c r="O69" s="1594"/>
      <c r="P69" s="1594"/>
      <c r="Q69" s="1594"/>
      <c r="R69" s="1594"/>
      <c r="S69" s="1594"/>
      <c r="T69" s="1594"/>
      <c r="U69" s="1594"/>
      <c r="V69" s="1594"/>
      <c r="W69" s="1594"/>
      <c r="X69" s="1594"/>
      <c r="Y69" s="1594"/>
      <c r="Z69" s="1594"/>
      <c r="AA69" s="1589"/>
      <c r="AB69" s="1523"/>
      <c r="AC69" s="1420"/>
      <c r="AD69" s="3240"/>
      <c r="AE69" s="1032"/>
      <c r="AF69" s="2923"/>
      <c r="AG69" s="1032"/>
      <c r="AH69" s="1032"/>
      <c r="AI69" s="1032"/>
      <c r="AJ69" s="1032"/>
      <c r="AK69" s="1032"/>
      <c r="AL69" s="1420"/>
    </row>
    <row r="70" spans="1:38" ht="15" customHeight="1" thickBot="1">
      <c r="A70" s="1420"/>
      <c r="B70" s="1522"/>
      <c r="C70" s="1570"/>
      <c r="D70" s="1588"/>
      <c r="E70" s="1605" t="s">
        <v>854</v>
      </c>
      <c r="F70" s="1642">
        <v>1</v>
      </c>
      <c r="G70" s="1588"/>
      <c r="H70" s="1594"/>
      <c r="I70" s="1594"/>
      <c r="J70" s="1594"/>
      <c r="K70" s="1594"/>
      <c r="L70" s="1594"/>
      <c r="M70" s="1594"/>
      <c r="N70" s="3256" t="str">
        <f>IF(('الصفحة 1'!$Q$14&gt;0),IF(((O72+O74)='الصفحة 1'!G46),"","خطء في عدد الأقسام المجهـزة بالتدفئة"),"")</f>
        <v>خطء في عدد الأقسام المجهـزة بالتدفئة</v>
      </c>
      <c r="O70" s="1594"/>
      <c r="P70" s="1594"/>
      <c r="Q70" s="1594"/>
      <c r="S70" s="1594"/>
      <c r="T70" s="1594"/>
      <c r="U70" s="1594"/>
      <c r="V70" s="1594"/>
      <c r="W70" s="1594"/>
      <c r="X70" s="1594"/>
      <c r="Y70" s="1578" t="str">
        <f>IF(('الصفحة 1'!$Q$14&gt;0),IF(($F$68=1),((IF(((N68+X68)&gt;1),"كلي جزئي",IF((($F$68)=1)," ",IF(((N68+X68)=1),""))))),""),"")</f>
        <v/>
      </c>
      <c r="Z70" s="1594"/>
      <c r="AA70" s="1589"/>
      <c r="AB70" s="1539"/>
      <c r="AC70" s="1420"/>
      <c r="AD70" s="3239" t="s">
        <v>855</v>
      </c>
      <c r="AE70" s="1032"/>
      <c r="AF70" s="3220" t="str">
        <f>IF(('الصفحة 1'!$Q$14&gt;0),IF(($F$68=1),((IF((F70=""),"التدفئـــــة شغالــــــة",IF((F70=0)," ",IF((F70=1),""))))),""),"")</f>
        <v/>
      </c>
      <c r="AG70" s="2638"/>
      <c r="AH70" s="1032"/>
      <c r="AI70" s="1032"/>
      <c r="AJ70" s="1032"/>
      <c r="AK70" s="3220" t="str">
        <f>IF(('الصفحة 1'!$Q$14&gt;0),(IF((F66+N66+F68=0),(IF((F70&gt;0),(" إجابة التدفئة شغالة "),(IF((F70=""),(""),(IF((F70=0),(""),(""))))))),(""))),(""))</f>
        <v/>
      </c>
      <c r="AL70" s="1420"/>
    </row>
    <row r="71" spans="1:38" ht="6" customHeight="1" thickBot="1">
      <c r="A71" s="1420"/>
      <c r="B71" s="1522"/>
      <c r="C71" s="1570"/>
      <c r="D71" s="1588"/>
      <c r="E71" s="1588"/>
      <c r="F71" s="1588"/>
      <c r="G71" s="1588"/>
      <c r="H71" s="1594"/>
      <c r="I71" s="1594"/>
      <c r="J71" s="1594"/>
      <c r="K71" s="1594"/>
      <c r="L71" s="1594"/>
      <c r="M71" s="1594"/>
      <c r="N71" s="1594"/>
      <c r="O71" s="1594"/>
      <c r="P71" s="1594"/>
      <c r="Q71" s="1594"/>
      <c r="R71" s="1594"/>
      <c r="S71" s="1594"/>
      <c r="T71" s="1594"/>
      <c r="U71" s="1594"/>
      <c r="V71" s="1594"/>
      <c r="W71" s="1594"/>
      <c r="X71" s="1594"/>
      <c r="Y71" s="1594"/>
      <c r="Z71" s="1594"/>
      <c r="AA71" s="1589"/>
      <c r="AB71" s="1523"/>
      <c r="AC71" s="1420"/>
      <c r="AD71" s="3240"/>
      <c r="AE71" s="1032"/>
      <c r="AF71" s="2923"/>
      <c r="AG71" s="1032"/>
      <c r="AH71" s="1032"/>
      <c r="AI71" s="1032"/>
      <c r="AJ71" s="1032"/>
      <c r="AK71" s="1032"/>
      <c r="AL71" s="1420"/>
    </row>
    <row r="72" spans="1:38" ht="15" customHeight="1" thickBot="1">
      <c r="A72" s="1420"/>
      <c r="B72" s="1522"/>
      <c r="C72" s="3243" t="str">
        <f>IF(('الصفحة 1'!$Q$14&gt;0),IF(((O72)&gt;0),IF((F72=0),"خطء قاعات",""),""),"")</f>
        <v/>
      </c>
      <c r="D72" s="1632"/>
      <c r="E72" s="1633" t="s">
        <v>856</v>
      </c>
      <c r="F72" s="1642">
        <v>1</v>
      </c>
      <c r="G72" s="1632"/>
      <c r="H72" s="1632"/>
      <c r="I72" s="1632"/>
      <c r="J72" s="1634"/>
      <c r="K72" s="1634"/>
      <c r="L72" s="1634"/>
      <c r="M72" s="1634"/>
      <c r="N72" s="1635" t="s">
        <v>857</v>
      </c>
      <c r="O72" s="3908">
        <v>26</v>
      </c>
      <c r="P72" s="3910"/>
      <c r="Q72" s="3253" t="str">
        <f>IF(('الصفحة 1'!$Q$14&gt;0),IF(((O72+O74)&gt;0),IF((F68&gt;0),"","خطء في وجود التدفئة"),""),"")</f>
        <v>خطء في وجود التدفئة</v>
      </c>
      <c r="S72" s="1594"/>
      <c r="T72" s="1594"/>
      <c r="U72" s="1594"/>
      <c r="V72" s="1602" t="str">
        <f>IF(('الصفحة 1'!$Q$14&gt;0),IF(($F$72=0),IF(((O72)&gt;0)," لا توجد تدفئة مركزية",IF(($F$72=1),((O72)&gt;0),"")),""),"")</f>
        <v/>
      </c>
      <c r="W72" s="1594"/>
      <c r="X72" s="1594"/>
      <c r="Y72" s="2339"/>
      <c r="Z72" s="2987"/>
      <c r="AA72" s="1589"/>
      <c r="AB72" s="1523"/>
      <c r="AC72" s="1420"/>
      <c r="AD72" s="3239" t="s">
        <v>858</v>
      </c>
      <c r="AE72" s="1032"/>
      <c r="AF72" s="3220" t="str">
        <f>IF(('الصفحة 1'!$Q$14&gt;0),IF(($F$68=1),((IF((F72=""),"التدفئـــة مركـزيــــة",IF((F72=0)," ",IF((F72=1),""))))),""),"")</f>
        <v/>
      </c>
      <c r="AG72" s="1032"/>
      <c r="AH72" s="4039" t="str">
        <f>IF(('الصفحة 1'!$Q$14&gt;0),IF(($F$68=1),((IF((O72=""),"قاعات بالتدفئة المركـزية",IF((O72=0)," ",IF((O72&gt;0),""))))),""),"")</f>
        <v/>
      </c>
      <c r="AI72" s="4040"/>
      <c r="AJ72" s="1032"/>
      <c r="AK72" s="2987" t="s">
        <v>1335</v>
      </c>
      <c r="AL72" s="1420"/>
    </row>
    <row r="73" spans="1:38" ht="3.9" customHeight="1" thickBot="1">
      <c r="A73" s="1420"/>
      <c r="B73" s="1522"/>
      <c r="C73" s="1570"/>
      <c r="D73" s="1588"/>
      <c r="E73" s="1588"/>
      <c r="F73" s="1588"/>
      <c r="G73" s="1588"/>
      <c r="H73" s="1588"/>
      <c r="I73" s="1588"/>
      <c r="J73" s="1588"/>
      <c r="K73" s="1588"/>
      <c r="L73" s="1588"/>
      <c r="M73" s="1588"/>
      <c r="N73" s="1588"/>
      <c r="O73" s="1588"/>
      <c r="P73" s="1588"/>
      <c r="Q73" s="1594"/>
      <c r="R73" s="1594"/>
      <c r="S73" s="1594"/>
      <c r="T73" s="1594"/>
      <c r="U73" s="1594"/>
      <c r="V73" s="1594"/>
      <c r="W73" s="1594"/>
      <c r="X73" s="1594"/>
      <c r="Y73" s="1594"/>
      <c r="Z73" s="1594"/>
      <c r="AA73" s="1589"/>
      <c r="AB73" s="1523"/>
      <c r="AC73" s="1420"/>
      <c r="AD73" s="3240"/>
      <c r="AE73" s="1032"/>
      <c r="AF73" s="2923"/>
      <c r="AG73" s="1032"/>
      <c r="AH73" s="1032"/>
      <c r="AI73" s="1032"/>
      <c r="AJ73" s="1032"/>
      <c r="AK73" s="1594"/>
      <c r="AL73" s="1420"/>
    </row>
    <row r="74" spans="1:38" ht="15" customHeight="1" thickBot="1">
      <c r="A74" s="1420"/>
      <c r="B74" s="1522"/>
      <c r="C74" s="3243" t="str">
        <f>IF(('الصفحة 1'!$Q$14&gt;0),IF(((O74)&gt;0),IF((F74=0),"خطء قاعات",""),""),"")</f>
        <v/>
      </c>
      <c r="D74" s="1588"/>
      <c r="E74" s="1621" t="s">
        <v>859</v>
      </c>
      <c r="F74" s="2624">
        <v>0</v>
      </c>
      <c r="G74" s="1588"/>
      <c r="H74" s="1588"/>
      <c r="I74" s="1588"/>
      <c r="J74" s="1588"/>
      <c r="K74" s="1588"/>
      <c r="L74" s="1588"/>
      <c r="M74" s="1588"/>
      <c r="N74" s="1636" t="s">
        <v>860</v>
      </c>
      <c r="O74" s="3908">
        <v>0</v>
      </c>
      <c r="P74" s="3910"/>
      <c r="S74" s="1637"/>
      <c r="T74" s="1637"/>
      <c r="U74" s="1637"/>
      <c r="V74" s="1602" t="str">
        <f>IF(('الصفحة 1'!$Q$14&gt;0),IF(($F$74=0),IF(((O74)&gt;0)," لا توجد تدفئة عادية  ",IF(($F$74=1),((O74)&gt;0),"")),""),"")</f>
        <v/>
      </c>
      <c r="W74" s="1637"/>
      <c r="X74" s="1594"/>
      <c r="Y74" s="2339"/>
      <c r="Z74" s="2987"/>
      <c r="AA74" s="1589"/>
      <c r="AB74" s="1523"/>
      <c r="AC74" s="1420"/>
      <c r="AD74" s="3239" t="s">
        <v>861</v>
      </c>
      <c r="AE74" s="1032"/>
      <c r="AF74" s="3220" t="str">
        <f>IF(('الصفحة 1'!$Q$14&gt;0),IF(($F$68=1),((IF((F74=""),"التدفئـــــــة عاديــــة  ",IF((F74=0)," ",IF((F74=1),""))))),""),"")</f>
        <v/>
      </c>
      <c r="AG74" s="1032"/>
      <c r="AH74" s="4039" t="str">
        <f>IF(('الصفحة 1'!$Q$14&gt;0),IF(($F$68=1),((IF((O74=""),"قاعات بالتدفئة العادية",IF((O74=0)," ",IF((O74&gt;0),""))))),""),"")</f>
        <v/>
      </c>
      <c r="AI74" s="4040"/>
      <c r="AJ74" s="1032"/>
      <c r="AK74" s="2987" t="s">
        <v>1336</v>
      </c>
      <c r="AL74" s="1420"/>
    </row>
    <row r="75" spans="1:38" ht="9" customHeight="1">
      <c r="A75" s="1420"/>
      <c r="B75" s="1522"/>
      <c r="C75" s="1570"/>
      <c r="D75" s="1588"/>
      <c r="E75" s="1588"/>
      <c r="F75" s="1588"/>
      <c r="G75" s="1588"/>
      <c r="H75" s="1588"/>
      <c r="I75" s="1588"/>
      <c r="J75" s="1588"/>
      <c r="K75" s="1588"/>
      <c r="L75" s="1588"/>
      <c r="M75" s="1588"/>
      <c r="N75" s="1588"/>
      <c r="O75" s="1588"/>
      <c r="P75" s="1588"/>
      <c r="Q75" s="1594"/>
      <c r="R75" s="1594"/>
      <c r="S75" s="1594"/>
      <c r="T75" s="1594"/>
      <c r="U75" s="1594"/>
      <c r="V75" s="1594"/>
      <c r="W75" s="1594"/>
      <c r="X75" s="1594"/>
      <c r="Y75" s="1594"/>
      <c r="Z75" s="1594"/>
      <c r="AA75" s="1589"/>
      <c r="AB75" s="1523"/>
      <c r="AC75" s="1420"/>
      <c r="AD75" s="2637"/>
      <c r="AE75" s="1032"/>
      <c r="AF75" s="2923"/>
      <c r="AG75" s="1032"/>
      <c r="AH75" s="1032"/>
      <c r="AI75" s="1032"/>
      <c r="AJ75" s="1032"/>
      <c r="AK75" s="1032"/>
      <c r="AL75" s="1420"/>
    </row>
    <row r="76" spans="1:38" ht="5.0999999999999996" customHeight="1">
      <c r="A76" s="1420"/>
      <c r="B76" s="1522"/>
      <c r="C76" s="1638"/>
      <c r="D76" s="1639"/>
      <c r="E76" s="1640"/>
      <c r="F76" s="1639"/>
      <c r="G76" s="1641"/>
      <c r="H76" s="1639"/>
      <c r="I76" s="1639"/>
      <c r="J76" s="1639"/>
      <c r="K76" s="1639"/>
      <c r="L76" s="1639"/>
      <c r="M76" s="1639"/>
      <c r="N76" s="1814"/>
      <c r="O76" s="1814"/>
      <c r="P76" s="1639"/>
      <c r="Q76" s="1643"/>
      <c r="R76" s="1643"/>
      <c r="S76" s="1643"/>
      <c r="T76" s="1643"/>
      <c r="U76" s="1643"/>
      <c r="V76" s="1643"/>
      <c r="W76" s="1643"/>
      <c r="X76" s="1643"/>
      <c r="Y76" s="1643"/>
      <c r="Z76" s="1643"/>
      <c r="AA76" s="1644"/>
      <c r="AB76" s="1645"/>
      <c r="AC76" s="1420"/>
      <c r="AD76" s="3229"/>
      <c r="AE76" s="1383"/>
      <c r="AF76" s="3227"/>
      <c r="AG76" s="3230"/>
      <c r="AH76" s="1383"/>
      <c r="AI76" s="1383"/>
      <c r="AJ76" s="1383"/>
      <c r="AK76" s="1383"/>
      <c r="AL76" s="1420"/>
    </row>
    <row r="77" spans="1:38" ht="6" customHeight="1">
      <c r="A77" s="1420"/>
      <c r="B77" s="1522"/>
      <c r="C77" s="1570"/>
      <c r="D77" s="1588"/>
      <c r="E77" s="1588"/>
      <c r="F77" s="1588"/>
      <c r="G77" s="1588"/>
      <c r="H77" s="1588"/>
      <c r="I77" s="1588"/>
      <c r="J77" s="1588"/>
      <c r="K77" s="1588"/>
      <c r="L77" s="1588"/>
      <c r="M77" s="1588"/>
      <c r="N77" s="1588"/>
      <c r="O77" s="1588"/>
      <c r="P77" s="1588"/>
      <c r="Q77" s="1594"/>
      <c r="R77" s="1594"/>
      <c r="S77" s="1594"/>
      <c r="T77" s="1594"/>
      <c r="U77" s="1594"/>
      <c r="V77" s="1594"/>
      <c r="W77" s="1594"/>
      <c r="X77" s="1594"/>
      <c r="Y77" s="1594"/>
      <c r="Z77" s="1594"/>
      <c r="AA77" s="1589"/>
      <c r="AB77" s="1539"/>
      <c r="AC77" s="1420"/>
      <c r="AD77" s="2629"/>
      <c r="AE77" s="1032"/>
      <c r="AF77" s="2923"/>
      <c r="AG77" s="1032"/>
      <c r="AH77" s="1032"/>
      <c r="AI77" s="1032"/>
      <c r="AJ77" s="1032"/>
      <c r="AK77" s="1032"/>
      <c r="AL77" s="1420"/>
    </row>
    <row r="78" spans="1:38" ht="15" customHeight="1">
      <c r="A78" s="1420"/>
      <c r="B78" s="1522"/>
      <c r="C78" s="1570"/>
      <c r="D78" s="1588"/>
      <c r="E78" s="1550" t="s">
        <v>1232</v>
      </c>
      <c r="F78" s="4035">
        <f>O72+O74</f>
        <v>26</v>
      </c>
      <c r="G78" s="4036"/>
      <c r="I78" s="1594"/>
      <c r="J78" s="1594"/>
      <c r="K78" s="1594"/>
      <c r="L78" s="1594"/>
      <c r="M78" s="1594"/>
      <c r="N78" s="3232" t="s">
        <v>1429</v>
      </c>
      <c r="O78" s="3908">
        <v>0</v>
      </c>
      <c r="P78" s="3910"/>
      <c r="Q78" s="1594"/>
      <c r="R78" s="1578" t="str">
        <f>IF(('الصفحة 1'!$Q$14&gt;0),IF(($F$66+$N$66=0),((IF(((F78)&gt;0),"تدفئة ق الدرس",IF(((F78)=0)," ",IF(((F78)=0),""))))),""),"")</f>
        <v/>
      </c>
      <c r="S78" s="1594"/>
      <c r="T78" s="1594"/>
      <c r="U78" s="1594"/>
      <c r="V78" s="1594"/>
      <c r="W78" s="1578" t="str">
        <f>IF(('الصفحة 1'!$Q$14&gt;0),IF(($F$68=0),((IF(((O78)&gt;0),"تدفئة بالمازوت",IF(((O78)=0)," ",IF(((O78)=0),""))))),""),"")</f>
        <v xml:space="preserve"> </v>
      </c>
      <c r="X78" s="1594"/>
      <c r="Y78" s="1594"/>
      <c r="Z78" s="1594"/>
      <c r="AA78" s="1589"/>
      <c r="AB78" s="1539"/>
      <c r="AC78" s="1420"/>
      <c r="AD78" s="3219" t="s">
        <v>862</v>
      </c>
      <c r="AE78" s="2631"/>
      <c r="AF78" s="3220" t="str">
        <f>IF(('الصفحة 1'!$Q$14&gt;0),IF(($F$68=1),((IF((F78=""),"عدد قاعات الدرس المجهزة",IF((F78=0)," ",IF((F78&gt;0),""))))),""),"")</f>
        <v/>
      </c>
      <c r="AG78" s="1032"/>
      <c r="AH78" s="4041" t="str">
        <f>IF(('الصفحة 1'!$Q$14&gt;0),IF((F78&gt;0),IF((F78)&lt;('الصفحة 1'!G46)," خطأ في عدد قاعات الدرس  الموجودة و المجهزة "," "),""),"")</f>
        <v xml:space="preserve"> </v>
      </c>
      <c r="AI78" s="4042"/>
      <c r="AJ78" s="4042"/>
      <c r="AK78" s="4043"/>
      <c r="AL78" s="1420"/>
    </row>
    <row r="79" spans="1:38" ht="5.0999999999999996" customHeight="1">
      <c r="A79" s="1420"/>
      <c r="B79" s="1522"/>
      <c r="C79" s="1570"/>
      <c r="D79" s="1588"/>
      <c r="E79" s="1529"/>
      <c r="F79" s="1529"/>
      <c r="G79" s="1529"/>
      <c r="H79" s="1594"/>
      <c r="I79" s="1594"/>
      <c r="J79" s="1594"/>
      <c r="K79" s="1594"/>
      <c r="L79" s="1594"/>
      <c r="M79" s="1594"/>
      <c r="N79" s="3233"/>
      <c r="O79" s="1529"/>
      <c r="P79" s="1529"/>
      <c r="Q79" s="1594"/>
      <c r="R79" s="1594"/>
      <c r="S79" s="1594"/>
      <c r="T79" s="1594"/>
      <c r="U79" s="1594"/>
      <c r="V79" s="1594"/>
      <c r="W79" s="1594"/>
      <c r="X79" s="1594"/>
      <c r="Y79" s="1594"/>
      <c r="Z79" s="1594"/>
      <c r="AA79" s="1589"/>
      <c r="AB79" s="1539"/>
      <c r="AC79" s="1420"/>
      <c r="AD79" s="2923"/>
      <c r="AE79" s="1032"/>
      <c r="AF79" s="2923"/>
      <c r="AG79" s="1032"/>
      <c r="AH79" s="1032"/>
      <c r="AI79" s="1032"/>
      <c r="AJ79" s="1032"/>
      <c r="AK79" s="1032"/>
      <c r="AL79" s="1420"/>
    </row>
    <row r="80" spans="1:38" ht="14.1" customHeight="1">
      <c r="A80" s="1420"/>
      <c r="B80" s="1522"/>
      <c r="C80" s="3231" t="str">
        <f>IF(('الصفحة 1'!$Q$14&gt;0),IF(($F$80&gt;0),((IF((F80&lt;&gt;(F82+F84)),"خطء أجهزة ",IF((F80=(F82+F84))," ",IF((F80&lt;(F82+F84)),""))))),""),"")</f>
        <v/>
      </c>
      <c r="D80" s="1588"/>
      <c r="E80" s="1550" t="s">
        <v>863</v>
      </c>
      <c r="F80" s="3908">
        <v>0</v>
      </c>
      <c r="G80" s="3910"/>
      <c r="I80" s="1594"/>
      <c r="J80" s="1594"/>
      <c r="K80" s="1594"/>
      <c r="L80" s="1594"/>
      <c r="M80" s="1594"/>
      <c r="N80" s="3232" t="s">
        <v>1388</v>
      </c>
      <c r="O80" s="3908"/>
      <c r="P80" s="3910"/>
      <c r="Q80" s="1594"/>
      <c r="R80" s="1578" t="str">
        <f>IF(('الصفحة 1'!$Q$14&gt;0),IF(($F$66+$N$66=0),((IF(((F80)&gt;0),"أجهزة تدفئة",IF(((F80)=0)," ",IF(((F80)=0),""))))),""),"")</f>
        <v/>
      </c>
      <c r="S80" s="1594"/>
      <c r="T80" s="1594"/>
      <c r="U80" s="1594"/>
      <c r="V80" s="1594"/>
      <c r="W80" s="1578" t="str">
        <f>IF(('الصفحة 1'!$Q$14&gt;0),IF(($F$68=0),((IF(((O80)&gt;0),"أجهزة المازوت",IF(((O80)=0)," ",IF(((O80)=0),""))))),""),"")</f>
        <v xml:space="preserve"> </v>
      </c>
      <c r="X80" s="1594"/>
      <c r="Y80" s="1594"/>
      <c r="Z80" s="1594"/>
      <c r="AA80" s="1589"/>
      <c r="AB80" s="1539"/>
      <c r="AC80" s="1420"/>
      <c r="AD80" s="3219" t="s">
        <v>609</v>
      </c>
      <c r="AE80" s="2631"/>
      <c r="AF80" s="3220" t="str">
        <f>IF(('الصفحة 1'!$Q$14&gt;0),IF(($F$68=1),((IF((F80=""),"عدد الأجهزة الموجودة",IF((F80=0)," ",IF((F80&gt;0),""))))),""),"")</f>
        <v/>
      </c>
      <c r="AG80" s="2639"/>
      <c r="AH80" s="4037" t="str">
        <f>IF(('الصفحة 1'!$Q$14&gt;0),IF((F78&gt;0),((IF((F80=""),"عدد الأجهزة الموجودة",IF((F80=0)," ",IF((F80&gt;0),""))))),""),"")</f>
        <v xml:space="preserve"> </v>
      </c>
      <c r="AI80" s="4038"/>
      <c r="AJ80" s="1032"/>
      <c r="AK80" s="1032"/>
      <c r="AL80" s="1420"/>
    </row>
    <row r="81" spans="1:38" ht="3.9" customHeight="1">
      <c r="A81" s="1420"/>
      <c r="B81" s="1522"/>
      <c r="C81" s="1570"/>
      <c r="D81" s="1588"/>
      <c r="E81" s="1588"/>
      <c r="F81" s="1588"/>
      <c r="G81" s="1588"/>
      <c r="H81" s="1594"/>
      <c r="I81" s="1594"/>
      <c r="J81" s="1594"/>
      <c r="K81" s="1594"/>
      <c r="L81" s="1594"/>
      <c r="M81" s="1594"/>
      <c r="N81" s="3234"/>
      <c r="O81" s="1588"/>
      <c r="P81" s="1588"/>
      <c r="Q81" s="1594"/>
      <c r="R81" s="1594"/>
      <c r="S81" s="1594"/>
      <c r="T81" s="1594"/>
      <c r="U81" s="1594"/>
      <c r="V81" s="1594"/>
      <c r="W81" s="1594"/>
      <c r="X81" s="1594"/>
      <c r="Y81" s="1594"/>
      <c r="Z81" s="1594"/>
      <c r="AA81" s="1589"/>
      <c r="AB81" s="1539"/>
      <c r="AC81" s="1420"/>
      <c r="AD81" s="2923"/>
      <c r="AE81" s="1032"/>
      <c r="AF81" s="2923"/>
      <c r="AG81" s="1032"/>
      <c r="AH81" s="1032"/>
      <c r="AI81" s="1032"/>
      <c r="AJ81" s="1032"/>
      <c r="AK81" s="1032"/>
      <c r="AL81" s="1420"/>
    </row>
    <row r="82" spans="1:38" ht="14.1" customHeight="1">
      <c r="A82" s="1420"/>
      <c r="B82" s="1522"/>
      <c r="C82" s="1570"/>
      <c r="D82" s="1588"/>
      <c r="E82" s="1550" t="s">
        <v>864</v>
      </c>
      <c r="F82" s="3908">
        <v>0</v>
      </c>
      <c r="G82" s="3910"/>
      <c r="I82" s="1594"/>
      <c r="J82" s="1594"/>
      <c r="K82" s="1594"/>
      <c r="L82" s="1594"/>
      <c r="M82" s="1594"/>
      <c r="N82" s="3232" t="s">
        <v>1389</v>
      </c>
      <c r="O82" s="3908"/>
      <c r="P82" s="3910"/>
      <c r="Q82" s="1594"/>
      <c r="R82" s="1578" t="str">
        <f>IF(('الصفحة 1'!$Q$14&gt;0),IF(($F$66+$N$66=0),((IF(((F82)&gt;0),"تدفئة صالحة",IF(((F82)=0)," ",IF(((F82)=0),""))))),""),"")</f>
        <v/>
      </c>
      <c r="S82" s="1594"/>
      <c r="T82" s="1594"/>
      <c r="U82" s="1594"/>
      <c r="V82" s="1594"/>
      <c r="W82" s="1578" t="str">
        <f>IF(('الصفحة 1'!$Q$14&gt;0),IF(($F$68=0),((IF(((O82)&gt;0),"صالحة المازوت",IF(((O82)=0)," ",IF(((O82)=0),""))))),""),"")</f>
        <v xml:space="preserve"> </v>
      </c>
      <c r="X82" s="1594"/>
      <c r="Y82" s="1594"/>
      <c r="Z82" s="1594"/>
      <c r="AA82" s="1589"/>
      <c r="AB82" s="1523"/>
      <c r="AC82" s="1420"/>
      <c r="AD82" s="3219" t="s">
        <v>608</v>
      </c>
      <c r="AE82" s="2631"/>
      <c r="AF82" s="3220" t="str">
        <f>IF(('الصفحة 1'!$Q$14&gt;0),IF(($F$68=1),((IF((F82=""),"عدد الأجهزة الصالحة",IF((F82=0)," ",IF((F82&gt;0),""))))),""),"")</f>
        <v/>
      </c>
      <c r="AG82" s="1032"/>
      <c r="AH82" s="4039" t="str">
        <f>IF(('الصفحة 1'!$Q$14&gt;0),IF(($F$80=""),IF((F82&gt;0),"الاجهزة غير موجودة",IF(($F$80&gt;0),(F82&gt;0),"")),""),"")</f>
        <v/>
      </c>
      <c r="AI82" s="4040"/>
      <c r="AJ82" s="1032"/>
      <c r="AK82" s="1889" t="s">
        <v>865</v>
      </c>
      <c r="AL82" s="1420"/>
    </row>
    <row r="83" spans="1:38" ht="3.9" customHeight="1">
      <c r="A83" s="1420"/>
      <c r="B83" s="1522"/>
      <c r="C83" s="1570"/>
      <c r="D83" s="1588"/>
      <c r="E83" s="1588"/>
      <c r="F83" s="1588"/>
      <c r="G83" s="1588"/>
      <c r="H83" s="1594"/>
      <c r="I83" s="1594"/>
      <c r="J83" s="1594"/>
      <c r="K83" s="1594"/>
      <c r="L83" s="1594"/>
      <c r="M83" s="1594"/>
      <c r="N83" s="3234"/>
      <c r="O83" s="1588"/>
      <c r="P83" s="1588"/>
      <c r="Q83" s="1594"/>
      <c r="R83" s="1594"/>
      <c r="S83" s="1594"/>
      <c r="T83" s="1594"/>
      <c r="U83" s="1594"/>
      <c r="V83" s="1594"/>
      <c r="W83" s="1594"/>
      <c r="X83" s="1594"/>
      <c r="Y83" s="1594"/>
      <c r="Z83" s="1594"/>
      <c r="AA83" s="1589"/>
      <c r="AB83" s="1523"/>
      <c r="AC83" s="1420"/>
      <c r="AD83" s="2923"/>
      <c r="AE83" s="1032"/>
      <c r="AF83" s="2629"/>
      <c r="AG83" s="1032"/>
      <c r="AH83" s="1032"/>
      <c r="AI83" s="1032"/>
      <c r="AJ83" s="1032"/>
      <c r="AK83" s="1889"/>
      <c r="AL83" s="1420"/>
    </row>
    <row r="84" spans="1:38" ht="14.1" customHeight="1">
      <c r="A84" s="1420"/>
      <c r="B84" s="1522"/>
      <c r="C84" s="1570"/>
      <c r="D84" s="1588"/>
      <c r="E84" s="1550" t="s">
        <v>866</v>
      </c>
      <c r="F84" s="3908">
        <v>0</v>
      </c>
      <c r="G84" s="3910"/>
      <c r="H84" s="3412" t="str">
        <f>IF(('الصفحة 1'!$Q$14&gt;0),IF(((F80)=F82+F84),"","خطء عدد"),"")</f>
        <v/>
      </c>
      <c r="I84" s="1594"/>
      <c r="J84" s="1594"/>
      <c r="K84" s="1594"/>
      <c r="L84" s="1594"/>
      <c r="M84" s="1594"/>
      <c r="N84" s="3232" t="s">
        <v>1388</v>
      </c>
      <c r="O84" s="3908"/>
      <c r="P84" s="3910"/>
      <c r="Q84" s="3412" t="str">
        <f>IF(('الصفحة 1'!$Q$14&gt;0),IF(((O80)=O82+O84),"","خطء"),"")</f>
        <v/>
      </c>
      <c r="R84" s="1578" t="str">
        <f>IF(('الصفحة 1'!$Q$14&gt;0),IF(($F$66+$N$66=0),((IF(((F84)&gt;0),"تدفئة تعويض",IF(((F84)=0)," ",IF(((F84)=0),""))))),""),"")</f>
        <v/>
      </c>
      <c r="S84" s="1594"/>
      <c r="T84" s="1594"/>
      <c r="U84" s="1594"/>
      <c r="V84" s="1594"/>
      <c r="W84" s="1578" t="str">
        <f>IF(('الصفحة 1'!$Q$14&gt;0),IF(($F$68=0),((IF(((O84)&gt;0),"تعويض بالمازوت",IF(((O84)=0)," ",IF(((O84)=0),""))))),""),"")</f>
        <v xml:space="preserve"> </v>
      </c>
      <c r="X84" s="1594"/>
      <c r="Y84" s="1594"/>
      <c r="Z84" s="1594"/>
      <c r="AA84" s="1589"/>
      <c r="AB84" s="1539"/>
      <c r="AC84" s="1420"/>
      <c r="AD84" s="3219" t="s">
        <v>638</v>
      </c>
      <c r="AE84" s="2631"/>
      <c r="AF84" s="3220" t="str">
        <f>IF(('الصفحة 1'!$Q$14&gt;0),IF(($F$68=1),((IF((F84=""),"عدد الأجهزة للتعويض",IF((F84=0)," ",IF((F84&gt;0),""))))),""),"")</f>
        <v/>
      </c>
      <c r="AG84" s="1032"/>
      <c r="AH84" s="4039" t="str">
        <f>IF(('الصفحة 1'!$Q$14&gt;0),IF(($F$80=""),IF((F84&gt;0),"الاجهزة غير موجودة",IF(($F$80&gt;0),(F84&gt;0),"")),""),"")</f>
        <v/>
      </c>
      <c r="AI84" s="4040"/>
      <c r="AJ84" s="1032"/>
      <c r="AK84" s="1889" t="s">
        <v>867</v>
      </c>
      <c r="AL84" s="1420"/>
    </row>
    <row r="85" spans="1:38" ht="5.0999999999999996" customHeight="1" thickBot="1">
      <c r="A85" s="1420"/>
      <c r="B85" s="1646"/>
      <c r="C85" s="1647"/>
      <c r="D85" s="1648"/>
      <c r="E85" s="1648"/>
      <c r="F85" s="1648"/>
      <c r="G85" s="1648"/>
      <c r="H85" s="1648"/>
      <c r="I85" s="1648"/>
      <c r="J85" s="1648"/>
      <c r="K85" s="1648"/>
      <c r="L85" s="1648"/>
      <c r="M85" s="1648"/>
      <c r="N85" s="1648"/>
      <c r="O85" s="1648"/>
      <c r="P85" s="1648"/>
      <c r="Q85" s="1648"/>
      <c r="R85" s="1648"/>
      <c r="S85" s="1648"/>
      <c r="T85" s="1648"/>
      <c r="U85" s="1648"/>
      <c r="V85" s="1648"/>
      <c r="W85" s="1648"/>
      <c r="X85" s="1648"/>
      <c r="Y85" s="1648"/>
      <c r="Z85" s="1648"/>
      <c r="AA85" s="1649"/>
      <c r="AB85" s="1539"/>
      <c r="AC85" s="1420"/>
      <c r="AD85" s="2614"/>
      <c r="AE85" s="2614"/>
      <c r="AF85" s="2614"/>
      <c r="AG85" s="2614"/>
      <c r="AH85" s="2614"/>
      <c r="AI85" s="2614"/>
      <c r="AJ85" s="2614"/>
      <c r="AK85" s="2614"/>
      <c r="AL85" s="1420"/>
    </row>
    <row r="86" spans="1:38" ht="12.9" customHeight="1" thickBot="1">
      <c r="A86" s="1420"/>
      <c r="B86" s="1650"/>
      <c r="C86" s="4034">
        <v>2</v>
      </c>
      <c r="D86" s="4034"/>
      <c r="E86" s="4034"/>
      <c r="F86" s="4034"/>
      <c r="G86" s="4034"/>
      <c r="H86" s="4034"/>
      <c r="I86" s="4034"/>
      <c r="J86" s="4034"/>
      <c r="K86" s="4034"/>
      <c r="L86" s="4034"/>
      <c r="M86" s="4034"/>
      <c r="N86" s="4034"/>
      <c r="O86" s="4034"/>
      <c r="P86" s="4034"/>
      <c r="Q86" s="4034"/>
      <c r="R86" s="4034"/>
      <c r="S86" s="4034"/>
      <c r="T86" s="4034"/>
      <c r="U86" s="4034"/>
      <c r="V86" s="4034"/>
      <c r="W86" s="4034"/>
      <c r="X86" s="4034"/>
      <c r="Y86" s="4034"/>
      <c r="Z86" s="4034"/>
      <c r="AA86" s="4034"/>
      <c r="AB86" s="1651"/>
      <c r="AC86" s="1420"/>
      <c r="AD86" s="1578" t="str">
        <f>IF(('الصفحة 1'!$Q$14&gt;0),IF(($F$68=1),((IF((F78&gt;'الصفحة 1'!$G$46),"خطء عدد قاعات الدرس المجهزة  ",IF((F78='الصفحة 1'!$G$46)," ",IF((F78&lt;'الصفحة 1'!$G$46),""))))),""),"")</f>
        <v/>
      </c>
      <c r="AE86" s="1032"/>
      <c r="AF86" s="1032"/>
      <c r="AG86" s="1032"/>
      <c r="AH86" s="1032"/>
      <c r="AI86" s="1032"/>
      <c r="AJ86" s="1032"/>
      <c r="AK86" s="1032"/>
      <c r="AL86" s="1420"/>
    </row>
    <row r="87" spans="1:38" ht="15" customHeight="1">
      <c r="A87" s="1420"/>
      <c r="B87" s="1652"/>
      <c r="C87" s="1653" t="s">
        <v>693</v>
      </c>
      <c r="D87" s="1420"/>
      <c r="E87" s="1420"/>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19"/>
      <c r="AE87" s="1419"/>
      <c r="AF87" s="1419"/>
      <c r="AG87" s="1419"/>
      <c r="AH87" s="1419"/>
      <c r="AI87" s="1419"/>
      <c r="AJ87" s="1419"/>
      <c r="AK87" s="1419"/>
      <c r="AL87" s="1420"/>
    </row>
  </sheetData>
  <sheetProtection algorithmName="SHA-512" hashValue="qHTJ2TQKXcwLrfd2mAkbn/KaTM+o6l0zz/0JWok1kb6yoCnPG4M4ba1RnVs7LDZ9qL16cGqTqvmZdYwOSdJsMg==" saltValue="1QLolTmK2lgPnetjE6k7VA==" spinCount="100000" sheet="1" objects="1" scenarios="1"/>
  <mergeCells count="65">
    <mergeCell ref="AJ56:AK56"/>
    <mergeCell ref="K56:L56"/>
    <mergeCell ref="K60:L60"/>
    <mergeCell ref="O78:P78"/>
    <mergeCell ref="O80:P80"/>
    <mergeCell ref="AH72:AI72"/>
    <mergeCell ref="AH74:AI74"/>
    <mergeCell ref="O82:P82"/>
    <mergeCell ref="O84:P84"/>
    <mergeCell ref="R14:U14"/>
    <mergeCell ref="C3:I4"/>
    <mergeCell ref="O3:AA7"/>
    <mergeCell ref="F32:G32"/>
    <mergeCell ref="K48:M48"/>
    <mergeCell ref="U48:V48"/>
    <mergeCell ref="F64:G64"/>
    <mergeCell ref="O72:P72"/>
    <mergeCell ref="O74:P74"/>
    <mergeCell ref="AD3:AK5"/>
    <mergeCell ref="C5:I5"/>
    <mergeCell ref="C6:I7"/>
    <mergeCell ref="AD6:AK7"/>
    <mergeCell ref="AD8:AK9"/>
    <mergeCell ref="I9:Q10"/>
    <mergeCell ref="AD10:AK12"/>
    <mergeCell ref="C11:G11"/>
    <mergeCell ref="J11:O11"/>
    <mergeCell ref="AH26:AI26"/>
    <mergeCell ref="F28:G28"/>
    <mergeCell ref="P28:Q28"/>
    <mergeCell ref="AH28:AI28"/>
    <mergeCell ref="F30:G30"/>
    <mergeCell ref="AH30:AI30"/>
    <mergeCell ref="AH32:AI32"/>
    <mergeCell ref="F34:G34"/>
    <mergeCell ref="AH34:AI34"/>
    <mergeCell ref="F36:G36"/>
    <mergeCell ref="AH36:AI36"/>
    <mergeCell ref="AD38:AF38"/>
    <mergeCell ref="AH38:AK38"/>
    <mergeCell ref="AH42:AI42"/>
    <mergeCell ref="AH44:AI44"/>
    <mergeCell ref="K46:M46"/>
    <mergeCell ref="AH46:AI46"/>
    <mergeCell ref="AH48:AI48"/>
    <mergeCell ref="K50:M50"/>
    <mergeCell ref="U50:V50"/>
    <mergeCell ref="AH50:AI50"/>
    <mergeCell ref="AH60:AI60"/>
    <mergeCell ref="AH22:AI22"/>
    <mergeCell ref="C86:AA86"/>
    <mergeCell ref="F78:G78"/>
    <mergeCell ref="AH80:AI80"/>
    <mergeCell ref="F80:G80"/>
    <mergeCell ref="AH82:AI82"/>
    <mergeCell ref="F82:G82"/>
    <mergeCell ref="F84:G84"/>
    <mergeCell ref="AH84:AI84"/>
    <mergeCell ref="AH78:AK78"/>
    <mergeCell ref="AH54:AI54"/>
    <mergeCell ref="K54:L54"/>
    <mergeCell ref="AH56:AI56"/>
    <mergeCell ref="F58:G58"/>
    <mergeCell ref="AH58:AI58"/>
    <mergeCell ref="F60:G60"/>
  </mergeCells>
  <conditionalFormatting sqref="F78:G78 W72:Z72 C11 AK74 Y74:Z74 O78:P78 AK72">
    <cfRule type="cellIs" dxfId="22054" priority="78" operator="equal">
      <formula>0</formula>
    </cfRule>
  </conditionalFormatting>
  <conditionalFormatting sqref="Y78 Y80">
    <cfRule type="cellIs" dxfId="22053" priority="77" stopIfTrue="1" operator="greaterThan">
      <formula>S78</formula>
    </cfRule>
  </conditionalFormatting>
  <conditionalFormatting sqref="J78 J80">
    <cfRule type="cellIs" dxfId="22052" priority="76" stopIfTrue="1" operator="greaterThan">
      <formula>#REF!</formula>
    </cfRule>
  </conditionalFormatting>
  <conditionalFormatting sqref="U48:V48">
    <cfRule type="cellIs" dxfId="22051" priority="75" stopIfTrue="1" operator="greaterThan">
      <formula>K48</formula>
    </cfRule>
  </conditionalFormatting>
  <conditionalFormatting sqref="U50:V50">
    <cfRule type="cellIs" dxfId="22050" priority="74" stopIfTrue="1" operator="greaterThan">
      <formula>K50</formula>
    </cfRule>
  </conditionalFormatting>
  <conditionalFormatting sqref="F26 P26 Z26">
    <cfRule type="cellIs" dxfId="22049" priority="73" stopIfTrue="1" operator="greaterThan">
      <formula>$F$24</formula>
    </cfRule>
  </conditionalFormatting>
  <conditionalFormatting sqref="K46:M46">
    <cfRule type="cellIs" dxfId="22048" priority="72" stopIfTrue="1" operator="greaterThan">
      <formula>$F$46</formula>
    </cfRule>
  </conditionalFormatting>
  <conditionalFormatting sqref="F54 F62">
    <cfRule type="cellIs" dxfId="22047" priority="71" stopIfTrue="1" operator="greaterThan">
      <formula>$F$52+$N$52</formula>
    </cfRule>
  </conditionalFormatting>
  <conditionalFormatting sqref="N14">
    <cfRule type="cellIs" dxfId="22046" priority="69" stopIfTrue="1" operator="greaterThan">
      <formula>0</formula>
    </cfRule>
    <cfRule type="cellIs" dxfId="22045" priority="70" stopIfTrue="1" operator="lessThan">
      <formula>1</formula>
    </cfRule>
  </conditionalFormatting>
  <conditionalFormatting sqref="P28:Q28">
    <cfRule type="cellIs" dxfId="22044" priority="23" operator="greaterThan">
      <formula>$AA$26</formula>
    </cfRule>
    <cfRule type="cellIs" dxfId="22043" priority="66" operator="greaterThan">
      <formula>$F$28</formula>
    </cfRule>
  </conditionalFormatting>
  <conditionalFormatting sqref="F48">
    <cfRule type="cellIs" dxfId="22042" priority="57" operator="greaterThan">
      <formula>$F$40+$F$42+$F$44</formula>
    </cfRule>
  </conditionalFormatting>
  <conditionalFormatting sqref="F50">
    <cfRule type="cellIs" dxfId="22041" priority="56" operator="greaterThan">
      <formula>$F$44+$F$42+$F$40</formula>
    </cfRule>
  </conditionalFormatting>
  <conditionalFormatting sqref="F70">
    <cfRule type="cellIs" dxfId="22040" priority="54" operator="greaterThan">
      <formula>$F$66+$N$66+$F$68</formula>
    </cfRule>
  </conditionalFormatting>
  <conditionalFormatting sqref="Z58">
    <cfRule type="cellIs" dxfId="22039" priority="6" operator="greaterThan">
      <formula>$AA$64</formula>
    </cfRule>
    <cfRule type="cellIs" dxfId="22038" priority="42" operator="equal">
      <formula>$AA$58</formula>
    </cfRule>
  </conditionalFormatting>
  <conditionalFormatting sqref="Z60">
    <cfRule type="cellIs" dxfId="22037" priority="5" operator="greaterThan">
      <formula>$AA$64</formula>
    </cfRule>
    <cfRule type="cellIs" dxfId="22036" priority="40" operator="equal">
      <formula>$AA$60</formula>
    </cfRule>
  </conditionalFormatting>
  <conditionalFormatting sqref="Z62">
    <cfRule type="cellIs" dxfId="22035" priority="4" operator="greaterThan">
      <formula>$AA$64</formula>
    </cfRule>
    <cfRule type="cellIs" dxfId="22034" priority="38" operator="equal">
      <formula>$AA$62</formula>
    </cfRule>
  </conditionalFormatting>
  <conditionalFormatting sqref="Z56">
    <cfRule type="cellIs" dxfId="22033" priority="37" operator="equal">
      <formula>$AA$56</formula>
    </cfRule>
  </conditionalFormatting>
  <conditionalFormatting sqref="V56">
    <cfRule type="cellIs" dxfId="22032" priority="36" operator="equal">
      <formula>$AA$56</formula>
    </cfRule>
  </conditionalFormatting>
  <conditionalFormatting sqref="F56">
    <cfRule type="cellIs" dxfId="22031" priority="30" operator="greaterThan">
      <formula>$N$52</formula>
    </cfRule>
  </conditionalFormatting>
  <conditionalFormatting sqref="F28:G28">
    <cfRule type="cellIs" dxfId="22030" priority="28" operator="greaterThan">
      <formula>$AA$26</formula>
    </cfRule>
  </conditionalFormatting>
  <conditionalFormatting sqref="F30:G30">
    <cfRule type="cellIs" dxfId="22029" priority="27" operator="greaterThan">
      <formula>$AA$26</formula>
    </cfRule>
  </conditionalFormatting>
  <conditionalFormatting sqref="F32:G32">
    <cfRule type="cellIs" dxfId="22028" priority="26" operator="greaterThan">
      <formula>$AA$26</formula>
    </cfRule>
  </conditionalFormatting>
  <conditionalFormatting sqref="F34:G34">
    <cfRule type="cellIs" dxfId="22027" priority="25" operator="greaterThan">
      <formula>$AA$26</formula>
    </cfRule>
  </conditionalFormatting>
  <conditionalFormatting sqref="F36:G36">
    <cfRule type="cellIs" dxfId="22026" priority="24" operator="greaterThan">
      <formula>$AA$26</formula>
    </cfRule>
  </conditionalFormatting>
  <conditionalFormatting sqref="F82:G82">
    <cfRule type="cellIs" dxfId="22025" priority="21" operator="greaterThan">
      <formula>$F$80</formula>
    </cfRule>
  </conditionalFormatting>
  <conditionalFormatting sqref="F84:G84">
    <cfRule type="cellIs" dxfId="22024" priority="20" operator="greaterThan">
      <formula>$F$80</formula>
    </cfRule>
  </conditionalFormatting>
  <conditionalFormatting sqref="O82:P82">
    <cfRule type="cellIs" dxfId="22023" priority="18" operator="greaterThan">
      <formula>$F$82</formula>
    </cfRule>
    <cfRule type="cellIs" dxfId="22022" priority="19" operator="greaterThan">
      <formula>$O$80</formula>
    </cfRule>
  </conditionalFormatting>
  <conditionalFormatting sqref="O80:P80">
    <cfRule type="cellIs" dxfId="22021" priority="17" operator="greaterThan">
      <formula>$F$80</formula>
    </cfRule>
  </conditionalFormatting>
  <conditionalFormatting sqref="O84:P84">
    <cfRule type="cellIs" dxfId="22020" priority="15" operator="greaterThan">
      <formula>$F$84</formula>
    </cfRule>
    <cfRule type="cellIs" dxfId="22019" priority="16" operator="greaterThan">
      <formula>$O$80</formula>
    </cfRule>
  </conditionalFormatting>
  <conditionalFormatting sqref="O78:P78">
    <cfRule type="cellIs" dxfId="22018" priority="14" operator="greaterThan">
      <formula>$F$78</formula>
    </cfRule>
  </conditionalFormatting>
  <conditionalFormatting sqref="X68">
    <cfRule type="cellIs" dxfId="22017" priority="12" stopIfTrue="1" operator="greaterThan">
      <formula>0</formula>
    </cfRule>
    <cfRule type="cellIs" dxfId="22016" priority="13" stopIfTrue="1" operator="lessThan">
      <formula>1</formula>
    </cfRule>
  </conditionalFormatting>
  <conditionalFormatting sqref="X68">
    <cfRule type="cellIs" dxfId="22015" priority="11" operator="equal">
      <formula>$Y$68</formula>
    </cfRule>
  </conditionalFormatting>
  <conditionalFormatting sqref="N68">
    <cfRule type="cellIs" dxfId="22014" priority="7" operator="equal">
      <formula>$O$66</formula>
    </cfRule>
    <cfRule type="cellIs" dxfId="22013" priority="9" stopIfTrue="1" operator="greaterThan">
      <formula>0</formula>
    </cfRule>
    <cfRule type="cellIs" dxfId="22012" priority="10" stopIfTrue="1" operator="lessThan">
      <formula>1</formula>
    </cfRule>
  </conditionalFormatting>
  <conditionalFormatting sqref="N68">
    <cfRule type="cellIs" dxfId="22011" priority="8" operator="equal">
      <formula>$O$68</formula>
    </cfRule>
  </conditionalFormatting>
  <conditionalFormatting sqref="K56">
    <cfRule type="cellIs" dxfId="22010" priority="1831" operator="greaterThan">
      <formula>$K$54</formula>
    </cfRule>
  </conditionalFormatting>
  <conditionalFormatting sqref="F78:G78">
    <cfRule type="cellIs" dxfId="22009" priority="3" operator="notEqual">
      <formula>$O$72+$O$74</formula>
    </cfRule>
  </conditionalFormatting>
  <dataValidations count="29">
    <dataValidation type="whole" allowBlank="1" showInputMessage="1" showErrorMessage="1" errorTitle="مخصصة  للمكيفــات هوائيــة" error="ضع إما العدد 1 لتأكيد الإجابة أو 0 لنفيها" sqref="Z56 F54 Z62 F62 Z60 Z58 V56 F56">
      <formula1>0</formula1>
      <formula2>1</formula2>
    </dataValidation>
    <dataValidation type="whole" allowBlank="1" showInputMessage="1" showErrorMessage="1" errorTitle="خانة مخصصة  لتدفئة المدرسة" error="ضع العدد الإجمالي للقاعات العادية و المتخصصة" sqref="F84:G84 F80:G80 G50 G48 F32:G32 F36:G36 S25 K25:M25 F34:G34 F78:G78 F82:G82 O84:P84 O80:P80 O78:P78 O82:P82">
      <formula1>0</formula1>
      <formula2>300</formula2>
    </dataValidation>
    <dataValidation type="whole" allowBlank="1" showInputMessage="1" showErrorMessage="1" errorTitle="مخصصة  للمكيفــات هوائيــة" error="ضع العدد فقط" sqref="O74:P74 O72:P72 K54:L54">
      <formula1>0</formula1>
      <formula2>300</formula2>
    </dataValidation>
    <dataValidation type="decimal" allowBlank="1" showInputMessage="1" showErrorMessage="1" errorTitle="مخصصة  للمكيفــات هوائيــة" error="ضع العدد فقط" sqref="F60:G60 F58:G58 K60:L60">
      <formula1>0</formula1>
      <formula2>400</formula2>
    </dataValidation>
    <dataValidation type="whole" allowBlank="1" showInputMessage="1" showErrorMessage="1" errorTitle="قاعة متعددة الإختصاصات " error="إذا كانت مستعملة للنشاطات الرياضية، ضع إما العدد 1 لتأكيد الإجابة أو 0 لنفيها" sqref="F20">
      <formula1>0</formula1>
      <formula2>1</formula2>
    </dataValidation>
    <dataValidation type="whole" allowBlank="1" showInputMessage="1" showErrorMessage="1" errorTitle="قاعة متعددة الإختصاصات " error="إذا كانت مستعملة كمكتبة، ضع إما العدد 1 لتأكيد الإجابة أو 0 لنفيها" sqref="F22">
      <formula1>0</formula1>
      <formula2>2</formula2>
    </dataValidation>
    <dataValidation type="whole" allowBlank="1" showInputMessage="1" showErrorMessage="1" errorTitle="قاعة متعددة الإختصاصات " error="إذا كانت مستعملة كمخبر للإعلام الآلي، ضع إما العدد 1 لتأكيد الإجابة أو 0 لنفيها" sqref="F24">
      <formula1>0</formula1>
      <formula2>3</formula2>
    </dataValidation>
    <dataValidation type="whole" allowBlank="1" showInputMessage="1" showErrorMessage="1" errorTitle="الخانة مخصصة لمخبر الإعلام الآلي" error="ضع إما العدد 1 لتأكيد الإجابة أنه متصل بشبكة الأنترنت أو 0 لنفيها" sqref="P26 Z26">
      <formula1>0</formula1>
      <formula2>3</formula2>
    </dataValidation>
    <dataValidation type="whole" allowBlank="1" showInputMessage="1" showErrorMessage="1" errorTitle="الخانة مخصصة لمخبر الإعلام الآلي" error="ضع إما العدد 1 لتأكيد الإجابة أنه مجهز أو 0 لنفيها" sqref="F26">
      <formula1>0</formula1>
      <formula2>3</formula2>
    </dataValidation>
    <dataValidation type="whole" allowBlank="1" showInputMessage="1" showErrorMessage="1" errorTitle="الخانة مخصصة لمخبر الإعلام الآلي" error="ضع عدد الأجهزة الموجودة" sqref="F28:G28 P28:Q28">
      <formula1>0</formula1>
      <formula2>300</formula2>
    </dataValidation>
    <dataValidation type="whole" allowBlank="1" showInputMessage="1" showErrorMessage="1" sqref="F30:G30">
      <formula1>0</formula1>
      <formula2>300</formula2>
    </dataValidation>
    <dataValidation type="whole" allowBlank="1" showInputMessage="1" showErrorMessage="1" errorTitle="مخصصة لتـواجد صهاريـج الميـاه " error="ضع إما العدد 1 لتأكيد الإجابة أو 0 لنفيها" sqref="F42">
      <formula1>0</formula1>
      <formula2>1</formula2>
    </dataValidation>
    <dataValidation type="whole" allowBlank="1" showInputMessage="1" showErrorMessage="1" errorTitle="مخصصة لتواجـد خــزان المـاء" error="ضع إما العدد 1 لتأكيد الإجابة أو 0 لنفيها" sqref="F44">
      <formula1>0</formula1>
      <formula2>1</formula2>
    </dataValidation>
    <dataValidation type="whole" allowBlank="1" showInputMessage="1" showErrorMessage="1" errorTitle="مخصصة لأجهــزة تبريـد الميـاه" error="ضع إما العدد 1 لتأكيد الإجابة أو 0 لنفيها" sqref="F46 F50 F48">
      <formula1>0</formula1>
      <formula2>1</formula2>
    </dataValidation>
    <dataValidation type="whole" allowBlank="1" showInputMessage="1" showErrorMessage="1" errorTitle="مخصصة لأجهــزة تبريـد الميـاه" error="ذا كانت توجد أجهــزة تبريـد الميـاه، ضع العدد فقط" sqref="H46 K46:M46">
      <formula1>0</formula1>
      <formula2>500</formula2>
    </dataValidation>
    <dataValidation type="whole" allowBlank="1" showInputMessage="1" showErrorMessage="1" errorTitle="مخصصة للمراحيض" error="ضع العدد الاجمالي للمراحيض الصالحة و المستعملة" sqref="K48:M48">
      <formula1>0</formula1>
      <formula2>400</formula2>
    </dataValidation>
    <dataValidation type="whole" allowBlank="1" showInputMessage="1" showErrorMessage="1" errorTitle="المراحيض الصالحة للإستعمال" error="ضع العدد الخاص بالبنات" sqref="U48:V48">
      <formula1>0</formula1>
      <formula2>400</formula2>
    </dataValidation>
    <dataValidation type="whole" allowBlank="1" showInputMessage="1" showErrorMessage="1" errorTitle="المراحيض الصالحة للإستعمال" error="ضع العدد الخاص بالبنات" sqref="H50">
      <formula1>0</formula1>
      <formula2>300</formula2>
    </dataValidation>
    <dataValidation type="whole" allowBlank="1" showInputMessage="1" showErrorMessage="1" errorTitle="الفضـاءات الصالحة لغسل الأيـدي" error="ضع العدد فقط " sqref="U50:V50 K50:M50">
      <formula1>0</formula1>
      <formula2>400</formula2>
    </dataValidation>
    <dataValidation type="whole" allowBlank="1" showInputMessage="1" showErrorMessage="1" errorTitle="مخصصة  لشبكـة الكهرباء" error="ضع إما العدد 1 لتأكيد الإجابة أو 0 لنفيها" sqref="F52 N52 N66 N68 X68">
      <formula1>0</formula1>
      <formula2>1</formula2>
    </dataValidation>
    <dataValidation type="whole" allowBlank="1" showInputMessage="1" showErrorMessage="1" errorTitle="مخصصة  للمروحيات السقفية" error="ضع العدد فقط" sqref="F64:G64">
      <formula1>0</formula1>
      <formula2>400</formula2>
    </dataValidation>
    <dataValidation type="whole" allowBlank="1" showInputMessage="1" showErrorMessage="1" errorTitle="مخصصة  لشبكـة الغـــــاز" error="ضع إما العدد 1 لتأكيد الإجابة أو 0 لنفيها" sqref="F66">
      <formula1>0</formula1>
      <formula2>1</formula2>
    </dataValidation>
    <dataValidation type="whole" allowBlank="1" showInputMessage="1" showErrorMessage="1" errorTitle="خانة مخصصة  لتدفئة المدرسة" error="ضع إما العدد 1 لتأكيد الإجابة أو 0 لنفيها" sqref="F68 F70 F72">
      <formula1>0</formula1>
      <formula2>1</formula2>
    </dataValidation>
    <dataValidation type="whole" operator="lessThanOrEqual" allowBlank="1" showInputMessage="1" showErrorMessage="1" errorTitle="خانة مخصصة  لتدفئة المدرسة" error="ضع إما العدد 1 لتأكيد الإجابة أو 0 لنفيها" sqref="F74">
      <formula1>1</formula1>
    </dataValidation>
    <dataValidation type="whole" allowBlank="1" showInputMessage="1" showErrorMessage="1" errorTitle=" قاعة متعددة الإختصاصات " error="إذا كانت مستعملة للنشاطات الفنية، ضع إما العدد 1 لتأكيد الإجابة أو 0 لنفيها" sqref="F18">
      <formula1>0</formula1>
      <formula2>1</formula2>
    </dataValidation>
    <dataValidation type="whole" allowBlank="1" showInputMessage="1" showErrorMessage="1" errorTitle="خانة مخصصة لربط بشبكة الماء" error="ضع إما العدد 1 لتأكيد الإجابة أو 0 لنفيها" sqref="P44 F40 P40">
      <formula1>0</formula1>
      <formula2>1</formula2>
    </dataValidation>
    <dataValidation type="whole" allowBlank="1" showInputMessage="1" showErrorMessage="1" errorTitle="الخانة مخصصة لساحة المتوسطة" error="ضع إما العدد 1 لتأكيد الإجابة أنه توجد ساحة أو 0 لنفيها" sqref="N14">
      <formula1>0</formula1>
      <formula2>1</formula2>
    </dataValidation>
    <dataValidation type="whole" allowBlank="1" showInputMessage="1" showErrorMessage="1" errorTitle="الخانة مخصصة لساحة المتوسطة" error="ضع العدد المناسب لتحديد مساحة المتوسطة" sqref="R14:U14">
      <formula1>0</formula1>
      <formula2>20000000</formula2>
    </dataValidation>
    <dataValidation type="whole" operator="lessThan" allowBlank="1" showInputMessage="1" showErrorMessage="1" errorTitle="مخصصة  للمكيفــات هوائيــة" error="ضع إما العدد 1 لتأكيد الإجابة أو 0 لنفيها" sqref="K56:L56">
      <formula1>30</formula1>
    </dataValidation>
  </dataValidations>
  <printOptions horizontalCentered="1" verticalCentered="1"/>
  <pageMargins left="0.19685039370078741" right="0.19685039370078741" top="0.19685039370078741" bottom="0.19685039370078741" header="0.19685039370078741" footer="0.23622047244094491"/>
  <pageSetup paperSize="9" orientation="portrait" r:id="rId1"/>
  <headerFooter>
    <oddFooter xml:space="preserve">&amp;R&amp;"-,Gras"&amp;8&amp;K00-034Echamil V.08      &amp;F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00B0F0"/>
  </sheetPr>
  <dimension ref="A1:AI182"/>
  <sheetViews>
    <sheetView showGridLines="0" rightToLeft="1" topLeftCell="A13" workbookViewId="0">
      <selection activeCell="N51" sqref="N51"/>
    </sheetView>
  </sheetViews>
  <sheetFormatPr baseColWidth="10" defaultColWidth="0" defaultRowHeight="14.4" zeroHeight="1"/>
  <cols>
    <col min="1" max="1" width="2.6640625" customWidth="1"/>
    <col min="2" max="2" width="1.6640625" customWidth="1"/>
    <col min="3" max="3" width="6.6640625" customWidth="1"/>
    <col min="4" max="4" width="13.6640625" customWidth="1"/>
    <col min="5" max="5" width="5.109375" customWidth="1"/>
    <col min="6" max="6" width="2.109375" customWidth="1"/>
    <col min="7" max="7" width="5.109375" customWidth="1"/>
    <col min="8" max="8" width="2.109375" customWidth="1"/>
    <col min="9" max="9" width="5.6640625" customWidth="1"/>
    <col min="10" max="10" width="6.6640625" customWidth="1"/>
    <col min="11" max="11" width="3.109375" customWidth="1"/>
    <col min="12" max="13" width="2.109375" customWidth="1"/>
    <col min="14" max="15" width="3.6640625" customWidth="1"/>
    <col min="16" max="16" width="2.109375" customWidth="1"/>
    <col min="17" max="17" width="3.6640625" customWidth="1"/>
    <col min="18" max="18" width="2.109375" customWidth="1"/>
    <col min="19" max="19" width="5.6640625" customWidth="1"/>
    <col min="20" max="20" width="7.33203125" customWidth="1"/>
    <col min="21" max="21" width="5.6640625" customWidth="1"/>
    <col min="22" max="24" width="1.6640625" customWidth="1"/>
    <col min="25" max="25" width="0.88671875" customWidth="1"/>
    <col min="26" max="26" width="1.6640625" customWidth="1"/>
    <col min="27" max="27" width="2.6640625" customWidth="1"/>
    <col min="28" max="28" width="20.6640625" customWidth="1"/>
    <col min="29" max="29" width="0.88671875" customWidth="1"/>
    <col min="30" max="30" width="20.6640625" customWidth="1"/>
    <col min="31" max="31" width="1.6640625" customWidth="1"/>
    <col min="32" max="32" width="22" customWidth="1"/>
    <col min="33" max="33" width="1.6640625" customWidth="1"/>
    <col min="34" max="34" width="23.5546875" customWidth="1"/>
    <col min="35" max="35" width="6.33203125" customWidth="1"/>
    <col min="36" max="16384" width="11.44140625" hidden="1"/>
  </cols>
  <sheetData>
    <row r="1" spans="1:35" ht="25.5" customHeight="1" thickBot="1">
      <c r="A1" s="703"/>
      <c r="B1" s="825"/>
      <c r="C1" s="1019" t="s">
        <v>693</v>
      </c>
      <c r="D1" s="825"/>
      <c r="E1" s="825"/>
      <c r="F1" s="825"/>
      <c r="G1" s="825"/>
      <c r="H1" s="825"/>
      <c r="I1" s="825"/>
      <c r="J1" s="825"/>
      <c r="K1" s="825"/>
      <c r="L1" s="825"/>
      <c r="M1" s="825"/>
      <c r="N1" s="825"/>
      <c r="O1" s="825"/>
      <c r="P1" s="825"/>
      <c r="Q1" s="825"/>
      <c r="R1" s="825"/>
      <c r="S1" s="825"/>
      <c r="T1" s="825"/>
      <c r="U1" s="825"/>
      <c r="V1" s="825"/>
      <c r="W1" s="825"/>
      <c r="X1" s="825"/>
      <c r="Y1" s="825"/>
      <c r="Z1" s="825"/>
      <c r="AA1" s="703"/>
      <c r="AB1" s="2640" t="str">
        <f>'صفحة الدفتـر'!$B$68</f>
        <v>السنة الدراسية  2022 - 2023</v>
      </c>
      <c r="AC1" s="2641"/>
      <c r="AD1" s="3162" t="str">
        <f>'الصفحة 1'!$AB$1</f>
        <v xml:space="preserve"> تم مراجعة نسخة هذا الدفتر في30 ماي 2022 </v>
      </c>
      <c r="AE1" s="2642"/>
      <c r="AF1" s="2643"/>
      <c r="AG1" s="2641"/>
      <c r="AH1" s="2990">
        <f>'الصفحة 1'!$AF$1</f>
        <v>2022</v>
      </c>
      <c r="AI1" s="2989">
        <f>+AH1+1</f>
        <v>2023</v>
      </c>
    </row>
    <row r="2" spans="1:35" ht="8.1" customHeight="1" thickBot="1">
      <c r="A2" s="703"/>
      <c r="B2" s="727"/>
      <c r="C2" s="728"/>
      <c r="D2" s="728"/>
      <c r="E2" s="728"/>
      <c r="F2" s="728"/>
      <c r="G2" s="728"/>
      <c r="H2" s="728"/>
      <c r="I2" s="728"/>
      <c r="J2" s="728"/>
      <c r="K2" s="728"/>
      <c r="L2" s="728"/>
      <c r="M2" s="728"/>
      <c r="N2" s="728"/>
      <c r="O2" s="728"/>
      <c r="P2" s="728"/>
      <c r="Q2" s="728"/>
      <c r="R2" s="728"/>
      <c r="S2" s="728"/>
      <c r="T2" s="728"/>
      <c r="U2" s="728"/>
      <c r="V2" s="728"/>
      <c r="W2" s="728"/>
      <c r="X2" s="728"/>
      <c r="Y2" s="728"/>
      <c r="Z2" s="729"/>
      <c r="AA2" s="705"/>
      <c r="AB2" s="4053" t="s">
        <v>603</v>
      </c>
      <c r="AC2" s="4053"/>
      <c r="AD2" s="4053"/>
      <c r="AE2" s="4053"/>
      <c r="AF2" s="4053"/>
      <c r="AG2" s="4053"/>
      <c r="AH2" s="4053"/>
      <c r="AI2" s="2644"/>
    </row>
    <row r="3" spans="1:35" ht="8.1" customHeight="1">
      <c r="A3" s="703"/>
      <c r="B3" s="719"/>
      <c r="C3" s="3849" t="s">
        <v>7</v>
      </c>
      <c r="D3" s="3850"/>
      <c r="E3" s="3850"/>
      <c r="F3" s="3850"/>
      <c r="G3" s="3850"/>
      <c r="H3" s="3850"/>
      <c r="I3" s="3851"/>
      <c r="J3" s="7"/>
      <c r="K3" s="7"/>
      <c r="L3" s="7"/>
      <c r="M3" s="7"/>
      <c r="N3" s="1"/>
      <c r="O3" s="3828" t="s">
        <v>868</v>
      </c>
      <c r="P3" s="3971"/>
      <c r="Q3" s="3971"/>
      <c r="R3" s="3971"/>
      <c r="S3" s="3971"/>
      <c r="T3" s="3971"/>
      <c r="U3" s="3971"/>
      <c r="V3" s="3971"/>
      <c r="W3" s="3971"/>
      <c r="X3" s="3971"/>
      <c r="Y3" s="3972"/>
      <c r="Z3" s="730"/>
      <c r="AA3" s="705"/>
      <c r="AB3" s="4053"/>
      <c r="AC3" s="4053"/>
      <c r="AD3" s="4053"/>
      <c r="AE3" s="4053"/>
      <c r="AF3" s="4053"/>
      <c r="AG3" s="4053"/>
      <c r="AH3" s="4053"/>
      <c r="AI3" s="2644"/>
    </row>
    <row r="4" spans="1:35" ht="12.9" customHeight="1">
      <c r="A4" s="703"/>
      <c r="B4" s="731"/>
      <c r="C4" s="3852"/>
      <c r="D4" s="3853"/>
      <c r="E4" s="3853"/>
      <c r="F4" s="3853"/>
      <c r="G4" s="3853"/>
      <c r="H4" s="3853"/>
      <c r="I4" s="3854"/>
      <c r="J4" s="7"/>
      <c r="K4" s="7"/>
      <c r="L4" s="7"/>
      <c r="M4" s="7"/>
      <c r="N4" s="1"/>
      <c r="O4" s="3973"/>
      <c r="P4" s="3974"/>
      <c r="Q4" s="3974"/>
      <c r="R4" s="3974"/>
      <c r="S4" s="3974"/>
      <c r="T4" s="3974"/>
      <c r="U4" s="3974"/>
      <c r="V4" s="3974"/>
      <c r="W4" s="3974"/>
      <c r="X4" s="3974"/>
      <c r="Y4" s="3975"/>
      <c r="Z4" s="730"/>
      <c r="AA4" s="705"/>
      <c r="AB4" s="4053"/>
      <c r="AC4" s="4053"/>
      <c r="AD4" s="4053"/>
      <c r="AE4" s="4053"/>
      <c r="AF4" s="4053"/>
      <c r="AG4" s="4053"/>
      <c r="AH4" s="4053"/>
      <c r="AI4" s="2644"/>
    </row>
    <row r="5" spans="1:35" ht="14.1" customHeight="1">
      <c r="A5" s="703"/>
      <c r="B5" s="732"/>
      <c r="C5" s="3949" t="s">
        <v>5</v>
      </c>
      <c r="D5" s="3950"/>
      <c r="E5" s="3950"/>
      <c r="F5" s="3950"/>
      <c r="G5" s="3950"/>
      <c r="H5" s="3950"/>
      <c r="I5" s="3951"/>
      <c r="J5" s="7"/>
      <c r="K5" s="7"/>
      <c r="L5" s="7"/>
      <c r="M5" s="7"/>
      <c r="N5" s="1"/>
      <c r="O5" s="3973"/>
      <c r="P5" s="3974"/>
      <c r="Q5" s="3974"/>
      <c r="R5" s="3974"/>
      <c r="S5" s="3974"/>
      <c r="T5" s="3974"/>
      <c r="U5" s="3974"/>
      <c r="V5" s="3974"/>
      <c r="W5" s="3974"/>
      <c r="X5" s="3974"/>
      <c r="Y5" s="3975"/>
      <c r="Z5" s="730"/>
      <c r="AA5" s="706"/>
      <c r="AB5" s="4053"/>
      <c r="AC5" s="4053"/>
      <c r="AD5" s="4053"/>
      <c r="AE5" s="4053"/>
      <c r="AF5" s="4053"/>
      <c r="AG5" s="4053"/>
      <c r="AH5" s="4053"/>
      <c r="AI5" s="2645"/>
    </row>
    <row r="6" spans="1:35" ht="12.9" customHeight="1">
      <c r="A6" s="703"/>
      <c r="B6" s="732"/>
      <c r="C6" s="3958" t="s">
        <v>1468</v>
      </c>
      <c r="D6" s="3959"/>
      <c r="E6" s="3959"/>
      <c r="F6" s="3959"/>
      <c r="G6" s="3959"/>
      <c r="H6" s="3959"/>
      <c r="I6" s="3960"/>
      <c r="J6" s="7"/>
      <c r="K6" s="7"/>
      <c r="L6" s="7"/>
      <c r="M6" s="7"/>
      <c r="N6" s="1"/>
      <c r="O6" s="3973"/>
      <c r="P6" s="3974"/>
      <c r="Q6" s="3974"/>
      <c r="R6" s="3974"/>
      <c r="S6" s="3974"/>
      <c r="T6" s="3974"/>
      <c r="U6" s="3974"/>
      <c r="V6" s="3974"/>
      <c r="W6" s="3974"/>
      <c r="X6" s="3974"/>
      <c r="Y6" s="3975"/>
      <c r="Z6" s="730"/>
      <c r="AA6" s="706"/>
      <c r="AB6" s="4119" t="s">
        <v>1451</v>
      </c>
      <c r="AC6" s="4119"/>
      <c r="AD6" s="4119"/>
      <c r="AE6" s="4119"/>
      <c r="AF6" s="4119"/>
      <c r="AI6" s="2645"/>
    </row>
    <row r="7" spans="1:35" ht="8.1" customHeight="1" thickBot="1">
      <c r="A7" s="703"/>
      <c r="B7" s="732"/>
      <c r="C7" s="3961"/>
      <c r="D7" s="3962"/>
      <c r="E7" s="3962"/>
      <c r="F7" s="3962"/>
      <c r="G7" s="3962"/>
      <c r="H7" s="3962"/>
      <c r="I7" s="3963"/>
      <c r="J7" s="7"/>
      <c r="K7" s="7"/>
      <c r="L7" s="7"/>
      <c r="M7" s="7"/>
      <c r="N7" s="1"/>
      <c r="O7" s="3976"/>
      <c r="P7" s="3977"/>
      <c r="Q7" s="3977"/>
      <c r="R7" s="3977"/>
      <c r="S7" s="3977"/>
      <c r="T7" s="3977"/>
      <c r="U7" s="3977"/>
      <c r="V7" s="3977"/>
      <c r="W7" s="3977"/>
      <c r="X7" s="3977"/>
      <c r="Y7" s="3978"/>
      <c r="Z7" s="717"/>
      <c r="AA7" s="703"/>
      <c r="AB7" s="4119"/>
      <c r="AC7" s="4119"/>
      <c r="AD7" s="4119"/>
      <c r="AE7" s="4119"/>
      <c r="AF7" s="4119"/>
      <c r="AI7" s="2646"/>
    </row>
    <row r="8" spans="1:35" ht="6" customHeight="1" thickBot="1">
      <c r="A8" s="703"/>
      <c r="B8" s="732"/>
      <c r="C8" s="9"/>
      <c r="D8" s="9"/>
      <c r="E8" s="9"/>
      <c r="F8" s="9"/>
      <c r="G8" s="9"/>
      <c r="H8" s="9"/>
      <c r="I8" s="9"/>
      <c r="J8" s="9"/>
      <c r="K8" s="9"/>
      <c r="L8" s="9"/>
      <c r="M8" s="9"/>
      <c r="N8" s="9"/>
      <c r="O8" s="9"/>
      <c r="P8" s="9"/>
      <c r="Q8" s="8"/>
      <c r="R8" s="8"/>
      <c r="S8" s="8"/>
      <c r="T8" s="8"/>
      <c r="U8" s="8"/>
      <c r="V8" s="8"/>
      <c r="W8" s="8"/>
      <c r="X8" s="8"/>
      <c r="Y8" s="8"/>
      <c r="Z8" s="717"/>
      <c r="AA8" s="703"/>
      <c r="AB8" s="4119"/>
      <c r="AC8" s="4119"/>
      <c r="AD8" s="4119"/>
      <c r="AE8" s="4119"/>
      <c r="AF8" s="4119"/>
      <c r="AI8" s="2646"/>
    </row>
    <row r="9" spans="1:35" ht="10.5" customHeight="1">
      <c r="A9" s="703"/>
      <c r="B9" s="732"/>
      <c r="C9" s="8"/>
      <c r="D9" s="8"/>
      <c r="E9" s="8"/>
      <c r="F9" s="3444"/>
      <c r="G9" s="8"/>
      <c r="H9" s="8"/>
      <c r="I9" s="3964" t="s">
        <v>4</v>
      </c>
      <c r="J9" s="3965"/>
      <c r="K9" s="3965"/>
      <c r="L9" s="3965"/>
      <c r="M9" s="3965"/>
      <c r="N9" s="3965"/>
      <c r="O9" s="3966"/>
      <c r="P9" s="8"/>
      <c r="Q9" s="8"/>
      <c r="R9" s="8"/>
      <c r="Y9" s="8"/>
      <c r="Z9" s="717"/>
      <c r="AA9" s="703"/>
      <c r="AB9" s="4119"/>
      <c r="AC9" s="4119"/>
      <c r="AD9" s="4119"/>
      <c r="AE9" s="4119"/>
      <c r="AF9" s="4119"/>
      <c r="AI9" s="2646"/>
    </row>
    <row r="10" spans="1:35" ht="12.9" customHeight="1" thickBot="1">
      <c r="A10" s="703"/>
      <c r="B10" s="732"/>
      <c r="C10" s="8"/>
      <c r="D10" s="8"/>
      <c r="E10" s="8"/>
      <c r="F10" s="8"/>
      <c r="G10" s="8"/>
      <c r="H10" s="8"/>
      <c r="I10" s="3967"/>
      <c r="J10" s="3968"/>
      <c r="K10" s="3968"/>
      <c r="L10" s="3968"/>
      <c r="M10" s="3968"/>
      <c r="N10" s="3968"/>
      <c r="O10" s="3969"/>
      <c r="P10" s="8"/>
      <c r="Q10" s="8"/>
      <c r="R10" s="8"/>
      <c r="S10" s="8"/>
      <c r="T10" s="8"/>
      <c r="U10" s="8"/>
      <c r="V10" s="8"/>
      <c r="W10" s="8"/>
      <c r="X10" s="8"/>
      <c r="Y10" s="8"/>
      <c r="Z10" s="717"/>
      <c r="AA10" s="703"/>
      <c r="AB10" s="4120"/>
      <c r="AC10" s="4120"/>
      <c r="AD10" s="4120"/>
      <c r="AE10" s="4120"/>
      <c r="AF10" s="4120"/>
      <c r="AI10" s="2646"/>
    </row>
    <row r="11" spans="1:35" ht="12.9" customHeight="1" thickTop="1">
      <c r="A11" s="703"/>
      <c r="B11" s="732"/>
      <c r="C11" s="1884" t="s">
        <v>775</v>
      </c>
      <c r="D11" s="4115">
        <f>'الصفحة 1'!$D$11</f>
        <v>0</v>
      </c>
      <c r="E11" s="4115"/>
      <c r="F11" s="8"/>
      <c r="G11" s="8"/>
      <c r="H11" s="8"/>
      <c r="I11" s="7"/>
      <c r="J11" s="3952" t="s">
        <v>692</v>
      </c>
      <c r="K11" s="3953"/>
      <c r="L11" s="3953"/>
      <c r="M11" s="3954"/>
      <c r="N11" s="8"/>
      <c r="O11" s="8"/>
      <c r="P11" s="8"/>
      <c r="Q11" s="8"/>
      <c r="R11" s="8"/>
      <c r="S11" s="8"/>
      <c r="T11" s="3955"/>
      <c r="U11" s="3956"/>
      <c r="V11" s="3956"/>
      <c r="W11" s="3956"/>
      <c r="X11" s="3957"/>
      <c r="Y11" s="8"/>
      <c r="Z11" s="717"/>
      <c r="AA11" s="703"/>
      <c r="AB11" s="4116" t="s">
        <v>688</v>
      </c>
      <c r="AC11" s="4117"/>
      <c r="AD11" s="4117"/>
      <c r="AE11" s="4117"/>
      <c r="AF11" s="4117"/>
      <c r="AG11" s="4117"/>
      <c r="AH11" s="4118"/>
      <c r="AI11" s="2646"/>
    </row>
    <row r="12" spans="1:35" ht="8.1" customHeight="1" thickBot="1">
      <c r="A12" s="703"/>
      <c r="B12" s="732"/>
      <c r="C12" s="8"/>
      <c r="D12" s="8"/>
      <c r="E12" s="8"/>
      <c r="F12" s="8"/>
      <c r="G12" s="8"/>
      <c r="H12" s="8"/>
      <c r="I12" s="8"/>
      <c r="J12" s="8"/>
      <c r="K12" s="8"/>
      <c r="L12" s="8"/>
      <c r="M12" s="8"/>
      <c r="N12" s="8"/>
      <c r="O12" s="8"/>
      <c r="P12" s="8"/>
      <c r="Q12" s="8"/>
      <c r="R12" s="8"/>
      <c r="S12" s="8"/>
      <c r="T12" s="8"/>
      <c r="U12" s="8"/>
      <c r="V12" s="8"/>
      <c r="W12" s="8"/>
      <c r="X12" s="8"/>
      <c r="Y12" s="8"/>
      <c r="Z12" s="717"/>
      <c r="AA12" s="706"/>
      <c r="AB12" s="4129" t="s">
        <v>683</v>
      </c>
      <c r="AC12" s="4130"/>
      <c r="AD12" s="4130"/>
      <c r="AE12" s="4130"/>
      <c r="AF12" s="4130"/>
      <c r="AG12" s="4130"/>
      <c r="AH12" s="4131"/>
      <c r="AI12" s="2645"/>
    </row>
    <row r="13" spans="1:35" ht="3.9" customHeight="1">
      <c r="A13" s="703"/>
      <c r="B13" s="732"/>
      <c r="C13" s="828"/>
      <c r="D13" s="713"/>
      <c r="E13" s="713"/>
      <c r="F13" s="713"/>
      <c r="G13" s="713"/>
      <c r="H13" s="713"/>
      <c r="I13" s="713"/>
      <c r="J13" s="713"/>
      <c r="K13" s="713"/>
      <c r="L13" s="713"/>
      <c r="M13" s="713"/>
      <c r="N13" s="713"/>
      <c r="O13" s="713"/>
      <c r="P13" s="713"/>
      <c r="Q13" s="713"/>
      <c r="R13" s="713"/>
      <c r="S13" s="713"/>
      <c r="T13" s="713"/>
      <c r="U13" s="713"/>
      <c r="V13" s="713"/>
      <c r="W13" s="713"/>
      <c r="X13" s="713"/>
      <c r="Y13" s="829"/>
      <c r="Z13" s="717"/>
      <c r="AA13" s="703"/>
      <c r="AB13" s="4129"/>
      <c r="AC13" s="4130"/>
      <c r="AD13" s="4130"/>
      <c r="AE13" s="4130"/>
      <c r="AF13" s="4130"/>
      <c r="AG13" s="4130"/>
      <c r="AH13" s="4131"/>
      <c r="AI13" s="2646"/>
    </row>
    <row r="14" spans="1:35" ht="18" customHeight="1">
      <c r="A14" s="703"/>
      <c r="B14" s="732"/>
      <c r="C14" s="2007" t="s">
        <v>968</v>
      </c>
      <c r="D14" s="8"/>
      <c r="E14" s="8"/>
      <c r="F14" s="8"/>
      <c r="G14" s="8"/>
      <c r="H14" s="8"/>
      <c r="I14" s="8"/>
      <c r="J14" s="8"/>
      <c r="K14" s="4067" t="str">
        <f>'الصفحة 1'!$E$16</f>
        <v>بلحاتم رابح</v>
      </c>
      <c r="L14" s="4068"/>
      <c r="M14" s="4068"/>
      <c r="N14" s="4068"/>
      <c r="O14" s="4068"/>
      <c r="P14" s="4068"/>
      <c r="Q14" s="4068"/>
      <c r="R14" s="4068"/>
      <c r="S14" s="4068"/>
      <c r="T14" s="4069"/>
      <c r="U14" s="8"/>
      <c r="V14" s="8"/>
      <c r="W14" s="8"/>
      <c r="X14" s="8"/>
      <c r="Y14" s="717"/>
      <c r="Z14" s="717"/>
      <c r="AA14" s="703"/>
      <c r="AB14" s="4129"/>
      <c r="AC14" s="4130"/>
      <c r="AD14" s="4130"/>
      <c r="AE14" s="4130"/>
      <c r="AF14" s="4130"/>
      <c r="AG14" s="4130"/>
      <c r="AH14" s="4131"/>
      <c r="AI14" s="2646"/>
    </row>
    <row r="15" spans="1:35" ht="3" customHeight="1">
      <c r="A15" s="703"/>
      <c r="B15" s="732"/>
      <c r="C15" s="719"/>
      <c r="D15" s="8"/>
      <c r="E15" s="8"/>
      <c r="F15" s="8"/>
      <c r="G15" s="8"/>
      <c r="H15" s="8"/>
      <c r="I15" s="8"/>
      <c r="J15" s="8"/>
      <c r="K15" s="8"/>
      <c r="L15" s="8"/>
      <c r="M15" s="8"/>
      <c r="N15" s="8"/>
      <c r="O15" s="8"/>
      <c r="P15" s="8"/>
      <c r="Q15" s="8"/>
      <c r="R15" s="8"/>
      <c r="S15" s="8"/>
      <c r="T15" s="8"/>
      <c r="U15" s="8"/>
      <c r="V15" s="8"/>
      <c r="W15" s="8"/>
      <c r="X15" s="8"/>
      <c r="Y15" s="717"/>
      <c r="Z15" s="717"/>
      <c r="AA15" s="703"/>
      <c r="AB15" s="4129" t="s">
        <v>680</v>
      </c>
      <c r="AC15" s="4130"/>
      <c r="AD15" s="4130"/>
      <c r="AE15" s="4130"/>
      <c r="AF15" s="4130"/>
      <c r="AG15" s="4130"/>
      <c r="AH15" s="4131"/>
      <c r="AI15" s="2646"/>
    </row>
    <row r="16" spans="1:35" ht="15.9" customHeight="1">
      <c r="A16" s="703"/>
      <c r="B16" s="732"/>
      <c r="C16" s="1696" t="s">
        <v>954</v>
      </c>
      <c r="D16" s="1695"/>
      <c r="E16" s="775"/>
      <c r="F16" s="775"/>
      <c r="G16" s="775"/>
      <c r="H16" s="1016"/>
      <c r="I16" s="776"/>
      <c r="J16" s="1017"/>
      <c r="K16" s="1017"/>
      <c r="L16" s="1017"/>
      <c r="M16" s="1017"/>
      <c r="N16" s="1017"/>
      <c r="O16" s="1017"/>
      <c r="P16" s="1017"/>
      <c r="Q16" s="1017"/>
      <c r="R16" s="1017"/>
      <c r="S16" s="1017"/>
      <c r="T16" s="1017"/>
      <c r="U16" s="1017"/>
      <c r="V16" s="1017"/>
      <c r="W16" s="1017"/>
      <c r="X16" s="1906" t="s">
        <v>953</v>
      </c>
      <c r="Y16" s="830"/>
      <c r="Z16" s="717"/>
      <c r="AA16" s="703"/>
      <c r="AB16" s="4129"/>
      <c r="AC16" s="4130"/>
      <c r="AD16" s="4130"/>
      <c r="AE16" s="4130"/>
      <c r="AF16" s="4130"/>
      <c r="AG16" s="4130"/>
      <c r="AH16" s="4131"/>
      <c r="AI16" s="2646"/>
    </row>
    <row r="17" spans="1:35" ht="3" customHeight="1" thickBot="1">
      <c r="A17" s="703"/>
      <c r="B17" s="732"/>
      <c r="C17" s="719"/>
      <c r="D17" s="8"/>
      <c r="E17" s="8"/>
      <c r="F17" s="8"/>
      <c r="G17" s="8"/>
      <c r="H17" s="8"/>
      <c r="I17" s="8"/>
      <c r="J17" s="8"/>
      <c r="K17" s="8"/>
      <c r="L17" s="8"/>
      <c r="M17" s="8"/>
      <c r="N17" s="8"/>
      <c r="O17" s="8"/>
      <c r="P17" s="520"/>
      <c r="Q17" s="7"/>
      <c r="R17" s="520"/>
      <c r="S17" s="520"/>
      <c r="T17" s="520"/>
      <c r="U17" s="520"/>
      <c r="V17" s="520"/>
      <c r="W17" s="520"/>
      <c r="X17" s="520"/>
      <c r="Y17" s="717"/>
      <c r="Z17" s="717"/>
      <c r="AA17" s="703"/>
      <c r="AB17" s="4133" t="s">
        <v>682</v>
      </c>
      <c r="AC17" s="4134"/>
      <c r="AD17" s="4134"/>
      <c r="AE17" s="4134"/>
      <c r="AF17" s="4134"/>
      <c r="AG17" s="4134"/>
      <c r="AH17" s="4135"/>
      <c r="AI17" s="2646"/>
    </row>
    <row r="18" spans="1:35" ht="15" customHeight="1" thickBot="1">
      <c r="A18" s="703"/>
      <c r="B18" s="732"/>
      <c r="C18" s="3523"/>
      <c r="D18" s="3493"/>
      <c r="E18" s="3444" t="str">
        <f>IF(('الصفحة 1'!$Q$14&gt;0),(IF((('الصفحة 1'!$V$36)=1),(IF((('الصفحة 1'!$V$36)=1),"1-4 - نصـــف الداخليـــــــــــة ؟ ","")),"")),"")</f>
        <v xml:space="preserve">1-4 - نصـــف الداخليـــــــــــة ؟ </v>
      </c>
      <c r="F18" s="3429">
        <f>IF(('الصفحة 1'!V34=1),0,IF((('الصفحة 1'!V36)=1),1,IF((('الصفحة 1'!V36)=1),1,0)))</f>
        <v>1</v>
      </c>
      <c r="G18" s="1380"/>
      <c r="H18" s="1380"/>
      <c r="I18" s="1065"/>
      <c r="J18" s="3524"/>
      <c r="K18" s="3525"/>
      <c r="L18" s="2340"/>
      <c r="M18" s="1032"/>
      <c r="N18" s="1032"/>
      <c r="O18" s="1032"/>
      <c r="P18" s="1032"/>
      <c r="Q18" s="1032"/>
      <c r="R18" s="1032"/>
      <c r="S18" s="1032"/>
      <c r="T18" s="1032"/>
      <c r="U18" s="1032"/>
      <c r="V18" s="1032"/>
      <c r="W18" s="1032"/>
      <c r="X18" s="2366"/>
      <c r="Y18" s="734"/>
      <c r="Z18" s="717"/>
      <c r="AA18" s="703"/>
      <c r="AB18" s="4133"/>
      <c r="AC18" s="4134"/>
      <c r="AD18" s="4134"/>
      <c r="AE18" s="4134"/>
      <c r="AF18" s="4134"/>
      <c r="AG18" s="4134"/>
      <c r="AH18" s="4135"/>
      <c r="AI18" s="2646"/>
    </row>
    <row r="19" spans="1:35" ht="3.9" customHeight="1">
      <c r="A19" s="703"/>
      <c r="B19" s="732"/>
      <c r="C19" s="3523"/>
      <c r="D19" s="3493"/>
      <c r="E19" s="3526"/>
      <c r="F19" s="3527"/>
      <c r="G19" s="1380"/>
      <c r="H19" s="1380"/>
      <c r="I19" s="1065"/>
      <c r="J19" s="3524"/>
      <c r="K19" s="3525"/>
      <c r="L19" s="2340"/>
      <c r="M19" s="1032"/>
      <c r="N19" s="1032"/>
      <c r="O19" s="1032"/>
      <c r="P19" s="1032"/>
      <c r="Q19" s="1032"/>
      <c r="R19" s="1032"/>
      <c r="S19" s="1032"/>
      <c r="T19" s="1032"/>
      <c r="U19" s="1032"/>
      <c r="V19" s="1032"/>
      <c r="W19" s="1032"/>
      <c r="X19" s="2366"/>
      <c r="Y19" s="734"/>
      <c r="Z19" s="717"/>
      <c r="AA19" s="703"/>
      <c r="AB19" s="4123" t="s">
        <v>681</v>
      </c>
      <c r="AC19" s="4124"/>
      <c r="AD19" s="4124"/>
      <c r="AE19" s="4124"/>
      <c r="AF19" s="4124"/>
      <c r="AG19" s="4124"/>
      <c r="AH19" s="4125"/>
      <c r="AI19" s="2646"/>
    </row>
    <row r="20" spans="1:35" ht="15" customHeight="1" thickBot="1">
      <c r="A20" s="703"/>
      <c r="B20" s="732"/>
      <c r="C20" s="3523"/>
      <c r="D20" s="3493"/>
      <c r="E20" s="3444" t="str">
        <f>IF(('الصفحة 1'!$Q$14&gt;0),(IF((('الصفحة 1'!$V$36)=1),(IF((('الصفحة 1'!$V$36)=1),"سنة إنشـاء نصف الداخلية ؟ ","")),"")),"")</f>
        <v xml:space="preserve">سنة إنشـاء نصف الداخلية ؟ </v>
      </c>
      <c r="F20" s="3865">
        <v>2009</v>
      </c>
      <c r="G20" s="3867"/>
      <c r="H20" s="1376" t="str">
        <f>IF(('الصفحة 1'!$Q$14&gt;0),(IF((F18=1),(IF((F20&lt;'الصفحة 1'!L34),"راجع سنة إنشـاء نصف الداخلية","")),"")),"")</f>
        <v/>
      </c>
      <c r="I20" s="3511"/>
      <c r="J20" s="3511"/>
      <c r="K20" s="3496"/>
      <c r="L20" s="1622" t="str">
        <f>IF(('الصفحة 1'!$Q$14&gt;0),IF(($F$18=0),IF((F20&gt;0)," خطء سنة إنشاء ونصف الداخلية غير موجودة ",IF(($F$18=1),(F20&gt;0),"")),""),"")</f>
        <v/>
      </c>
      <c r="M20" s="2342"/>
      <c r="N20" s="2342"/>
      <c r="O20" s="1065"/>
      <c r="P20" s="2342"/>
      <c r="Q20" s="2345"/>
      <c r="R20" s="2342"/>
      <c r="S20" s="1065"/>
      <c r="T20" s="1032"/>
      <c r="U20" s="1032"/>
      <c r="V20" s="3528"/>
      <c r="W20" s="3528"/>
      <c r="X20" s="3528"/>
      <c r="Y20" s="734"/>
      <c r="Z20" s="717"/>
      <c r="AA20" s="703"/>
      <c r="AB20" s="4126"/>
      <c r="AC20" s="4127"/>
      <c r="AD20" s="4127"/>
      <c r="AE20" s="4127"/>
      <c r="AF20" s="4127"/>
      <c r="AG20" s="4127"/>
      <c r="AH20" s="4128"/>
      <c r="AI20" s="2646"/>
    </row>
    <row r="21" spans="1:35" ht="3.9" customHeight="1" thickTop="1" thickBot="1">
      <c r="A21" s="703"/>
      <c r="B21" s="732"/>
      <c r="C21" s="3523"/>
      <c r="D21" s="3493"/>
      <c r="E21" s="3526"/>
      <c r="F21" s="3409"/>
      <c r="G21" s="1506"/>
      <c r="H21" s="1380"/>
      <c r="I21" s="1065"/>
      <c r="J21" s="3524"/>
      <c r="K21" s="3525"/>
      <c r="L21" s="3246"/>
      <c r="M21" s="1032"/>
      <c r="N21" s="1032"/>
      <c r="O21" s="1032"/>
      <c r="P21" s="1032"/>
      <c r="Q21" s="1032"/>
      <c r="R21" s="1032"/>
      <c r="S21" s="1032"/>
      <c r="T21" s="1032"/>
      <c r="U21" s="1032"/>
      <c r="V21" s="1032"/>
      <c r="W21" s="1032"/>
      <c r="X21" s="2366"/>
      <c r="Y21" s="734"/>
      <c r="Z21" s="717"/>
      <c r="AA21" s="703"/>
      <c r="AB21" s="3410"/>
      <c r="AC21" s="3410"/>
      <c r="AD21" s="3410"/>
      <c r="AE21" s="3410"/>
      <c r="AF21" s="3410"/>
      <c r="AG21" s="3410"/>
      <c r="AH21" s="3410"/>
      <c r="AI21" s="2646"/>
    </row>
    <row r="22" spans="1:35" ht="15" customHeight="1" thickBot="1">
      <c r="A22" s="703"/>
      <c r="B22" s="732"/>
      <c r="C22" s="3523"/>
      <c r="D22" s="3493"/>
      <c r="E22" s="3444" t="str">
        <f>IF(('الصفحة 1'!$Q$14&gt;0),(IF((('الصفحة 1'!$V$36)=1),(IF((('الصفحة 1'!$V$36)=1),"الطاقـة النظرية لنصف الداخلية ؟ ","")),"")),"")</f>
        <v xml:space="preserve">الطاقـة النظرية لنصف الداخلية ؟ </v>
      </c>
      <c r="F22" s="4137">
        <v>200</v>
      </c>
      <c r="G22" s="4138"/>
      <c r="H22" s="3529"/>
      <c r="I22" s="3514"/>
      <c r="J22" s="1666"/>
      <c r="K22" s="3413"/>
      <c r="L22" s="1622" t="str">
        <f>IF(('الصفحة 1'!$Q$14&gt;0),IF(($F$18=0),IF((F22&gt;0)," خطء الطاقـة النظرية ونصف الداخلية غير موجودة",IF(($F$18=1),(F22&gt;0),"")),""),"")</f>
        <v/>
      </c>
      <c r="M22" s="1722"/>
      <c r="N22" s="1666"/>
      <c r="O22" s="1666"/>
      <c r="P22" s="1666"/>
      <c r="Q22" s="2344"/>
      <c r="R22" s="3530"/>
      <c r="S22" s="3530"/>
      <c r="T22" s="1666"/>
      <c r="U22" s="1667"/>
      <c r="V22" s="3531"/>
      <c r="W22" s="1688"/>
      <c r="X22" s="1688"/>
      <c r="Y22" s="734"/>
      <c r="Z22" s="717"/>
      <c r="AA22" s="703"/>
      <c r="AB22" s="2603" t="str">
        <f>IF(('الصفحة 1'!$Q$14&gt;0),((IF((('الصفحة 1'!V34+'الصفحة 1'!V36+'الصفحة 1'!V38)&lt;=0),"نصف داخليـة",IF(('الصفحة 1'!V34&gt;=0),"",IF((('الصفحة 1'!V34)&gt;=1),""))))),"")</f>
        <v/>
      </c>
      <c r="AC22" s="2599"/>
      <c r="AD22" s="2599"/>
      <c r="AE22" s="2599"/>
      <c r="AF22" s="2647" t="s">
        <v>894</v>
      </c>
      <c r="AG22" s="2600"/>
      <c r="AH22" s="2599"/>
      <c r="AI22" s="2646"/>
    </row>
    <row r="23" spans="1:35" ht="3.9" customHeight="1" thickBot="1">
      <c r="A23" s="703"/>
      <c r="B23" s="732"/>
      <c r="C23" s="3523"/>
      <c r="D23" s="3493"/>
      <c r="E23" s="3526"/>
      <c r="F23" s="3409"/>
      <c r="G23" s="1506"/>
      <c r="H23" s="1380"/>
      <c r="I23" s="1065"/>
      <c r="J23" s="3524"/>
      <c r="K23" s="3525"/>
      <c r="L23" s="3246"/>
      <c r="M23" s="1032"/>
      <c r="N23" s="1032"/>
      <c r="O23" s="1032"/>
      <c r="P23" s="1032"/>
      <c r="Q23" s="1032"/>
      <c r="R23" s="1032"/>
      <c r="S23" s="1032"/>
      <c r="T23" s="1032"/>
      <c r="U23" s="1032"/>
      <c r="V23" s="1032"/>
      <c r="W23" s="1032"/>
      <c r="X23" s="2366"/>
      <c r="Y23" s="734"/>
      <c r="Z23" s="717"/>
      <c r="AA23" s="703"/>
      <c r="AB23" s="3408"/>
      <c r="AC23" s="3408"/>
      <c r="AD23" s="3408"/>
      <c r="AE23" s="3408"/>
      <c r="AF23" s="3408"/>
      <c r="AG23" s="3408"/>
      <c r="AH23" s="3408"/>
      <c r="AI23" s="2646"/>
    </row>
    <row r="24" spans="1:35" ht="15" customHeight="1" thickBot="1">
      <c r="A24" s="703"/>
      <c r="B24" s="732"/>
      <c r="C24" s="3523"/>
      <c r="D24" s="3493"/>
      <c r="E24" s="3444" t="str">
        <f>IF(('الصفحة 1'!$Q$14&gt;0),(IF((('الصفحة 1'!$V$36)=1),(IF((('الصفحة 1'!$V$36)=1),"نصــف داخليـة  شغالة حاليا  ؟ ","")),"")),"")</f>
        <v xml:space="preserve">نصــف داخليـة  شغالة حاليا  ؟ </v>
      </c>
      <c r="F24" s="1642">
        <v>1</v>
      </c>
      <c r="G24" s="1506"/>
      <c r="H24" s="1380"/>
      <c r="I24" s="1065"/>
      <c r="J24" s="3524"/>
      <c r="K24" s="3525"/>
      <c r="L24" s="1622" t="str">
        <f>IF(('الصفحة 1'!$Q$14&gt;0),IF(($F$18=0),IF((F24&gt;0)," خطء حاليا شغالة ونصف الداخلية غير موجودة   ",IF(($F$18=1),(F24&gt;0),"")),""),"")</f>
        <v/>
      </c>
      <c r="M24" s="1032"/>
      <c r="N24" s="1032"/>
      <c r="O24" s="1032"/>
      <c r="P24" s="1032"/>
      <c r="Q24" s="1032"/>
      <c r="R24" s="1032"/>
      <c r="S24" s="1032"/>
      <c r="T24" s="1032"/>
      <c r="U24" s="1032"/>
      <c r="V24" s="1032"/>
      <c r="W24" s="1032"/>
      <c r="X24" s="2366"/>
      <c r="Y24" s="3315">
        <f>IF((F18=1),(IF(((F24+F26)=2),(1),(2))),10)</f>
        <v>2</v>
      </c>
      <c r="Z24" s="717"/>
      <c r="AA24" s="703"/>
      <c r="AB24" s="2922" t="str">
        <f>IF(('الصفحة 1'!$Q$14&gt;0),IF((F18&gt;=1),((IF((F20=""),"سنة إنشاء الداخلية ",IF((F20&gt;=0)," ",IF((F20&gt;=0),""))))),""),"")</f>
        <v xml:space="preserve"> </v>
      </c>
      <c r="AC24" s="3408"/>
      <c r="AD24" s="2922" t="str">
        <f>IF(('الصفحة 1'!$Q$14&gt;0),IF((F18&gt;=1),((IF((F20="")," سنة إنشاء نصف الداخلية",IF((F20&gt;=0)," ",IF((F20&gt;=0),""))))),""),"")</f>
        <v xml:space="preserve"> </v>
      </c>
      <c r="AE24" s="3408"/>
      <c r="AF24" s="3408"/>
      <c r="AG24" s="3408"/>
      <c r="AH24" s="3408"/>
      <c r="AI24" s="2646"/>
    </row>
    <row r="25" spans="1:35" ht="3.9" customHeight="1" thickBot="1">
      <c r="A25" s="703"/>
      <c r="B25" s="732"/>
      <c r="C25" s="3532"/>
      <c r="D25" s="3533"/>
      <c r="E25" s="3533"/>
      <c r="F25" s="519"/>
      <c r="G25" s="519"/>
      <c r="H25" s="3533"/>
      <c r="I25" s="3533"/>
      <c r="J25" s="3533"/>
      <c r="K25" s="3525"/>
      <c r="L25" s="3414"/>
      <c r="M25" s="2342"/>
      <c r="N25" s="1032"/>
      <c r="O25" s="1032"/>
      <c r="P25" s="1032"/>
      <c r="Q25" s="1032"/>
      <c r="R25" s="1032"/>
      <c r="S25" s="1032"/>
      <c r="T25" s="1032"/>
      <c r="U25" s="1032"/>
      <c r="V25" s="1032"/>
      <c r="W25" s="1032"/>
      <c r="X25" s="2366"/>
      <c r="Y25" s="3695"/>
      <c r="Z25" s="717"/>
      <c r="AA25" s="703"/>
      <c r="AB25" s="1529"/>
      <c r="AC25" s="1529"/>
      <c r="AD25" s="1529"/>
      <c r="AE25" s="1529"/>
      <c r="AF25" s="1529"/>
      <c r="AG25" s="1529"/>
      <c r="AH25" s="1529"/>
      <c r="AI25" s="2646"/>
    </row>
    <row r="26" spans="1:35" ht="15" customHeight="1" thickBot="1">
      <c r="A26" s="703"/>
      <c r="B26" s="732"/>
      <c r="C26" s="3534"/>
      <c r="D26" s="3535"/>
      <c r="E26" s="3444" t="str">
        <f>IF(('الصفحة 1'!$Q$14&gt;0),(IF((('الصفحة 1'!$V$36)=1),(IF((('الصفحة 1'!$V$36)=1),"نصــف داخليـة مغلقـــة حاليا  ؟ ","")),"")),"")</f>
        <v xml:space="preserve">نصــف داخليـة مغلقـــة حاليا  ؟ </v>
      </c>
      <c r="F26" s="2341">
        <v>0</v>
      </c>
      <c r="G26" s="3716"/>
      <c r="H26" s="2601"/>
      <c r="I26" s="2601"/>
      <c r="J26" s="3690"/>
      <c r="K26" s="3525"/>
      <c r="L26" s="1622" t="str">
        <f>IF(('الصفحة 1'!$Q$14&gt;0),IF(($F$18=0),IF((F26&gt;0)," خطء حاليا مغلقـــة ونصف الداخلية غير موجودة    ",IF(($F$18=1),(F26&gt;0),"")),""),"")</f>
        <v/>
      </c>
      <c r="M26" s="2342"/>
      <c r="N26" s="2342"/>
      <c r="O26" s="2342"/>
      <c r="P26" s="2342"/>
      <c r="Q26" s="2342"/>
      <c r="R26" s="2342"/>
      <c r="S26" s="2342"/>
      <c r="T26" s="1032"/>
      <c r="U26" s="1032"/>
      <c r="V26" s="1032"/>
      <c r="W26" s="1032"/>
      <c r="X26" s="2366"/>
      <c r="Y26" s="3695">
        <f>IF((F18=1),(IF(((F24+F26)=0),(0),(2))),(10))</f>
        <v>2</v>
      </c>
      <c r="Z26" s="717"/>
      <c r="AA26" s="703"/>
      <c r="AB26" s="2922" t="str">
        <f>IF(('الصفحة 1'!$Q$14&gt;0),IF((F18&gt;=1),((IF((F22=""),"الطاقـة النظرية نصف داخلية",IF((F22&gt;=0)," ",IF((F22&gt;0),""))))),""),"")</f>
        <v xml:space="preserve"> </v>
      </c>
      <c r="AC26" s="761"/>
      <c r="AD26" s="2922" t="str">
        <f>IF(('الصفحة 1'!$Q$14&gt;0),IF((F18&gt;=1),((IF((F24=""),"نصف داخليـة شغالة",IF((F24&gt;=0)," ",IF((F24&gt;=1),""))))),""),"")</f>
        <v xml:space="preserve"> </v>
      </c>
      <c r="AE26" s="761"/>
      <c r="AF26" s="761"/>
      <c r="AG26" s="761"/>
      <c r="AH26" s="761"/>
      <c r="AI26" s="2646"/>
    </row>
    <row r="27" spans="1:35" ht="3.9" customHeight="1">
      <c r="A27" s="703"/>
      <c r="B27" s="732"/>
      <c r="C27" s="3532"/>
      <c r="D27" s="3536"/>
      <c r="E27" s="3536"/>
      <c r="F27" s="3536"/>
      <c r="G27" s="3536"/>
      <c r="H27" s="3536"/>
      <c r="I27" s="3536"/>
      <c r="J27" s="3536"/>
      <c r="K27" s="3525"/>
      <c r="L27" s="2342"/>
      <c r="M27" s="2342"/>
      <c r="N27" s="2342"/>
      <c r="O27" s="2342"/>
      <c r="P27" s="2342"/>
      <c r="Q27" s="2342"/>
      <c r="R27" s="2342"/>
      <c r="S27" s="2342"/>
      <c r="T27" s="1032"/>
      <c r="U27" s="1032"/>
      <c r="V27" s="1032"/>
      <c r="W27" s="1032"/>
      <c r="X27" s="2366"/>
      <c r="Y27" s="734"/>
      <c r="Z27" s="717"/>
      <c r="AA27" s="703"/>
      <c r="AC27" s="1718"/>
      <c r="AD27" s="2922" t="str">
        <f>IF(('الصفحة 1'!$Q$14&gt;0),IF((F18&gt;=1),((IF((F26=""),"نصف داخليـة مغلقـة",IF((F26&gt;=0)," ",IF((F26&gt;=1),""))))),""),"")</f>
        <v xml:space="preserve"> </v>
      </c>
      <c r="AE27" s="1718"/>
      <c r="AF27" s="1718"/>
      <c r="AG27" s="1718"/>
      <c r="AH27" s="1718"/>
      <c r="AI27" s="2646"/>
    </row>
    <row r="28" spans="1:35" ht="15.9" customHeight="1">
      <c r="A28" s="703"/>
      <c r="B28" s="732"/>
      <c r="C28" s="1898"/>
      <c r="D28" s="4136" t="str">
        <f>IF(('الصفحة 1'!$Q$14&gt;0),(IF((('الصفحة 1'!$V$36)=1),(IF((('الصفحة 1'!$V$36)=1),"2-4 -المستفيدين من النصـــف الداخليــــــــــــــــــــــــة  ","")),"")),"")</f>
        <v xml:space="preserve">2-4 -المستفيدين من النصـــف الداخليــــــــــــــــــــــــة  </v>
      </c>
      <c r="E28" s="4136"/>
      <c r="F28" s="4136"/>
      <c r="G28" s="4136"/>
      <c r="H28" s="4136"/>
      <c r="I28" s="4136"/>
      <c r="J28" s="4136"/>
      <c r="K28" s="4136"/>
      <c r="L28" s="4136"/>
      <c r="M28" s="4136"/>
      <c r="N28" s="4136"/>
      <c r="O28" s="1870"/>
      <c r="P28" s="1899"/>
      <c r="Q28" s="1900"/>
      <c r="R28" s="1697"/>
      <c r="S28" s="1901"/>
      <c r="T28" s="1579"/>
      <c r="U28" s="1902"/>
      <c r="V28" s="1697"/>
      <c r="W28" s="1906" t="str">
        <f>IF(('الصفحة 1'!$Q$14&gt;0),(IF((('الصفحة 1'!$V$36)=1),(IF((('الصفحة 1'!$V$36)=1),".Les Demi-Pensionnaires","")),"")),"")</f>
        <v>.Les Demi-Pensionnaires</v>
      </c>
      <c r="X28" s="1698"/>
      <c r="Y28" s="1903"/>
      <c r="Z28" s="733"/>
      <c r="AA28" s="707"/>
      <c r="AC28" s="2614"/>
      <c r="AD28" s="1862"/>
      <c r="AE28" s="2614"/>
      <c r="AG28" s="2614"/>
      <c r="AI28" s="2648"/>
    </row>
    <row r="29" spans="1:35" ht="3" customHeight="1">
      <c r="A29" s="703"/>
      <c r="B29" s="732"/>
      <c r="C29" s="1704"/>
      <c r="D29" s="508"/>
      <c r="E29" s="3"/>
      <c r="F29" s="3"/>
      <c r="G29" s="3"/>
      <c r="H29" s="1679"/>
      <c r="I29" s="500"/>
      <c r="J29" s="508"/>
      <c r="K29" s="508"/>
      <c r="L29" s="488"/>
      <c r="M29" s="507"/>
      <c r="N29" s="500"/>
      <c r="O29" s="500"/>
      <c r="P29" s="508"/>
      <c r="Q29" s="509"/>
      <c r="R29" s="510"/>
      <c r="S29" s="491"/>
      <c r="T29" s="508"/>
      <c r="U29" s="508"/>
      <c r="V29" s="472"/>
      <c r="W29" s="1506"/>
      <c r="X29" s="1506"/>
      <c r="Y29" s="733"/>
      <c r="Z29" s="733"/>
      <c r="AA29" s="708"/>
      <c r="AB29" s="2614"/>
      <c r="AC29" s="2614"/>
      <c r="AD29" s="2614"/>
      <c r="AE29" s="2614"/>
      <c r="AF29" s="2614"/>
      <c r="AG29" s="2614"/>
      <c r="AH29" s="2614"/>
      <c r="AI29" s="2648"/>
    </row>
    <row r="30" spans="1:35" ht="15.9" customHeight="1">
      <c r="A30" s="703"/>
      <c r="B30" s="732"/>
      <c r="C30" s="1705"/>
      <c r="D30" s="4122" t="str">
        <f>IF(('الصفحة 1'!$Q$14&gt;0),(IF((('الصفحة 1'!$V$36)=1),(IF((('الصفحة 1'!$V$36)=1),"المستفيدين من المتوسطة نفسها","")),"")),"")</f>
        <v>المستفيدين من المتوسطة نفسها</v>
      </c>
      <c r="E30" s="4122"/>
      <c r="F30" s="4122"/>
      <c r="G30" s="4122"/>
      <c r="H30" s="4122"/>
      <c r="I30" s="4122"/>
      <c r="J30" s="4122"/>
      <c r="K30" s="3729" t="str">
        <f>IF(('الصفحة 1'!$Q$14&gt;0),(IF(($F$18=0),(IF(((E32+J32+E36+J36+E40+J40+E44+J44)&gt;0),"خطء، المستفيدين ونصف الداخلية مغلقـــة","")),"")),"")</f>
        <v/>
      </c>
      <c r="L30" s="761"/>
      <c r="N30" s="761"/>
      <c r="O30" s="761"/>
      <c r="P30" s="761"/>
      <c r="Q30" s="761"/>
      <c r="R30" s="761"/>
      <c r="S30" s="761"/>
      <c r="T30" s="3729" t="str">
        <f>IF(('الصفحة 1'!$Q$14&gt;0),(IF(($F$26=1),(IF(((E32+J32+E36+J36+E40+J40+E44+J44)&gt;0),"خطء، ن الداخلية غير شغالة","")),"")),"")</f>
        <v/>
      </c>
      <c r="U30" s="761"/>
      <c r="V30" s="761"/>
      <c r="W30" s="761"/>
      <c r="X30" s="761"/>
      <c r="Y30" s="733"/>
      <c r="Z30" s="733"/>
      <c r="AA30" s="708"/>
      <c r="AB30" s="2604" t="str">
        <f>IF(('الصفحة 1'!$Q$14&gt;0),IF((F18&gt;=1),((IF((E32=""),"المستفيدين من المتوسطة نفسها",IF((E32&gt;=0)," ",IF((E32&gt;0),""))))),""),"")</f>
        <v xml:space="preserve"> </v>
      </c>
      <c r="AC30" s="2614"/>
      <c r="AD30" s="3353" t="str">
        <f>IF(('الصفحة 1'!$Q$14&gt;0),IF(($F$18=0),IF((E32&gt;0)," خطء المستفيدين المتوسطة نفسها",IF(($F$18=1),(E32&gt;0),"")),""),"")</f>
        <v/>
      </c>
      <c r="AE30" s="2614"/>
      <c r="AG30" s="2614"/>
      <c r="AI30" s="2648"/>
    </row>
    <row r="31" spans="1:35" ht="3" customHeight="1">
      <c r="A31" s="703"/>
      <c r="B31" s="732"/>
      <c r="C31" s="1704"/>
      <c r="D31" s="508"/>
      <c r="E31" s="3"/>
      <c r="F31" s="3"/>
      <c r="G31" s="3"/>
      <c r="H31" s="3"/>
      <c r="I31" s="508"/>
      <c r="J31" s="508"/>
      <c r="K31" s="1700"/>
      <c r="L31" s="761"/>
      <c r="M31" s="761"/>
      <c r="N31" s="761"/>
      <c r="O31" s="761"/>
      <c r="P31" s="761"/>
      <c r="Q31" s="761"/>
      <c r="R31" s="761"/>
      <c r="S31" s="761"/>
      <c r="T31" s="761"/>
      <c r="U31" s="761"/>
      <c r="V31" s="761"/>
      <c r="W31" s="761"/>
      <c r="X31" s="1506"/>
      <c r="Y31" s="733"/>
      <c r="Z31" s="733"/>
      <c r="AA31" s="708"/>
      <c r="AB31" s="2629"/>
      <c r="AC31" s="2614"/>
      <c r="AD31" s="2629"/>
      <c r="AE31" s="1032"/>
      <c r="AF31" s="1032"/>
      <c r="AG31" s="1032"/>
      <c r="AH31" s="2614"/>
      <c r="AI31" s="2648"/>
    </row>
    <row r="32" spans="1:35" ht="15" customHeight="1">
      <c r="A32" s="703"/>
      <c r="B32" s="732"/>
      <c r="C32" s="1713"/>
      <c r="D32" s="1828" t="str">
        <f>IF(('الصفحة 1'!$Q$14&gt;0),(IF((('الصفحة 1'!$V$36)=1),(IF((('الصفحة 1'!$V$36)=1),"مجموع المستفيدين ؟","")),"")),"")</f>
        <v>مجموع المستفيدين ؟</v>
      </c>
      <c r="E32" s="4112">
        <v>44</v>
      </c>
      <c r="F32" s="4113"/>
      <c r="G32" s="1032"/>
      <c r="H32" s="1064"/>
      <c r="I32" s="1828" t="str">
        <f>IF(('الصفحة 1'!$Q$14&gt;0),(IF((('الصفحة 1'!$V$36)=1),(IF((('الصفحة 1'!$V$36)=1),"منهم بنات ؟","")),"")),"")</f>
        <v>منهم بنات ؟</v>
      </c>
      <c r="J32" s="2146">
        <v>31</v>
      </c>
      <c r="K32" s="3719" t="str">
        <f>IF(('الصفحة 1'!$Q$14&gt;0),(IF(($F$18=0),(IF((E32&gt;0),"E32 خطء","")),"")),"")</f>
        <v/>
      </c>
      <c r="L32" s="3721"/>
      <c r="M32" s="3721"/>
      <c r="N32" s="3722" t="str">
        <f>IF(('الصفحة 1'!$Q$14&gt;0),(IF(($F$18=0),(IF((J32&gt;0),"J32 خطء","")),"")),"")</f>
        <v/>
      </c>
      <c r="O32" s="3721"/>
      <c r="P32" s="3721"/>
      <c r="Q32" s="1383"/>
      <c r="R32" s="3718" t="str">
        <f>IF(('الصفحة 1'!$Q$14&gt;0),(IF(($F$26=1),(IF((E32&gt;0),"E32 خطء","")),"")),"")</f>
        <v/>
      </c>
      <c r="S32" s="1383"/>
      <c r="T32" s="3722" t="str">
        <f>IF(('الصفحة 1'!$Q$14&gt;0),(IF(($F$26=1),(IF((J32&gt;0),"J32 خطء","")),"")),"")</f>
        <v/>
      </c>
      <c r="U32" s="3722" t="str">
        <f>IF(('الصفحة 1'!$Q$14&gt;0),(IF(('الصفحة 10'!N45&gt;0),(IF((E32&gt;'الصفحة 10'!N45),"E32 خطء","")),"")),"")</f>
        <v/>
      </c>
      <c r="V32" s="3722" t="str">
        <f>IF(('الصفحة 1'!$Q$14&gt;0),(IF(('الصفحة 10'!O45&gt;0),(IF((J32&gt;'الصفحة 10'!O45),"J32 خطء","")),"")),"")</f>
        <v/>
      </c>
      <c r="W32" s="1383"/>
      <c r="X32" s="1688"/>
      <c r="Y32" s="733"/>
      <c r="Z32" s="733"/>
      <c r="AA32" s="708"/>
      <c r="AB32" s="2604" t="str">
        <f>IF(('الصفحة 1'!$Q$14&gt;0),IF((F18&gt;=1),((IF((J32=""),"المستفيدات  من المتوسطة نفسها",IF((J32&gt;=0)," ",IF((J32&gt;0),""))))),""),"")</f>
        <v xml:space="preserve"> </v>
      </c>
      <c r="AC32" s="2602"/>
      <c r="AD32" s="3353" t="str">
        <f>IF(('الصفحة 1'!$Q$14&gt;0),IF(($F$18=0),IF((J32&gt;0)," خطء المستفيدين المتوسطة نفسها",IF(($F$18=1),(J32&gt;0),"")),""),"")</f>
        <v/>
      </c>
      <c r="AE32" s="1032"/>
      <c r="AG32" s="1032"/>
      <c r="AH32" s="1032"/>
      <c r="AI32" s="2648"/>
    </row>
    <row r="33" spans="1:35" ht="3" customHeight="1">
      <c r="A33" s="703"/>
      <c r="B33" s="732"/>
      <c r="C33" s="1706"/>
      <c r="D33" s="1891"/>
      <c r="E33" s="3511"/>
      <c r="F33" s="3511"/>
      <c r="G33" s="3511"/>
      <c r="H33" s="3511"/>
      <c r="I33" s="3511"/>
      <c r="J33" s="3511"/>
      <c r="K33" s="3723"/>
      <c r="L33" s="3721"/>
      <c r="M33" s="3721"/>
      <c r="N33" s="3514"/>
      <c r="O33" s="3721"/>
      <c r="P33" s="3721"/>
      <c r="Q33" s="1383"/>
      <c r="R33" s="1383"/>
      <c r="S33" s="1383"/>
      <c r="T33" s="1383"/>
      <c r="U33" s="1383"/>
      <c r="V33" s="1383"/>
      <c r="W33" s="1383"/>
      <c r="X33" s="1688"/>
      <c r="Y33" s="733"/>
      <c r="Z33" s="733"/>
      <c r="AA33" s="708"/>
      <c r="AB33" s="2629"/>
      <c r="AC33" s="2614"/>
      <c r="AD33" s="2629"/>
      <c r="AE33" s="1032"/>
      <c r="AF33" s="1032"/>
      <c r="AG33" s="1032"/>
      <c r="AI33" s="2648"/>
    </row>
    <row r="34" spans="1:35" ht="15.9" customHeight="1">
      <c r="A34" s="703"/>
      <c r="B34" s="732"/>
      <c r="C34" s="1707"/>
      <c r="D34" s="4132" t="str">
        <f>IF(('الصفحة 1'!$Q$14&gt;0),(IF((('الصفحة 1'!$V$36)=1),(IF((('الصفحة 1'!$V$36)=1),"المستفيدين من متوسطات أخرى","")),"")),"")</f>
        <v>المستفيدين من متوسطات أخرى</v>
      </c>
      <c r="E34" s="4132"/>
      <c r="F34" s="4132"/>
      <c r="G34" s="4132"/>
      <c r="H34" s="4132"/>
      <c r="I34" s="4132"/>
      <c r="J34" s="4132"/>
      <c r="K34" s="3723"/>
      <c r="L34" s="3721"/>
      <c r="M34" s="3721"/>
      <c r="N34" s="1688"/>
      <c r="O34" s="3721"/>
      <c r="P34" s="3721"/>
      <c r="Q34" s="1383"/>
      <c r="R34" s="1383"/>
      <c r="S34" s="1383"/>
      <c r="T34" s="1383"/>
      <c r="U34" s="1383"/>
      <c r="V34" s="1383"/>
      <c r="W34" s="1383"/>
      <c r="X34" s="3512"/>
      <c r="Y34" s="733"/>
      <c r="Z34" s="733"/>
      <c r="AA34" s="708"/>
      <c r="AB34" s="2604" t="str">
        <f>IF(('الصفحة 1'!$Q$14&gt;0),IF((F18&gt;=1),((IF((E36=""),"المستفيدين متوسطات أخرى",IF((E36&gt;=0)," ",IF((E36&gt;0),""))))),""),"")</f>
        <v xml:space="preserve"> </v>
      </c>
      <c r="AD34" s="3353" t="str">
        <f>IF(('الصفحة 1'!$Q$14&gt;0),IF(($F$18=0),IF((E36&gt;0)," خطء المستفيدين متوسطات أخرى ",IF(($F$18=1),(E36&gt;0),"")),""),"")</f>
        <v/>
      </c>
      <c r="AG34" s="2614"/>
      <c r="AI34" s="2649"/>
    </row>
    <row r="35" spans="1:35" ht="3" customHeight="1">
      <c r="A35" s="703"/>
      <c r="B35" s="732"/>
      <c r="C35" s="1704"/>
      <c r="D35" s="1890"/>
      <c r="E35" s="3511"/>
      <c r="F35" s="3511"/>
      <c r="G35" s="3511"/>
      <c r="H35" s="3511"/>
      <c r="I35" s="3511"/>
      <c r="J35" s="3511"/>
      <c r="K35" s="3723"/>
      <c r="L35" s="1363"/>
      <c r="M35" s="1363"/>
      <c r="N35" s="3514"/>
      <c r="O35" s="1363"/>
      <c r="P35" s="3513"/>
      <c r="Q35" s="1372"/>
      <c r="R35" s="3513"/>
      <c r="S35" s="1370"/>
      <c r="T35" s="2366"/>
      <c r="U35" s="2366"/>
      <c r="V35" s="2366"/>
      <c r="W35" s="2366"/>
      <c r="X35" s="1885"/>
      <c r="Y35" s="733"/>
      <c r="Z35" s="734"/>
      <c r="AA35" s="708"/>
      <c r="AB35" s="2629"/>
      <c r="AD35" s="1862"/>
      <c r="AG35" s="2614"/>
      <c r="AH35" s="2614"/>
      <c r="AI35" s="2649"/>
    </row>
    <row r="36" spans="1:35" ht="15" customHeight="1">
      <c r="A36" s="703"/>
      <c r="B36" s="732"/>
      <c r="C36" s="1708"/>
      <c r="D36" s="1828" t="str">
        <f>IF(('الصفحة 1'!$Q$14&gt;0),(IF((('الصفحة 1'!$V$36)=1),(IF((('الصفحة 1'!$V$36)=1),"مجموع المستفيدين ؟","")),"")),"")</f>
        <v>مجموع المستفيدين ؟</v>
      </c>
      <c r="E36" s="3905">
        <v>0</v>
      </c>
      <c r="F36" s="3907"/>
      <c r="G36" s="1032"/>
      <c r="H36" s="3514"/>
      <c r="I36" s="1828" t="str">
        <f>IF(('الصفحة 1'!$Q$14&gt;0),(IF((('الصفحة 1'!$V$36)=1),(IF((('الصفحة 1'!$V$36)=1),"منهم بنات ؟","")),"")),"")</f>
        <v>منهم بنات ؟</v>
      </c>
      <c r="J36" s="2146">
        <v>0</v>
      </c>
      <c r="K36" s="3718" t="str">
        <f>IF(('الصفحة 1'!$Q$14&gt;0),(IF(($F$18=0),(IF((E36&gt;0),"F36 خطء","")),"")),"")</f>
        <v/>
      </c>
      <c r="L36" s="3724"/>
      <c r="M36" s="1380"/>
      <c r="N36" s="3725" t="str">
        <f>IF(('الصفحة 1'!$Q$14&gt;0),(IF(($F$18=0),(IF((J36&gt;0),"J36 خطء","")),"")),"")</f>
        <v/>
      </c>
      <c r="O36" s="1370"/>
      <c r="P36" s="3721"/>
      <c r="Q36" s="1383"/>
      <c r="R36" s="3718" t="str">
        <f>IF(('الصفحة 1'!$Q$14&gt;0),(IF(($F$26=1),(IF((E36&gt;0),"E36 خطء","")),"")),"")</f>
        <v/>
      </c>
      <c r="S36" s="1383"/>
      <c r="T36" s="3722" t="str">
        <f>IF(('الصفحة 1'!$Q$14&gt;0),(IF(($F$26=1),(IF((J36&gt;0),"J36 خطء","")),"")),"")</f>
        <v/>
      </c>
      <c r="U36" s="1383"/>
      <c r="V36" s="1383"/>
      <c r="W36" s="1383"/>
      <c r="X36" s="3515"/>
      <c r="Y36" s="733"/>
      <c r="Z36" s="733"/>
      <c r="AA36" s="708"/>
      <c r="AB36" s="2604" t="str">
        <f>IF(('الصفحة 1'!$Q$14&gt;0),IF((F18&gt;=1),((IF((J36=""),"المستفيدات متوسطات أخرى",IF((J36&gt;=0)," ",IF((J36&gt;0),""))))),""),"")</f>
        <v xml:space="preserve"> </v>
      </c>
      <c r="AD36" s="3353" t="str">
        <f>IF(('الصفحة 1'!$Q$14&gt;0),IF(($F$18=0),IF((J36&gt;0),"خطء المستفيدين متوسطات أخرى",IF(($F$18=1),(J36&gt;0),"")),""),"")</f>
        <v/>
      </c>
      <c r="AG36" s="2614"/>
      <c r="AI36" s="2649"/>
    </row>
    <row r="37" spans="1:35" ht="3" customHeight="1">
      <c r="A37" s="703"/>
      <c r="B37" s="732"/>
      <c r="C37" s="1709"/>
      <c r="D37" s="1891"/>
      <c r="E37" s="1890"/>
      <c r="F37" s="1890"/>
      <c r="G37" s="1890"/>
      <c r="H37" s="3511"/>
      <c r="I37" s="1890"/>
      <c r="J37" s="1890"/>
      <c r="K37" s="3723"/>
      <c r="L37" s="1886"/>
      <c r="M37" s="1885"/>
      <c r="N37" s="1886"/>
      <c r="O37" s="1885"/>
      <c r="P37" s="1885"/>
      <c r="Q37" s="1886"/>
      <c r="R37" s="1886"/>
      <c r="S37" s="1886"/>
      <c r="T37" s="1886"/>
      <c r="U37" s="1886"/>
      <c r="V37" s="1886"/>
      <c r="W37" s="3514"/>
      <c r="X37" s="3514"/>
      <c r="Y37" s="733"/>
      <c r="Z37" s="723"/>
      <c r="AA37" s="708"/>
      <c r="AB37" s="1862"/>
      <c r="AD37" s="1862"/>
      <c r="AG37" s="2601"/>
      <c r="AH37" s="2601"/>
      <c r="AI37" s="2649"/>
    </row>
    <row r="38" spans="1:35" ht="15.9" customHeight="1">
      <c r="A38" s="703"/>
      <c r="B38" s="732"/>
      <c r="C38" s="1710"/>
      <c r="D38" s="4121" t="str">
        <f>IF(('الصفحة 1'!$Q$14&gt;0),(IF((('الصفحة 1'!$V$36)=1),(IF((('الصفحة 1'!$V$36)=1),"المستفيدين من التعليم الإبتدائي","")),"")),"")</f>
        <v>المستفيدين من التعليم الإبتدائي</v>
      </c>
      <c r="E38" s="4121"/>
      <c r="F38" s="4121"/>
      <c r="G38" s="4121"/>
      <c r="H38" s="4121"/>
      <c r="I38" s="4121"/>
      <c r="J38" s="4121"/>
      <c r="K38" s="3723"/>
      <c r="L38" s="3721"/>
      <c r="M38" s="3721"/>
      <c r="N38" s="1688"/>
      <c r="O38" s="3721"/>
      <c r="P38" s="3721"/>
      <c r="Q38" s="1383"/>
      <c r="R38" s="1383"/>
      <c r="S38" s="1383"/>
      <c r="T38" s="1383"/>
      <c r="U38" s="1383"/>
      <c r="V38" s="1383"/>
      <c r="W38" s="1383"/>
      <c r="X38" s="3505"/>
      <c r="Y38" s="2008"/>
      <c r="Z38" s="2009"/>
      <c r="AA38" s="708"/>
      <c r="AB38" s="2604" t="str">
        <f>IF(('الصفحة 1'!$Q$14&gt;0),IF((F18&gt;=1),((IF((E40=""),"المستفيدين التعليم الإبتدائي",IF((E40&gt;=0)," ",IF((E40&gt;0),""))))),""),"")</f>
        <v xml:space="preserve"> </v>
      </c>
      <c r="AD38" s="3353" t="str">
        <f>IF(('الصفحة 1'!$Q$14&gt;0),IF(($F$18=0),IF((E40&gt;0)," خطء المستفيدين الإبتدائي ",IF(($F$18=1),(E40&gt;0),"")),""),"")</f>
        <v/>
      </c>
      <c r="AG38" s="1032"/>
      <c r="AH38" s="1032"/>
      <c r="AI38" s="2649"/>
    </row>
    <row r="39" spans="1:35" ht="3" customHeight="1">
      <c r="A39" s="703"/>
      <c r="B39" s="732"/>
      <c r="C39" s="1711"/>
      <c r="D39" s="1893"/>
      <c r="E39" s="1893"/>
      <c r="F39" s="1893"/>
      <c r="G39" s="1893"/>
      <c r="H39" s="1893"/>
      <c r="I39" s="1893"/>
      <c r="J39" s="1893"/>
      <c r="K39" s="3723"/>
      <c r="L39" s="3726"/>
      <c r="M39" s="3726"/>
      <c r="N39" s="3726"/>
      <c r="O39" s="3726"/>
      <c r="P39" s="3726"/>
      <c r="Q39" s="1887"/>
      <c r="R39" s="1887"/>
      <c r="S39" s="1888"/>
      <c r="T39" s="1888"/>
      <c r="U39" s="3516"/>
      <c r="V39" s="3516"/>
      <c r="W39" s="3516"/>
      <c r="X39" s="3516"/>
      <c r="Y39" s="2008"/>
      <c r="Z39" s="2009"/>
      <c r="AA39" s="708"/>
      <c r="AB39" s="2629"/>
      <c r="AC39" s="1032"/>
      <c r="AD39" s="2629"/>
      <c r="AE39" s="1032"/>
      <c r="AF39" s="1032"/>
      <c r="AG39" s="1032"/>
      <c r="AH39" s="1032"/>
      <c r="AI39" s="2649"/>
    </row>
    <row r="40" spans="1:35" ht="15" customHeight="1">
      <c r="A40" s="703"/>
      <c r="B40" s="732"/>
      <c r="C40" s="1712"/>
      <c r="D40" s="1828" t="str">
        <f>IF(('الصفحة 1'!$Q$14&gt;0),(IF((('الصفحة 1'!$V$36)=1),(IF((('الصفحة 1'!$V$36)=1),"مجموع المستفيدين ؟","")),"")),"")</f>
        <v>مجموع المستفيدين ؟</v>
      </c>
      <c r="E40" s="3905">
        <v>0</v>
      </c>
      <c r="F40" s="3907"/>
      <c r="G40" s="1032"/>
      <c r="H40" s="3511"/>
      <c r="I40" s="1828" t="str">
        <f>IF(('الصفحة 1'!$Q$14&gt;0),(IF((('الصفحة 1'!$V$36)=1),(IF((('الصفحة 1'!$V$36)=1),"منهم بنات ؟","")),"")),"")</f>
        <v>منهم بنات ؟</v>
      </c>
      <c r="J40" s="2146">
        <v>0</v>
      </c>
      <c r="K40" s="3718" t="str">
        <f>IF(('الصفحة 1'!$Q$14&gt;0),(IF(($F$18=0),(IF((E40&gt;0),"E40 خطء","")),"")),"")</f>
        <v/>
      </c>
      <c r="L40" s="3687"/>
      <c r="M40" s="3727"/>
      <c r="N40" s="3725" t="str">
        <f>IF(('الصفحة 1'!$Q$14&gt;0),(IF(($F$18=0),(IF((J40&gt;0),"J40 خطء","")),"")),"")</f>
        <v/>
      </c>
      <c r="O40" s="3723"/>
      <c r="P40" s="1670"/>
      <c r="Q40" s="1887"/>
      <c r="R40" s="3718" t="str">
        <f>IF(('الصفحة 1'!$Q$14&gt;0),(IF(($F$26=1),(IF((E40&gt;0),"E40 خطء","")),"")),"")</f>
        <v/>
      </c>
      <c r="S40" s="1383"/>
      <c r="T40" s="3722" t="str">
        <f>IF(('الصفحة 1'!$Q$14&gt;0),(IF(($F$26=1),(IF((J40&gt;0),"J40 خطء","")),"")),"")</f>
        <v/>
      </c>
      <c r="U40" s="1889"/>
      <c r="V40" s="3517"/>
      <c r="W40" s="4102"/>
      <c r="X40" s="4102"/>
      <c r="Y40" s="2008"/>
      <c r="Z40" s="2009"/>
      <c r="AA40" s="708"/>
      <c r="AB40" s="2604" t="str">
        <f>IF(('الصفحة 1'!$Q$14&gt;0),IF((F18&gt;=1),((IF((J40=""),"المستفيدات التعليم الإبتدائي",IF((J40&gt;=0)," ",IF((J40&gt;0),""))))),""),"")</f>
        <v xml:space="preserve"> </v>
      </c>
      <c r="AC40" s="2650"/>
      <c r="AD40" s="3353" t="str">
        <f>IF(('الصفحة 1'!$Q$14&gt;0),IF(($F$18=0),IF((J40&gt;0),"خطء المستفيدين  الإبتدائي ",IF(($F$18=1),(J40&gt;0),"")),""),"")</f>
        <v/>
      </c>
      <c r="AE40" s="1032"/>
      <c r="AF40" s="1032"/>
      <c r="AG40" s="1032"/>
      <c r="AH40" s="1032"/>
      <c r="AI40" s="2649"/>
    </row>
    <row r="41" spans="1:35" ht="3" customHeight="1">
      <c r="A41" s="703"/>
      <c r="B41" s="732"/>
      <c r="C41" s="1711"/>
      <c r="D41" s="1893"/>
      <c r="E41" s="1893"/>
      <c r="F41" s="1893"/>
      <c r="G41" s="1893"/>
      <c r="H41" s="1893"/>
      <c r="I41" s="1893"/>
      <c r="J41" s="1893"/>
      <c r="K41" s="3723"/>
      <c r="L41" s="3687"/>
      <c r="M41" s="3687"/>
      <c r="N41" s="3687"/>
      <c r="O41" s="3726"/>
      <c r="P41" s="3726"/>
      <c r="Q41" s="1887"/>
      <c r="R41" s="1887"/>
      <c r="S41" s="1888"/>
      <c r="T41" s="1888"/>
      <c r="U41" s="3516"/>
      <c r="V41" s="3516"/>
      <c r="W41" s="1889"/>
      <c r="X41" s="1889"/>
      <c r="Y41" s="2008"/>
      <c r="Z41" s="2009"/>
      <c r="AA41" s="708"/>
      <c r="AC41" s="1032"/>
      <c r="AD41" s="2629"/>
      <c r="AE41" s="1032"/>
      <c r="AF41" s="1032"/>
      <c r="AG41" s="1032"/>
      <c r="AH41" s="1032"/>
      <c r="AI41" s="2649"/>
    </row>
    <row r="42" spans="1:35" ht="15.9" customHeight="1">
      <c r="A42" s="703"/>
      <c r="B42" s="732"/>
      <c r="C42" s="1705"/>
      <c r="D42" s="4103" t="str">
        <f>IF(('الصفحة 1'!$Q$14&gt;0),(IF((('الصفحة 1'!$V$36)=1),(IF((('الصفحة 1'!$V$36)=1),"المستفيدين من التعليـم الثانـوي","")),"")),"")</f>
        <v>المستفيدين من التعليـم الثانـوي</v>
      </c>
      <c r="E42" s="4103"/>
      <c r="F42" s="4103"/>
      <c r="G42" s="4103"/>
      <c r="H42" s="4103"/>
      <c r="I42" s="4103"/>
      <c r="J42" s="4103"/>
      <c r="K42" s="3723"/>
      <c r="L42" s="1688"/>
      <c r="M42" s="3727"/>
      <c r="N42" s="1688"/>
      <c r="O42" s="1890"/>
      <c r="P42" s="1890"/>
      <c r="Q42" s="1891"/>
      <c r="R42" s="1892"/>
      <c r="S42" s="1032"/>
      <c r="T42" s="1890"/>
      <c r="U42" s="3518"/>
      <c r="V42" s="1892"/>
      <c r="W42" s="1892"/>
      <c r="X42" s="1370"/>
      <c r="Y42" s="2008"/>
      <c r="Z42" s="2008"/>
      <c r="AA42" s="708"/>
      <c r="AB42" s="2612" t="str">
        <f>IF(('الصفحة 1'!$Q$14&gt;0),IF((F18&gt;=1),((IF((E44=""),"المستفيدين من التعليـم الثانـوي",IF((E44&gt;=0)," ",IF((E44&gt;0),""))))),""),"")</f>
        <v xml:space="preserve"> </v>
      </c>
      <c r="AC42" s="2650"/>
      <c r="AD42" s="3353" t="str">
        <f>IF(('الصفحة 1'!$Q$14&gt;0),IF(($F$18=0),IF((E44&gt;0),"خطء المستفيدين  الثانـوي ",IF(($F$18=1),(E44&gt;0),"")),""),"")</f>
        <v/>
      </c>
      <c r="AE42" s="1032"/>
      <c r="AF42" s="1032"/>
      <c r="AG42" s="1032"/>
      <c r="AH42" s="1032"/>
      <c r="AI42" s="2649"/>
    </row>
    <row r="43" spans="1:35" ht="3" customHeight="1">
      <c r="A43" s="703"/>
      <c r="B43" s="732"/>
      <c r="C43" s="715"/>
      <c r="D43" s="1893"/>
      <c r="E43" s="1893"/>
      <c r="F43" s="1893"/>
      <c r="G43" s="1893"/>
      <c r="H43" s="1893"/>
      <c r="I43" s="1893"/>
      <c r="J43" s="1893"/>
      <c r="K43" s="3723"/>
      <c r="L43" s="3687"/>
      <c r="M43" s="3687"/>
      <c r="N43" s="3687"/>
      <c r="O43" s="3724"/>
      <c r="P43" s="3724"/>
      <c r="Q43" s="1893"/>
      <c r="R43" s="1893"/>
      <c r="S43" s="1894"/>
      <c r="T43" s="1894"/>
      <c r="U43" s="3506"/>
      <c r="V43" s="3506"/>
      <c r="W43" s="3519"/>
      <c r="X43" s="3519"/>
      <c r="Y43" s="2010"/>
      <c r="Z43" s="2009"/>
      <c r="AA43" s="708"/>
      <c r="AB43" s="2629"/>
      <c r="AC43" s="1032"/>
      <c r="AD43" s="2629"/>
      <c r="AE43" s="1032"/>
      <c r="AF43" s="1032"/>
      <c r="AG43" s="1032"/>
      <c r="AH43" s="1032"/>
      <c r="AI43" s="2649"/>
    </row>
    <row r="44" spans="1:35" ht="15" customHeight="1">
      <c r="A44" s="703"/>
      <c r="B44" s="732"/>
      <c r="C44" s="835"/>
      <c r="D44" s="1828" t="str">
        <f>IF(('الصفحة 1'!$Q$14&gt;0),(IF((('الصفحة 1'!$V$36)=1),(IF((('الصفحة 1'!$V$36)=1),"مجموع المستفيدين ؟","")),"")),"")</f>
        <v>مجموع المستفيدين ؟</v>
      </c>
      <c r="E44" s="3905">
        <v>0</v>
      </c>
      <c r="F44" s="3907"/>
      <c r="G44" s="1032"/>
      <c r="H44" s="2346"/>
      <c r="I44" s="1828" t="str">
        <f>IF(('الصفحة 1'!$Q$14&gt;0),(IF((('الصفحة 1'!$V$36)=1),(IF((('الصفحة 1'!$V$36)=1),"منهم بنات ؟","")),"")),"")</f>
        <v>منهم بنات ؟</v>
      </c>
      <c r="J44" s="2146">
        <v>0</v>
      </c>
      <c r="K44" s="3719" t="str">
        <f>IF(('الصفحة 1'!$Q$14&gt;0),(IF(($F$18=0),(IF((E44&gt;0),"E44 خطء","")),"")),"")</f>
        <v/>
      </c>
      <c r="L44" s="3722"/>
      <c r="M44" s="3728"/>
      <c r="N44" s="3722" t="str">
        <f>IF(('الصفحة 1'!$Q$14&gt;0),(IF(($F$18=0),(IF((J44&gt;0),"J44 خطء","")),"")),"")</f>
        <v/>
      </c>
      <c r="O44" s="3723"/>
      <c r="P44" s="3723"/>
      <c r="Q44" s="1359"/>
      <c r="R44" s="3718" t="str">
        <f>IF(('الصفحة 1'!$Q$14&gt;0),(IF(($F$26=1),(IF((E44&gt;0),"E44 خطء","")),"")),"")</f>
        <v/>
      </c>
      <c r="S44" s="1383"/>
      <c r="T44" s="3722" t="str">
        <f>IF(('الصفحة 1'!$Q$14&gt;0),(IF(($F$26=1),(IF((J44&gt;0),"J44 خطء","")),"")),"")</f>
        <v/>
      </c>
      <c r="U44" s="1367"/>
      <c r="V44" s="1367"/>
      <c r="W44" s="4104"/>
      <c r="X44" s="4104"/>
      <c r="Y44" s="2008"/>
      <c r="Z44" s="2009"/>
      <c r="AA44" s="708"/>
      <c r="AB44" s="2604" t="str">
        <f>IF(('الصفحة 1'!$Q$14&gt;0),IF((F18&gt;=1),((IF((J44=""),"المستفيدات من التعليـم الثانـوي",IF((J44&gt;=0)," ",IF((J44&gt;0),""))))),""),"")</f>
        <v xml:space="preserve"> </v>
      </c>
      <c r="AC44" s="2650"/>
      <c r="AD44" s="3353" t="str">
        <f>IF(('الصفحة 1'!$Q$14&gt;0),IF(($F$18=0),IF((J44&gt;0),"خطء المستفيدين  الثانـوي ",IF(($F$18=1),(J44&gt;0),"")),""),"")</f>
        <v/>
      </c>
      <c r="AE44" s="1032"/>
      <c r="AF44" s="1032"/>
      <c r="AG44" s="1032"/>
      <c r="AH44" s="1032"/>
      <c r="AI44" s="2649"/>
    </row>
    <row r="45" spans="1:35" ht="3.9" customHeight="1">
      <c r="A45" s="703"/>
      <c r="B45" s="732"/>
      <c r="C45" s="840"/>
      <c r="D45" s="3520"/>
      <c r="E45" s="1364"/>
      <c r="F45" s="1364"/>
      <c r="G45" s="1364"/>
      <c r="H45" s="1364"/>
      <c r="I45" s="1363"/>
      <c r="J45" s="1363"/>
      <c r="K45" s="3521"/>
      <c r="L45" s="3521"/>
      <c r="M45" s="3521"/>
      <c r="N45" s="1360"/>
      <c r="O45" s="1360"/>
      <c r="P45" s="1360"/>
      <c r="Q45" s="1361"/>
      <c r="R45" s="1361"/>
      <c r="S45" s="3521"/>
      <c r="T45" s="1363"/>
      <c r="U45" s="1891"/>
      <c r="V45" s="1891"/>
      <c r="W45" s="3522"/>
      <c r="X45" s="3522"/>
      <c r="Y45" s="2008"/>
      <c r="Z45" s="2009"/>
      <c r="AA45" s="708"/>
      <c r="AB45" s="2629"/>
      <c r="AC45" s="1032"/>
      <c r="AD45" s="2629"/>
      <c r="AE45" s="1032"/>
      <c r="AF45" s="1032"/>
      <c r="AG45" s="1032"/>
      <c r="AH45" s="1032"/>
      <c r="AI45" s="2649"/>
    </row>
    <row r="46" spans="1:35" ht="15.9" customHeight="1">
      <c r="A46" s="703"/>
      <c r="B46" s="732"/>
      <c r="C46" s="1904"/>
      <c r="D46" s="4101" t="str">
        <f>IF(('الصفحة 1'!$Q$14&gt;0),(IF((('الصفحة 1'!$V$36)=1),(IF((('الصفحة 1'!$V$36)=1),"3-4 - التجهـيـزات الكبرى لنصـــف الداخليـة","")),"")),"")</f>
        <v>3-4 - التجهـيـزات الكبرى لنصـــف الداخليـة</v>
      </c>
      <c r="E46" s="4101"/>
      <c r="F46" s="4101"/>
      <c r="G46" s="4101"/>
      <c r="H46" s="4101"/>
      <c r="I46" s="4101"/>
      <c r="J46" s="4101"/>
      <c r="K46" s="2347" t="str">
        <f>IF(('الصفحة 1'!$Q$14&gt;0),(IF((($F$53+$F$55)&gt;0),(IF((($F$53+$F$55)&gt;0),"في حالة تعويض ضروري للتجهيز حدد القائمة المفصلة في الصفحة 4","")),"")),"")</f>
        <v>في حالة تعويض ضروري للتجهيز حدد القائمة المفصلة في الصفحة 4</v>
      </c>
      <c r="L46" s="1895"/>
      <c r="M46" s="1895"/>
      <c r="N46" s="1895"/>
      <c r="O46" s="1895"/>
      <c r="P46" s="1895"/>
      <c r="Q46" s="1895"/>
      <c r="R46" s="1895"/>
      <c r="S46" s="1895"/>
      <c r="T46" s="1895"/>
      <c r="U46" s="1895"/>
      <c r="V46" s="1895"/>
      <c r="W46" s="1895"/>
      <c r="X46" s="1895"/>
      <c r="Y46" s="1905"/>
      <c r="Z46" s="723"/>
      <c r="AA46" s="708"/>
      <c r="AC46" s="1032"/>
      <c r="AD46" s="1032"/>
      <c r="AE46" s="1032"/>
      <c r="AF46" s="1032"/>
      <c r="AG46" s="1032"/>
      <c r="AH46" s="1032"/>
      <c r="AI46" s="2649"/>
    </row>
    <row r="47" spans="1:35" ht="3" customHeight="1">
      <c r="A47" s="703"/>
      <c r="B47" s="732"/>
      <c r="C47" s="1540"/>
      <c r="D47" s="486"/>
      <c r="E47" s="502"/>
      <c r="F47" s="502"/>
      <c r="G47" s="502"/>
      <c r="H47" s="502"/>
      <c r="I47" s="2"/>
      <c r="J47" s="2"/>
      <c r="K47" s="501"/>
      <c r="L47" s="501"/>
      <c r="M47" s="501"/>
      <c r="N47" s="1363"/>
      <c r="O47" s="1363"/>
      <c r="P47" s="1363"/>
      <c r="Q47" s="1364"/>
      <c r="R47" s="1364"/>
      <c r="S47" s="501"/>
      <c r="T47" s="1363"/>
      <c r="U47" s="1363"/>
      <c r="V47" s="1363"/>
      <c r="W47" s="501"/>
      <c r="X47" s="501"/>
      <c r="Y47" s="1765"/>
      <c r="Z47" s="723"/>
      <c r="AA47" s="708"/>
      <c r="AB47" s="1670"/>
      <c r="AC47" s="1670"/>
      <c r="AD47" s="1670"/>
      <c r="AE47" s="1670"/>
      <c r="AF47" s="1670"/>
      <c r="AG47" s="1670"/>
      <c r="AH47" s="1718"/>
      <c r="AI47" s="2649"/>
    </row>
    <row r="48" spans="1:35" ht="2.1" customHeight="1" thickBot="1">
      <c r="A48" s="703"/>
      <c r="B48" s="732"/>
      <c r="C48" s="1540"/>
      <c r="D48" s="486"/>
      <c r="E48" s="2"/>
      <c r="F48" s="473"/>
      <c r="G48" s="2"/>
      <c r="H48" s="2"/>
      <c r="I48" s="484"/>
      <c r="J48" s="484"/>
      <c r="K48" s="487"/>
      <c r="L48" s="487"/>
      <c r="M48" s="487"/>
      <c r="N48" s="1365"/>
      <c r="O48" s="1365"/>
      <c r="P48" s="1365"/>
      <c r="Q48" s="1363"/>
      <c r="R48" s="1363"/>
      <c r="S48" s="487"/>
      <c r="T48" s="1365"/>
      <c r="U48" s="1365"/>
      <c r="V48" s="1365"/>
      <c r="W48" s="2014"/>
      <c r="X48" s="2013"/>
      <c r="Y48" s="1530"/>
      <c r="Z48" s="723"/>
      <c r="AA48" s="708"/>
      <c r="AB48" s="2651"/>
      <c r="AC48" s="2650"/>
      <c r="AD48" s="2650"/>
      <c r="AE48" s="2650"/>
      <c r="AF48" s="2650"/>
      <c r="AG48" s="1718"/>
      <c r="AH48" s="1718"/>
      <c r="AI48" s="2649"/>
    </row>
    <row r="49" spans="1:35" ht="15" customHeight="1" thickBot="1">
      <c r="A49" s="703"/>
      <c r="B49" s="732"/>
      <c r="C49" s="3496"/>
      <c r="D49" s="1883"/>
      <c r="E49" s="3444" t="str">
        <f>IF(('الصفحة 1'!$Q$14&gt;0),(IF((('الصفحة 1'!$V$36)=1),(IF((('الصفحة 1'!$V$36)=1),"تجهـيـزات المطبخ  موجودة ؟  ","")),"")),"")</f>
        <v xml:space="preserve">تجهـيـزات المطبخ  موجودة ؟  </v>
      </c>
      <c r="F49" s="1642">
        <v>1</v>
      </c>
      <c r="G49" s="1032"/>
      <c r="H49" s="3416" t="str">
        <f>IF(('الصفحة 1'!$Q$14&gt;0),(IF(($F$18=0),(IF(((F49+F51+F53+F55+F57)&gt;0),"خطء، التجهـيـزات الكبرى ونصف الداخلية غيرموجودة ","")),"")),"")</f>
        <v/>
      </c>
      <c r="I49" s="1032"/>
      <c r="J49" s="1032"/>
      <c r="K49" s="1828"/>
      <c r="L49" s="1755"/>
      <c r="M49" s="1032"/>
      <c r="N49" s="1032"/>
      <c r="O49" s="1032"/>
      <c r="P49" s="1032"/>
      <c r="Q49" s="1896"/>
      <c r="R49" s="1897"/>
      <c r="S49" s="1897"/>
      <c r="T49" s="1897"/>
      <c r="U49" s="1897"/>
      <c r="V49" s="1897"/>
      <c r="W49" s="3495" t="str">
        <f>IF(('الصفحة 1'!$Q$14&gt;0),(IF((('الصفحة 1'!$V$36)=1),(IF((('الصفحة 1'!$V$36)=1),"La batterie de cuisine","")),"")),"")</f>
        <v>La batterie de cuisine</v>
      </c>
      <c r="X49" s="3503"/>
      <c r="Y49" s="1530"/>
      <c r="Z49" s="723"/>
      <c r="AA49" s="708"/>
      <c r="AB49" s="3696" t="str">
        <f>IF(('الصفحة 1'!$Q$14&gt;0),IF(($F$18=1),((IF((F49=""),"تجهـيـزات المطبخ  موجودة",IF((F49=0)," ",IF((F49=1),""))))),""),"")</f>
        <v/>
      </c>
      <c r="AC49" s="2650"/>
      <c r="AE49" s="2650"/>
      <c r="AF49" s="2650"/>
      <c r="AG49" s="1718"/>
      <c r="AH49" s="2652"/>
      <c r="AI49" s="2649"/>
    </row>
    <row r="50" spans="1:35" ht="3.9" customHeight="1" thickBot="1">
      <c r="A50" s="703"/>
      <c r="B50" s="732"/>
      <c r="C50" s="3496"/>
      <c r="D50" s="1383"/>
      <c r="E50" s="1383"/>
      <c r="F50" s="1600"/>
      <c r="G50" s="1383"/>
      <c r="H50" s="1383"/>
      <c r="I50" s="1383"/>
      <c r="J50" s="1383"/>
      <c r="K50" s="1383"/>
      <c r="L50" s="1383"/>
      <c r="M50" s="1383"/>
      <c r="N50" s="1383"/>
      <c r="O50" s="1383"/>
      <c r="P50" s="1383"/>
      <c r="Q50" s="1383"/>
      <c r="R50" s="1383"/>
      <c r="S50" s="1383"/>
      <c r="T50" s="1383"/>
      <c r="U50" s="1383"/>
      <c r="V50" s="1383"/>
      <c r="W50" s="3504"/>
      <c r="X50" s="3504"/>
      <c r="Y50" s="1530"/>
      <c r="Z50" s="723"/>
      <c r="AA50" s="708"/>
      <c r="AB50" s="3710"/>
      <c r="AC50" s="2650"/>
      <c r="AD50" s="2650"/>
      <c r="AE50" s="2650"/>
      <c r="AF50" s="2650"/>
      <c r="AG50" s="1718"/>
      <c r="AH50" s="1718"/>
      <c r="AI50" s="2649"/>
    </row>
    <row r="51" spans="1:35" ht="15" customHeight="1" thickBot="1">
      <c r="A51" s="703"/>
      <c r="B51" s="732"/>
      <c r="C51" s="3496"/>
      <c r="D51" s="1383"/>
      <c r="E51" s="3444" t="str">
        <f>IF(('الصفحة 1'!$Q$14&gt;0),(IF((('الصفحة 1'!$V$36)=1),(IF((('الصفحة 1'!$V$36)=1),"تجهـيـزات المطبخ  صالحة ؟  ","")),"")),"")</f>
        <v xml:space="preserve">تجهـيـزات المطبخ  صالحة ؟  </v>
      </c>
      <c r="F51" s="1642">
        <v>0</v>
      </c>
      <c r="G51" s="1383"/>
      <c r="H51" s="3129" t="str">
        <f>IF(('الصفحة 1'!$Q$14&gt;0),(IF((F49=0),(IF((F51&gt;0),"تجهـيـزات المطبخ  غير موجودة ؟","")),"")),"")</f>
        <v/>
      </c>
      <c r="I51" s="1383"/>
      <c r="J51" s="1383"/>
      <c r="K51" s="1383"/>
      <c r="L51" s="1383"/>
      <c r="M51" s="1383"/>
      <c r="N51" s="1383"/>
      <c r="O51" s="1032"/>
      <c r="P51" s="1383"/>
      <c r="Q51" s="1383"/>
      <c r="R51" s="1383"/>
      <c r="S51" s="1383"/>
      <c r="T51" s="1383"/>
      <c r="U51" s="1383"/>
      <c r="V51" s="1383"/>
      <c r="W51" s="3495"/>
      <c r="X51" s="3504"/>
      <c r="Y51" s="1530"/>
      <c r="Z51" s="723"/>
      <c r="AA51" s="708"/>
      <c r="AB51" s="3696" t="str">
        <f>IF(('الصفحة 1'!$Q$14&gt;0),IF(($F$18=1),((IF((F51=""),"تجهـيـزات المطبخ  صالحة",IF((F51=0)," ",IF((F51=1),""))))),""),"")</f>
        <v xml:space="preserve"> </v>
      </c>
      <c r="AC51" s="2650"/>
      <c r="AE51" s="1032"/>
      <c r="AF51" s="1032"/>
      <c r="AG51" s="1718"/>
      <c r="AH51" s="2652"/>
      <c r="AI51" s="2649"/>
    </row>
    <row r="52" spans="1:35" ht="3.9" customHeight="1" thickBot="1">
      <c r="A52" s="703"/>
      <c r="B52" s="732"/>
      <c r="C52" s="3496"/>
      <c r="D52" s="1383"/>
      <c r="E52" s="1032"/>
      <c r="F52" s="3415"/>
      <c r="G52" s="1383"/>
      <c r="H52" s="1383"/>
      <c r="I52" s="1383"/>
      <c r="J52" s="1383"/>
      <c r="K52" s="1383"/>
      <c r="L52" s="1383"/>
      <c r="M52" s="1383"/>
      <c r="N52" s="1383"/>
      <c r="O52" s="1383"/>
      <c r="P52" s="1383"/>
      <c r="Q52" s="1383"/>
      <c r="R52" s="1383"/>
      <c r="S52" s="1383"/>
      <c r="T52" s="1383"/>
      <c r="U52" s="1383"/>
      <c r="V52" s="1383"/>
      <c r="W52" s="3504"/>
      <c r="X52" s="3504"/>
      <c r="Y52" s="1530"/>
      <c r="Z52" s="723"/>
      <c r="AA52" s="708"/>
      <c r="AB52" s="3711"/>
      <c r="AC52" s="2650"/>
      <c r="AD52" s="2650"/>
      <c r="AE52" s="2650"/>
      <c r="AF52" s="2650"/>
      <c r="AG52" s="1718"/>
      <c r="AH52" s="1718"/>
      <c r="AI52" s="2649"/>
    </row>
    <row r="53" spans="1:35" ht="15" customHeight="1" thickBot="1">
      <c r="A53" s="703"/>
      <c r="B53" s="732"/>
      <c r="C53" s="3496"/>
      <c r="D53" s="1383"/>
      <c r="E53" s="3444" t="str">
        <f>IF(('الصفحة 1'!$Q$14&gt;0),(IF((('الصفحة 1'!$V$36)=1),(IF((('الصفحة 1'!$V$36)=1),"تتطلب التعويض الجزئي ؟  ","")),"")),"")</f>
        <v xml:space="preserve">تتطلب التعويض الجزئي ؟  </v>
      </c>
      <c r="F53" s="1642">
        <v>1</v>
      </c>
      <c r="G53" s="1032"/>
      <c r="H53" s="3129" t="str">
        <f>IF(('الصفحة 1'!$Q$14&gt;0),(IF((F49=0),(IF((F53&gt;0),"تجهـيـزات المطبخ  غير موجودة ؟","")),"")),"")</f>
        <v/>
      </c>
      <c r="I53" s="1658"/>
      <c r="J53" s="1569"/>
      <c r="K53" s="1677"/>
      <c r="L53" s="1674"/>
      <c r="M53" s="1658"/>
      <c r="N53" s="1674"/>
      <c r="O53" s="1032"/>
      <c r="P53" s="1383"/>
      <c r="Q53" s="1383"/>
      <c r="R53" s="1383"/>
      <c r="S53" s="1383"/>
      <c r="T53" s="1383"/>
      <c r="U53" s="1383"/>
      <c r="V53" s="1383"/>
      <c r="W53" s="3504"/>
      <c r="X53" s="3504"/>
      <c r="Y53" s="1530"/>
      <c r="Z53" s="723"/>
      <c r="AA53" s="708"/>
      <c r="AB53" s="3705" t="str">
        <f>IF(('الصفحة 1'!$Q$14&gt;0),IF(($F$18=1),((IF((F53=""),"تتطلب التعويض الجزئي",IF((F53=0)," ",IF((F53=1),""))))),""),"")</f>
        <v/>
      </c>
      <c r="AC53" s="2650"/>
      <c r="AD53" s="2650"/>
      <c r="AE53" s="2650"/>
      <c r="AF53" s="2650"/>
      <c r="AG53" s="1718"/>
      <c r="AH53" s="1714"/>
      <c r="AI53" s="2649"/>
    </row>
    <row r="54" spans="1:35" ht="3.9" customHeight="1" thickBot="1">
      <c r="A54" s="703"/>
      <c r="B54" s="732"/>
      <c r="C54" s="3497"/>
      <c r="D54" s="1670"/>
      <c r="E54" s="1383"/>
      <c r="F54" s="1600"/>
      <c r="G54" s="1670"/>
      <c r="H54" s="1741"/>
      <c r="I54" s="1670"/>
      <c r="J54" s="1670"/>
      <c r="K54" s="1670"/>
      <c r="L54" s="1670"/>
      <c r="M54" s="1670"/>
      <c r="N54" s="1670"/>
      <c r="O54" s="1670"/>
      <c r="P54" s="1670"/>
      <c r="Q54" s="1670"/>
      <c r="R54" s="1670"/>
      <c r="S54" s="3492"/>
      <c r="T54" s="1670"/>
      <c r="U54" s="1670"/>
      <c r="V54" s="1670"/>
      <c r="W54" s="3505"/>
      <c r="X54" s="3505"/>
      <c r="Y54" s="1846"/>
      <c r="Z54" s="723"/>
      <c r="AA54" s="708"/>
      <c r="AB54" s="3711"/>
      <c r="AC54" s="2650"/>
      <c r="AD54" s="2653"/>
      <c r="AE54" s="2653"/>
      <c r="AF54" s="2654"/>
      <c r="AG54" s="1718"/>
      <c r="AH54" s="1718"/>
      <c r="AI54" s="2649"/>
    </row>
    <row r="55" spans="1:35" ht="15" customHeight="1" thickBot="1">
      <c r="A55" s="703"/>
      <c r="B55" s="732"/>
      <c r="C55" s="3496"/>
      <c r="D55" s="1383"/>
      <c r="E55" s="3444" t="str">
        <f>IF(('الصفحة 1'!$Q$14&gt;0),(IF((('الصفحة 1'!$V$36)=1),(IF((('الصفحة 1'!$V$36)=1),"تتطلب  التعويض الكلي ؟  ","")),"")),"")</f>
        <v xml:space="preserve">تتطلب  التعويض الكلي ؟  </v>
      </c>
      <c r="F55" s="1642">
        <v>0</v>
      </c>
      <c r="G55" s="1032"/>
      <c r="H55" s="3129" t="str">
        <f>IF(('الصفحة 1'!$Q$14&gt;0),(IF(($F$53=1),(IF((F55=1),"تجهـيـزات المطبخ  تتطلب  التعويض الكلي والجزئي ؟ ","")),"")),"")</f>
        <v/>
      </c>
      <c r="I55" s="1032"/>
      <c r="J55" s="1032"/>
      <c r="K55" s="1032"/>
      <c r="L55" s="1032"/>
      <c r="M55" s="1032"/>
      <c r="N55" s="1032"/>
      <c r="O55" s="1032"/>
      <c r="P55" s="1674"/>
      <c r="Q55" s="1674"/>
      <c r="R55" s="1658"/>
      <c r="S55" s="1569"/>
      <c r="T55" s="1674"/>
      <c r="U55" s="1674"/>
      <c r="V55" s="1658"/>
      <c r="W55" s="4102"/>
      <c r="X55" s="4102"/>
      <c r="Y55" s="1846"/>
      <c r="Z55" s="723"/>
      <c r="AA55" s="708"/>
      <c r="AB55" s="3705" t="str">
        <f>IF(('الصفحة 1'!$Q$14&gt;0),IF((F$18=1),((IF((F55=""),"تتطلب  التعويض الكلي",IF((F55=0)," ",IF((F55=1),""))))),""),"")</f>
        <v xml:space="preserve"> </v>
      </c>
      <c r="AC55" s="2650"/>
      <c r="AD55" s="1032"/>
      <c r="AE55" s="1032"/>
      <c r="AF55" s="1032"/>
      <c r="AG55" s="1718"/>
      <c r="AH55" s="1718"/>
      <c r="AI55" s="2649"/>
    </row>
    <row r="56" spans="1:35" ht="3.9" customHeight="1" thickBot="1">
      <c r="A56" s="703"/>
      <c r="B56" s="732"/>
      <c r="C56" s="3496"/>
      <c r="D56" s="1383"/>
      <c r="E56" s="1383"/>
      <c r="F56" s="1600"/>
      <c r="G56" s="1383"/>
      <c r="H56" s="1383"/>
      <c r="I56" s="1893"/>
      <c r="J56" s="1893"/>
      <c r="K56" s="1893"/>
      <c r="L56" s="1893"/>
      <c r="M56" s="1893"/>
      <c r="N56" s="1893"/>
      <c r="O56" s="1893"/>
      <c r="P56" s="1893"/>
      <c r="Q56" s="1893"/>
      <c r="R56" s="1893"/>
      <c r="S56" s="1893"/>
      <c r="T56" s="1893"/>
      <c r="U56" s="1893"/>
      <c r="V56" s="1893"/>
      <c r="W56" s="3506"/>
      <c r="X56" s="3506"/>
      <c r="Y56" s="1766"/>
      <c r="Z56" s="723"/>
      <c r="AA56" s="708"/>
      <c r="AC56" s="2650"/>
      <c r="AD56" s="2650"/>
      <c r="AE56" s="2650"/>
      <c r="AF56" s="2650"/>
      <c r="AG56" s="1718"/>
      <c r="AH56" s="1718"/>
      <c r="AI56" s="2649"/>
    </row>
    <row r="57" spans="1:35" ht="15" customHeight="1" thickBot="1">
      <c r="A57" s="703"/>
      <c r="B57" s="732"/>
      <c r="C57" s="3496"/>
      <c r="D57" s="1383"/>
      <c r="E57" s="3444" t="str">
        <f>IF(('الصفحة 1'!$Q$14&gt;0),(IF((('الصفحة 1'!$V$36)=1),(IF((('الصفحة 1'!$V$36)=1),"غرفة  التبريد شغالة ؟  ","")),"")),"")</f>
        <v xml:space="preserve">غرفة  التبريد شغالة ؟  </v>
      </c>
      <c r="F57" s="1642">
        <v>1</v>
      </c>
      <c r="G57" s="1383"/>
      <c r="H57" s="3129" t="str">
        <f>IF(('الصفحة 1'!$Q$14&gt;0),(IF(($F$51=1),(IF((F55=1),"تجهـيـزات المطبخ  صالحة  تتطلب  التعويض الكلي ؟","")),"")),"")</f>
        <v/>
      </c>
      <c r="I57" s="1383"/>
      <c r="J57" s="1383"/>
      <c r="K57" s="1383"/>
      <c r="L57" s="1383"/>
      <c r="M57" s="1383"/>
      <c r="N57" s="3507"/>
      <c r="O57" s="3507"/>
      <c r="P57" s="3507"/>
      <c r="Q57" s="3507"/>
      <c r="R57" s="3507"/>
      <c r="S57" s="3508"/>
      <c r="T57" s="3509"/>
      <c r="U57" s="3509"/>
      <c r="V57" s="3509"/>
      <c r="W57" s="3495" t="str">
        <f>IF(('الصفحة 1'!$Q$14&gt;0),(IF((('الصفحة 1'!$V$36)=1),(IF((('الصفحة 1'!$V$36)=1),"La chambre Froide","")),"")),"")</f>
        <v>La chambre Froide</v>
      </c>
      <c r="X57" s="3510"/>
      <c r="Y57" s="1847"/>
      <c r="Z57" s="827"/>
      <c r="AA57" s="708"/>
      <c r="AB57" s="3705" t="str">
        <f>IF(('الصفحة 1'!$Q$14&gt;0),IF(($F$18=1),((IF((F57=""),"غرفة  التبريد شغالة",IF((F57=0)," ",IF((F57=1),""))))),""),"")</f>
        <v/>
      </c>
      <c r="AC57" s="2650"/>
      <c r="AD57" s="1032"/>
      <c r="AE57" s="1032"/>
      <c r="AF57" s="1032"/>
      <c r="AG57" s="1718"/>
      <c r="AH57" s="1718"/>
      <c r="AI57" s="2649"/>
    </row>
    <row r="58" spans="1:35" ht="6" customHeight="1">
      <c r="A58" s="703"/>
      <c r="B58" s="732"/>
      <c r="C58" s="1715"/>
      <c r="D58" s="761"/>
      <c r="E58" s="1828"/>
      <c r="F58" s="3421"/>
      <c r="G58" s="761"/>
      <c r="H58" s="3129"/>
      <c r="I58" s="761"/>
      <c r="J58" s="761"/>
      <c r="K58" s="761"/>
      <c r="L58" s="761"/>
      <c r="M58" s="761"/>
      <c r="N58" s="847"/>
      <c r="O58" s="847"/>
      <c r="P58" s="847"/>
      <c r="Q58" s="847"/>
      <c r="R58" s="847"/>
      <c r="S58" s="848"/>
      <c r="T58" s="849"/>
      <c r="U58" s="849"/>
      <c r="V58" s="849"/>
      <c r="W58" s="2012"/>
      <c r="X58" s="2015"/>
      <c r="Y58" s="3431"/>
      <c r="Z58" s="827"/>
      <c r="AA58" s="708"/>
      <c r="AB58" s="1602"/>
      <c r="AC58" s="2650"/>
      <c r="AD58" s="1032"/>
      <c r="AE58" s="1032"/>
      <c r="AF58" s="1032"/>
      <c r="AG58" s="1718"/>
      <c r="AH58" s="1718"/>
      <c r="AI58" s="2649"/>
    </row>
    <row r="59" spans="1:35" ht="3.9" customHeight="1">
      <c r="A59" s="703"/>
      <c r="B59" s="732"/>
      <c r="C59" s="3537"/>
      <c r="D59" s="3538"/>
      <c r="E59" s="3436"/>
      <c r="F59" s="3539"/>
      <c r="G59" s="3538"/>
      <c r="H59" s="3437"/>
      <c r="I59" s="3538"/>
      <c r="J59" s="3538"/>
      <c r="K59" s="3538"/>
      <c r="L59" s="3538"/>
      <c r="M59" s="3538"/>
      <c r="N59" s="3540"/>
      <c r="O59" s="3540"/>
      <c r="P59" s="3540"/>
      <c r="Q59" s="3540"/>
      <c r="R59" s="3540"/>
      <c r="S59" s="3541"/>
      <c r="T59" s="3542"/>
      <c r="U59" s="3542"/>
      <c r="V59" s="3542"/>
      <c r="W59" s="3543"/>
      <c r="X59" s="3544"/>
      <c r="Y59" s="3545"/>
      <c r="Z59" s="827"/>
      <c r="AA59" s="708"/>
      <c r="AB59" s="1602"/>
      <c r="AC59" s="2650"/>
      <c r="AD59" s="1032"/>
      <c r="AE59" s="1032"/>
      <c r="AF59" s="1032"/>
      <c r="AG59" s="1718"/>
      <c r="AH59" s="1718"/>
      <c r="AI59" s="2649"/>
    </row>
    <row r="60" spans="1:35" ht="17.399999999999999">
      <c r="A60" s="703"/>
      <c r="B60" s="732"/>
      <c r="C60" s="3546"/>
      <c r="D60" s="4114" t="str">
        <f>IF(('الصفحة 1'!$Q$14&gt;0),(IF((('الصفحة 1'!$V$34)=1),(IF((('الصفحة 1'!$V$34)=1),"المستفيدين من النصـــف الداخليـة في متوسطة أخرى","")),"")),"")</f>
        <v/>
      </c>
      <c r="E60" s="4114"/>
      <c r="F60" s="4114"/>
      <c r="G60" s="4114"/>
      <c r="H60" s="4114"/>
      <c r="I60" s="4114"/>
      <c r="J60" s="4114"/>
      <c r="K60" s="4114"/>
      <c r="L60" s="4114"/>
      <c r="M60" s="4114"/>
      <c r="N60" s="4114"/>
      <c r="O60" s="4114"/>
      <c r="P60" s="3746" t="str">
        <f>IF(('الصفحة 1'!$Q$14&gt;0),(IF((('الصفحة 1'!$V$34)=1),(IF((('الصفحة 1'!$V$34)=1),"ركن يخص المتوسطة المعنية بهذه الوضعية","")),"")),"")</f>
        <v/>
      </c>
      <c r="Q60" s="3691"/>
      <c r="R60" s="3547"/>
      <c r="S60" s="3548"/>
      <c r="T60" s="3549"/>
      <c r="U60" s="3550"/>
      <c r="V60" s="3547"/>
      <c r="W60" s="1614"/>
      <c r="X60" s="1614"/>
      <c r="Y60" s="3551"/>
      <c r="Z60" s="827"/>
      <c r="AA60" s="708"/>
      <c r="AB60" s="1602"/>
      <c r="AC60" s="2650"/>
      <c r="AD60" s="1032"/>
      <c r="AE60" s="1032"/>
      <c r="AF60" s="1032"/>
      <c r="AG60" s="1718"/>
      <c r="AH60" s="1718"/>
      <c r="AI60" s="2649"/>
    </row>
    <row r="61" spans="1:35" ht="6" customHeight="1" thickBot="1">
      <c r="A61" s="703"/>
      <c r="B61" s="732"/>
      <c r="C61" s="3552"/>
      <c r="D61" s="1718"/>
      <c r="E61" s="1828"/>
      <c r="F61" s="1755"/>
      <c r="G61" s="1718"/>
      <c r="H61" s="3129"/>
      <c r="I61" s="1718"/>
      <c r="J61" s="1718"/>
      <c r="K61" s="1718"/>
      <c r="L61" s="1718"/>
      <c r="M61" s="1718"/>
      <c r="N61" s="3553"/>
      <c r="O61" s="3553"/>
      <c r="P61" s="3553"/>
      <c r="Q61" s="3553"/>
      <c r="R61" s="3553"/>
      <c r="S61" s="3554"/>
      <c r="T61" s="3555"/>
      <c r="U61" s="3555"/>
      <c r="V61" s="3555"/>
      <c r="W61" s="3556"/>
      <c r="X61" s="3557"/>
      <c r="Y61" s="3558"/>
      <c r="Z61" s="827"/>
      <c r="AA61" s="708"/>
      <c r="AB61" s="1602"/>
      <c r="AC61" s="2650"/>
      <c r="AD61" s="1032"/>
      <c r="AE61" s="1032"/>
      <c r="AF61" s="1032"/>
      <c r="AG61" s="1718"/>
      <c r="AH61" s="1718"/>
      <c r="AI61" s="2649"/>
    </row>
    <row r="62" spans="1:35" ht="20.100000000000001" customHeight="1" thickBot="1">
      <c r="A62" s="703"/>
      <c r="B62" s="732"/>
      <c r="C62" s="1715"/>
      <c r="D62" s="4105" t="str">
        <f>IF(('الصفحة 1'!$Q$14&gt;0),(IF((('الصفحة 1'!$V$34)=1),(IF((('الصفحة 1'!$V$34)=1),"المتوسطة تشتغل بنظـام خارجي،","")),"")),"")</f>
        <v/>
      </c>
      <c r="E62" s="4106"/>
      <c r="F62" s="4106"/>
      <c r="G62" s="4106"/>
      <c r="H62" s="4106"/>
      <c r="I62" s="4106"/>
      <c r="J62" s="4106"/>
      <c r="K62" s="4106"/>
      <c r="L62" s="4106"/>
      <c r="M62" s="4106"/>
      <c r="N62" s="4106"/>
      <c r="O62" s="4106"/>
      <c r="P62" s="3361"/>
      <c r="Q62" s="3498" t="str">
        <f>IF(('الصفحة 1'!$Q$14&gt;0),(IF((('الصفحة 1'!$V$34)=1),(IF((('الصفحة 1'!$V$34)=1),"تسميـــــة هذه المتوسطة المستقبلة","")),"")),"")</f>
        <v/>
      </c>
      <c r="R62" s="3362"/>
      <c r="S62" s="3499"/>
      <c r="T62" s="3363"/>
      <c r="U62" s="3364"/>
      <c r="V62" s="3364"/>
      <c r="W62" s="3500"/>
      <c r="X62" s="3501"/>
      <c r="Y62" s="3431"/>
      <c r="Z62" s="827"/>
      <c r="AA62" s="708"/>
      <c r="AB62" s="1602"/>
      <c r="AC62" s="2650"/>
      <c r="AD62" s="1032"/>
      <c r="AE62" s="1032"/>
      <c r="AF62" s="1032"/>
      <c r="AG62" s="1718"/>
      <c r="AH62" s="1718"/>
      <c r="AI62" s="2649"/>
    </row>
    <row r="63" spans="1:35" ht="20.100000000000001" customHeight="1" thickBot="1">
      <c r="A63" s="703"/>
      <c r="B63" s="732"/>
      <c r="C63" s="1715"/>
      <c r="D63" s="4107" t="str">
        <f>IF(('الصفحة 1'!$Q$14&gt;0),(IF((('الصفحة 1'!$V$34)=1),(IF((('الصفحة 1'!$V$34)=1),"ويوجود تلاميذ مستفيدين من نصف داخلية في متوسطة أخرى","")),"")),"")</f>
        <v/>
      </c>
      <c r="E63" s="4108" t="str">
        <f>IF(('الصفحة 1'!$Q$14&gt;0),(IF((('الصفحة 1'!$V$34)=1),(IF((('الصفحة 1'!$V$34)=1),"يوجود تلاميذ مستفيدين من نصف الداخلية في متوسطة أخرى","")),"")),"")</f>
        <v/>
      </c>
      <c r="F63" s="4108" t="str">
        <f>IF(('الصفحة 1'!$Q$14&gt;0),(IF((('الصفحة 1'!$V$34)=1),(IF((('الصفحة 1'!$V$34)=1),"يوجود تلاميذ مستفيدين من نصف الداخلية في متوسطة أخرى","")),"")),"")</f>
        <v/>
      </c>
      <c r="G63" s="4108" t="str">
        <f>IF(('الصفحة 1'!$Q$14&gt;0),(IF((('الصفحة 1'!$V$34)=1),(IF((('الصفحة 1'!$V$34)=1),"يوجود تلاميذ مستفيدين من نصف الداخلية في متوسطة أخرى","")),"")),"")</f>
        <v/>
      </c>
      <c r="H63" s="4108" t="str">
        <f>IF(('الصفحة 1'!$Q$14&gt;0),(IF((('الصفحة 1'!$V$34)=1),(IF((('الصفحة 1'!$V$34)=1),"يوجود تلاميذ مستفيدين من نصف الداخلية في متوسطة أخرى","")),"")),"")</f>
        <v/>
      </c>
      <c r="I63" s="4108" t="str">
        <f>IF(('الصفحة 1'!$Q$14&gt;0),(IF((('الصفحة 1'!$V$34)=1),(IF((('الصفحة 1'!$V$34)=1),"يوجود تلاميذ مستفيدين من نصف الداخلية في متوسطة أخرى","")),"")),"")</f>
        <v/>
      </c>
      <c r="J63" s="4108" t="str">
        <f>IF(('الصفحة 1'!$Q$14&gt;0),(IF((('الصفحة 1'!$V$34)=1),(IF((('الصفحة 1'!$V$34)=1),"يوجود تلاميذ مستفيدين من نصف الداخلية في متوسطة أخرى","")),"")),"")</f>
        <v/>
      </c>
      <c r="K63" s="4108" t="str">
        <f>IF(('الصفحة 1'!$Q$14&gt;0),(IF((('الصفحة 1'!$V$34)=1),(IF((('الصفحة 1'!$V$34)=1),"يوجود تلاميذ مستفيدين من نصف الداخلية في متوسطة أخرى","")),"")),"")</f>
        <v/>
      </c>
      <c r="L63" s="4108" t="str">
        <f>IF(('الصفحة 1'!$Q$14&gt;0),(IF((('الصفحة 1'!$V$34)=1),(IF((('الصفحة 1'!$V$34)=1),"يوجود تلاميذ مستفيدين من نصف الداخلية في متوسطة أخرى","")),"")),"")</f>
        <v/>
      </c>
      <c r="M63" s="4108" t="str">
        <f>IF(('الصفحة 1'!$Q$14&gt;0),(IF((('الصفحة 1'!$V$34)=1),(IF((('الصفحة 1'!$V$34)=1),"يوجود تلاميذ مستفيدين من نصف الداخلية في متوسطة أخرى","")),"")),"")</f>
        <v/>
      </c>
      <c r="N63" s="4108" t="str">
        <f>IF(('الصفحة 1'!$Q$14&gt;0),(IF((('الصفحة 1'!$V$34)=1),(IF((('الصفحة 1'!$V$34)=1),"يوجود تلاميذ مستفيدين من نصف الداخلية في متوسطة أخرى","")),"")),"")</f>
        <v/>
      </c>
      <c r="O63" s="4108" t="str">
        <f>IF(('الصفحة 1'!$Q$14&gt;0),(IF((('الصفحة 1'!$V$34)=1),(IF((('الصفحة 1'!$V$34)=1),"يوجود تلاميذ مستفيدين من نصف الداخلية في متوسطة أخرى","")),"")),"")</f>
        <v/>
      </c>
      <c r="P63" s="3365"/>
      <c r="Q63" s="4109"/>
      <c r="R63" s="4110"/>
      <c r="S63" s="4110"/>
      <c r="T63" s="4110"/>
      <c r="U63" s="4110"/>
      <c r="V63" s="4110"/>
      <c r="W63" s="4111"/>
      <c r="X63" s="3366"/>
      <c r="Y63" s="3431"/>
      <c r="Z63" s="827"/>
      <c r="AA63" s="708"/>
      <c r="AB63" s="3717" t="str">
        <f>IF(('الصفحة 1'!$Q$14&gt;0),IF(('[6]الصفحة 1'!$V$34=1),((IF((N63=""),"تسميـــــة هذه الثانـوية",IF((N63&gt;=0)," ",IF((N63&gt;=0),""))))),""),"")</f>
        <v/>
      </c>
      <c r="AC63" s="2650"/>
      <c r="AD63" s="1032"/>
      <c r="AE63" s="1032"/>
      <c r="AF63" s="1032"/>
      <c r="AG63" s="1718"/>
      <c r="AH63" s="1718"/>
      <c r="AI63" s="2649"/>
    </row>
    <row r="64" spans="1:35" ht="5.0999999999999996" customHeight="1">
      <c r="A64" s="703"/>
      <c r="B64" s="732"/>
      <c r="C64" s="1715"/>
      <c r="D64" s="3433"/>
      <c r="E64" s="3432"/>
      <c r="F64" s="3432"/>
      <c r="G64" s="3432"/>
      <c r="H64" s="3432"/>
      <c r="I64" s="3432"/>
      <c r="J64" s="3432"/>
      <c r="K64" s="3432"/>
      <c r="L64" s="3432"/>
      <c r="M64" s="3432"/>
      <c r="N64" s="3432"/>
      <c r="O64" s="3432"/>
      <c r="P64" s="3367"/>
      <c r="Q64" s="3367"/>
      <c r="R64" s="3367"/>
      <c r="S64" s="3367"/>
      <c r="T64" s="3367"/>
      <c r="U64" s="3367"/>
      <c r="V64" s="3367"/>
      <c r="W64" s="3367"/>
      <c r="X64" s="3366"/>
      <c r="Y64" s="3431"/>
      <c r="Z64" s="827"/>
      <c r="AA64" s="708"/>
      <c r="AC64" s="2650"/>
      <c r="AD64" s="1032"/>
      <c r="AE64" s="1032"/>
      <c r="AF64" s="1032"/>
      <c r="AG64" s="1718"/>
      <c r="AH64" s="1718"/>
      <c r="AI64" s="2649"/>
    </row>
    <row r="65" spans="1:35" ht="5.0999999999999996" customHeight="1">
      <c r="A65" s="703"/>
      <c r="B65" s="732"/>
      <c r="C65" s="1715"/>
      <c r="D65" s="1857"/>
      <c r="E65" s="3434"/>
      <c r="F65" s="3434"/>
      <c r="G65" s="3434"/>
      <c r="H65" s="3434"/>
      <c r="I65" s="3434"/>
      <c r="J65" s="3434"/>
      <c r="K65" s="3434"/>
      <c r="L65" s="3434"/>
      <c r="M65" s="3434"/>
      <c r="N65" s="3434"/>
      <c r="O65" s="3434"/>
      <c r="P65" s="1529"/>
      <c r="Q65" s="1529"/>
      <c r="R65" s="1529"/>
      <c r="S65" s="1529"/>
      <c r="T65" s="1529"/>
      <c r="U65" s="1529"/>
      <c r="V65" s="1529"/>
      <c r="W65" s="1529"/>
      <c r="X65" s="3435"/>
      <c r="Y65" s="3431"/>
      <c r="Z65" s="827"/>
      <c r="AA65" s="708"/>
      <c r="AC65" s="2650"/>
      <c r="AD65" s="1032"/>
      <c r="AE65" s="1032"/>
      <c r="AF65" s="1032"/>
      <c r="AG65" s="1718"/>
      <c r="AH65" s="1718"/>
      <c r="AI65" s="2649"/>
    </row>
    <row r="66" spans="1:35" ht="15" customHeight="1">
      <c r="A66" s="703"/>
      <c r="B66" s="732"/>
      <c r="C66" s="1715"/>
      <c r="D66" s="3417" t="str">
        <f>IF(('الصفحة 1'!$Q$14&gt;0),(IF((('الصفحة 1'!$V$34)=1),(IF((('الصفحة 1'!$V$34)=1),"مجموع المستفيدين ؟","")),"")),"")</f>
        <v/>
      </c>
      <c r="E66" s="4112"/>
      <c r="F66" s="4113"/>
      <c r="H66" s="2346"/>
      <c r="I66" s="785" t="str">
        <f>IF(('الصفحة 1'!$Q$14&gt;0),(IF((('الصفحة 1'!$V$34)=1),(IF((('الصفحة 1'!$V$34)=1),"منهم بنات ؟","")),"")),"")</f>
        <v/>
      </c>
      <c r="J66" s="2146"/>
      <c r="K66" s="3692" t="str">
        <f>IF(('الصفحة 1'!$Q$14&gt;0),(IF(('الصفحة 1'!$V$34=0),(IF((E66&gt;0),"E67 خطء","")),"")),"")</f>
        <v/>
      </c>
      <c r="L66" s="501"/>
      <c r="M66" s="501"/>
      <c r="N66" s="3693"/>
      <c r="O66" s="3129" t="str">
        <f>IF(('الصفحة 1'!$Q$14&gt;0),(IF(('الصفحة 1'!$V$34=0),(IF((J66&gt;0),"J67 خطء","")),"")),"")</f>
        <v/>
      </c>
      <c r="P66" s="1360"/>
      <c r="Q66" s="1361"/>
      <c r="R66" s="1361"/>
      <c r="S66" s="3694" t="str">
        <f>IF(('الصفحة 1'!$Q$14&gt;0),(IF(('الصفحة 1'!$V$34=0),(IF((Q63&gt;0),"Q64 خطء","")),"")),"")</f>
        <v/>
      </c>
      <c r="T66" s="1363"/>
      <c r="U66" s="1891"/>
      <c r="V66" s="1891"/>
      <c r="W66" s="2011"/>
      <c r="X66" s="3355"/>
      <c r="Y66" s="3431"/>
      <c r="Z66" s="827"/>
      <c r="AA66" s="708"/>
      <c r="AB66" s="3705" t="str">
        <f>IF(('الصفحة 1'!$Q$14&gt;0),IF(('[6]الصفحة 1'!$V$34=1),((IF((E66=""),"مجموع المستفيدين",IF((E66&gt;=0)," ",IF((E66&gt;=0),""))))),""),"")</f>
        <v/>
      </c>
      <c r="AC66" s="2650"/>
      <c r="AD66" s="1032"/>
      <c r="AE66" s="1032"/>
      <c r="AF66" s="1032"/>
      <c r="AG66" s="1718"/>
      <c r="AH66" s="1718"/>
      <c r="AI66" s="2649"/>
    </row>
    <row r="67" spans="1:35" ht="5.0999999999999996" customHeight="1">
      <c r="A67" s="703"/>
      <c r="B67" s="732"/>
      <c r="C67" s="1715"/>
      <c r="D67" s="1540"/>
      <c r="E67" s="502"/>
      <c r="F67" s="502"/>
      <c r="G67" s="502"/>
      <c r="H67" s="502"/>
      <c r="I67" s="2"/>
      <c r="J67" s="2"/>
      <c r="K67" s="501"/>
      <c r="L67" s="501"/>
      <c r="M67" s="501"/>
      <c r="N67" s="1360"/>
      <c r="O67" s="1360"/>
      <c r="P67" s="1360"/>
      <c r="Q67" s="1361"/>
      <c r="R67" s="1361"/>
      <c r="S67" s="501"/>
      <c r="T67" s="1363"/>
      <c r="U67" s="1891"/>
      <c r="V67" s="1891"/>
      <c r="W67" s="2011"/>
      <c r="X67" s="3355"/>
      <c r="Y67" s="3431"/>
      <c r="Z67" s="827"/>
      <c r="AA67" s="708"/>
      <c r="AC67" s="2650"/>
      <c r="AD67" s="1032"/>
      <c r="AE67" s="1032"/>
      <c r="AF67" s="1032"/>
      <c r="AG67" s="1718"/>
      <c r="AH67" s="1718"/>
      <c r="AI67" s="2649"/>
    </row>
    <row r="68" spans="1:35" ht="16.2" thickBot="1">
      <c r="A68" s="703"/>
      <c r="B68" s="732"/>
      <c r="C68" s="1715"/>
      <c r="D68" s="2147"/>
      <c r="E68" s="3346" t="str">
        <f>IF(('الصفحة 1'!$Q$14&gt;0),(IF(('الصفحة 1'!$V$34=0),(IF((E66&gt;0),"خطء، وجود نصف الداخلية ","")),"")),"")</f>
        <v/>
      </c>
      <c r="F68" s="2148"/>
      <c r="G68" s="3502"/>
      <c r="H68" s="2148"/>
      <c r="I68" s="2149"/>
      <c r="J68" s="3346" t="str">
        <f>IF(('الصفحة 1'!$Q$14&gt;0),(IF(('الصفحة 1'!$V$34=0),(IF((J66&gt;0),"خطء، وجود نصف الداخلية","")),"")),"")</f>
        <v/>
      </c>
      <c r="K68" s="2149"/>
      <c r="L68" s="3502"/>
      <c r="M68" s="3358"/>
      <c r="N68" s="3358"/>
      <c r="O68" s="3358"/>
      <c r="P68" s="2149"/>
      <c r="Q68" s="3356"/>
      <c r="R68" s="3356"/>
      <c r="S68" s="3357"/>
      <c r="T68" s="2148"/>
      <c r="U68" s="3358"/>
      <c r="V68" s="3358"/>
      <c r="W68" s="3359"/>
      <c r="X68" s="3360"/>
      <c r="Y68" s="3431"/>
      <c r="Z68" s="827"/>
      <c r="AA68" s="708"/>
      <c r="AB68" s="3705" t="str">
        <f>IF(('الصفحة 1'!$Q$14&gt;0),IF(('[6]الصفحة 1'!$V$34=1),((IF((J66=""),"المستفيدين منهم بنات",IF((J66&gt;=0)," ",IF((J66&gt;=0),""))))),""),"")</f>
        <v/>
      </c>
      <c r="AC68" s="2650"/>
      <c r="AD68" s="1032"/>
      <c r="AE68" s="1032"/>
      <c r="AF68" s="1032"/>
      <c r="AG68" s="1718"/>
      <c r="AH68" s="1718"/>
      <c r="AI68" s="2649"/>
    </row>
    <row r="69" spans="1:35">
      <c r="A69" s="703"/>
      <c r="B69" s="732"/>
      <c r="C69" s="3559"/>
      <c r="D69" s="1383"/>
      <c r="E69" s="1828"/>
      <c r="F69" s="1755"/>
      <c r="G69" s="1383"/>
      <c r="H69" s="3129"/>
      <c r="I69" s="1383"/>
      <c r="J69" s="1383"/>
      <c r="K69" s="1383"/>
      <c r="L69" s="1383"/>
      <c r="M69" s="1383"/>
      <c r="N69" s="3507"/>
      <c r="O69" s="3507"/>
      <c r="P69" s="3507"/>
      <c r="Q69" s="3507"/>
      <c r="R69" s="3507"/>
      <c r="S69" s="3508"/>
      <c r="T69" s="3509"/>
      <c r="U69" s="3509"/>
      <c r="V69" s="3509"/>
      <c r="W69" s="3495"/>
      <c r="X69" s="3510"/>
      <c r="Y69" s="3560"/>
      <c r="Z69" s="827"/>
      <c r="AA69" s="708"/>
      <c r="AB69" s="3706"/>
      <c r="AC69" s="2650"/>
      <c r="AD69" s="1032"/>
      <c r="AE69" s="1032"/>
      <c r="AF69" s="1032"/>
      <c r="AG69" s="1718"/>
      <c r="AH69" s="1718"/>
      <c r="AI69" s="2649"/>
    </row>
    <row r="70" spans="1:35">
      <c r="A70" s="703"/>
      <c r="B70" s="732"/>
      <c r="C70" s="3559"/>
      <c r="D70" s="1383"/>
      <c r="E70" s="1828"/>
      <c r="F70" s="1755"/>
      <c r="G70" s="1383"/>
      <c r="H70" s="3129"/>
      <c r="I70" s="1383"/>
      <c r="J70" s="1383"/>
      <c r="K70" s="1383"/>
      <c r="L70" s="1383"/>
      <c r="M70" s="1383"/>
      <c r="N70" s="3507"/>
      <c r="O70" s="3507"/>
      <c r="P70" s="3507"/>
      <c r="Q70" s="3507"/>
      <c r="R70" s="3507"/>
      <c r="S70" s="3508"/>
      <c r="T70" s="3509"/>
      <c r="U70" s="3509"/>
      <c r="V70" s="3509"/>
      <c r="W70" s="3495"/>
      <c r="X70" s="3510"/>
      <c r="Y70" s="3560"/>
      <c r="Z70" s="827"/>
      <c r="AA70" s="708"/>
      <c r="AB70" s="3706"/>
      <c r="AC70" s="2650"/>
      <c r="AD70" s="1032"/>
      <c r="AE70" s="1032"/>
      <c r="AF70" s="1032"/>
      <c r="AG70" s="1718"/>
      <c r="AH70" s="1718"/>
      <c r="AI70" s="2649"/>
    </row>
    <row r="71" spans="1:35">
      <c r="A71" s="703"/>
      <c r="B71" s="732"/>
      <c r="C71" s="3559"/>
      <c r="D71" s="1383"/>
      <c r="E71" s="1828"/>
      <c r="F71" s="1755"/>
      <c r="G71" s="1383"/>
      <c r="H71" s="3129"/>
      <c r="I71" s="1383"/>
      <c r="J71" s="1383"/>
      <c r="K71" s="1383"/>
      <c r="L71" s="1383"/>
      <c r="M71" s="1383"/>
      <c r="N71" s="3507"/>
      <c r="O71" s="3507"/>
      <c r="P71" s="3507"/>
      <c r="Q71" s="3507"/>
      <c r="R71" s="3507"/>
      <c r="S71" s="3508"/>
      <c r="T71" s="3509"/>
      <c r="U71" s="3509"/>
      <c r="V71" s="3509"/>
      <c r="W71" s="3495"/>
      <c r="X71" s="3510"/>
      <c r="Y71" s="3560"/>
      <c r="Z71" s="827"/>
      <c r="AA71" s="708"/>
      <c r="AB71" s="3706"/>
      <c r="AC71" s="2650"/>
      <c r="AD71" s="1032"/>
      <c r="AE71" s="1032"/>
      <c r="AF71" s="1032"/>
      <c r="AG71" s="1718"/>
      <c r="AH71" s="1718"/>
      <c r="AI71" s="2649"/>
    </row>
    <row r="72" spans="1:35">
      <c r="A72" s="703"/>
      <c r="B72" s="732"/>
      <c r="C72" s="3559"/>
      <c r="D72" s="1383"/>
      <c r="E72" s="1828"/>
      <c r="F72" s="1755"/>
      <c r="G72" s="1383"/>
      <c r="H72" s="3129"/>
      <c r="I72" s="1383"/>
      <c r="J72" s="1383"/>
      <c r="K72" s="1383"/>
      <c r="L72" s="1383"/>
      <c r="M72" s="1383"/>
      <c r="N72" s="3507"/>
      <c r="O72" s="3507"/>
      <c r="P72" s="3507"/>
      <c r="Q72" s="3507"/>
      <c r="R72" s="3507"/>
      <c r="S72" s="3508"/>
      <c r="T72" s="3509"/>
      <c r="U72" s="3509"/>
      <c r="V72" s="3509"/>
      <c r="W72" s="3495"/>
      <c r="X72" s="3510"/>
      <c r="Y72" s="3560"/>
      <c r="Z72" s="827"/>
      <c r="AA72" s="708"/>
      <c r="AB72" s="3706"/>
      <c r="AC72" s="2650"/>
      <c r="AD72" s="1032"/>
      <c r="AE72" s="1032"/>
      <c r="AF72" s="1032"/>
      <c r="AG72" s="1718"/>
      <c r="AH72" s="1718"/>
      <c r="AI72" s="2649"/>
    </row>
    <row r="73" spans="1:35">
      <c r="A73" s="703"/>
      <c r="B73" s="732"/>
      <c r="C73" s="3559"/>
      <c r="D73" s="1383"/>
      <c r="E73" s="1828"/>
      <c r="F73" s="1755"/>
      <c r="G73" s="1383"/>
      <c r="H73" s="3129"/>
      <c r="I73" s="1383"/>
      <c r="J73" s="1383"/>
      <c r="K73" s="1383"/>
      <c r="L73" s="1383"/>
      <c r="M73" s="1383"/>
      <c r="N73" s="3507"/>
      <c r="O73" s="3507"/>
      <c r="P73" s="3507"/>
      <c r="Q73" s="3507"/>
      <c r="R73" s="3507"/>
      <c r="S73" s="3508"/>
      <c r="T73" s="3509"/>
      <c r="U73" s="3509"/>
      <c r="V73" s="3509"/>
      <c r="W73" s="3495"/>
      <c r="X73" s="3510"/>
      <c r="Y73" s="3560"/>
      <c r="Z73" s="827"/>
      <c r="AA73" s="708"/>
      <c r="AB73" s="3706"/>
      <c r="AC73" s="2650"/>
      <c r="AD73" s="1032"/>
      <c r="AE73" s="1032"/>
      <c r="AF73" s="1032"/>
      <c r="AG73" s="1718"/>
      <c r="AH73" s="1718"/>
      <c r="AI73" s="2649"/>
    </row>
    <row r="74" spans="1:35">
      <c r="A74" s="703"/>
      <c r="B74" s="732"/>
      <c r="C74" s="3559"/>
      <c r="D74" s="1383"/>
      <c r="E74" s="1828"/>
      <c r="F74" s="1755"/>
      <c r="G74" s="1383"/>
      <c r="H74" s="3129"/>
      <c r="I74" s="1383"/>
      <c r="J74" s="1383"/>
      <c r="K74" s="1383"/>
      <c r="L74" s="1383"/>
      <c r="M74" s="1383"/>
      <c r="N74" s="3507"/>
      <c r="O74" s="3507"/>
      <c r="P74" s="3507"/>
      <c r="Q74" s="3507"/>
      <c r="R74" s="3507"/>
      <c r="S74" s="3508"/>
      <c r="T74" s="3509"/>
      <c r="U74" s="3509"/>
      <c r="V74" s="3509"/>
      <c r="W74" s="3495"/>
      <c r="X74" s="3510"/>
      <c r="Y74" s="3560"/>
      <c r="Z74" s="827"/>
      <c r="AA74" s="708"/>
      <c r="AB74" s="3706"/>
      <c r="AC74" s="2650"/>
      <c r="AD74" s="1032"/>
      <c r="AE74" s="1032"/>
      <c r="AF74" s="1032"/>
      <c r="AG74" s="1718"/>
      <c r="AH74" s="1718"/>
      <c r="AI74" s="2649"/>
    </row>
    <row r="75" spans="1:35">
      <c r="A75" s="703"/>
      <c r="B75" s="732"/>
      <c r="C75" s="3559"/>
      <c r="D75" s="1383"/>
      <c r="E75" s="1828"/>
      <c r="F75" s="1755"/>
      <c r="G75" s="1383"/>
      <c r="H75" s="3129"/>
      <c r="I75" s="1383"/>
      <c r="J75" s="1383"/>
      <c r="K75" s="1383"/>
      <c r="L75" s="1383"/>
      <c r="M75" s="1383"/>
      <c r="N75" s="3507"/>
      <c r="O75" s="3507"/>
      <c r="P75" s="3507"/>
      <c r="Q75" s="3507"/>
      <c r="R75" s="3507"/>
      <c r="S75" s="3508"/>
      <c r="T75" s="3509"/>
      <c r="U75" s="3509"/>
      <c r="V75" s="3509"/>
      <c r="W75" s="3495"/>
      <c r="X75" s="3510"/>
      <c r="Y75" s="3560"/>
      <c r="Z75" s="827"/>
      <c r="AA75" s="708"/>
      <c r="AB75" s="3706"/>
      <c r="AC75" s="2650"/>
      <c r="AD75" s="1032"/>
      <c r="AE75" s="1032"/>
      <c r="AF75" s="1032"/>
      <c r="AG75" s="1718"/>
      <c r="AH75" s="1718"/>
      <c r="AI75" s="2649"/>
    </row>
    <row r="76" spans="1:35">
      <c r="A76" s="703"/>
      <c r="B76" s="732"/>
      <c r="C76" s="3559"/>
      <c r="D76" s="1383"/>
      <c r="E76" s="1828"/>
      <c r="F76" s="1755"/>
      <c r="G76" s="1383"/>
      <c r="H76" s="3129"/>
      <c r="I76" s="1383"/>
      <c r="J76" s="1383"/>
      <c r="K76" s="1383"/>
      <c r="L76" s="1383"/>
      <c r="M76" s="1383"/>
      <c r="N76" s="3507"/>
      <c r="O76" s="3507"/>
      <c r="P76" s="3507"/>
      <c r="Q76" s="3507"/>
      <c r="R76" s="3507"/>
      <c r="S76" s="3508"/>
      <c r="T76" s="3509"/>
      <c r="U76" s="3509"/>
      <c r="V76" s="3509"/>
      <c r="W76" s="3495"/>
      <c r="X76" s="3510"/>
      <c r="Y76" s="3560"/>
      <c r="Z76" s="827"/>
      <c r="AA76" s="708"/>
      <c r="AB76" s="3706"/>
      <c r="AC76" s="2650"/>
      <c r="AD76" s="1032"/>
      <c r="AE76" s="1032"/>
      <c r="AF76" s="1032"/>
      <c r="AG76" s="1718"/>
      <c r="AH76" s="1718"/>
      <c r="AI76" s="2649"/>
    </row>
    <row r="77" spans="1:35">
      <c r="A77" s="703"/>
      <c r="B77" s="732"/>
      <c r="C77" s="3559"/>
      <c r="D77" s="1383"/>
      <c r="E77" s="1828"/>
      <c r="F77" s="1755"/>
      <c r="G77" s="1383"/>
      <c r="H77" s="3129"/>
      <c r="I77" s="1383"/>
      <c r="J77" s="1383"/>
      <c r="K77" s="1383"/>
      <c r="L77" s="1383"/>
      <c r="M77" s="1383"/>
      <c r="N77" s="3507"/>
      <c r="O77" s="3507"/>
      <c r="P77" s="3507"/>
      <c r="Q77" s="3507"/>
      <c r="R77" s="3507"/>
      <c r="S77" s="3508"/>
      <c r="T77" s="3509"/>
      <c r="U77" s="3509"/>
      <c r="V77" s="3509"/>
      <c r="W77" s="3495"/>
      <c r="X77" s="3510"/>
      <c r="Y77" s="3560"/>
      <c r="Z77" s="827"/>
      <c r="AA77" s="708"/>
      <c r="AB77" s="3706"/>
      <c r="AC77" s="2650"/>
      <c r="AD77" s="1032"/>
      <c r="AE77" s="1032"/>
      <c r="AF77" s="1032"/>
      <c r="AG77" s="1718"/>
      <c r="AH77" s="1718"/>
      <c r="AI77" s="2649"/>
    </row>
    <row r="78" spans="1:35">
      <c r="A78" s="703"/>
      <c r="B78" s="732"/>
      <c r="C78" s="3559"/>
      <c r="D78" s="1383"/>
      <c r="E78" s="1828"/>
      <c r="F78" s="1755"/>
      <c r="G78" s="1383"/>
      <c r="H78" s="3129"/>
      <c r="I78" s="1383"/>
      <c r="J78" s="1383"/>
      <c r="K78" s="1383"/>
      <c r="L78" s="1383"/>
      <c r="M78" s="1383"/>
      <c r="N78" s="3507"/>
      <c r="O78" s="3507"/>
      <c r="P78" s="3507"/>
      <c r="Q78" s="3507"/>
      <c r="R78" s="3507"/>
      <c r="S78" s="3508"/>
      <c r="T78" s="3509"/>
      <c r="U78" s="3509"/>
      <c r="V78" s="3509"/>
      <c r="W78" s="3495"/>
      <c r="X78" s="3510"/>
      <c r="Y78" s="3560"/>
      <c r="Z78" s="827"/>
      <c r="AA78" s="708"/>
      <c r="AB78" s="3706"/>
      <c r="AC78" s="2650"/>
      <c r="AD78" s="1032"/>
      <c r="AE78" s="1032"/>
      <c r="AF78" s="1032"/>
      <c r="AG78" s="1718"/>
      <c r="AH78" s="1718"/>
      <c r="AI78" s="2649"/>
    </row>
    <row r="79" spans="1:35" ht="12.9" customHeight="1">
      <c r="A79" s="703"/>
      <c r="B79" s="732"/>
      <c r="C79" s="3559"/>
      <c r="D79" s="1383"/>
      <c r="E79" s="1828"/>
      <c r="F79" s="1755"/>
      <c r="G79" s="1383"/>
      <c r="H79" s="3129"/>
      <c r="I79" s="1383"/>
      <c r="J79" s="1383"/>
      <c r="K79" s="1383"/>
      <c r="L79" s="1383"/>
      <c r="M79" s="1383"/>
      <c r="N79" s="3507"/>
      <c r="O79" s="3507"/>
      <c r="P79" s="3507"/>
      <c r="Q79" s="3507"/>
      <c r="R79" s="3507"/>
      <c r="S79" s="3508"/>
      <c r="T79" s="3509"/>
      <c r="U79" s="3509"/>
      <c r="V79" s="3509"/>
      <c r="W79" s="3495"/>
      <c r="X79" s="3510"/>
      <c r="Y79" s="3560"/>
      <c r="Z79" s="827"/>
      <c r="AA79" s="708"/>
      <c r="AB79" s="3706"/>
      <c r="AC79" s="2650"/>
      <c r="AD79" s="1032"/>
      <c r="AE79" s="1032"/>
      <c r="AF79" s="1032"/>
      <c r="AG79" s="1718"/>
      <c r="AH79" s="1718"/>
      <c r="AI79" s="2649"/>
    </row>
    <row r="80" spans="1:35" ht="3.9" customHeight="1">
      <c r="A80" s="703"/>
      <c r="B80" s="732"/>
      <c r="C80" s="3559"/>
      <c r="D80" s="1383"/>
      <c r="E80" s="1828"/>
      <c r="F80" s="1755"/>
      <c r="G80" s="1383"/>
      <c r="H80" s="3129"/>
      <c r="I80" s="1383"/>
      <c r="J80" s="1383"/>
      <c r="K80" s="1383"/>
      <c r="L80" s="1383"/>
      <c r="M80" s="1383"/>
      <c r="N80" s="3507"/>
      <c r="O80" s="3507"/>
      <c r="P80" s="3507"/>
      <c r="Q80" s="3507"/>
      <c r="R80" s="3507"/>
      <c r="S80" s="3508"/>
      <c r="T80" s="3509"/>
      <c r="U80" s="3509"/>
      <c r="V80" s="3509"/>
      <c r="W80" s="3495"/>
      <c r="X80" s="3510"/>
      <c r="Y80" s="3560"/>
      <c r="Z80" s="827"/>
      <c r="AA80" s="708"/>
      <c r="AB80" s="1602"/>
      <c r="AC80" s="2650"/>
      <c r="AD80" s="1032"/>
      <c r="AE80" s="1032"/>
      <c r="AF80" s="1032"/>
      <c r="AG80" s="1718"/>
      <c r="AH80" s="1718"/>
      <c r="AI80" s="2649"/>
    </row>
    <row r="81" spans="1:35" ht="3.9" customHeight="1" thickBot="1">
      <c r="A81" s="703"/>
      <c r="B81" s="735"/>
      <c r="C81" s="1723"/>
      <c r="D81" s="1724"/>
      <c r="E81" s="1724"/>
      <c r="F81" s="1724"/>
      <c r="G81" s="1724"/>
      <c r="H81" s="1724"/>
      <c r="I81" s="1724"/>
      <c r="J81" s="1724"/>
      <c r="K81" s="1724"/>
      <c r="L81" s="1724"/>
      <c r="M81" s="1724"/>
      <c r="N81" s="1724"/>
      <c r="O81" s="1724"/>
      <c r="P81" s="1724"/>
      <c r="Q81" s="1724"/>
      <c r="R81" s="1724"/>
      <c r="S81" s="1724"/>
      <c r="T81" s="1724"/>
      <c r="U81" s="1724"/>
      <c r="V81" s="1724"/>
      <c r="W81" s="1724"/>
      <c r="X81" s="1724"/>
      <c r="Y81" s="1725"/>
      <c r="Z81" s="736"/>
      <c r="AA81" s="709"/>
      <c r="AB81" s="1032"/>
      <c r="AC81" s="1032"/>
      <c r="AD81" s="1032"/>
      <c r="AE81" s="1032"/>
      <c r="AF81" s="1032"/>
      <c r="AG81" s="1718"/>
      <c r="AH81" s="1032"/>
      <c r="AI81" s="2655"/>
    </row>
    <row r="82" spans="1:35" ht="12" customHeight="1" thickBot="1">
      <c r="A82" s="703"/>
      <c r="B82" s="724"/>
      <c r="C82" s="4099" t="s">
        <v>1449</v>
      </c>
      <c r="D82" s="4100"/>
      <c r="E82" s="4100"/>
      <c r="F82" s="4100"/>
      <c r="G82" s="4100"/>
      <c r="H82" s="4100"/>
      <c r="I82" s="4100"/>
      <c r="J82" s="4100"/>
      <c r="K82" s="4100"/>
      <c r="L82" s="4100"/>
      <c r="M82" s="4100"/>
      <c r="N82" s="4100"/>
      <c r="O82" s="4100"/>
      <c r="P82" s="4100"/>
      <c r="Q82" s="4100"/>
      <c r="R82" s="4100"/>
      <c r="S82" s="4100"/>
      <c r="T82" s="4100"/>
      <c r="U82" s="4100"/>
      <c r="V82" s="4100"/>
      <c r="W82" s="4100"/>
      <c r="X82" s="4100"/>
      <c r="Y82" s="4100"/>
      <c r="Z82" s="726"/>
      <c r="AA82" s="709"/>
      <c r="AB82" s="1032"/>
      <c r="AC82" s="1032"/>
      <c r="AD82" s="1032"/>
      <c r="AE82" s="1032"/>
      <c r="AF82" s="1032"/>
      <c r="AG82" s="1718"/>
      <c r="AH82" s="1622" t="str">
        <f>IF(('الصفحة 1'!$Q$14&gt;0),IF(('الصفحة 3-1'!$F$28=1),IF(('الصفحة 3-1'!F63&gt;0),"خطء عدد الأسرّة للتعويض",IF(('الصفحة 3-1'!$F$28=0),('الصفحة 3-1'!F63&gt;0),"")),""),"")</f>
        <v/>
      </c>
      <c r="AI82" s="2655"/>
    </row>
    <row r="83" spans="1:35" ht="15" customHeight="1">
      <c r="A83" s="704"/>
      <c r="B83" s="704"/>
      <c r="C83" s="1019"/>
      <c r="D83" s="704"/>
      <c r="E83" s="704"/>
      <c r="F83" s="704"/>
      <c r="G83" s="704"/>
      <c r="H83" s="704"/>
      <c r="I83" s="704"/>
      <c r="J83" s="704"/>
      <c r="K83" s="704"/>
      <c r="L83" s="704"/>
      <c r="M83" s="704"/>
      <c r="N83" s="704"/>
      <c r="O83" s="704"/>
      <c r="P83" s="704"/>
      <c r="Q83" s="704"/>
      <c r="R83" s="704"/>
      <c r="S83" s="704"/>
      <c r="T83" s="704"/>
      <c r="U83" s="704"/>
      <c r="V83" s="704"/>
      <c r="W83" s="704"/>
      <c r="X83" s="704"/>
      <c r="Y83" s="704"/>
      <c r="Z83" s="704"/>
      <c r="AA83" s="704"/>
      <c r="AB83" s="1019"/>
      <c r="AC83" s="704"/>
      <c r="AD83" s="704"/>
      <c r="AE83" s="704"/>
      <c r="AF83" s="704"/>
      <c r="AG83" s="704"/>
      <c r="AH83" s="704"/>
      <c r="AI83" s="704"/>
    </row>
    <row r="84" spans="1:35"/>
    <row r="85" spans="1:35"/>
    <row r="86" spans="1:35"/>
    <row r="87" spans="1:35"/>
    <row r="88" spans="1:35"/>
    <row r="89" spans="1:35"/>
    <row r="90" spans="1:35"/>
    <row r="91" spans="1:35"/>
    <row r="92" spans="1:35"/>
    <row r="93" spans="1:35"/>
    <row r="94" spans="1:35"/>
    <row r="95" spans="1:35"/>
    <row r="96" spans="1:35"/>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sheetData>
  <sheetProtection algorithmName="SHA-512" hashValue="mB9k9d2BwADmpJsSav3ZRpSk9pwvJAFPXVmSdQa9ddvrHiQqSzEJUgHt0k5WuNe3zEfxkfqo/KHXauL1uX7SfQ==" saltValue="tlvNGIrwkmp9JxIYR6d75A==" spinCount="100000" sheet="1" objects="1" scenarios="1"/>
  <mergeCells count="37">
    <mergeCell ref="D38:J38"/>
    <mergeCell ref="E32:F32"/>
    <mergeCell ref="D30:J30"/>
    <mergeCell ref="K14:T14"/>
    <mergeCell ref="AB19:AH20"/>
    <mergeCell ref="AB12:AH14"/>
    <mergeCell ref="D34:J34"/>
    <mergeCell ref="E36:F36"/>
    <mergeCell ref="AB15:AH16"/>
    <mergeCell ref="AB17:AH18"/>
    <mergeCell ref="D28:N28"/>
    <mergeCell ref="F20:G20"/>
    <mergeCell ref="F22:G22"/>
    <mergeCell ref="I9:O10"/>
    <mergeCell ref="D11:E11"/>
    <mergeCell ref="J11:M11"/>
    <mergeCell ref="T11:X11"/>
    <mergeCell ref="AB11:AH11"/>
    <mergeCell ref="AB6:AF10"/>
    <mergeCell ref="AB2:AH5"/>
    <mergeCell ref="C3:I4"/>
    <mergeCell ref="O3:Y7"/>
    <mergeCell ref="C5:I5"/>
    <mergeCell ref="C6:I7"/>
    <mergeCell ref="C82:Y82"/>
    <mergeCell ref="D46:J46"/>
    <mergeCell ref="W55:X55"/>
    <mergeCell ref="E40:F40"/>
    <mergeCell ref="E44:F44"/>
    <mergeCell ref="D42:J42"/>
    <mergeCell ref="W40:X40"/>
    <mergeCell ref="W44:X44"/>
    <mergeCell ref="D62:O62"/>
    <mergeCell ref="D63:O63"/>
    <mergeCell ref="Q63:W63"/>
    <mergeCell ref="E66:F66"/>
    <mergeCell ref="D60:O60"/>
  </mergeCells>
  <conditionalFormatting sqref="V20:X20 T11:X11">
    <cfRule type="cellIs" dxfId="22008" priority="163" stopIfTrue="1" operator="equal">
      <formula>0</formula>
    </cfRule>
  </conditionalFormatting>
  <conditionalFormatting sqref="X30">
    <cfRule type="cellIs" dxfId="22007" priority="161" stopIfTrue="1" operator="greaterThan">
      <formula>0</formula>
    </cfRule>
    <cfRule type="cellIs" dxfId="22006" priority="162" stopIfTrue="1" operator="equal">
      <formula>0</formula>
    </cfRule>
  </conditionalFormatting>
  <conditionalFormatting sqref="K66 O66 N32 H32 K32 R32 R36 T36 R40 T40 R44 T44 K30 T30 T32:V32 H49 S66">
    <cfRule type="cellIs" dxfId="22005" priority="153" stopIfTrue="1" operator="equal">
      <formula>"G80"</formula>
    </cfRule>
  </conditionalFormatting>
  <conditionalFormatting sqref="N36 K36">
    <cfRule type="cellIs" dxfId="22004" priority="152" stopIfTrue="1" operator="equal">
      <formula>"S80"</formula>
    </cfRule>
  </conditionalFormatting>
  <conditionalFormatting sqref="N40 K40 H57:H59 H55 H61 H53 H51 H69:H79">
    <cfRule type="cellIs" dxfId="22003" priority="151" stopIfTrue="1" operator="equal">
      <formula>"G82"</formula>
    </cfRule>
  </conditionalFormatting>
  <conditionalFormatting sqref="K66 O66 N44 K44 S66">
    <cfRule type="cellIs" dxfId="22002" priority="150" stopIfTrue="1" operator="equal">
      <formula>"S82"</formula>
    </cfRule>
  </conditionalFormatting>
  <conditionalFormatting sqref="J32 J36 J40 J44">
    <cfRule type="cellIs" dxfId="22001" priority="139" stopIfTrue="1" operator="greaterThan">
      <formula>E32</formula>
    </cfRule>
  </conditionalFormatting>
  <conditionalFormatting sqref="J66">
    <cfRule type="cellIs" dxfId="22000" priority="122" stopIfTrue="1" operator="greaterThan">
      <formula>E66</formula>
    </cfRule>
  </conditionalFormatting>
  <conditionalFormatting sqref="K14">
    <cfRule type="cellIs" dxfId="21999" priority="118" operator="equal">
      <formula>0</formula>
    </cfRule>
  </conditionalFormatting>
  <conditionalFormatting sqref="F18:F19">
    <cfRule type="cellIs" dxfId="21998" priority="1878" stopIfTrue="1" operator="greaterThanOrEqual">
      <formula>0</formula>
    </cfRule>
  </conditionalFormatting>
  <conditionalFormatting sqref="F51">
    <cfRule type="cellIs" dxfId="21997" priority="66" operator="greaterThan">
      <formula>$F$49</formula>
    </cfRule>
    <cfRule type="cellIs" dxfId="21996" priority="74" operator="greaterThan">
      <formula>$F$18</formula>
    </cfRule>
  </conditionalFormatting>
  <conditionalFormatting sqref="F49 F53 F55 F57:F59 F61 F69:F79">
    <cfRule type="cellIs" dxfId="21995" priority="73" operator="greaterThan">
      <formula>$F$18</formula>
    </cfRule>
  </conditionalFormatting>
  <conditionalFormatting sqref="F80">
    <cfRule type="cellIs" dxfId="21994" priority="71" operator="greaterThan">
      <formula>$F$18</formula>
    </cfRule>
  </conditionalFormatting>
  <conditionalFormatting sqref="H80">
    <cfRule type="cellIs" dxfId="21993" priority="65" stopIfTrue="1" operator="equal">
      <formula>"G82"</formula>
    </cfRule>
  </conditionalFormatting>
  <conditionalFormatting sqref="D11:E11">
    <cfRule type="cellIs" dxfId="21992" priority="55" operator="equal">
      <formula>0</formula>
    </cfRule>
  </conditionalFormatting>
  <conditionalFormatting sqref="F21 F23">
    <cfRule type="cellIs" dxfId="21991" priority="49" stopIfTrue="1" operator="greaterThanOrEqual">
      <formula>0</formula>
    </cfRule>
    <cfRule type="cellIs" dxfId="21990" priority="50" stopIfTrue="1" operator="lessThan">
      <formula>1</formula>
    </cfRule>
  </conditionalFormatting>
  <conditionalFormatting sqref="F21 F23">
    <cfRule type="cellIs" dxfId="21989" priority="51" stopIfTrue="1" operator="greaterThan">
      <formula>0</formula>
    </cfRule>
    <cfRule type="cellIs" dxfId="21988" priority="52" stopIfTrue="1" operator="lessThan">
      <formula>1</formula>
    </cfRule>
  </conditionalFormatting>
  <conditionalFormatting sqref="F20:G20 F22:G22">
    <cfRule type="cellIs" dxfId="21987" priority="46" operator="lessThan">
      <formula>$F$18</formula>
    </cfRule>
  </conditionalFormatting>
  <conditionalFormatting sqref="F24">
    <cfRule type="cellIs" dxfId="21986" priority="41" operator="equal">
      <formula>$Y$26</formula>
    </cfRule>
    <cfRule type="cellIs" dxfId="21985" priority="44" stopIfTrue="1" operator="greaterThan">
      <formula>0</formula>
    </cfRule>
  </conditionalFormatting>
  <conditionalFormatting sqref="F24">
    <cfRule type="cellIs" dxfId="21984" priority="43" operator="equal">
      <formula>$Y$24</formula>
    </cfRule>
  </conditionalFormatting>
  <conditionalFormatting sqref="F26">
    <cfRule type="cellIs" dxfId="21983" priority="40" operator="equal">
      <formula>$Y$26</formula>
    </cfRule>
    <cfRule type="cellIs" dxfId="21982" priority="42" operator="equal">
      <formula>$Y$24</formula>
    </cfRule>
  </conditionalFormatting>
  <dataValidations count="25">
    <dataValidation type="whole" allowBlank="1" showInputMessage="1" showErrorMessage="1" errorTitle="الخانة مخصصة للنمط " error="ضع إما العدد 1 لتأكيد الإجابة أو 0 لنفيها" sqref="R60 V60 H29 V28 R28">
      <formula1>0</formula1>
      <formula2>1</formula2>
    </dataValidation>
    <dataValidation allowBlank="1" showInputMessage="1" showErrorMessage="1" errorTitle="خانة مخصصة  لتدفئة المدرسة" error="ضع العدد الإجمالي للقاعات العادية و المتخصصة" sqref="K53:L53"/>
    <dataValidation type="whole" allowBlank="1" showInputMessage="1" showErrorMessage="1" errorTitle="خانة مخصصة  لتدفئة المدرسة" error="ضع العدد الإجمالي للقاعات العادية و المتخصصة" sqref="J53 W55:X55 S55">
      <formula1>0</formula1>
      <formula2>500</formula2>
    </dataValidation>
    <dataValidation type="whole" allowBlank="1" showInputMessage="1" showErrorMessage="1" errorTitle="خانة مخصصة للمطعـم المـدرسي" error="ضع إما العدد 1 لتأكيد الإجابة أن تجهيز المطعم موجود  أو 0 لنفيه" sqref="F49">
      <formula1>0</formula1>
      <formula2>1</formula2>
    </dataValidation>
    <dataValidation type="whole" allowBlank="1" showInputMessage="1" showErrorMessage="1" errorTitle="خانة مخصصة للمطعـم المـدرسي" error="ضع إما العدد 1 لتأكيد الإجابة أن المطعم جديد فتح  هذه السنة إعتمادا على قرار الإنشاء أو 0 لنفيها" sqref="F51 F53 F55 L49 F69:F80 F57:F59 F61">
      <formula1>0</formula1>
      <formula2>1</formula2>
    </dataValidation>
    <dataValidation type="whole" allowBlank="1" showInputMessage="1" showErrorMessage="1" errorTitle="النصف الداخلية للمتوسطة" error="ضع عدد المستفيدات من النصف الداخلية" sqref="J66 J32">
      <formula1>0</formula1>
      <formula2>1500</formula2>
    </dataValidation>
    <dataValidation type="whole" allowBlank="1" showInputMessage="1" showErrorMessage="1" errorTitle="النصف الداخلية للمتوسطة" error="ضع عدد المستفيدين من النصف الداخلية" sqref="E66:F66 E32:F32">
      <formula1>0</formula1>
      <formula2>1500</formula2>
    </dataValidation>
    <dataValidation operator="greaterThanOrEqual" allowBlank="1" showInputMessage="1" showErrorMessage="1" errorTitle="رقم حساب الخزينة" error="ضع العدد المناسب" sqref="T35:V35"/>
    <dataValidation type="whole" allowBlank="1" showInputMessage="1" showErrorMessage="1" errorTitle="النصف الداخلية للمتوسطة" error="ضع عدد المستفيدات من النصف الداخلية المتمدرسة في التعليم الثانوي" sqref="J44">
      <formula1>0</formula1>
      <formula2>1200</formula2>
    </dataValidation>
    <dataValidation type="whole" allowBlank="1" showInputMessage="1" showErrorMessage="1" errorTitle="النصف الداخلية للمتوسطة" error="ضع عدد المستفيدات من النصف الداخلية المتمدرسة في التعليم الإبتدائي" sqref="J40 L40">
      <formula1>0</formula1>
      <formula2>1500</formula2>
    </dataValidation>
    <dataValidation type="whole" allowBlank="1" showInputMessage="1" showErrorMessage="1" errorTitle="النصف الداخلية للمتوسطة" error="ضع عدد المستفيدات من النصف الداخلية المتمدرسة في متوسطات أخرى" sqref="J36">
      <formula1>0</formula1>
      <formula2>1500</formula2>
    </dataValidation>
    <dataValidation type="whole" allowBlank="1" showInputMessage="1" showErrorMessage="1" errorTitle="النصف الداخلية للمتوسطة" error="ضع عدد المستفيدين من النصف الداخلية المتمدرسين في التعليم الثانوي" sqref="E44:F44">
      <formula1>0</formula1>
      <formula2>1200</formula2>
    </dataValidation>
    <dataValidation type="whole" allowBlank="1" showInputMessage="1" showErrorMessage="1" errorTitle="النصف الداخلية للمتوسطة" error="ضع عدد المستفيدين من النصف الداخلية المتمدرسين في التعليم الإبتدائي" sqref="E40:F40">
      <formula1>0</formula1>
      <formula2>1500</formula2>
    </dataValidation>
    <dataValidation type="whole" allowBlank="1" showInputMessage="1" showErrorMessage="1" errorTitle="النصف الداخلية للمتوسطة" error="ضع عدد المستفيدين من النصف الداخلية المتمدرسين في متوسطات أخرى" sqref="E36:F36">
      <formula1>0</formula1>
      <formula2>1500</formula2>
    </dataValidation>
    <dataValidation type="whole" allowBlank="1" showInputMessage="1" showErrorMessage="1" errorTitle="خانة مخصصة لربط بشبكة الماء" error="ضع إما العدد 1 لتأكيد الإجابة أو 0 لنفيها" sqref="AG22">
      <formula1>0</formula1>
      <formula2>1</formula2>
    </dataValidation>
    <dataValidation type="whole" operator="greaterThan" allowBlank="1" showInputMessage="1" showErrorMessage="1" errorTitle="الخانة مخصصة لنوع البناء " error="ضع إما العدد 1 لتأكيد الإجابة أو 0 لنفيها" sqref="V42:W42 R42">
      <formula1>0</formula1>
    </dataValidation>
    <dataValidation type="whole" allowBlank="1" showInputMessage="1" showErrorMessage="1" errorTitle="أقسام من البناء الجاهز" error="ضع العدد فقط" sqref="W40:X40">
      <formula1>0</formula1>
      <formula2>50</formula2>
    </dataValidation>
    <dataValidation type="whole" allowBlank="1" showInputMessage="1" showErrorMessage="1" errorTitle=" أقسام مخصصة لتعليم الثانوي" error="ضع العدد فقط" sqref="W44:X44">
      <formula1>0</formula1>
      <formula2>50</formula2>
    </dataValidation>
    <dataValidation type="whole" allowBlank="1" showInputMessage="1" showErrorMessage="1" errorTitle="الخانة مخصصة للوسط الريفي" error="ضع إما العدد 1 لتأكيد الإجابة أو 0 لنفيها" sqref="V22">
      <formula1>0</formula1>
      <formula2>1</formula2>
    </dataValidation>
    <dataValidation type="whole" allowBlank="1" showInputMessage="1" showErrorMessage="1" errorTitle="الخانة مخصصة للوسط شبه حضري" error="ضع إما العدد 1 لتأكيد الإجابة أو 0 لنفيها" sqref="R22">
      <formula1>0</formula1>
      <formula2>1</formula2>
    </dataValidation>
    <dataValidation type="whole" allowBlank="1" showInputMessage="1" showErrorMessage="1" errorTitle="خانة مخصصة لنصف الداخلية" error="ضع إما العدد 1 لتأكيد الإجابة أن النصف الداخلية مغلقة هذه السنة أو 0 لنفيها" sqref="F26">
      <formula1>0</formula1>
      <formula2>1</formula2>
    </dataValidation>
    <dataValidation type="whole" allowBlank="1" showInputMessage="1" showErrorMessage="1" errorTitle="خانة مخصصة لنصف الداخلية" error="ضع سنة الإنشـاء الرسمية، أربعة أرقام  " sqref="F20:G20">
      <formula1>1400</formula1>
      <formula2>2020</formula2>
    </dataValidation>
    <dataValidation type="whole" allowBlank="1" showInputMessage="1" showErrorMessage="1" errorTitle="الطاقة النظرية لنصف الداخلية" error="ضع العدد فقط أي الطاقة وفق قرار الإنشاء" sqref="F22:G22">
      <formula1>0</formula1>
      <formula2>1000</formula2>
    </dataValidation>
    <dataValidation allowBlank="1" showInputMessage="1" showErrorMessage="1" errorTitle="خانة مخصصة لنصف الداخلية" error="ضع إما العدد 1 لتأكيد الإجابة أو 0 لنفيها" sqref="F18:F19 F23 F21"/>
    <dataValidation type="whole" allowBlank="1" showInputMessage="1" showErrorMessage="1" errorTitle="الخانة مخصصة للوسط الحضري" error="ضع إما العدد 1 لتأكيد الإجابة أو 0 لنفيها" sqref="F24">
      <formula1>0</formula1>
      <formula2>1</formula2>
    </dataValidation>
  </dataValidations>
  <printOptions horizontalCentered="1" verticalCentered="1"/>
  <pageMargins left="0.19685039370078741" right="0.19685039370078741" top="0.19685039370078741" bottom="0.19685039370078741" header="0.19685039370078741" footer="0.23622047244094491"/>
  <pageSetup paperSize="9" orientation="portrait" r:id="rId1"/>
  <headerFooter>
    <oddFooter xml:space="preserve">&amp;R&amp;"-,Gras"&amp;8&amp;K00-034Echamil V.08      &amp;F         </oddFooter>
  </headerFooter>
  <extLst>
    <ext xmlns:x14="http://schemas.microsoft.com/office/spreadsheetml/2009/9/main" uri="{78C0D931-6437-407d-A8EE-F0AAD7539E65}">
      <x14:conditionalFormattings>
        <x14:conditionalFormatting xmlns:xm="http://schemas.microsoft.com/office/excel/2006/main">
          <x14:cfRule type="cellIs" priority="45" stopIfTrue="1" operator="equal" id="{80787C72-21DA-4530-A4E3-A4D8A5CCAADC}">
            <xm:f>'C:\0000-0000-A-C H A N T I E R  LIVRETS 2018-2019\0000-0000-Documents Enquête Exhaustive 2018 12 Septembre 2018\02-Moyen - Questionnaire Enquête 2018-2019\[CEM-01.xlsx]الصفحة 3-1'!#REF!</xm:f>
            <x14:dxf>
              <font>
                <b/>
                <i val="0"/>
                <color rgb="FFFF0000"/>
              </font>
              <fill>
                <patternFill>
                  <bgColor theme="0"/>
                </patternFill>
              </fill>
            </x14:dxf>
          </x14:cfRule>
          <xm:sqref>F21 F23</xm:sqref>
        </x14:conditionalFormatting>
        <x14:conditionalFormatting xmlns:xm="http://schemas.microsoft.com/office/excel/2006/main">
          <x14:cfRule type="cellIs" priority="1879" stopIfTrue="1" operator="equal" id="{0803DC8F-5D56-4B6B-9C6A-3673A4DC2573}">
            <xm:f>'C:\0000-0000-A-C H A N T I E R  LIVRETS 2018-2019\0000-0000-Documents Enquête Exhaustive 2018 12 Septembre 2018\02-Moyen - Questionnaire Enquête 2018-2019\[CEM-01.xlsx]الصفحة 3-1'!#REF!</xm:f>
            <x14:dxf>
              <font>
                <b/>
                <i val="0"/>
                <color rgb="FFFF0000"/>
              </font>
              <fill>
                <patternFill>
                  <bgColor theme="0"/>
                </patternFill>
              </fill>
            </x14:dxf>
          </x14:cfRule>
          <xm:sqref>F21 F23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0">
    <tabColor rgb="FF00B0F0"/>
  </sheetPr>
  <dimension ref="A1:AI138"/>
  <sheetViews>
    <sheetView showGridLines="0" rightToLeft="1" topLeftCell="A10" workbookViewId="0">
      <selection activeCell="C6" sqref="C6:I7"/>
    </sheetView>
  </sheetViews>
  <sheetFormatPr baseColWidth="10" defaultColWidth="0" defaultRowHeight="15" customHeight="1" zeroHeight="1"/>
  <cols>
    <col min="1" max="1" width="2.6640625" customWidth="1"/>
    <col min="2" max="2" width="1.6640625" customWidth="1"/>
    <col min="3" max="3" width="7.6640625" customWidth="1"/>
    <col min="4" max="4" width="12.6640625" customWidth="1"/>
    <col min="5" max="5" width="5.109375" customWidth="1"/>
    <col min="6" max="6" width="2.109375" customWidth="1"/>
    <col min="7" max="7" width="5.109375" customWidth="1"/>
    <col min="8" max="8" width="2.109375" customWidth="1"/>
    <col min="9" max="9" width="5.6640625" customWidth="1"/>
    <col min="10" max="10" width="6.6640625" customWidth="1"/>
    <col min="11" max="11" width="3.109375" customWidth="1"/>
    <col min="12" max="13" width="2.109375" customWidth="1"/>
    <col min="14" max="15" width="3.6640625" customWidth="1"/>
    <col min="16" max="16" width="2.109375" customWidth="1"/>
    <col min="17" max="17" width="3.6640625" customWidth="1"/>
    <col min="18" max="18" width="2.109375" customWidth="1"/>
    <col min="19" max="19" width="5.6640625" customWidth="1"/>
    <col min="20" max="20" width="7.33203125" customWidth="1"/>
    <col min="21" max="21" width="2.109375" customWidth="1"/>
    <col min="22" max="22" width="5.33203125" customWidth="1"/>
    <col min="23" max="23" width="2.109375" customWidth="1"/>
    <col min="24" max="24" width="1" customWidth="1"/>
    <col min="25" max="25" width="0.88671875" customWidth="1"/>
    <col min="26" max="26" width="1.6640625" customWidth="1"/>
    <col min="27" max="27" width="2.6640625" customWidth="1"/>
    <col min="28" max="28" width="21.6640625" customWidth="1"/>
    <col min="29" max="29" width="0.88671875" customWidth="1"/>
    <col min="30" max="30" width="19.109375" customWidth="1"/>
    <col min="31" max="31" width="1.6640625" customWidth="1"/>
    <col min="32" max="32" width="22" customWidth="1"/>
    <col min="33" max="33" width="1.6640625" customWidth="1"/>
    <col min="34" max="34" width="23.5546875" customWidth="1"/>
    <col min="35" max="35" width="6.33203125" customWidth="1"/>
    <col min="36" max="16384" width="11.44140625" hidden="1"/>
  </cols>
  <sheetData>
    <row r="1" spans="1:35" ht="25.5" customHeight="1" thickBot="1">
      <c r="A1" s="703"/>
      <c r="B1" s="825"/>
      <c r="C1" s="1019" t="s">
        <v>693</v>
      </c>
      <c r="D1" s="825"/>
      <c r="E1" s="825"/>
      <c r="F1" s="825"/>
      <c r="G1" s="825"/>
      <c r="H1" s="825"/>
      <c r="I1" s="825"/>
      <c r="J1" s="825"/>
      <c r="K1" s="825"/>
      <c r="L1" s="825"/>
      <c r="M1" s="825"/>
      <c r="N1" s="825"/>
      <c r="O1" s="825"/>
      <c r="P1" s="825"/>
      <c r="Q1" s="825"/>
      <c r="R1" s="825"/>
      <c r="S1" s="825"/>
      <c r="T1" s="825"/>
      <c r="U1" s="825"/>
      <c r="V1" s="825"/>
      <c r="W1" s="825"/>
      <c r="X1" s="825"/>
      <c r="Y1" s="825"/>
      <c r="Z1" s="825"/>
      <c r="AA1" s="703"/>
      <c r="AB1" s="2640" t="str">
        <f>'صفحة الدفتـر'!$B$68</f>
        <v>السنة الدراسية  2022 - 2023</v>
      </c>
      <c r="AC1" s="2641"/>
      <c r="AD1" s="3162" t="str">
        <f>'الصفحة 1'!$AB$1</f>
        <v xml:space="preserve"> تم مراجعة نسخة هذا الدفتر في30 ماي 2022 </v>
      </c>
      <c r="AE1" s="2642"/>
      <c r="AF1" s="2643"/>
      <c r="AG1" s="2641"/>
      <c r="AH1" s="2990">
        <f>'الصفحة 1'!$AF$1</f>
        <v>2022</v>
      </c>
      <c r="AI1" s="2989">
        <f>+AH1+1</f>
        <v>2023</v>
      </c>
    </row>
    <row r="2" spans="1:35" ht="8.1" customHeight="1" thickBot="1">
      <c r="A2" s="703"/>
      <c r="B2" s="727"/>
      <c r="C2" s="728"/>
      <c r="D2" s="728"/>
      <c r="E2" s="728"/>
      <c r="F2" s="728"/>
      <c r="G2" s="728"/>
      <c r="H2" s="728"/>
      <c r="I2" s="728"/>
      <c r="J2" s="728"/>
      <c r="K2" s="728"/>
      <c r="L2" s="728"/>
      <c r="M2" s="728"/>
      <c r="N2" s="728"/>
      <c r="O2" s="728"/>
      <c r="P2" s="728"/>
      <c r="Q2" s="728"/>
      <c r="R2" s="728"/>
      <c r="S2" s="728"/>
      <c r="T2" s="728"/>
      <c r="U2" s="728"/>
      <c r="V2" s="728"/>
      <c r="W2" s="728"/>
      <c r="X2" s="728"/>
      <c r="Y2" s="728"/>
      <c r="Z2" s="729"/>
      <c r="AA2" s="705"/>
      <c r="AB2" s="4053" t="s">
        <v>603</v>
      </c>
      <c r="AC2" s="4053"/>
      <c r="AD2" s="4053"/>
      <c r="AE2" s="4053"/>
      <c r="AF2" s="4053"/>
      <c r="AG2" s="4053"/>
      <c r="AH2" s="4053"/>
      <c r="AI2" s="2644"/>
    </row>
    <row r="3" spans="1:35" ht="8.1" customHeight="1">
      <c r="A3" s="703"/>
      <c r="B3" s="719"/>
      <c r="C3" s="3849" t="s">
        <v>7</v>
      </c>
      <c r="D3" s="3850"/>
      <c r="E3" s="3850"/>
      <c r="F3" s="3850"/>
      <c r="G3" s="3850"/>
      <c r="H3" s="3850"/>
      <c r="I3" s="3851"/>
      <c r="J3" s="7"/>
      <c r="K3" s="7"/>
      <c r="L3" s="7"/>
      <c r="M3" s="7"/>
      <c r="N3" s="1"/>
      <c r="O3" s="3828" t="s">
        <v>868</v>
      </c>
      <c r="P3" s="3971"/>
      <c r="Q3" s="3971"/>
      <c r="R3" s="3971"/>
      <c r="S3" s="3971"/>
      <c r="T3" s="3971"/>
      <c r="U3" s="3971"/>
      <c r="V3" s="3971"/>
      <c r="W3" s="3971"/>
      <c r="X3" s="3971"/>
      <c r="Y3" s="3972"/>
      <c r="Z3" s="730"/>
      <c r="AA3" s="705"/>
      <c r="AB3" s="4053"/>
      <c r="AC3" s="4053"/>
      <c r="AD3" s="4053"/>
      <c r="AE3" s="4053"/>
      <c r="AF3" s="4053"/>
      <c r="AG3" s="4053"/>
      <c r="AH3" s="4053"/>
      <c r="AI3" s="2644"/>
    </row>
    <row r="4" spans="1:35" ht="12.9" customHeight="1">
      <c r="A4" s="703"/>
      <c r="B4" s="731"/>
      <c r="C4" s="3852"/>
      <c r="D4" s="3853"/>
      <c r="E4" s="3853"/>
      <c r="F4" s="3853"/>
      <c r="G4" s="3853"/>
      <c r="H4" s="3853"/>
      <c r="I4" s="3854"/>
      <c r="J4" s="7"/>
      <c r="K4" s="7"/>
      <c r="L4" s="7"/>
      <c r="M4" s="7"/>
      <c r="N4" s="1"/>
      <c r="O4" s="3973"/>
      <c r="P4" s="3974"/>
      <c r="Q4" s="3974"/>
      <c r="R4" s="3974"/>
      <c r="S4" s="3974"/>
      <c r="T4" s="3974"/>
      <c r="U4" s="3974"/>
      <c r="V4" s="3974"/>
      <c r="W4" s="3974"/>
      <c r="X4" s="3974"/>
      <c r="Y4" s="3975"/>
      <c r="Z4" s="730"/>
      <c r="AA4" s="705"/>
      <c r="AB4" s="4053"/>
      <c r="AC4" s="4053"/>
      <c r="AD4" s="4053"/>
      <c r="AE4" s="4053"/>
      <c r="AF4" s="4053"/>
      <c r="AG4" s="4053"/>
      <c r="AH4" s="4053"/>
      <c r="AI4" s="2644"/>
    </row>
    <row r="5" spans="1:35" ht="14.1" customHeight="1" thickBot="1">
      <c r="A5" s="703"/>
      <c r="B5" s="732"/>
      <c r="C5" s="3949" t="s">
        <v>5</v>
      </c>
      <c r="D5" s="3950"/>
      <c r="E5" s="3950"/>
      <c r="F5" s="3950"/>
      <c r="G5" s="3950"/>
      <c r="H5" s="3950"/>
      <c r="I5" s="3951"/>
      <c r="J5" s="7"/>
      <c r="K5" s="7"/>
      <c r="L5" s="7"/>
      <c r="M5" s="7"/>
      <c r="N5" s="1"/>
      <c r="O5" s="3973"/>
      <c r="P5" s="3974"/>
      <c r="Q5" s="3974"/>
      <c r="R5" s="3974"/>
      <c r="S5" s="3974"/>
      <c r="T5" s="3974"/>
      <c r="U5" s="3974"/>
      <c r="V5" s="3974"/>
      <c r="W5" s="3974"/>
      <c r="X5" s="3974"/>
      <c r="Y5" s="3975"/>
      <c r="Z5" s="730"/>
      <c r="AA5" s="706"/>
      <c r="AB5" s="4053"/>
      <c r="AC5" s="4053"/>
      <c r="AD5" s="4053"/>
      <c r="AE5" s="4053"/>
      <c r="AF5" s="4053"/>
      <c r="AG5" s="4053"/>
      <c r="AH5" s="4053"/>
      <c r="AI5" s="2645"/>
    </row>
    <row r="6" spans="1:35" ht="12.9" customHeight="1" thickBot="1">
      <c r="A6" s="703"/>
      <c r="B6" s="732"/>
      <c r="C6" s="3958" t="s">
        <v>1468</v>
      </c>
      <c r="D6" s="3959"/>
      <c r="E6" s="3959"/>
      <c r="F6" s="3959"/>
      <c r="G6" s="3959"/>
      <c r="H6" s="3959"/>
      <c r="I6" s="3960"/>
      <c r="J6" s="7"/>
      <c r="K6" s="7"/>
      <c r="L6" s="7"/>
      <c r="M6" s="7"/>
      <c r="N6" s="1"/>
      <c r="O6" s="3973"/>
      <c r="P6" s="3974"/>
      <c r="Q6" s="3974"/>
      <c r="R6" s="3974"/>
      <c r="S6" s="3974"/>
      <c r="T6" s="3974"/>
      <c r="U6" s="3974"/>
      <c r="V6" s="3974"/>
      <c r="W6" s="3974"/>
      <c r="X6" s="3974"/>
      <c r="Y6" s="3975"/>
      <c r="Z6" s="730"/>
      <c r="AA6" s="706"/>
      <c r="AB6" s="2599"/>
      <c r="AC6" s="2599"/>
      <c r="AD6" s="2599"/>
      <c r="AE6" s="2599"/>
      <c r="AF6" s="2647" t="s">
        <v>894</v>
      </c>
      <c r="AG6" s="2600"/>
      <c r="AH6" s="2599"/>
      <c r="AI6" s="2645"/>
    </row>
    <row r="7" spans="1:35" ht="8.1" customHeight="1" thickBot="1">
      <c r="A7" s="703"/>
      <c r="B7" s="732"/>
      <c r="C7" s="3961"/>
      <c r="D7" s="3962"/>
      <c r="E7" s="3962"/>
      <c r="F7" s="3962"/>
      <c r="G7" s="3962"/>
      <c r="H7" s="3962"/>
      <c r="I7" s="3963"/>
      <c r="J7" s="7"/>
      <c r="K7" s="7"/>
      <c r="L7" s="7"/>
      <c r="M7" s="7"/>
      <c r="N7" s="1"/>
      <c r="O7" s="3976"/>
      <c r="P7" s="3977"/>
      <c r="Q7" s="3977"/>
      <c r="R7" s="3977"/>
      <c r="S7" s="3977"/>
      <c r="T7" s="3977"/>
      <c r="U7" s="3977"/>
      <c r="V7" s="3977"/>
      <c r="W7" s="3977"/>
      <c r="X7" s="3977"/>
      <c r="Y7" s="3978"/>
      <c r="Z7" s="717"/>
      <c r="AA7" s="703"/>
      <c r="AB7" s="3715"/>
      <c r="AC7" s="3715"/>
      <c r="AD7" s="3715"/>
      <c r="AE7" s="3715"/>
      <c r="AF7" s="3715"/>
      <c r="AG7" s="3715"/>
      <c r="AH7" s="3715"/>
      <c r="AI7" s="2646"/>
    </row>
    <row r="8" spans="1:35" ht="6" customHeight="1" thickBot="1">
      <c r="A8" s="703"/>
      <c r="B8" s="732"/>
      <c r="C8" s="9"/>
      <c r="D8" s="9"/>
      <c r="E8" s="9"/>
      <c r="F8" s="9"/>
      <c r="G8" s="9"/>
      <c r="H8" s="9"/>
      <c r="I8" s="9"/>
      <c r="J8" s="9"/>
      <c r="K8" s="9"/>
      <c r="L8" s="9"/>
      <c r="M8" s="9"/>
      <c r="N8" s="9"/>
      <c r="O8" s="9"/>
      <c r="P8" s="9"/>
      <c r="Q8" s="8"/>
      <c r="R8" s="8"/>
      <c r="S8" s="8"/>
      <c r="T8" s="8"/>
      <c r="U8" s="8"/>
      <c r="V8" s="8"/>
      <c r="W8" s="8"/>
      <c r="X8" s="8"/>
      <c r="Y8" s="8"/>
      <c r="Z8" s="717"/>
      <c r="AA8" s="703"/>
      <c r="AB8" s="3715"/>
      <c r="AC8" s="3715"/>
      <c r="AD8" s="3715"/>
      <c r="AE8" s="3715"/>
      <c r="AF8" s="3715"/>
      <c r="AG8" s="3715"/>
      <c r="AH8" s="3715"/>
      <c r="AI8" s="2646"/>
    </row>
    <row r="9" spans="1:35" ht="10.5" customHeight="1">
      <c r="A9" s="703"/>
      <c r="B9" s="732"/>
      <c r="C9" s="8"/>
      <c r="D9" s="8"/>
      <c r="E9" s="8"/>
      <c r="F9" s="8"/>
      <c r="G9" s="8"/>
      <c r="H9" s="8"/>
      <c r="I9" s="3964" t="s">
        <v>4</v>
      </c>
      <c r="J9" s="3965"/>
      <c r="K9" s="3965"/>
      <c r="L9" s="3965"/>
      <c r="M9" s="3965"/>
      <c r="N9" s="3965"/>
      <c r="O9" s="3966"/>
      <c r="P9" s="8"/>
      <c r="Q9" s="8"/>
      <c r="R9" s="8"/>
      <c r="Y9" s="8"/>
      <c r="Z9" s="717"/>
      <c r="AA9" s="703"/>
      <c r="AB9" s="4154" t="s">
        <v>893</v>
      </c>
      <c r="AC9" s="4154"/>
      <c r="AD9" s="4154"/>
      <c r="AE9" s="4154"/>
      <c r="AF9" s="4154"/>
      <c r="AI9" s="2646"/>
    </row>
    <row r="10" spans="1:35" ht="12.9" customHeight="1" thickBot="1">
      <c r="A10" s="703"/>
      <c r="B10" s="732"/>
      <c r="C10" s="8"/>
      <c r="D10" s="8"/>
      <c r="E10" s="3444"/>
      <c r="F10" s="8"/>
      <c r="G10" s="3444"/>
      <c r="H10" s="8"/>
      <c r="I10" s="3967"/>
      <c r="J10" s="3968"/>
      <c r="K10" s="3968"/>
      <c r="L10" s="3968"/>
      <c r="M10" s="3968"/>
      <c r="N10" s="3968"/>
      <c r="O10" s="3969"/>
      <c r="P10" s="8"/>
      <c r="Q10" s="8"/>
      <c r="R10" s="8"/>
      <c r="S10" s="8"/>
      <c r="T10" s="8"/>
      <c r="U10" s="8"/>
      <c r="V10" s="8"/>
      <c r="W10" s="8"/>
      <c r="X10" s="8"/>
      <c r="Y10" s="8"/>
      <c r="Z10" s="717"/>
      <c r="AA10" s="703"/>
      <c r="AB10" s="4154"/>
      <c r="AC10" s="4154"/>
      <c r="AD10" s="4154"/>
      <c r="AE10" s="4154"/>
      <c r="AF10" s="4154"/>
      <c r="AI10" s="2646"/>
    </row>
    <row r="11" spans="1:35" ht="12.9" customHeight="1">
      <c r="A11" s="703"/>
      <c r="B11" s="732"/>
      <c r="C11" s="1884" t="s">
        <v>775</v>
      </c>
      <c r="D11" s="4115">
        <f>'الصفحة 1'!$D$11</f>
        <v>0</v>
      </c>
      <c r="E11" s="4115"/>
      <c r="F11" s="8"/>
      <c r="G11" s="8"/>
      <c r="H11" s="8"/>
      <c r="I11" s="7"/>
      <c r="J11" s="3952" t="s">
        <v>692</v>
      </c>
      <c r="K11" s="3953"/>
      <c r="L11" s="3953"/>
      <c r="M11" s="3954"/>
      <c r="N11" s="8"/>
      <c r="O11" s="8"/>
      <c r="P11" s="8"/>
      <c r="Q11" s="8"/>
      <c r="R11" s="8"/>
      <c r="S11" s="8"/>
      <c r="T11" s="3955"/>
      <c r="U11" s="3956"/>
      <c r="V11" s="3956"/>
      <c r="W11" s="3956"/>
      <c r="X11" s="3957"/>
      <c r="Y11" s="8"/>
      <c r="Z11" s="717"/>
      <c r="AA11" s="703"/>
      <c r="AB11" s="4154"/>
      <c r="AC11" s="4154"/>
      <c r="AD11" s="4154"/>
      <c r="AE11" s="4154"/>
      <c r="AF11" s="4154"/>
      <c r="AI11" s="2646"/>
    </row>
    <row r="12" spans="1:35" ht="8.1" customHeight="1" thickBot="1">
      <c r="A12" s="703"/>
      <c r="B12" s="732"/>
      <c r="C12" s="8"/>
      <c r="D12" s="8"/>
      <c r="E12" s="8"/>
      <c r="F12" s="8"/>
      <c r="G12" s="8"/>
      <c r="H12" s="8"/>
      <c r="I12" s="8"/>
      <c r="J12" s="8"/>
      <c r="K12" s="8"/>
      <c r="L12" s="8"/>
      <c r="M12" s="8"/>
      <c r="N12" s="8"/>
      <c r="O12" s="8"/>
      <c r="P12" s="8"/>
      <c r="Q12" s="8"/>
      <c r="R12" s="8"/>
      <c r="S12" s="8"/>
      <c r="T12" s="8"/>
      <c r="U12" s="8"/>
      <c r="V12" s="8"/>
      <c r="W12" s="8"/>
      <c r="X12" s="8"/>
      <c r="Y12" s="8"/>
      <c r="Z12" s="717"/>
      <c r="AA12" s="706"/>
      <c r="AB12" s="4154"/>
      <c r="AC12" s="4154"/>
      <c r="AD12" s="4154"/>
      <c r="AE12" s="4154"/>
      <c r="AF12" s="4154"/>
      <c r="AI12" s="2645"/>
    </row>
    <row r="13" spans="1:35" ht="3.9" customHeight="1">
      <c r="A13" s="703"/>
      <c r="B13" s="732"/>
      <c r="C13" s="828"/>
      <c r="D13" s="713"/>
      <c r="E13" s="713"/>
      <c r="F13" s="713"/>
      <c r="G13" s="713"/>
      <c r="H13" s="713"/>
      <c r="I13" s="713"/>
      <c r="J13" s="713"/>
      <c r="K13" s="713"/>
      <c r="L13" s="713"/>
      <c r="M13" s="713"/>
      <c r="N13" s="713"/>
      <c r="O13" s="713"/>
      <c r="P13" s="713"/>
      <c r="Q13" s="713"/>
      <c r="R13" s="713"/>
      <c r="S13" s="713"/>
      <c r="T13" s="713"/>
      <c r="U13" s="713"/>
      <c r="V13" s="713"/>
      <c r="W13" s="713"/>
      <c r="X13" s="713"/>
      <c r="Y13" s="829"/>
      <c r="Z13" s="717"/>
      <c r="AA13" s="703"/>
      <c r="AB13" s="4154"/>
      <c r="AC13" s="4154"/>
      <c r="AD13" s="4154"/>
      <c r="AE13" s="4154"/>
      <c r="AF13" s="4154"/>
      <c r="AI13" s="2646"/>
    </row>
    <row r="14" spans="1:35" ht="15.9" customHeight="1">
      <c r="A14" s="703"/>
      <c r="B14" s="732"/>
      <c r="C14" s="2007" t="s">
        <v>968</v>
      </c>
      <c r="D14" s="8"/>
      <c r="E14" s="8"/>
      <c r="F14" s="8"/>
      <c r="G14" s="8"/>
      <c r="H14" s="8"/>
      <c r="I14" s="8"/>
      <c r="J14" s="8"/>
      <c r="K14" s="4067" t="str">
        <f>'الصفحة 1'!$E$16</f>
        <v>بلحاتم رابح</v>
      </c>
      <c r="L14" s="4068"/>
      <c r="M14" s="4068"/>
      <c r="N14" s="4068"/>
      <c r="O14" s="4068"/>
      <c r="P14" s="4068"/>
      <c r="Q14" s="4068"/>
      <c r="R14" s="4068"/>
      <c r="S14" s="4068"/>
      <c r="T14" s="4069"/>
      <c r="U14" s="8"/>
      <c r="V14" s="8"/>
      <c r="W14" s="8"/>
      <c r="X14" s="8"/>
      <c r="Y14" s="717"/>
      <c r="Z14" s="717"/>
      <c r="AA14" s="703"/>
      <c r="AB14" s="4154"/>
      <c r="AC14" s="4154"/>
      <c r="AD14" s="4154"/>
      <c r="AE14" s="4154"/>
      <c r="AF14" s="4154"/>
      <c r="AI14" s="2646"/>
    </row>
    <row r="15" spans="1:35" ht="3" customHeight="1">
      <c r="A15" s="703"/>
      <c r="B15" s="732"/>
      <c r="C15" s="719"/>
      <c r="D15" s="8"/>
      <c r="E15" s="8"/>
      <c r="F15" s="8"/>
      <c r="G15" s="8"/>
      <c r="H15" s="8"/>
      <c r="I15" s="8"/>
      <c r="J15" s="8"/>
      <c r="K15" s="8"/>
      <c r="L15" s="8"/>
      <c r="M15" s="8"/>
      <c r="N15" s="8"/>
      <c r="O15" s="8"/>
      <c r="P15" s="8"/>
      <c r="Q15" s="8"/>
      <c r="R15" s="8"/>
      <c r="S15" s="8"/>
      <c r="T15" s="8"/>
      <c r="U15" s="8"/>
      <c r="V15" s="8"/>
      <c r="W15" s="8"/>
      <c r="X15" s="8"/>
      <c r="Y15" s="717"/>
      <c r="Z15" s="717"/>
      <c r="AA15" s="703"/>
      <c r="AB15" s="4154"/>
      <c r="AC15" s="4154"/>
      <c r="AD15" s="4154"/>
      <c r="AE15" s="4154"/>
      <c r="AF15" s="4154"/>
      <c r="AI15" s="2646"/>
    </row>
    <row r="16" spans="1:35" ht="0.9" customHeight="1">
      <c r="A16" s="703"/>
      <c r="B16" s="735"/>
      <c r="C16" s="1531"/>
      <c r="D16" s="761"/>
      <c r="E16" s="761"/>
      <c r="F16" s="761"/>
      <c r="G16" s="761"/>
      <c r="H16" s="761"/>
      <c r="I16" s="761"/>
      <c r="J16" s="761"/>
      <c r="K16" s="761"/>
      <c r="L16" s="761"/>
      <c r="M16" s="761"/>
      <c r="N16" s="761"/>
      <c r="O16" s="761"/>
      <c r="P16" s="761"/>
      <c r="Q16" s="1378"/>
      <c r="R16" s="1378"/>
      <c r="S16" s="1378"/>
      <c r="T16" s="1378"/>
      <c r="U16" s="1378"/>
      <c r="V16" s="1023"/>
      <c r="W16" s="1022"/>
      <c r="X16" s="1022"/>
      <c r="Y16" s="1848"/>
      <c r="Z16" s="723"/>
      <c r="AA16" s="709"/>
      <c r="AB16" s="4154"/>
      <c r="AC16" s="4154"/>
      <c r="AD16" s="4154"/>
      <c r="AE16" s="4154"/>
      <c r="AF16" s="4154"/>
      <c r="AG16" s="1670"/>
      <c r="AH16" s="2652"/>
      <c r="AI16" s="2655"/>
    </row>
    <row r="17" spans="1:35" ht="5.0999999999999996" customHeight="1">
      <c r="A17" s="703"/>
      <c r="B17" s="735"/>
      <c r="C17" s="1590"/>
      <c r="D17" s="761"/>
      <c r="E17" s="761"/>
      <c r="F17" s="761"/>
      <c r="G17" s="761"/>
      <c r="H17" s="761"/>
      <c r="I17" s="761"/>
      <c r="J17" s="761"/>
      <c r="K17" s="761"/>
      <c r="L17" s="761"/>
      <c r="M17" s="761"/>
      <c r="N17" s="761"/>
      <c r="O17" s="469"/>
      <c r="P17" s="469"/>
      <c r="Q17" s="1065"/>
      <c r="R17" s="1065"/>
      <c r="S17" s="1379"/>
      <c r="T17" s="1065"/>
      <c r="U17" s="1065"/>
      <c r="V17" s="468"/>
      <c r="W17" s="468"/>
      <c r="X17" s="468"/>
      <c r="Y17" s="1538"/>
      <c r="Z17" s="736"/>
      <c r="AA17" s="709"/>
      <c r="AB17" s="4154"/>
      <c r="AC17" s="4154"/>
      <c r="AD17" s="4154"/>
      <c r="AE17" s="4154"/>
      <c r="AF17" s="4154"/>
      <c r="AG17" s="3335"/>
      <c r="AH17" s="3335"/>
      <c r="AI17" s="2655"/>
    </row>
    <row r="18" spans="1:35" ht="15.9" customHeight="1">
      <c r="A18" s="703"/>
      <c r="B18" s="735"/>
      <c r="C18" s="1849" t="s">
        <v>955</v>
      </c>
      <c r="D18" s="1695"/>
      <c r="E18" s="775"/>
      <c r="F18" s="775"/>
      <c r="G18" s="775"/>
      <c r="H18" s="1016"/>
      <c r="I18" s="776"/>
      <c r="J18" s="1017"/>
      <c r="K18" s="1017"/>
      <c r="L18" s="1017"/>
      <c r="M18" s="1017"/>
      <c r="N18" s="1906"/>
      <c r="O18" s="3438"/>
      <c r="P18" s="3438"/>
      <c r="Q18" s="1017"/>
      <c r="R18" s="1017"/>
      <c r="S18" s="1017"/>
      <c r="T18" s="1017"/>
      <c r="U18" s="1017"/>
      <c r="V18" s="1017"/>
      <c r="W18" s="1017"/>
      <c r="X18" s="1906" t="s">
        <v>922</v>
      </c>
      <c r="Y18" s="1850"/>
      <c r="Z18" s="736"/>
      <c r="AA18" s="709"/>
      <c r="AB18" s="4154"/>
      <c r="AC18" s="4154"/>
      <c r="AD18" s="4154"/>
      <c r="AE18" s="4154"/>
      <c r="AF18" s="4154"/>
      <c r="AI18" s="2655"/>
    </row>
    <row r="19" spans="1:35" ht="8.1" customHeight="1" thickBot="1">
      <c r="A19" s="703"/>
      <c r="B19" s="735"/>
      <c r="C19" s="3561"/>
      <c r="D19" s="941"/>
      <c r="E19" s="941"/>
      <c r="F19" s="941"/>
      <c r="G19" s="941"/>
      <c r="H19" s="941"/>
      <c r="I19" s="941"/>
      <c r="J19" s="941"/>
      <c r="K19" s="941"/>
      <c r="L19" s="941"/>
      <c r="M19" s="941"/>
      <c r="N19" s="941"/>
      <c r="O19" s="3484"/>
      <c r="P19" s="3484"/>
      <c r="Q19" s="3484"/>
      <c r="R19" s="3484"/>
      <c r="S19" s="3484"/>
      <c r="T19" s="3484"/>
      <c r="U19" s="3484"/>
      <c r="V19" s="3484"/>
      <c r="W19" s="3484"/>
      <c r="X19" s="3484"/>
      <c r="Y19" s="3562"/>
      <c r="Z19" s="736"/>
      <c r="AA19" s="709"/>
      <c r="AI19" s="2655"/>
    </row>
    <row r="20" spans="1:35" ht="15" customHeight="1" thickBot="1">
      <c r="A20" s="703"/>
      <c r="B20" s="735"/>
      <c r="C20" s="3563"/>
      <c r="D20" s="3564"/>
      <c r="E20" s="3445" t="str">
        <f>IF(('الصفحة 1'!$Q$14&gt;0),(IF((('الصفحة 1'!$V$38)=1),(IF((('الصفحة 1'!$V$38)=1)," 4-4 - الداخليــــــــــــــــــــــــة ؟  ","")),"")),"")</f>
        <v/>
      </c>
      <c r="F20" s="3430">
        <f>IF(('الصفحة 1'!V38=1),1,IF(('الصفحة 1'!V38=0),0,IF(('الصفحة 1'!V36=1),0,1)))</f>
        <v>0</v>
      </c>
      <c r="G20" s="3449"/>
      <c r="H20" s="3565" t="str">
        <f>IF(('الصفحة 1'!$Q$14&gt;0),(IF(($F$20=1),(IF((F22&lt;'الصفحة 1'!L34),"راجع سنة إنشـاء الداخليـة","")),"")),"")</f>
        <v/>
      </c>
      <c r="I20" s="3449"/>
      <c r="J20" s="3450"/>
      <c r="K20" s="3566" t="str">
        <f>IF(('الصفحة 1'!$Q$14&gt;0),(IF(($F$20=0),(IF((F24&gt;0),"الداخلية ؟","")),"")),"")</f>
        <v/>
      </c>
      <c r="L20" s="3567"/>
      <c r="M20" s="3567"/>
      <c r="N20" s="3564"/>
      <c r="O20" s="3563"/>
      <c r="P20" s="3688" t="str">
        <f>IF(('الصفحة 1'!$Q$14&gt;0),(IF((('الصفحة 1'!$V$38)=1),(IF((('الصفحة 1'!$V$38)=1),"5-4 - قاعة إطعام الداخليــــة.  ","")),"")),"")</f>
        <v/>
      </c>
      <c r="Q20" s="3449"/>
      <c r="R20" s="3450"/>
      <c r="S20" s="3451"/>
      <c r="T20" s="3452"/>
      <c r="U20" s="3409"/>
      <c r="V20" s="3450"/>
      <c r="W20" s="3568"/>
      <c r="X20" s="3568"/>
      <c r="Y20" s="3569"/>
      <c r="Z20" s="736"/>
      <c r="AA20" s="709"/>
      <c r="AB20" s="2603" t="str">
        <f>IF(('الصفحة 1'!$Q$14&gt;0),((IF((('الصفحة 1'!V34+'الصفحة 1'!V36+'الصفحة 1'!V38)=0)," داخليـة",IF(('الصفحة 1'!V34=0)," ",IF((('الصفحة 1'!V34)&gt;=1),""))))),"")</f>
        <v xml:space="preserve"> </v>
      </c>
      <c r="AI20" s="2655"/>
    </row>
    <row r="21" spans="1:35" ht="8.1" customHeight="1">
      <c r="A21" s="703"/>
      <c r="B21" s="735"/>
      <c r="C21" s="3570"/>
      <c r="D21" s="3571"/>
      <c r="E21" s="3446"/>
      <c r="F21" s="3454"/>
      <c r="G21" s="3454"/>
      <c r="H21" s="3454"/>
      <c r="I21" s="3453"/>
      <c r="J21" s="3453"/>
      <c r="K21" s="3455"/>
      <c r="L21" s="3455"/>
      <c r="M21" s="3455"/>
      <c r="N21" s="3453"/>
      <c r="O21" s="3572"/>
      <c r="P21" s="3453"/>
      <c r="Q21" s="3454"/>
      <c r="R21" s="3454"/>
      <c r="S21" s="3455"/>
      <c r="T21" s="3452"/>
      <c r="U21" s="3452"/>
      <c r="V21" s="3453"/>
      <c r="W21" s="3455"/>
      <c r="X21" s="3455"/>
      <c r="Y21" s="3569"/>
      <c r="Z21" s="736"/>
      <c r="AA21" s="709"/>
      <c r="AI21" s="2655"/>
    </row>
    <row r="22" spans="1:35" ht="15" customHeight="1">
      <c r="A22" s="703"/>
      <c r="B22" s="735"/>
      <c r="C22" s="3570"/>
      <c r="D22" s="3571"/>
      <c r="E22" s="3447" t="str">
        <f>IF(('الصفحة 1'!$Q$14&gt;0),(IF((('الصفحة 1'!$V$38)=1),(IF((('الصفحة 1'!$V$38)=1),"سنة إنشاء الداخلية ؟  ","")),"")),"")</f>
        <v/>
      </c>
      <c r="F22" s="3865"/>
      <c r="G22" s="3867"/>
      <c r="H22" s="3573" t="str">
        <f>IF(('الصفحة 1'!$Q$14&gt;0),IF(($F$20=0),IF((F22&gt;0)," خطء سنة إنشاء والداخليـة غير موجودة ",IF(($F$20=1),(F22&gt;0),"")),""),"")</f>
        <v/>
      </c>
      <c r="I22" s="941"/>
      <c r="J22" s="941"/>
      <c r="K22" s="1041"/>
      <c r="L22" s="941"/>
      <c r="M22" s="941"/>
      <c r="N22" s="941"/>
      <c r="O22" s="3475"/>
      <c r="P22" s="1041"/>
      <c r="Q22" s="3456"/>
      <c r="R22" s="3457"/>
      <c r="S22" s="3458"/>
      <c r="T22" s="3459"/>
      <c r="U22" s="4151"/>
      <c r="V22" s="4151"/>
      <c r="W22" s="3487"/>
      <c r="X22" s="3487"/>
      <c r="Y22" s="3574"/>
      <c r="Z22" s="736"/>
      <c r="AA22" s="709"/>
      <c r="AB22" s="2922" t="str">
        <f>IF(('الصفحة 1'!$Q$14&gt;0),IF((F20&gt;=1),((IF((F22="")," سنة إنشـاء الداخليـة",IF((F22=0)," ",IF((F22&gt;=1),""))))),""),"")</f>
        <v/>
      </c>
      <c r="AI22" s="2655"/>
    </row>
    <row r="23" spans="1:35" ht="8.1" customHeight="1">
      <c r="A23" s="703"/>
      <c r="B23" s="735"/>
      <c r="C23" s="3570"/>
      <c r="D23" s="3571"/>
      <c r="E23" s="3446"/>
      <c r="F23" s="3454"/>
      <c r="G23" s="3454"/>
      <c r="H23" s="3454"/>
      <c r="I23" s="3453"/>
      <c r="J23" s="3453"/>
      <c r="K23" s="3455"/>
      <c r="L23" s="3455"/>
      <c r="M23" s="3455"/>
      <c r="N23" s="3453"/>
      <c r="O23" s="3572"/>
      <c r="P23" s="3453"/>
      <c r="Q23" s="3454"/>
      <c r="R23" s="3454"/>
      <c r="S23" s="3455"/>
      <c r="T23" s="3452"/>
      <c r="U23" s="3452"/>
      <c r="V23" s="3453"/>
      <c r="W23" s="3455"/>
      <c r="X23" s="3455"/>
      <c r="Y23" s="3569"/>
      <c r="Z23" s="736"/>
      <c r="AA23" s="709"/>
      <c r="AI23" s="2655"/>
    </row>
    <row r="24" spans="1:35" ht="15" customHeight="1">
      <c r="A24" s="703"/>
      <c r="B24" s="735"/>
      <c r="C24" s="3570"/>
      <c r="D24" s="3571"/>
      <c r="E24" s="3447" t="str">
        <f>IF(('الصفحة 1'!$Q$14&gt;0),(IF((('الصفحة 1'!$V$38)=1),(IF((('الصفحة 1'!$V$38)=1),"الطاقـة النظرية للداخلية ؟  ","")),"")),"")</f>
        <v/>
      </c>
      <c r="F24" s="4137"/>
      <c r="G24" s="4138"/>
      <c r="H24" s="3575" t="str">
        <f>IF(('الصفحة 1'!$Q$14&gt;0),IF(($F$20=0),IF((F24&gt;0)," خطء الطاقة النظرية والداخلية غير موجودة",IF(($F$20=1),(F24&gt;0),"")),""),"")</f>
        <v/>
      </c>
      <c r="I24" s="941"/>
      <c r="J24" s="941"/>
      <c r="K24" s="1041"/>
      <c r="L24" s="941"/>
      <c r="M24" s="941"/>
      <c r="N24" s="941"/>
      <c r="O24" s="3576"/>
      <c r="P24" s="1041"/>
      <c r="Q24" s="3460"/>
      <c r="R24" s="3461"/>
      <c r="S24" s="3462"/>
      <c r="T24" s="3447" t="str">
        <f>IF(('الصفحة 1'!$Q$14&gt;0),(IF((('الصفحة 1'!$V$38)=1),(IF((('الصفحة 1'!$V$38)=1),"الطاقـة النظرية لقاعة الإطعام ؟","")),"")),"")</f>
        <v/>
      </c>
      <c r="U24" s="4137"/>
      <c r="V24" s="4138"/>
      <c r="W24" s="3462"/>
      <c r="X24" s="3462"/>
      <c r="Y24" s="3562"/>
      <c r="Z24" s="736"/>
      <c r="AA24" s="709"/>
      <c r="AB24" s="2922" t="str">
        <f>IF(('الصفحة 1'!$Q$14&gt;0),IF((F20&gt;=1),((IF((F24=""),"الطاقـة النظرية للداخلية",IF((F24=0)," ",IF((F24&gt;0),""))))),""),"")</f>
        <v/>
      </c>
      <c r="AD24" s="3696" t="str">
        <f>IF(('الصفحة 1'!$Q$14&gt;0),IF((F20&gt;=1),((IF((U24=""),"طاقـة النظرية لقاعة الإطعام",IF((U24=0)," ",IF((U24&gt;0),""))))),""),"")</f>
        <v/>
      </c>
      <c r="AI24" s="2655"/>
    </row>
    <row r="25" spans="1:35" ht="8.1" customHeight="1" thickBot="1">
      <c r="A25" s="703"/>
      <c r="B25" s="735"/>
      <c r="C25" s="3570"/>
      <c r="D25" s="3571"/>
      <c r="E25" s="3446"/>
      <c r="F25" s="3454"/>
      <c r="G25" s="3454"/>
      <c r="H25" s="3454"/>
      <c r="I25" s="3453"/>
      <c r="J25" s="3453"/>
      <c r="K25" s="3455"/>
      <c r="L25" s="3455"/>
      <c r="M25" s="3455"/>
      <c r="N25" s="3453"/>
      <c r="O25" s="3572"/>
      <c r="P25" s="3453"/>
      <c r="Q25" s="3454"/>
      <c r="R25" s="3454"/>
      <c r="S25" s="3455"/>
      <c r="T25" s="3452"/>
      <c r="U25" s="3452"/>
      <c r="V25" s="3453"/>
      <c r="W25" s="3455"/>
      <c r="X25" s="3455"/>
      <c r="Y25" s="3569"/>
      <c r="Z25" s="736"/>
      <c r="AA25" s="709"/>
      <c r="AD25" s="3600"/>
      <c r="AI25" s="2655"/>
    </row>
    <row r="26" spans="1:35" ht="15" customHeight="1" thickBot="1">
      <c r="A26" s="703"/>
      <c r="B26" s="735"/>
      <c r="C26" s="3475"/>
      <c r="D26" s="3456"/>
      <c r="E26" s="3447" t="str">
        <f>IF(('الصفحة 1'!$Q$14&gt;0),(IF((('الصفحة 1'!$V$38)=1),(IF((('الصفحة 1'!$V$38)=1),"الداخلية شغالة حاليا ؟  ","")),"")),"")</f>
        <v/>
      </c>
      <c r="F26" s="1642"/>
      <c r="G26" s="3577"/>
      <c r="H26" s="3573" t="str">
        <f>IF(('الصفحة 1'!$Q$14&gt;0),IF(($F$20=0),IF((F26&gt;0)," خطء شغالة حاليا والداخلية غير موجودة ",IF(($F$20=1),(F26&gt;0),"")),""),"")</f>
        <v/>
      </c>
      <c r="I26" s="3578"/>
      <c r="J26" s="3464"/>
      <c r="K26" s="1041"/>
      <c r="L26" s="3579"/>
      <c r="M26" s="3579"/>
      <c r="N26" s="3578"/>
      <c r="O26" s="3580"/>
      <c r="P26" s="1041"/>
      <c r="Q26" s="3463"/>
      <c r="R26" s="3464"/>
      <c r="S26" s="3465"/>
      <c r="T26" s="3447" t="str">
        <f>IF(('الصفحة 1'!$Q$14&gt;0),(IF((('الصفحة 1'!$V$38)=1),(IF((('الصفحة 1'!$V$38)=1),"قاعة الإطعام شغالة حاليا  ؟  ","")),"")),"")</f>
        <v/>
      </c>
      <c r="U26" s="1642"/>
      <c r="V26" s="3485"/>
      <c r="W26" s="3579"/>
      <c r="X26" s="3465">
        <f>IF((F20=1),(IF(((U26+U28)=2),(1),(2))),10)</f>
        <v>10</v>
      </c>
      <c r="Y26" s="3315">
        <f>IF((F20=1),(IF(((F26+F28)=2),(1),(2))),10)</f>
        <v>10</v>
      </c>
      <c r="Z26" s="736"/>
      <c r="AA26" s="709"/>
      <c r="AB26" s="2922" t="str">
        <f>IF(('الصفحة 1'!$Q$14&gt;0),IF((F20&gt;=1),((IF((F26="")," داخليـة شغالة",IF((F26=0)," ",IF((F26&gt;=1),""))))),""),"")</f>
        <v/>
      </c>
      <c r="AD26" s="3696" t="str">
        <f>IF(('الصفحة 1'!$Q$14&gt;0),IF(($F$20&gt;=1),((IF((U26="")," قاعة الإطعام شغالة حاليا",IF((U26=0)," ",IF((U26&gt;=1),""))))),""),"")</f>
        <v/>
      </c>
      <c r="AI26" s="2655"/>
    </row>
    <row r="27" spans="1:35" ht="8.1" customHeight="1" thickBot="1">
      <c r="A27" s="703"/>
      <c r="B27" s="735"/>
      <c r="C27" s="3581"/>
      <c r="D27" s="3582"/>
      <c r="E27" s="3448"/>
      <c r="F27" s="519"/>
      <c r="G27" s="3448"/>
      <c r="H27" s="3448"/>
      <c r="I27" s="3466"/>
      <c r="J27" s="3466"/>
      <c r="K27" s="3467"/>
      <c r="L27" s="3467"/>
      <c r="M27" s="3467"/>
      <c r="N27" s="3466"/>
      <c r="O27" s="3583"/>
      <c r="P27" s="3466"/>
      <c r="Q27" s="3448"/>
      <c r="R27" s="3448"/>
      <c r="S27" s="3467"/>
      <c r="T27" s="678"/>
      <c r="U27" s="519"/>
      <c r="V27" s="3466"/>
      <c r="W27" s="3467"/>
      <c r="X27" s="3467"/>
      <c r="Y27" s="3695"/>
      <c r="Z27" s="736"/>
      <c r="AA27" s="709"/>
      <c r="AD27" s="3697"/>
      <c r="AI27" s="2655"/>
    </row>
    <row r="28" spans="1:35" ht="15" customHeight="1" thickBot="1">
      <c r="A28" s="703"/>
      <c r="B28" s="735"/>
      <c r="C28" s="3475"/>
      <c r="D28" s="3457"/>
      <c r="E28" s="3447" t="str">
        <f>IF(('الصفحة 1'!$Q$14&gt;0),(IF((('الصفحة 1'!$V$38)=1),(IF((('الصفحة 1'!$V$38)=1),"الداخلية مغلقـــة حاليا ؟  ","")),"")),"")</f>
        <v/>
      </c>
      <c r="F28" s="2341"/>
      <c r="G28" s="941"/>
      <c r="H28" s="3575" t="str">
        <f>IF(('الصفحة 1'!$Q$14&gt;0),IF(($F$20=0),IF((F28&gt;0)," خطء مغلقـــة حاليا والداخلية غير موجودة ",IF(($F$20=1),(F28&gt;0),"")),""),"")</f>
        <v/>
      </c>
      <c r="I28" s="3456"/>
      <c r="J28" s="3457"/>
      <c r="K28" s="1041"/>
      <c r="L28" s="3579"/>
      <c r="M28" s="3579"/>
      <c r="N28" s="1041"/>
      <c r="O28" s="3584"/>
      <c r="P28" s="1041"/>
      <c r="Q28" s="3468"/>
      <c r="R28" s="3469"/>
      <c r="S28" s="1041"/>
      <c r="T28" s="3447" t="str">
        <f>IF(('الصفحة 1'!$Q$14&gt;0),(IF((('الصفحة 1'!$V$38)=1),(IF((('الصفحة 1'!$V$38)=1),"قاعة الإطعام مغلقـــة حاليا  ؟  ","")),"")),"")</f>
        <v/>
      </c>
      <c r="U28" s="2341"/>
      <c r="V28" s="3585"/>
      <c r="W28" s="3586"/>
      <c r="X28" s="3465">
        <f>IF((F20=1),(IF(((U26+U28)=0),(0),(2))),(10))</f>
        <v>10</v>
      </c>
      <c r="Y28" s="3695">
        <f>IF((F20=1),(IF(((F26+F28)=0),(0),(2))),(10))</f>
        <v>10</v>
      </c>
      <c r="Z28" s="736"/>
      <c r="AA28" s="709"/>
      <c r="AB28" s="2922" t="str">
        <f>IF(('الصفحة 1'!$Q$14&gt;0),IF((F20&gt;=1),((IF((F28="")," داخليـة مغلقـــة",IF((F28=0)," ",IF((F28&gt;=1),""))))),""),"")</f>
        <v/>
      </c>
      <c r="AD28" s="3696" t="str">
        <f>IF(('الصفحة 1'!$Q$14&gt;0),IF(($F$20&gt;=1),((IF((U28="")," قاعة الإطعام مغلقـــة حاليا",IF((U28=0)," ",IF((U28&gt;=1),""))))),""),"")</f>
        <v/>
      </c>
      <c r="AI28" s="2655"/>
    </row>
    <row r="29" spans="1:35" ht="9.9" customHeight="1">
      <c r="A29" s="703"/>
      <c r="B29" s="735"/>
      <c r="C29" s="3475"/>
      <c r="D29" s="941"/>
      <c r="E29" s="941"/>
      <c r="F29" s="941"/>
      <c r="G29" s="941"/>
      <c r="H29" s="941"/>
      <c r="I29" s="941"/>
      <c r="J29" s="941"/>
      <c r="K29" s="941"/>
      <c r="L29" s="941"/>
      <c r="M29" s="941"/>
      <c r="N29" s="941"/>
      <c r="O29" s="3482"/>
      <c r="P29" s="3482"/>
      <c r="Q29" s="3456"/>
      <c r="R29" s="3456"/>
      <c r="S29" s="3462"/>
      <c r="T29" s="3456"/>
      <c r="U29" s="3456"/>
      <c r="V29" s="3456"/>
      <c r="W29" s="3456"/>
      <c r="X29" s="3456"/>
      <c r="Y29" s="3562"/>
      <c r="Z29" s="736"/>
      <c r="AA29" s="709"/>
      <c r="AI29" s="2655"/>
    </row>
    <row r="30" spans="1:35" ht="15.9" customHeight="1">
      <c r="A30" s="703"/>
      <c r="B30" s="735"/>
      <c r="C30" s="3470"/>
      <c r="D30" s="4143" t="str">
        <f>IF(('الصفحة 1'!$Q$14&gt;0),(IF((('الصفحة 1'!$V$38)=1),(IF((('الصفحة 1'!$V$38)=1),"6-4 - المستفيدين من الداخليـة    -    الداخليين   ","")),"")),"")</f>
        <v/>
      </c>
      <c r="E30" s="4143"/>
      <c r="F30" s="4143"/>
      <c r="G30" s="4143"/>
      <c r="H30" s="4143"/>
      <c r="I30" s="4143"/>
      <c r="J30" s="4143"/>
      <c r="K30" s="4143"/>
      <c r="L30" s="4143"/>
      <c r="M30" s="4143"/>
      <c r="N30" s="4143"/>
      <c r="O30" s="3471"/>
      <c r="P30" s="3472" t="str">
        <f>IF(('الصفحة 1'!$Q$14&gt;0),(IF(($F$20=0),(IF(((F34+K34+F38+K38+F42+K42)&gt;0),"خطء، المستفيدين والداخلية غير موجودة ","")),"")),"")</f>
        <v/>
      </c>
      <c r="Q30" s="3473"/>
      <c r="R30" s="3474"/>
      <c r="S30" s="3471"/>
      <c r="T30" s="3471"/>
      <c r="U30" s="3473"/>
      <c r="V30" s="3474"/>
      <c r="W30" s="3440" t="str">
        <f>IF(('الصفحة 1'!$Q$14&gt;0),(IF((('الصفحة 1'!$V$38)=1),(IF((('الصفحة 1'!$V$38)=1),"Les Internes.","")),"")),"")</f>
        <v/>
      </c>
      <c r="X30" s="3471"/>
      <c r="Y30" s="3587"/>
      <c r="Z30" s="736"/>
      <c r="AA30" s="709"/>
      <c r="AB30" s="2656"/>
      <c r="AC30" s="2656"/>
      <c r="AD30" s="2656"/>
      <c r="AE30" s="2656"/>
      <c r="AF30" s="2656"/>
      <c r="AG30" s="1718"/>
      <c r="AH30" s="1718"/>
      <c r="AI30" s="2655"/>
    </row>
    <row r="31" spans="1:35" ht="8.1" customHeight="1">
      <c r="A31" s="703"/>
      <c r="B31" s="735"/>
      <c r="C31" s="3475"/>
      <c r="D31" s="3476"/>
      <c r="E31" s="3477"/>
      <c r="F31" s="3477"/>
      <c r="G31" s="3477"/>
      <c r="H31" s="3477"/>
      <c r="I31" s="3478"/>
      <c r="J31" s="3478"/>
      <c r="K31" s="3478"/>
      <c r="L31" s="3479"/>
      <c r="M31" s="3480"/>
      <c r="N31" s="3481"/>
      <c r="O31" s="3482"/>
      <c r="P31" s="3482"/>
      <c r="Q31" s="3456"/>
      <c r="R31" s="3483"/>
      <c r="S31" s="3462"/>
      <c r="T31" s="3456"/>
      <c r="U31" s="3456"/>
      <c r="V31" s="3456"/>
      <c r="W31" s="3456"/>
      <c r="X31" s="3456"/>
      <c r="Y31" s="3588"/>
      <c r="Z31" s="736"/>
      <c r="AA31" s="709"/>
      <c r="AB31" s="2656"/>
      <c r="AC31" s="2656"/>
      <c r="AD31" s="2656"/>
      <c r="AE31" s="2656"/>
      <c r="AF31" s="2656"/>
      <c r="AG31" s="1718"/>
      <c r="AH31" s="1718"/>
      <c r="AI31" s="2655"/>
    </row>
    <row r="32" spans="1:35" ht="15.9" customHeight="1">
      <c r="A32" s="703"/>
      <c r="B32" s="735"/>
      <c r="C32" s="4144" t="str">
        <f>IF(('الصفحة 1'!$Q$14&gt;0),(IF(($F$20=1),(IF(((F34+F38+F42)&gt;F24),"راجع الطاقـة النظرية للداخلية","")),"")),"")</f>
        <v/>
      </c>
      <c r="D32" s="4145"/>
      <c r="E32" s="4146" t="str">
        <f>IF(('الصفحة 1'!$Q$14&gt;0),(IF((('الصفحة 1'!$V$38)=1),(IF((('الصفحة 1'!$V$38)=1),"المستفيدين من المتوسطة نفسها","")),"")),"")</f>
        <v/>
      </c>
      <c r="F32" s="4146"/>
      <c r="G32" s="4146"/>
      <c r="H32" s="4146"/>
      <c r="I32" s="4146"/>
      <c r="J32" s="4146"/>
      <c r="K32" s="4146"/>
      <c r="L32" s="4146"/>
      <c r="M32" s="4146"/>
      <c r="N32" s="3731" t="str">
        <f>IF(('الصفحة 1'!$Q$14&gt;0),(IF(($F$20=0),(IF(((F34+K34+F38+K38+F42+K42)&gt;0),"خطء،المستفيدين والداخلية مغلقة ","")),"")),"")</f>
        <v/>
      </c>
      <c r="O32" s="3462"/>
      <c r="Q32" s="3462"/>
      <c r="R32" s="3485"/>
      <c r="S32" s="3486"/>
      <c r="T32" s="3731" t="str">
        <f>IF(('الصفحة 1'!$Q$14&gt;0),(IF(($F$28=1),(IF(((F34+K34+F38+K38+F42+K42)&gt;0),"خطء، الداخلية غير شغالة ","")),"")),"")</f>
        <v/>
      </c>
      <c r="U32" s="3732" t="str">
        <f>IF(('الصفحة 1'!$Q$14&gt;0),(IF((F34&gt;0),(IF((F34&gt;'الصفحة 10'!N45),"F34 خطء","")),"")),"")</f>
        <v/>
      </c>
      <c r="V32" s="941" t="str">
        <f>IF(('الصفحة 1'!$Q$14&gt;0),(IF((K34&gt;0),(IF((K34&gt;'الصفحة 10'!O45),"K34 خطء","")),"")),"")</f>
        <v/>
      </c>
      <c r="W32" s="3487"/>
      <c r="X32" s="3487"/>
      <c r="Y32" s="3588"/>
      <c r="Z32" s="736"/>
      <c r="AA32" s="709"/>
      <c r="AB32" s="2922" t="str">
        <f>IF(('الصفحة 1'!$Q$14&gt;0),IF((F20&gt;=1),((IF((F34=""),"الداخليين متوسطة نفسها",IF((F34=0)," ",IF((F34&gt;0),""))))),""),"")</f>
        <v/>
      </c>
      <c r="AC32" s="2929"/>
      <c r="AD32" s="1882" t="str">
        <f>IF(('الصفحة 1'!$Q$14&gt;0),IF(($F$20=0),IF((F34&gt;0)," خطء المستفيدين متوسطة نفسها ",IF(($F$20=1),(F34&gt;0),"")),""),"")</f>
        <v/>
      </c>
      <c r="AE32" s="2614"/>
      <c r="AG32" s="2614"/>
      <c r="AI32" s="2655"/>
    </row>
    <row r="33" spans="1:35" ht="3.9" customHeight="1">
      <c r="A33" s="703"/>
      <c r="B33" s="735"/>
      <c r="C33" s="3475"/>
      <c r="D33" s="3476"/>
      <c r="E33" s="3477"/>
      <c r="F33" s="3477"/>
      <c r="G33" s="3477"/>
      <c r="H33" s="3477"/>
      <c r="I33" s="3477"/>
      <c r="J33" s="3477"/>
      <c r="K33" s="3477"/>
      <c r="L33" s="3479"/>
      <c r="M33" s="3480"/>
      <c r="N33" s="3484"/>
      <c r="O33" s="3482"/>
      <c r="P33" s="3482"/>
      <c r="Q33" s="3456"/>
      <c r="R33" s="3483"/>
      <c r="S33" s="3462"/>
      <c r="T33" s="3456"/>
      <c r="U33" s="3456"/>
      <c r="V33" s="3456"/>
      <c r="W33" s="3456"/>
      <c r="X33" s="3456"/>
      <c r="Y33" s="3574"/>
      <c r="Z33" s="736"/>
      <c r="AA33" s="709"/>
      <c r="AB33" s="2614"/>
      <c r="AC33" s="2614"/>
      <c r="AD33" s="2614"/>
      <c r="AE33" s="2614"/>
      <c r="AF33" s="2614"/>
      <c r="AG33" s="2614"/>
      <c r="AH33" s="2614"/>
      <c r="AI33" s="2655"/>
    </row>
    <row r="34" spans="1:35" ht="15" customHeight="1">
      <c r="A34" s="703"/>
      <c r="B34" s="735"/>
      <c r="C34" s="3589"/>
      <c r="D34" s="3494"/>
      <c r="E34" s="3447" t="str">
        <f>IF(('الصفحة 1'!$Q$14&gt;0),(IF((('الصفحة 1'!$V$38)=1),(IF((('الصفحة 1'!$V$38)=1),"مجموع المستفيدين ؟ ","")),"")),"")</f>
        <v/>
      </c>
      <c r="F34" s="3865"/>
      <c r="G34" s="3867"/>
      <c r="H34" s="3590"/>
      <c r="I34" s="3591"/>
      <c r="J34" s="3447" t="str">
        <f>IF(('الصفحة 1'!$Q$14&gt;0),(IF((('الصفحة 1'!$V$38)=1),(IF((('الصفحة 1'!$V$38)=1),"منهم بنات ؟ ","")),"")),"")</f>
        <v/>
      </c>
      <c r="K34" s="3865"/>
      <c r="L34" s="3866"/>
      <c r="M34" s="3867"/>
      <c r="N34" s="3592" t="str">
        <f>IF(('الصفحة 1'!$Q$14&gt;0),(IF(($F$20=0),(IF((F34&gt;0),"الداخلية F34","")),"")),"")</f>
        <v/>
      </c>
      <c r="O34" s="3306"/>
      <c r="P34" s="3593"/>
      <c r="Q34" s="3592" t="str">
        <f>IF(('الصفحة 1'!$Q$14&gt;0),(IF(($F$20=0),(IF((K34&gt;0),"الداخلية K34","")),"")),"")</f>
        <v/>
      </c>
      <c r="R34" s="3461"/>
      <c r="S34" s="1041"/>
      <c r="T34" s="3592" t="str">
        <f>IF(('الصفحة 1'!$Q$14&gt;0),(IF(($F$28=1),(IF((F34&gt;0),"الداخلية F34","")),"")),"")</f>
        <v/>
      </c>
      <c r="U34" s="3306"/>
      <c r="V34" s="3592" t="str">
        <f>IF(('الصفحة 1'!$Q$14&gt;0),(IF(($F$28=1),(IF((K34&gt;0),"الداخلية K34","")),"")),"")</f>
        <v/>
      </c>
      <c r="W34" s="3592"/>
      <c r="X34" s="3461"/>
      <c r="Y34" s="3594"/>
      <c r="Z34" s="736"/>
      <c r="AA34" s="709"/>
      <c r="AB34" s="2922" t="str">
        <f>IF(('الصفحة 1'!$Q$14&gt;0),IF((F20&gt;=1),((IF((K34=""),"المستفيدات متوسطة نفسها",IF((K34=0)," ",IF((K34&gt;0),""))))),""),"")</f>
        <v/>
      </c>
      <c r="AC34" s="2614"/>
      <c r="AD34" s="1882" t="str">
        <f>IF(('الصفحة 1'!$Q$14&gt;0),IF(($F$20=0),IF(($K$34&gt;0),"خطء المستفيدات متوسطة نفسها",IF(($F$20=1),($K$34&gt;0),"")),""),"")</f>
        <v/>
      </c>
      <c r="AE34" s="2614"/>
      <c r="AG34" s="2614"/>
      <c r="AI34" s="2655"/>
    </row>
    <row r="35" spans="1:35" ht="3.9" customHeight="1">
      <c r="A35" s="703"/>
      <c r="B35" s="735"/>
      <c r="C35" s="3475"/>
      <c r="D35" s="3595"/>
      <c r="E35" s="3477"/>
      <c r="F35" s="3477"/>
      <c r="G35" s="3477"/>
      <c r="H35" s="3477"/>
      <c r="I35" s="3477"/>
      <c r="J35" s="3477"/>
      <c r="K35" s="3477"/>
      <c r="L35" s="3477"/>
      <c r="M35" s="3480"/>
      <c r="N35" s="3596"/>
      <c r="O35" s="3597"/>
      <c r="P35" s="3597"/>
      <c r="Q35" s="3598"/>
      <c r="R35" s="3456"/>
      <c r="S35" s="3597"/>
      <c r="T35" s="3456"/>
      <c r="U35" s="3456"/>
      <c r="V35" s="3456"/>
      <c r="W35" s="3597"/>
      <c r="X35" s="3597"/>
      <c r="Y35" s="3594"/>
      <c r="Z35" s="736"/>
      <c r="AA35" s="709"/>
      <c r="AB35" s="2601"/>
      <c r="AC35" s="2601"/>
      <c r="AD35" s="2601"/>
      <c r="AE35" s="2601"/>
      <c r="AF35" s="2601"/>
      <c r="AG35" s="2601"/>
      <c r="AH35" s="2601"/>
      <c r="AI35" s="2655"/>
    </row>
    <row r="36" spans="1:35" ht="15.9" customHeight="1">
      <c r="A36" s="703"/>
      <c r="B36" s="735"/>
      <c r="C36" s="3475"/>
      <c r="D36" s="3595"/>
      <c r="E36" s="4149" t="str">
        <f>IF(('الصفحة 1'!$Q$14&gt;0),(IF((('الصفحة 1'!$V$38)=1),(IF((('الصفحة 1'!$V$38)=1),"المستفيدين من متوسطات أخرى","")),"")),"")</f>
        <v/>
      </c>
      <c r="F36" s="4149"/>
      <c r="G36" s="4149"/>
      <c r="H36" s="4149"/>
      <c r="I36" s="4149"/>
      <c r="J36" s="4149"/>
      <c r="K36" s="4149"/>
      <c r="L36" s="4149"/>
      <c r="M36" s="4150"/>
      <c r="N36" s="3596"/>
      <c r="O36" s="3593"/>
      <c r="P36" s="3593"/>
      <c r="Q36" s="3593"/>
      <c r="R36" s="2934"/>
      <c r="S36" s="2934"/>
      <c r="T36" s="2934"/>
      <c r="U36" s="2934"/>
      <c r="V36" s="2934"/>
      <c r="W36" s="2934"/>
      <c r="X36" s="2934"/>
      <c r="Y36" s="3594"/>
      <c r="Z36" s="736"/>
      <c r="AA36" s="709"/>
      <c r="AB36" s="2922" t="str">
        <f>IF(('الصفحة 1'!$Q$14&gt;0),IF((F20&gt;=1),((IF((F38=""),"الداخليين متوسطات أخرى",IF((F38=0)," ",IF((F38&gt;0),""))))),""),"")</f>
        <v/>
      </c>
      <c r="AC36" s="3245"/>
      <c r="AD36" s="1882" t="str">
        <f>IF(('الصفحة 1'!$Q$14&gt;0),IF(($F$20=0),IF((F38&gt;0)," خطء المستفيدين متوسطة أخرى ",IF(($F$20=1),(F38&gt;0),"")),""),"")</f>
        <v/>
      </c>
      <c r="AE36" s="2629"/>
      <c r="AG36" s="1032"/>
      <c r="AH36" s="1032"/>
      <c r="AI36" s="2655"/>
    </row>
    <row r="37" spans="1:35" ht="3.9" customHeight="1">
      <c r="A37" s="703"/>
      <c r="B37" s="735"/>
      <c r="C37" s="3475"/>
      <c r="D37" s="3476"/>
      <c r="E37" s="3478"/>
      <c r="F37" s="3478"/>
      <c r="G37" s="3478"/>
      <c r="H37" s="3477"/>
      <c r="I37" s="3478"/>
      <c r="J37" s="3478"/>
      <c r="K37" s="3478"/>
      <c r="L37" s="3478"/>
      <c r="M37" s="3480"/>
      <c r="N37" s="3599"/>
      <c r="O37" s="3597"/>
      <c r="P37" s="3597"/>
      <c r="Q37" s="3598"/>
      <c r="R37" s="3456"/>
      <c r="S37" s="3597"/>
      <c r="T37" s="3456"/>
      <c r="U37" s="3456"/>
      <c r="V37" s="3456"/>
      <c r="W37" s="3465"/>
      <c r="X37" s="3465"/>
      <c r="Y37" s="3594"/>
      <c r="Z37" s="736"/>
      <c r="AA37" s="709"/>
      <c r="AB37" s="3352"/>
      <c r="AC37" s="3245"/>
      <c r="AD37" s="3245"/>
      <c r="AE37" s="3245"/>
      <c r="AF37" s="3245"/>
      <c r="AG37" s="1718"/>
      <c r="AH37" s="1718"/>
      <c r="AI37" s="2655"/>
    </row>
    <row r="38" spans="1:35" ht="15" customHeight="1">
      <c r="A38" s="703"/>
      <c r="B38" s="735"/>
      <c r="C38" s="3475"/>
      <c r="D38" s="3600"/>
      <c r="E38" s="3447" t="str">
        <f>IF(('الصفحة 1'!$Q$14&gt;0),(IF((('الصفحة 1'!$V$38)=1),(IF((('الصفحة 1'!$V$38)=1),"مجموع المستفيدين ؟ ","")),"")),"")</f>
        <v/>
      </c>
      <c r="F38" s="3891"/>
      <c r="G38" s="3893"/>
      <c r="H38" s="3601"/>
      <c r="I38" s="3456"/>
      <c r="J38" s="3447" t="str">
        <f>IF(('الصفحة 1'!$Q$14&gt;0),(IF((('الصفحة 1'!$V$38)=1),(IF((('الصفحة 1'!$V$38)=1),"منهم بنات ؟ ","")),"")),"")</f>
        <v/>
      </c>
      <c r="K38" s="3865"/>
      <c r="L38" s="3866"/>
      <c r="M38" s="3867"/>
      <c r="N38" s="3592" t="str">
        <f>IF(('الصفحة 1'!$Q$14&gt;0),(IF(($F$20=0),(IF((F38&gt;0),"الداخلية F38","")),"")),"")</f>
        <v/>
      </c>
      <c r="O38" s="3306"/>
      <c r="P38" s="3598"/>
      <c r="Q38" s="3592" t="str">
        <f>IF(('الصفحة 1'!$Q$14&gt;0),(IF(($F$20=0),(IF((K38&gt;0),"الداخلية K38","")),"")),"")</f>
        <v/>
      </c>
      <c r="R38" s="2934"/>
      <c r="S38" s="1041"/>
      <c r="T38" s="3592" t="str">
        <f>IF(('الصفحة 1'!$Q$14&gt;0),(IF(($F$28=1),(IF((F38&gt;0),"الداخلية F38","")),"")),"")</f>
        <v/>
      </c>
      <c r="U38" s="3306"/>
      <c r="V38" s="3730" t="str">
        <f>IF(('الصفحة 1'!$Q$14&gt;0),(IF(($F$28=1),(IF((K38&gt;0),"الداخلية K38","")),"")),"")</f>
        <v/>
      </c>
      <c r="W38" s="2934"/>
      <c r="X38" s="2934"/>
      <c r="Y38" s="3594"/>
      <c r="Z38" s="736"/>
      <c r="AA38" s="709"/>
      <c r="AB38" s="2922" t="str">
        <f>IF(('الصفحة 1'!$Q$14&gt;0),IF((F20&gt;=1),((IF((K38=""),"المستفيدات متوسطات أخرى",IF((K38=0)," ",IF((K38&gt;0),""))))),""),"")</f>
        <v/>
      </c>
      <c r="AC38" s="3245"/>
      <c r="AD38" s="1882" t="str">
        <f>IF(('الصفحة 1'!$Q$14&gt;0),IF(($F$20=0),IF((K38&gt;0),"خطء المستفيدات متوسطة أخرى",IF(($F$20=1),(K38&gt;0),"")),""),"")</f>
        <v/>
      </c>
      <c r="AE38" s="3245"/>
      <c r="AF38" s="3245"/>
      <c r="AG38" s="1718"/>
      <c r="AH38" s="1718"/>
      <c r="AI38" s="2655"/>
    </row>
    <row r="39" spans="1:35" ht="3.9" customHeight="1">
      <c r="A39" s="703"/>
      <c r="B39" s="735"/>
      <c r="C39" s="3602"/>
      <c r="D39" s="3600"/>
      <c r="E39" s="3461"/>
      <c r="F39" s="3579"/>
      <c r="G39" s="3456"/>
      <c r="H39" s="3579"/>
      <c r="I39" s="3456"/>
      <c r="J39" s="3456"/>
      <c r="K39" s="3456"/>
      <c r="L39" s="3456"/>
      <c r="M39" s="3597"/>
      <c r="N39" s="3603"/>
      <c r="O39" s="3604"/>
      <c r="P39" s="3604"/>
      <c r="Q39" s="3604"/>
      <c r="R39" s="3605"/>
      <c r="S39" s="3605"/>
      <c r="T39" s="3605"/>
      <c r="U39" s="3605"/>
      <c r="V39" s="3605"/>
      <c r="W39" s="3606"/>
      <c r="X39" s="3606"/>
      <c r="Y39" s="3594"/>
      <c r="Z39" s="736"/>
      <c r="AA39" s="709"/>
      <c r="AB39" s="3352"/>
      <c r="AC39" s="3245"/>
      <c r="AD39" s="3245"/>
      <c r="AE39" s="3245"/>
      <c r="AF39" s="3245"/>
      <c r="AG39" s="1718"/>
      <c r="AH39" s="1718"/>
      <c r="AI39" s="2655"/>
    </row>
    <row r="40" spans="1:35" ht="15.9" customHeight="1">
      <c r="A40" s="703"/>
      <c r="B40" s="735"/>
      <c r="C40" s="3475"/>
      <c r="D40" s="3456"/>
      <c r="E40" s="4152" t="str">
        <f>IF(('الصفحة 1'!$Q$14&gt;0),(IF((('الصفحة 1'!$V$38)=1),(IF((('الصفحة 1'!$V$38)=1),"المستفيدين من التعليـم الثانـوي","")),"")),"")</f>
        <v/>
      </c>
      <c r="F40" s="4152"/>
      <c r="G40" s="4152"/>
      <c r="H40" s="4152"/>
      <c r="I40" s="4152"/>
      <c r="J40" s="4152"/>
      <c r="K40" s="4152"/>
      <c r="L40" s="4152"/>
      <c r="M40" s="4153"/>
      <c r="N40" s="3598"/>
      <c r="O40" s="3598"/>
      <c r="P40" s="3598"/>
      <c r="Q40" s="3598"/>
      <c r="R40" s="3457"/>
      <c r="S40" s="3456"/>
      <c r="T40" s="3307"/>
      <c r="U40" s="3456"/>
      <c r="V40" s="3607"/>
      <c r="W40" s="2934"/>
      <c r="X40" s="2934"/>
      <c r="Y40" s="3594"/>
      <c r="Z40" s="736"/>
      <c r="AA40" s="709"/>
      <c r="AB40" s="2922" t="str">
        <f>IF(('الصفحة 1'!$Q$14&gt;0),IF((F20&gt;=1),((IF((F42=""),"الداخليين التعليـم الثانـوي",IF((F42=0)," ",IF((F42&gt;0),""))))),""),"")</f>
        <v/>
      </c>
      <c r="AC40" s="3245"/>
      <c r="AD40" s="1602" t="str">
        <f>IF(('الصفحة 1'!$Q$14&gt;0),IF(($F$20=0),IF((F42&gt;0)," خطء المستفيدين الثانـوي ",IF(($F$20=1),(F42&gt;0),"")),""),"")</f>
        <v/>
      </c>
      <c r="AE40" s="3245"/>
      <c r="AF40" s="3245"/>
      <c r="AG40" s="1718"/>
      <c r="AH40" s="1718"/>
      <c r="AI40" s="2655"/>
    </row>
    <row r="41" spans="1:35" ht="3.9" customHeight="1">
      <c r="A41" s="703"/>
      <c r="B41" s="735"/>
      <c r="C41" s="3602"/>
      <c r="D41" s="3600"/>
      <c r="E41" s="3456"/>
      <c r="F41" s="3608"/>
      <c r="G41" s="3456"/>
      <c r="H41" s="3579"/>
      <c r="I41" s="3456"/>
      <c r="J41" s="3456"/>
      <c r="K41" s="3456"/>
      <c r="L41" s="3456"/>
      <c r="M41" s="3597"/>
      <c r="N41" s="3603"/>
      <c r="O41" s="3604"/>
      <c r="P41" s="3604"/>
      <c r="Q41" s="3604"/>
      <c r="R41" s="3605"/>
      <c r="S41" s="3605"/>
      <c r="T41" s="3605"/>
      <c r="U41" s="3605"/>
      <c r="V41" s="3605"/>
      <c r="W41" s="3605"/>
      <c r="X41" s="3605"/>
      <c r="Y41" s="3594"/>
      <c r="Z41" s="736"/>
      <c r="AA41" s="709"/>
      <c r="AB41" s="3352"/>
      <c r="AC41" s="3349"/>
      <c r="AD41" s="2344"/>
      <c r="AE41" s="2344"/>
      <c r="AF41" s="2344"/>
      <c r="AG41" s="1718"/>
      <c r="AH41" s="1718"/>
      <c r="AI41" s="2655"/>
    </row>
    <row r="42" spans="1:35" ht="15" customHeight="1">
      <c r="A42" s="703"/>
      <c r="B42" s="735"/>
      <c r="C42" s="3609"/>
      <c r="D42" s="3462"/>
      <c r="E42" s="3447" t="str">
        <f>IF(('الصفحة 1'!$Q$14&gt;0),(IF((('الصفحة 1'!$V$38)=1),(IF((('الصفحة 1'!$V$38)=1),"مجموع المستفيدين ؟ ","")),"")),"")</f>
        <v/>
      </c>
      <c r="F42" s="3905"/>
      <c r="G42" s="3907"/>
      <c r="H42" s="3477"/>
      <c r="I42" s="3166"/>
      <c r="J42" s="3447" t="str">
        <f>IF(('الصفحة 1'!$Q$14&gt;0),(IF((('الصفحة 1'!$V$38)=1),(IF((('الصفحة 1'!$V$38)=1),"منهم بنات ؟ ","")),"")),"")</f>
        <v/>
      </c>
      <c r="K42" s="3865"/>
      <c r="L42" s="3866"/>
      <c r="M42" s="3867"/>
      <c r="N42" s="3592" t="str">
        <f>IF(('الصفحة 1'!$Q$14&gt;0),(IF(($F$20=0),(IF((F42&gt;0),"الداخلية F42","")),"")),"")</f>
        <v/>
      </c>
      <c r="O42" s="3306"/>
      <c r="P42" s="3593"/>
      <c r="Q42" s="3592" t="str">
        <f>IF(('الصفحة 1'!$Q$14&gt;0),(IF(($F$20=0),(IF((K42&gt;0),"الداخلية K42","")),"")),"")</f>
        <v/>
      </c>
      <c r="R42" s="3461"/>
      <c r="S42" s="1041"/>
      <c r="T42" s="3592" t="str">
        <f>IF(('الصفحة 1'!$Q$14&gt;0),(IF(($F$28=1),(IF((F42&gt;0),"الداخلية F42","")),"")),"")</f>
        <v/>
      </c>
      <c r="U42" s="3306"/>
      <c r="V42" s="3592" t="str">
        <f>IF(('الصفحة 1'!$Q$14&gt;0),(IF(($F$28=1),(IF((K42&gt;0),"الداخلية K42","")),"")),"")</f>
        <v/>
      </c>
      <c r="X42" s="3461"/>
      <c r="Y42" s="3610"/>
      <c r="Z42" s="736"/>
      <c r="AA42" s="709"/>
      <c r="AB42" s="2922" t="str">
        <f>IF(('الصفحة 1'!$Q$14&gt;0),IF((F20&gt;=1),((IF((K42=""),"المستفيدات التعليـم الثانـوي",IF((K42=0)," ",IF((K42&gt;0),""))))),""),"")</f>
        <v/>
      </c>
      <c r="AC42" s="3245"/>
      <c r="AD42" s="1602" t="str">
        <f>IF(('الصفحة 1'!$Q$14&gt;0),IF(($F$20=0),IF((K42&gt;0),"خطء المستفيدات الثانـوي",IF(($F$20=1),(K42&gt;0),"")),""),"")</f>
        <v/>
      </c>
      <c r="AE42" s="2344"/>
      <c r="AF42" s="3244"/>
      <c r="AG42" s="1718"/>
      <c r="AH42" s="1718"/>
      <c r="AI42" s="2655"/>
    </row>
    <row r="43" spans="1:35" ht="9.9" customHeight="1">
      <c r="A43" s="703"/>
      <c r="B43" s="735"/>
      <c r="C43" s="3611"/>
      <c r="D43" s="2113"/>
      <c r="E43" s="3612"/>
      <c r="F43" s="3612"/>
      <c r="G43" s="3612"/>
      <c r="H43" s="3613"/>
      <c r="I43" s="3614"/>
      <c r="J43" s="3614"/>
      <c r="K43" s="3614"/>
      <c r="L43" s="3614"/>
      <c r="M43" s="3615"/>
      <c r="N43" s="3614"/>
      <c r="O43" s="3614"/>
      <c r="P43" s="3614"/>
      <c r="Q43" s="3614"/>
      <c r="R43" s="3614"/>
      <c r="S43" s="3615"/>
      <c r="T43" s="3614"/>
      <c r="U43" s="3614"/>
      <c r="V43" s="3614"/>
      <c r="W43" s="3614"/>
      <c r="X43" s="3614"/>
      <c r="Y43" s="3616"/>
      <c r="Z43" s="736"/>
      <c r="AA43" s="709"/>
      <c r="AB43" s="3347"/>
      <c r="AC43" s="2343"/>
      <c r="AD43" s="2344"/>
      <c r="AE43" s="2344"/>
      <c r="AF43" s="2344"/>
      <c r="AG43" s="1718"/>
      <c r="AH43" s="1718"/>
      <c r="AI43" s="2655"/>
    </row>
    <row r="44" spans="1:35" ht="15.9" customHeight="1">
      <c r="A44" s="703"/>
      <c r="B44" s="735"/>
      <c r="C44" s="1918"/>
      <c r="D44" s="3685" t="str">
        <f>IF(('الصفحة 1'!$Q$14&gt;0),(IF((('الصفحة 1'!$V$38)=1),(IF((('الصفحة 1'!$V$38)=1),"7-4 - وضعية مراقد الداخلية  ","")),"")),"")</f>
        <v/>
      </c>
      <c r="E44" s="1907"/>
      <c r="F44" s="1907"/>
      <c r="G44" s="1907"/>
      <c r="H44" s="1907"/>
      <c r="I44" s="1907"/>
      <c r="J44" s="1907"/>
      <c r="K44" s="1907"/>
      <c r="L44" s="1907"/>
      <c r="M44" s="1907"/>
      <c r="N44" s="1907"/>
      <c r="O44" s="1761"/>
      <c r="P44" s="3689" t="str">
        <f>IF(('الصفحة 1'!$Q$14&gt;0),(IF((('الصفحة 1'!$V$38)=1),(IF((('الصفحة 1'!$V$38)=1),"Dortoirs de l'internat.","")),"")),"")</f>
        <v/>
      </c>
      <c r="Q44" s="3703" t="str">
        <f>IF(('الصفحة 1'!$Q$14&gt;0),(IF((('الصفحة 1'!$V$38)=1),(IF((('الصفحة 1'!$V$38)=1),"  8-4 - التجهـيـزات الكبرى للمطبخ","")),"")),"")</f>
        <v/>
      </c>
      <c r="R44" s="3702"/>
      <c r="S44" s="3702"/>
      <c r="T44" s="3702"/>
      <c r="U44" s="3702"/>
      <c r="V44" s="3702"/>
      <c r="W44" s="3702"/>
      <c r="X44" s="3702"/>
      <c r="Y44" s="1908"/>
      <c r="Z44" s="736"/>
      <c r="AA44" s="709"/>
      <c r="AB44" s="2991" t="s">
        <v>1340</v>
      </c>
      <c r="AC44" s="2343"/>
      <c r="AE44" s="2344"/>
      <c r="AG44" s="1718"/>
      <c r="AH44" s="1718"/>
      <c r="AI44" s="2655"/>
    </row>
    <row r="45" spans="1:35" ht="8.1" customHeight="1" thickBot="1">
      <c r="A45" s="703"/>
      <c r="B45" s="735"/>
      <c r="C45" s="3611"/>
      <c r="D45" s="2113"/>
      <c r="E45" s="3612"/>
      <c r="F45" s="3612"/>
      <c r="G45" s="3612"/>
      <c r="H45" s="3613"/>
      <c r="I45" s="3614"/>
      <c r="J45" s="3614"/>
      <c r="K45" s="3614"/>
      <c r="L45" s="3614"/>
      <c r="M45" s="3615"/>
      <c r="N45" s="3614"/>
      <c r="O45" s="3614"/>
      <c r="P45" s="3614"/>
      <c r="Q45" s="3698"/>
      <c r="R45" s="3614"/>
      <c r="S45" s="3615"/>
      <c r="T45" s="3614"/>
      <c r="U45" s="3614"/>
      <c r="V45" s="3614"/>
      <c r="W45" s="3614"/>
      <c r="X45" s="3614"/>
      <c r="Y45" s="3616"/>
      <c r="Z45" s="736"/>
      <c r="AA45" s="709"/>
      <c r="AB45" s="2343"/>
      <c r="AC45" s="2343"/>
      <c r="AD45" s="2344"/>
      <c r="AE45" s="2344"/>
      <c r="AF45" s="2344"/>
      <c r="AG45" s="1718"/>
      <c r="AH45" s="1718"/>
      <c r="AI45" s="2655"/>
    </row>
    <row r="46" spans="1:35" ht="15.9" customHeight="1" thickBot="1">
      <c r="A46" s="703"/>
      <c r="B46" s="735"/>
      <c r="C46" s="3617"/>
      <c r="D46" s="3456"/>
      <c r="E46" s="3447" t="str">
        <f>IF(('الصفحة 1'!$Q$14&gt;0),(IF((('الصفحة 1'!$V$38)=1),(IF((('الصفحة 1'!$V$38)=1),"الداخلية موجودة ؟  ","")),"")),"")</f>
        <v/>
      </c>
      <c r="F46" s="3429">
        <f>IF(('الصفحة 1'!V38=1),1,IF(('الصفحة 1'!V38=0),0,IF(('الصفحة 1'!V36=1),0,1)))</f>
        <v>0</v>
      </c>
      <c r="G46" s="1041"/>
      <c r="H46" s="1041"/>
      <c r="I46" s="3461"/>
      <c r="J46" s="1878"/>
      <c r="K46" s="1879"/>
      <c r="L46" s="1041"/>
      <c r="M46" s="1041"/>
      <c r="N46" s="1041"/>
      <c r="O46" s="941"/>
      <c r="P46" s="941"/>
      <c r="Q46" s="3699"/>
      <c r="W46" s="3704" t="str">
        <f>IF(('الصفحة 1'!$Q$14&gt;0),(IF((('الصفحة 1'!$V$38)=1),(IF((('الصفحة 1'!$V$38)=1),"Equipements de Cuisine.","")),"")),"")</f>
        <v/>
      </c>
      <c r="Y46" s="3610"/>
      <c r="Z46" s="736"/>
      <c r="AA46" s="709"/>
      <c r="AB46" s="3705" t="str">
        <f>IF(('الصفحة 1'!$Q$14&gt;0),IF(($F$20=1),((IF((F51=""),"  عدد المراقد الموجودة",IF((F51=0)," ",IF((F51&gt;0),""))))),""),"")</f>
        <v/>
      </c>
      <c r="AC46" s="3347"/>
      <c r="AE46" s="3348"/>
      <c r="AG46" s="1718"/>
      <c r="AH46" s="1718"/>
      <c r="AI46" s="2655"/>
    </row>
    <row r="47" spans="1:35" ht="3.9" customHeight="1">
      <c r="A47" s="703"/>
      <c r="B47" s="735"/>
      <c r="C47" s="3611"/>
      <c r="D47" s="2113"/>
      <c r="E47" s="3488"/>
      <c r="F47" s="941"/>
      <c r="G47" s="1041"/>
      <c r="H47" s="1041"/>
      <c r="I47" s="941"/>
      <c r="J47" s="1880"/>
      <c r="K47" s="1881"/>
      <c r="L47" s="1041"/>
      <c r="M47" s="1881"/>
      <c r="N47" s="941"/>
      <c r="O47" s="3686"/>
      <c r="P47" s="1881"/>
      <c r="Q47" s="3589"/>
      <c r="R47" s="1881"/>
      <c r="S47" s="1881"/>
      <c r="T47" s="1881"/>
      <c r="U47" s="941"/>
      <c r="V47" s="3614"/>
      <c r="W47" s="3614"/>
      <c r="X47" s="3614"/>
      <c r="Y47" s="3616"/>
      <c r="Z47" s="736"/>
      <c r="AA47" s="709"/>
      <c r="AC47" s="3347"/>
      <c r="AD47" s="3347"/>
      <c r="AE47" s="3348"/>
      <c r="AF47" s="3348"/>
      <c r="AG47" s="1718"/>
      <c r="AH47" s="1718"/>
      <c r="AI47" s="2655"/>
    </row>
    <row r="48" spans="1:35" ht="3.9" customHeight="1" thickBot="1">
      <c r="A48" s="703"/>
      <c r="B48" s="735"/>
      <c r="C48" s="3475"/>
      <c r="D48" s="3489" t="str">
        <f>IF(('الصفحة 1'!$Q$14&gt;0),IF(($F$20=1),((IF(((F28+F26)&gt;1),"تشتغل أم مغلقـــة",IF((($F$20)=1)," ",IF(((F28+F26)=1),""))))),""),"")</f>
        <v/>
      </c>
      <c r="E48" s="3490"/>
      <c r="F48" s="3465"/>
      <c r="G48" s="1041"/>
      <c r="H48" s="3618" t="s">
        <v>921</v>
      </c>
      <c r="I48" s="3461"/>
      <c r="J48" s="1878"/>
      <c r="K48" s="1879"/>
      <c r="L48" s="1041"/>
      <c r="M48" s="1041"/>
      <c r="N48" s="1041"/>
      <c r="O48" s="941"/>
      <c r="P48" s="941"/>
      <c r="Q48" s="3589"/>
      <c r="R48" s="1879"/>
      <c r="S48" s="1879"/>
      <c r="T48" s="1041"/>
      <c r="U48" s="1041"/>
      <c r="V48" s="1041"/>
      <c r="W48" s="3619"/>
      <c r="X48" s="3620"/>
      <c r="Y48" s="3574"/>
      <c r="Z48" s="736"/>
      <c r="AA48" s="709"/>
      <c r="AC48" s="3350"/>
      <c r="AE48" s="3055"/>
      <c r="AG48" s="1718"/>
      <c r="AH48" s="1718"/>
      <c r="AI48" s="2655"/>
    </row>
    <row r="49" spans="1:35" ht="15" customHeight="1" thickBot="1">
      <c r="A49" s="703"/>
      <c r="B49" s="735"/>
      <c r="C49" s="3475"/>
      <c r="D49" s="3489"/>
      <c r="E49" s="3447" t="str">
        <f>IF(('الصفحة 1'!$Q$14&gt;0),(IF((('الصفحة 1'!$V$38)=1),(IF((('الصفحة 1'!$V$38)=1),"الطاقة النظرية للداخلية ؟  ","")),"")),"")</f>
        <v/>
      </c>
      <c r="F49" s="4139">
        <f>F24</f>
        <v>0</v>
      </c>
      <c r="G49" s="4140"/>
      <c r="H49" s="3621"/>
      <c r="I49" s="1041"/>
      <c r="J49" s="1878"/>
      <c r="K49" s="1879"/>
      <c r="L49" s="1041"/>
      <c r="M49" s="1879"/>
      <c r="N49" s="3491"/>
      <c r="O49" s="3491"/>
      <c r="P49" s="3622"/>
      <c r="Q49" s="3589"/>
      <c r="R49" s="1879"/>
      <c r="S49" s="1879"/>
      <c r="T49" s="1879"/>
      <c r="U49" s="3491"/>
      <c r="V49" s="3447" t="str">
        <f>IF(('الصفحة 1'!$Q$14&gt;0),(IF((('الصفحة 1'!$V$38)=1),(IF((('الصفحة 1'!$V$38)=1)," تجهـيـزات المطبخ موجودة ؟ ","")),"")),"")</f>
        <v/>
      </c>
      <c r="W49" s="1642"/>
      <c r="X49" s="3620"/>
      <c r="Y49" s="3574"/>
      <c r="Z49" s="736"/>
      <c r="AA49" s="709"/>
      <c r="AB49" s="3705" t="str">
        <f>IF(('الصفحة 1'!$Q$14&gt;0),IF(($F$20=1),((IF((F53=""),"  عدد المراقد المستعملة",IF((F53=0)," ",IF((F53&gt;0),""))))),""),"")</f>
        <v/>
      </c>
      <c r="AD49" s="3705" t="str">
        <f>IF(('الصفحة 1'!$Q$14&gt;0),IF(($F$20=1),((IF((W49=""),"تجهـيـزات المطبخ  موجودة",IF((W49=0)," ",IF((W49=1),""))))),""),"")</f>
        <v/>
      </c>
      <c r="AI49" s="2655"/>
    </row>
    <row r="50" spans="1:35" ht="6" customHeight="1" thickBot="1">
      <c r="A50" s="703"/>
      <c r="B50" s="735"/>
      <c r="C50" s="3623"/>
      <c r="D50" s="3489"/>
      <c r="E50" s="3490"/>
      <c r="F50" s="3465"/>
      <c r="G50" s="941"/>
      <c r="H50" s="3621"/>
      <c r="I50" s="3461"/>
      <c r="J50" s="1878"/>
      <c r="K50" s="1879"/>
      <c r="L50" s="1041"/>
      <c r="M50" s="1879"/>
      <c r="N50" s="3491"/>
      <c r="O50" s="3491"/>
      <c r="P50" s="3622"/>
      <c r="Q50" s="3589"/>
      <c r="R50" s="1879"/>
      <c r="S50" s="1879"/>
      <c r="T50" s="1879"/>
      <c r="U50" s="3491"/>
      <c r="V50" s="941"/>
      <c r="W50" s="3624"/>
      <c r="X50" s="3620"/>
      <c r="Y50" s="3625"/>
      <c r="Z50" s="736"/>
      <c r="AA50" s="709"/>
      <c r="AD50" s="3712"/>
      <c r="AI50" s="2655"/>
    </row>
    <row r="51" spans="1:35" ht="15" customHeight="1" thickBot="1">
      <c r="A51" s="703"/>
      <c r="B51" s="735"/>
      <c r="C51" s="3623"/>
      <c r="D51" s="3489"/>
      <c r="E51" s="3447" t="str">
        <f>IF(('الصفحة 1'!$Q$14&gt;0),(IF((('الصفحة 1'!$V$38)=1),(IF((('الصفحة 1'!$V$38)=1),"عدد المراقد الموجودة ؟  ","")),"")),"")</f>
        <v/>
      </c>
      <c r="F51" s="4141"/>
      <c r="G51" s="4142"/>
      <c r="H51" s="3626" t="str">
        <f>IF(('الصفحة 1'!$Q$14&gt;0),(IF(($F$46=0),(IF((F51&gt;0),"خطء المراقد الموجودة والداخلية غير موجودة ؟","")),"")),"")</f>
        <v/>
      </c>
      <c r="I51" s="1041"/>
      <c r="J51" s="1878"/>
      <c r="K51" s="1879"/>
      <c r="L51" s="1041"/>
      <c r="M51" s="1879"/>
      <c r="N51" s="3491"/>
      <c r="O51" s="3491"/>
      <c r="P51" s="3622"/>
      <c r="Q51" s="3589"/>
      <c r="R51" s="1879"/>
      <c r="S51" s="1879"/>
      <c r="T51" s="1879"/>
      <c r="U51" s="3491"/>
      <c r="V51" s="3447" t="str">
        <f>IF(('الصفحة 1'!$Q$14&gt;0),(IF((('الصفحة 1'!$V$38)=1),(IF((('الصفحة 1'!$V$38)=1),"تجهـيـزات المطبخ صالحة ؟  ","")),"")),"")</f>
        <v/>
      </c>
      <c r="W51" s="1642"/>
      <c r="X51" s="3620"/>
      <c r="Y51" s="3625"/>
      <c r="Z51" s="736"/>
      <c r="AA51" s="709"/>
      <c r="AB51" s="3705" t="str">
        <f>IF(('الصفحة 1'!$Q$14&gt;0),IF(($F$20=1),((IF((F55=""),"المراقد المخصصة للبنات",IF((F55=0)," ",IF((F55&gt;0),""))))),""),"")</f>
        <v/>
      </c>
      <c r="AD51" s="3705" t="str">
        <f>IF(('الصفحة 1'!$Q$14&gt;0),IF(($F$20=1),((IF((W51=""),"تجهـيـزات المطبخ  صالحة",IF((W51=0)," ",IF((W51=1),""))))),""),"")</f>
        <v/>
      </c>
      <c r="AI51" s="2655"/>
    </row>
    <row r="52" spans="1:35" ht="6" customHeight="1" thickBot="1">
      <c r="A52" s="703"/>
      <c r="B52" s="735"/>
      <c r="C52" s="3623"/>
      <c r="D52" s="3489"/>
      <c r="E52" s="3490"/>
      <c r="F52" s="3465"/>
      <c r="G52" s="941"/>
      <c r="H52" s="3621"/>
      <c r="I52" s="3461"/>
      <c r="J52" s="1878"/>
      <c r="K52" s="1879"/>
      <c r="L52" s="1041"/>
      <c r="M52" s="1879"/>
      <c r="N52" s="3491"/>
      <c r="O52" s="3491"/>
      <c r="P52" s="3622"/>
      <c r="Q52" s="3589"/>
      <c r="R52" s="1879"/>
      <c r="S52" s="1879"/>
      <c r="T52" s="1879"/>
      <c r="U52" s="3491"/>
      <c r="V52" s="1041"/>
      <c r="W52" s="3627"/>
      <c r="X52" s="3620"/>
      <c r="Y52" s="3625"/>
      <c r="Z52" s="736"/>
      <c r="AA52" s="709"/>
      <c r="AD52" s="3713"/>
      <c r="AI52" s="2655"/>
    </row>
    <row r="53" spans="1:35" ht="15" customHeight="1" thickBot="1">
      <c r="A53" s="703"/>
      <c r="B53" s="735"/>
      <c r="C53" s="3623"/>
      <c r="D53" s="3489"/>
      <c r="E53" s="3447" t="str">
        <f>IF(('الصفحة 1'!$Q$14&gt;0),(IF((('الصفحة 1'!$V$38)=1),(IF((('الصفحة 1'!$V$38)=1),"عدد المراقد المستعملة ؟  ","")),"")),"")</f>
        <v/>
      </c>
      <c r="F53" s="4147"/>
      <c r="G53" s="4148"/>
      <c r="H53" s="3626" t="str">
        <f>IF(('الصفحة 1'!$Q$14&gt;0),(IF(($F$46=0),(IF((F53&gt;0),"خطء المراقد المستعملة والداخلية غير موجودة ؟","")),"")),"")</f>
        <v/>
      </c>
      <c r="I53" s="1041"/>
      <c r="J53" s="1878"/>
      <c r="K53" s="1879"/>
      <c r="L53" s="1041"/>
      <c r="M53" s="1879"/>
      <c r="N53" s="3491"/>
      <c r="O53" s="3491"/>
      <c r="P53" s="3622"/>
      <c r="Q53" s="3589"/>
      <c r="R53" s="1879"/>
      <c r="S53" s="1879"/>
      <c r="T53" s="1879"/>
      <c r="U53" s="3491"/>
      <c r="V53" s="3447" t="str">
        <f>IF(('الصفحة 1'!$Q$14&gt;0),(IF((('الصفحة 1'!$V$38)=1),(IF((('الصفحة 1'!$V$38)=1),"تتطلب التعويض الجزئي ؟  ","")),"")),"")</f>
        <v/>
      </c>
      <c r="W53" s="1642"/>
      <c r="X53" s="3620"/>
      <c r="Y53" s="3625"/>
      <c r="Z53" s="736"/>
      <c r="AA53" s="709"/>
      <c r="AB53" s="3705" t="str">
        <f>IF(('الصفحة 1'!$Q$14&gt;0),IF(($F$20=1),((IF((F57=""),"عدد الأسرّة الموجودة",IF((F57=0)," ",IF((F57&gt;0),""))))),""),"")</f>
        <v/>
      </c>
      <c r="AD53" s="3705" t="str">
        <f>IF(('الصفحة 1'!$Q$14&gt;0),IF(($F$20=1),((IF((W53=""),"تتطلب التعويض الجزئي",IF((W53=0)," ",IF((W53=1),""))))),""),"")</f>
        <v/>
      </c>
      <c r="AI53" s="2655"/>
    </row>
    <row r="54" spans="1:35" ht="6" customHeight="1" thickBot="1">
      <c r="A54" s="703"/>
      <c r="B54" s="735"/>
      <c r="C54" s="3623"/>
      <c r="D54" s="3489"/>
      <c r="E54" s="3490"/>
      <c r="F54" s="3465"/>
      <c r="G54" s="941"/>
      <c r="H54" s="3621"/>
      <c r="I54" s="3461"/>
      <c r="J54" s="1878"/>
      <c r="K54" s="1879"/>
      <c r="L54" s="1041"/>
      <c r="M54" s="1879"/>
      <c r="N54" s="3491"/>
      <c r="O54" s="3491"/>
      <c r="P54" s="3622"/>
      <c r="Q54" s="3589"/>
      <c r="R54" s="1879"/>
      <c r="S54" s="1879"/>
      <c r="T54" s="1879"/>
      <c r="U54" s="3491"/>
      <c r="V54" s="941"/>
      <c r="W54" s="3624"/>
      <c r="X54" s="3620"/>
      <c r="Y54" s="3625"/>
      <c r="Z54" s="736"/>
      <c r="AA54" s="709"/>
      <c r="AB54" s="3706"/>
      <c r="AD54" s="3713"/>
      <c r="AI54" s="2655"/>
    </row>
    <row r="55" spans="1:35" ht="15" customHeight="1" thickBot="1">
      <c r="A55" s="703"/>
      <c r="B55" s="735"/>
      <c r="C55" s="3623"/>
      <c r="D55" s="3489"/>
      <c r="E55" s="3447" t="str">
        <f>IF(('الصفحة 1'!$Q$14&gt;0),(IF((('الصفحة 1'!$V$38)=1),(IF((('الصفحة 1'!$V$38)=1),"المراقد المخصصة للبنات ؟  ","")),"")),"")</f>
        <v/>
      </c>
      <c r="F55" s="4147"/>
      <c r="G55" s="4148"/>
      <c r="H55" s="3628" t="str">
        <f>IF(('الصفحة 1'!$Q$14&gt;0),(IF(($F$46=0),(IF((F55&gt;0),"خطء المراقد للبنات والداخلية غير موجودة ؟","")),"")),"")</f>
        <v/>
      </c>
      <c r="I55" s="3461"/>
      <c r="J55" s="1878"/>
      <c r="K55" s="1879"/>
      <c r="L55" s="1041"/>
      <c r="M55" s="1879"/>
      <c r="N55" s="3491"/>
      <c r="O55" s="3491"/>
      <c r="P55" s="3622"/>
      <c r="Q55" s="3589"/>
      <c r="R55" s="1879"/>
      <c r="S55" s="1879"/>
      <c r="T55" s="1879"/>
      <c r="U55" s="3491"/>
      <c r="V55" s="3447" t="str">
        <f>IF(('الصفحة 1'!$Q$14&gt;0),(IF((('الصفحة 1'!$V$38)=1),(IF((('الصفحة 1'!$V$38)=1),"تتطلب  التعويض الكلي ؟  ","")),"")),"")</f>
        <v/>
      </c>
      <c r="W55" s="1642"/>
      <c r="X55" s="3620"/>
      <c r="Y55" s="3625"/>
      <c r="Z55" s="736"/>
      <c r="AA55" s="709"/>
      <c r="AB55" s="3705" t="str">
        <f>IF(('الصفحة 1'!$Q$14&gt;0),IF(($F$20=1),((IF((F59=""),"عدد الأسرّة المستعملة",IF((F59=0)," ",IF((F59&gt;0),""))))),""),"")</f>
        <v/>
      </c>
      <c r="AD55" s="3705" t="str">
        <f>IF(('الصفحة 1'!$Q$14&gt;0),IF((F$20=1),((IF((W55=""),"تتطلب  التعويض الكلي",IF((W55=0)," ",IF((W55=1),""))))),""),"")</f>
        <v/>
      </c>
      <c r="AI55" s="2655"/>
    </row>
    <row r="56" spans="1:35" ht="6" customHeight="1" thickBot="1">
      <c r="A56" s="703"/>
      <c r="B56" s="735"/>
      <c r="C56" s="3623"/>
      <c r="D56" s="3489"/>
      <c r="E56" s="3490"/>
      <c r="F56" s="3465"/>
      <c r="G56" s="941"/>
      <c r="H56" s="3621"/>
      <c r="I56" s="3461"/>
      <c r="J56" s="1878"/>
      <c r="K56" s="1879"/>
      <c r="L56" s="1041"/>
      <c r="M56" s="1879"/>
      <c r="N56" s="3491"/>
      <c r="O56" s="3491"/>
      <c r="P56" s="3622"/>
      <c r="Q56" s="3589"/>
      <c r="R56" s="1879"/>
      <c r="S56" s="1879"/>
      <c r="T56" s="1879"/>
      <c r="U56" s="3491"/>
      <c r="V56" s="941"/>
      <c r="W56" s="3624"/>
      <c r="X56" s="3620"/>
      <c r="Y56" s="3625"/>
      <c r="Z56" s="736"/>
      <c r="AA56" s="709"/>
      <c r="AB56" s="3706"/>
      <c r="AD56" s="3714"/>
      <c r="AI56" s="2655"/>
    </row>
    <row r="57" spans="1:35" ht="15" customHeight="1" thickBot="1">
      <c r="A57" s="703"/>
      <c r="B57" s="735"/>
      <c r="C57" s="3623"/>
      <c r="D57" s="3489"/>
      <c r="E57" s="3447" t="str">
        <f>IF(('الصفحة 1'!$Q$14&gt;0),(IF((('الصفحة 1'!$V$38)=1),(IF((('الصفحة 1'!$V$38)=1),"عدد الأسرّة الموجودة ؟  ","")),"")),"")</f>
        <v/>
      </c>
      <c r="F57" s="4147"/>
      <c r="G57" s="4148"/>
      <c r="H57" s="3626" t="str">
        <f>IF(('الصفحة 1'!$Q$14&gt;0),(IF(($F$46=0),(IF((F57&gt;0),"خطء الأسرّة الموجودة والداخلية غير موجودة ؟","")),"")),"")</f>
        <v/>
      </c>
      <c r="I57" s="3461"/>
      <c r="J57" s="1878"/>
      <c r="K57" s="1879"/>
      <c r="L57" s="1041"/>
      <c r="M57" s="1879"/>
      <c r="N57" s="3491"/>
      <c r="O57" s="3491"/>
      <c r="P57" s="3622"/>
      <c r="Q57" s="3589"/>
      <c r="R57" s="1879"/>
      <c r="S57" s="1879"/>
      <c r="T57" s="1879"/>
      <c r="U57" s="3491"/>
      <c r="V57" s="3447" t="str">
        <f>IF(('الصفحة 1'!$Q$14&gt;0),(IF((('الصفحة 1'!$V$38)=1),(IF((('الصفحة 1'!$V$38)=1),"غرفة  التبريد شغالة ؟  ","")),"")),"")</f>
        <v/>
      </c>
      <c r="W57" s="1642"/>
      <c r="X57" s="3620"/>
      <c r="Y57" s="3625"/>
      <c r="Z57" s="736"/>
      <c r="AA57" s="709"/>
      <c r="AB57" s="3707" t="str">
        <f>IF(('الصفحة 1'!$Q$14&gt;0),IF(($F$20=1),((IF((F61=""),"عدد الأسرّة الصالحة",IF((F61=0)," ",IF((F61&gt;0),""))))),""),"")</f>
        <v/>
      </c>
      <c r="AD57" s="3705" t="str">
        <f>IF(('الصفحة 1'!$Q$14&gt;0),IF(($F$20=1),((IF((W57=""),"غرفة  التبريد شغالة",IF((W57=0)," ",IF((W57=1),""))))),""),"")</f>
        <v/>
      </c>
      <c r="AI57" s="2655"/>
    </row>
    <row r="58" spans="1:35" ht="6" customHeight="1" thickBot="1">
      <c r="A58" s="703"/>
      <c r="B58" s="735"/>
      <c r="C58" s="3623"/>
      <c r="D58" s="3489"/>
      <c r="E58" s="3490"/>
      <c r="F58" s="3465"/>
      <c r="G58" s="941"/>
      <c r="H58" s="3621"/>
      <c r="I58" s="3461"/>
      <c r="J58" s="1878"/>
      <c r="K58" s="1879"/>
      <c r="L58" s="1041"/>
      <c r="M58" s="1879"/>
      <c r="N58" s="3491"/>
      <c r="O58" s="3491"/>
      <c r="P58" s="3622"/>
      <c r="Q58" s="3589"/>
      <c r="R58" s="1879"/>
      <c r="S58" s="1879"/>
      <c r="T58" s="1879"/>
      <c r="U58" s="3491"/>
      <c r="V58" s="3626"/>
      <c r="W58" s="3619"/>
      <c r="X58" s="3620"/>
      <c r="Y58" s="3625"/>
      <c r="Z58" s="736"/>
      <c r="AA58" s="709"/>
      <c r="AB58" s="3706"/>
      <c r="AI58" s="2655"/>
    </row>
    <row r="59" spans="1:35" ht="15" customHeight="1" thickBot="1">
      <c r="A59" s="703"/>
      <c r="B59" s="735"/>
      <c r="C59" s="1531"/>
      <c r="D59" s="3489"/>
      <c r="E59" s="3447" t="str">
        <f>IF(('الصفحة 1'!$Q$14&gt;0),(IF((('الصفحة 1'!$V$38)=1),(IF((('الصفحة 1'!$V$38)=1),"عدد الأسرّة المستعملة ؟  ","")),"")),"")</f>
        <v/>
      </c>
      <c r="F59" s="4147"/>
      <c r="G59" s="4148"/>
      <c r="H59" s="3626" t="str">
        <f>IF(('الصفحة 1'!$Q$14&gt;0),(IF(($F$46=0),(IF((F59&gt;0),"خطء الأسرّة المستعملة والداخلية غير موجودة ؟","")),"")),"")</f>
        <v/>
      </c>
      <c r="I59" s="3461"/>
      <c r="J59" s="1041"/>
      <c r="K59" s="3629"/>
      <c r="L59" s="1041"/>
      <c r="M59" s="3629"/>
      <c r="N59" s="3738" t="str">
        <f>IF(('الصفحة 1'!$Q$14&gt;0),IF((($F$59)&gt;=F34+F38+F42),"","خطء عدد"),"")</f>
        <v/>
      </c>
      <c r="O59" s="3491"/>
      <c r="P59" s="3622"/>
      <c r="Q59" s="3700" t="str">
        <f>IF(('الصفحة 1'!$Q$14&gt;0),(IF(($F$20=0),(IF(((W49+W51+W53+W55+W57)&gt;0),"خطء، التجهـيـزات الكبرى ونصف الداخلية غيرموجودة ","")),"")),"")</f>
        <v/>
      </c>
      <c r="R59" s="1879"/>
      <c r="S59" s="1879"/>
      <c r="T59" s="1879"/>
      <c r="U59" s="3491"/>
      <c r="V59" s="3626"/>
      <c r="W59" s="3619"/>
      <c r="X59" s="3620"/>
      <c r="Y59" s="3625"/>
      <c r="Z59" s="736"/>
      <c r="AA59" s="709"/>
      <c r="AB59" s="3707" t="str">
        <f>IF(('الصفحة 1'!$Q$14&gt;0),IF(($F$20=1),((IF((F63=""),"عدد الأسرّة للتعويض",IF((F63=0)," ",IF((F63&gt;0),""))))),""),"")</f>
        <v/>
      </c>
      <c r="AI59" s="2655"/>
    </row>
    <row r="60" spans="1:35" ht="6" customHeight="1" thickBot="1">
      <c r="A60" s="703"/>
      <c r="B60" s="735"/>
      <c r="C60" s="3630"/>
      <c r="D60" s="3489"/>
      <c r="E60" s="3490"/>
      <c r="F60" s="3465"/>
      <c r="G60" s="941"/>
      <c r="H60" s="3621"/>
      <c r="I60" s="3461"/>
      <c r="J60" s="1878"/>
      <c r="K60" s="1879"/>
      <c r="L60" s="1041"/>
      <c r="M60" s="1879"/>
      <c r="N60" s="3491"/>
      <c r="O60" s="3491"/>
      <c r="P60" s="3622"/>
      <c r="Q60" s="3589"/>
      <c r="R60" s="1879"/>
      <c r="S60" s="1879"/>
      <c r="T60" s="1879"/>
      <c r="U60" s="3491"/>
      <c r="V60" s="3626"/>
      <c r="W60" s="3619"/>
      <c r="X60" s="3620"/>
      <c r="Y60" s="3625"/>
      <c r="Z60" s="736"/>
      <c r="AA60" s="709"/>
      <c r="AB60" s="3706"/>
      <c r="AI60" s="2655"/>
    </row>
    <row r="61" spans="1:35" ht="15" customHeight="1" thickBot="1">
      <c r="A61" s="703"/>
      <c r="B61" s="735"/>
      <c r="C61" s="3439" t="str">
        <f>IF(('الصفحة 1'!$Q$14&gt;0),IF((($F$57)=$F$61+$F$63),"","خطء عدد"),"")</f>
        <v/>
      </c>
      <c r="D61" s="3489"/>
      <c r="E61" s="3447" t="str">
        <f>IF(('الصفحة 1'!$Q$14&gt;0),(IF((('الصفحة 1'!$V$38)=1),(IF((('الصفحة 1'!$V$38)=1),"عدد الأسرّة الصالحة ؟  ","")),"")),"")</f>
        <v/>
      </c>
      <c r="F61" s="4147"/>
      <c r="G61" s="4148"/>
      <c r="H61" s="3626" t="str">
        <f>IF(('الصفحة 1'!$Q$14&gt;0),(IF(($F$46=0),(IF((F61&gt;0),"خطء الأسرّة الصالحة والداخلية غير موجودة ؟","")),"")),"")</f>
        <v/>
      </c>
      <c r="I61" s="3461"/>
      <c r="J61" s="1878"/>
      <c r="K61" s="1879"/>
      <c r="L61" s="1041"/>
      <c r="M61" s="1879"/>
      <c r="N61" s="3491"/>
      <c r="O61" s="3491"/>
      <c r="P61" s="3622"/>
      <c r="Q61" s="3701" t="str">
        <f>IF(('الصفحة 1'!$Q$14&gt;0),(IF(($W$49=0),(IF((W53&gt;0),"تجهـيـزات المطبخ  غير موجودة ؟","")),"")),"")</f>
        <v/>
      </c>
      <c r="R61" s="1879"/>
      <c r="S61" s="1879"/>
      <c r="T61" s="1879"/>
      <c r="U61" s="3491"/>
      <c r="V61" s="3626"/>
      <c r="W61" s="3619"/>
      <c r="X61" s="3620"/>
      <c r="Y61" s="3625"/>
      <c r="Z61" s="736"/>
      <c r="AA61" s="709"/>
      <c r="AB61" s="3708" t="str">
        <f>IF(('الصفحة 1'!$Q$14&gt;0),IF(($F$20=0),IF((F59&gt;0),"خطء عدد الأسرّة المستعملة ",IF(($F$20=1),(F59&gt;0),"")),""),"")</f>
        <v/>
      </c>
      <c r="AC61" s="1716"/>
      <c r="AE61" s="1032"/>
      <c r="AF61" s="1882"/>
      <c r="AG61" s="1718"/>
      <c r="AH61" s="1718"/>
      <c r="AI61" s="2655"/>
    </row>
    <row r="62" spans="1:35" ht="6" customHeight="1" thickBot="1">
      <c r="A62" s="703"/>
      <c r="B62" s="735"/>
      <c r="C62" s="3630"/>
      <c r="D62" s="3489"/>
      <c r="E62" s="3490"/>
      <c r="F62" s="3465"/>
      <c r="G62" s="941"/>
      <c r="H62" s="3621"/>
      <c r="I62" s="3461"/>
      <c r="J62" s="1878"/>
      <c r="K62" s="1879"/>
      <c r="L62" s="1041"/>
      <c r="M62" s="1879"/>
      <c r="N62" s="3491"/>
      <c r="O62" s="3491"/>
      <c r="P62" s="3622"/>
      <c r="Q62" s="3589"/>
      <c r="R62" s="1879"/>
      <c r="S62" s="1879"/>
      <c r="T62" s="1879"/>
      <c r="U62" s="3491"/>
      <c r="V62" s="3626"/>
      <c r="W62" s="3619"/>
      <c r="X62" s="3620"/>
      <c r="Y62" s="3625"/>
      <c r="Z62" s="736"/>
      <c r="AA62" s="709"/>
      <c r="AB62" s="3706"/>
      <c r="AC62" s="1716"/>
      <c r="AD62" s="2340"/>
      <c r="AE62" s="1032"/>
      <c r="AF62" s="1882"/>
      <c r="AG62" s="1718"/>
      <c r="AH62" s="1718"/>
      <c r="AI62" s="2655"/>
    </row>
    <row r="63" spans="1:35" ht="15" customHeight="1" thickBot="1">
      <c r="A63" s="703"/>
      <c r="B63" s="735"/>
      <c r="C63" s="3439" t="str">
        <f>IF(('الصفحة 1'!$Q$14&gt;0),IF((($F$57)=$F$61+$F$63),"","خطء عدد"),"")</f>
        <v/>
      </c>
      <c r="D63" s="3489"/>
      <c r="E63" s="3447" t="str">
        <f>IF(('الصفحة 1'!$Q$14&gt;0),(IF((('الصفحة 1'!$V$38)=1),(IF((('الصفحة 1'!$V$38)=1),"عدد الأسرّة للتعويض ؟  ","")),"")),"")</f>
        <v/>
      </c>
      <c r="F63" s="4147"/>
      <c r="G63" s="4148"/>
      <c r="H63" s="3626" t="str">
        <f>IF(('الصفحة 1'!$Q$14&gt;0),(IF(($F$46=0),(IF((F63&gt;0),"خطء الأسرّة للتعويض والداخلية غير موجودة ؟","")),"")),"")</f>
        <v/>
      </c>
      <c r="I63" s="3461"/>
      <c r="J63" s="1878"/>
      <c r="K63" s="1879"/>
      <c r="L63" s="1041"/>
      <c r="M63" s="1879"/>
      <c r="N63" s="3491"/>
      <c r="O63" s="3491"/>
      <c r="P63" s="3622"/>
      <c r="Q63" s="3701" t="str">
        <f>IF(('الصفحة 1'!$Q$14&gt;0),(IF(($W$53=1),(IF((W55=1),"تجهـيـزات المطبخ  تتطلب  التعويض الكلي والجزئي ؟ ","")),"")),"")</f>
        <v/>
      </c>
      <c r="R63" s="1879"/>
      <c r="S63" s="1879"/>
      <c r="T63" s="1879"/>
      <c r="U63" s="3491"/>
      <c r="V63" s="3626"/>
      <c r="W63" s="3619"/>
      <c r="X63" s="3620"/>
      <c r="Y63" s="3625"/>
      <c r="Z63" s="736"/>
      <c r="AA63" s="709"/>
      <c r="AB63" s="3709" t="str">
        <f>IF(('الصفحة 1'!$Q$14&gt;0),IF(($F$20=0),IF((F63&gt;0),"خطء عدد الأسرّة للتعويض",IF(($F$20=1),(F63&gt;0),"")),""),"")</f>
        <v/>
      </c>
      <c r="AC63" s="1716"/>
      <c r="AD63" s="2340"/>
      <c r="AE63" s="1032"/>
      <c r="AF63" s="1882"/>
      <c r="AG63" s="1718"/>
      <c r="AH63" s="1718"/>
      <c r="AI63" s="2655"/>
    </row>
    <row r="64" spans="1:35" ht="6" customHeight="1">
      <c r="A64" s="703"/>
      <c r="B64" s="735"/>
      <c r="C64" s="3623"/>
      <c r="D64" s="3489"/>
      <c r="E64" s="3490"/>
      <c r="F64" s="3465"/>
      <c r="G64" s="941"/>
      <c r="H64" s="3631"/>
      <c r="I64" s="3461"/>
      <c r="J64" s="1878"/>
      <c r="K64" s="1879"/>
      <c r="L64" s="941"/>
      <c r="M64" s="1879"/>
      <c r="N64" s="3491"/>
      <c r="O64" s="3491"/>
      <c r="P64" s="3622"/>
      <c r="Q64" s="941"/>
      <c r="R64" s="1879"/>
      <c r="S64" s="1879"/>
      <c r="T64" s="1879"/>
      <c r="U64" s="3491"/>
      <c r="V64" s="3626"/>
      <c r="W64" s="3619"/>
      <c r="X64" s="3620"/>
      <c r="Y64" s="3625"/>
      <c r="Z64" s="736"/>
      <c r="AA64" s="709"/>
      <c r="AB64" s="3246"/>
      <c r="AC64" s="1716"/>
      <c r="AD64" s="2340"/>
      <c r="AE64" s="1032"/>
      <c r="AF64" s="1882"/>
      <c r="AG64" s="1718"/>
      <c r="AH64" s="1718"/>
      <c r="AI64" s="2655"/>
    </row>
    <row r="65" spans="1:35" ht="18" customHeight="1">
      <c r="A65" s="703"/>
      <c r="B65" s="735"/>
      <c r="C65" s="3632"/>
      <c r="D65" s="4143" t="str">
        <f>IF(('الصفحة 1'!$Q$14&gt;0),(IF((('الصفحة 1'!$V$38)=1),(IF((('الصفحة 1'!$V$38)=1),"9-4 -المستفيدين من الإطعـــام  -   النصف الداخليين","")),"")),"")</f>
        <v/>
      </c>
      <c r="E65" s="4143"/>
      <c r="F65" s="4143"/>
      <c r="G65" s="4143"/>
      <c r="H65" s="4143"/>
      <c r="I65" s="4143"/>
      <c r="J65" s="4143"/>
      <c r="K65" s="4143"/>
      <c r="L65" s="4143"/>
      <c r="M65" s="4143"/>
      <c r="N65" s="4143"/>
      <c r="O65" s="3473"/>
      <c r="P65" s="3633"/>
      <c r="Q65" s="3634"/>
      <c r="R65" s="3474"/>
      <c r="S65" s="3635"/>
      <c r="T65" s="1583"/>
      <c r="U65" s="1586"/>
      <c r="V65" s="3474"/>
      <c r="W65" s="1906" t="str">
        <f>IF(('الصفحة 1'!$Q$14&gt;0),(IF((('الصفحة 1'!$V$38)=1),(IF((('الصفحة 1'!$V$38)=1),".Les Demi-Pensionnaires","")),"")),"")</f>
        <v/>
      </c>
      <c r="X65" s="3636"/>
      <c r="Y65" s="3637"/>
      <c r="Z65" s="736"/>
      <c r="AA65" s="709"/>
      <c r="AB65" s="3246"/>
      <c r="AC65" s="1716"/>
      <c r="AD65" s="2340"/>
      <c r="AE65" s="1032"/>
      <c r="AF65" s="1882"/>
      <c r="AG65" s="1718"/>
      <c r="AH65" s="1718"/>
      <c r="AI65" s="2655"/>
    </row>
    <row r="66" spans="1:35" ht="6.9" customHeight="1" thickBot="1">
      <c r="A66" s="703"/>
      <c r="B66" s="735"/>
      <c r="C66" s="3623"/>
      <c r="D66" s="3478"/>
      <c r="E66" s="3477"/>
      <c r="F66" s="3477"/>
      <c r="G66" s="3477"/>
      <c r="H66" s="3590"/>
      <c r="I66" s="3564"/>
      <c r="J66" s="3478"/>
      <c r="K66" s="1879"/>
      <c r="L66" s="941"/>
      <c r="M66" s="1879"/>
      <c r="N66" s="3491"/>
      <c r="O66" s="3491"/>
      <c r="P66" s="3622"/>
      <c r="Q66" s="941"/>
      <c r="R66" s="1879"/>
      <c r="S66" s="1879"/>
      <c r="T66" s="1879"/>
      <c r="U66" s="3491"/>
      <c r="V66" s="3626"/>
      <c r="W66" s="3619"/>
      <c r="X66" s="3620"/>
      <c r="Y66" s="3625"/>
      <c r="Z66" s="736"/>
      <c r="AA66" s="709"/>
      <c r="AC66" s="1716"/>
      <c r="AD66" s="2340"/>
      <c r="AE66" s="1032"/>
      <c r="AI66" s="2655"/>
    </row>
    <row r="67" spans="1:35" ht="15.9" customHeight="1" thickTop="1">
      <c r="A67" s="703"/>
      <c r="B67" s="735"/>
      <c r="C67" s="3623"/>
      <c r="D67" s="1041"/>
      <c r="E67" s="4146" t="str">
        <f>IF(('الصفحة 1'!$Q$14&gt;0),(IF((('الصفحة 1'!$V$38)=1),(IF((('الصفحة 1'!$V$38)=1),"المستفيدين من المتوسطة نفسها","")),"")),"")</f>
        <v/>
      </c>
      <c r="F67" s="4146"/>
      <c r="G67" s="4146"/>
      <c r="H67" s="4146"/>
      <c r="I67" s="4146"/>
      <c r="J67" s="4146"/>
      <c r="K67" s="4146"/>
      <c r="L67" s="4146"/>
      <c r="M67" s="4146"/>
      <c r="N67" s="3732" t="str">
        <f>IF(('الصفحة 1'!$Q$14&gt;0),(IF(($F$20=0),(IF(((F69+K69+F73+K73+F77+K77+F81+K81)&gt;0),"خطء،المستفيدين ون الداخلية مغلقة","")),"")),"")</f>
        <v/>
      </c>
      <c r="O67" s="3733"/>
      <c r="P67" s="1879"/>
      <c r="Q67" s="941"/>
      <c r="R67" s="1879"/>
      <c r="S67" s="1879"/>
      <c r="T67" s="3720" t="str">
        <f>IF(('الصفحة 1'!$Q$14&gt;0),(IF(($U$28=1),(IF(((F69+K69+F73+K73+F77+K77+F81+K81)&gt;0),"خطء، ن الداخلية غير شغالة","")),"")),"")</f>
        <v/>
      </c>
      <c r="U67" s="3734"/>
      <c r="V67" s="3734"/>
      <c r="W67" s="941"/>
      <c r="X67" s="941"/>
      <c r="Y67" s="3638"/>
      <c r="Z67" s="736"/>
      <c r="AA67" s="709"/>
      <c r="AB67" s="2604" t="str">
        <f>IF(('الصفحة 1'!$Q$14&gt;0),IF(($F$20&gt;=1),((IF((F69=""),"نصف الداخليين المتوسطة نفسها",IF((F69=0)," ",IF((F69&gt;0),""))))),""),"")</f>
        <v/>
      </c>
      <c r="AC67" s="1716"/>
      <c r="AD67" s="2340"/>
      <c r="AE67" s="1032"/>
      <c r="AF67" s="4116" t="s">
        <v>688</v>
      </c>
      <c r="AG67" s="4159"/>
      <c r="AH67" s="4160"/>
      <c r="AI67" s="2655"/>
    </row>
    <row r="68" spans="1:35" ht="3.9" customHeight="1">
      <c r="A68" s="703"/>
      <c r="B68" s="735"/>
      <c r="C68" s="3623"/>
      <c r="D68" s="3478"/>
      <c r="E68" s="3477"/>
      <c r="F68" s="3477"/>
      <c r="G68" s="3477"/>
      <c r="H68" s="3477"/>
      <c r="I68" s="3478"/>
      <c r="J68" s="3478"/>
      <c r="K68" s="3639"/>
      <c r="L68" s="941"/>
      <c r="M68" s="941"/>
      <c r="N68" s="3491"/>
      <c r="O68" s="3733"/>
      <c r="P68" s="1879"/>
      <c r="Q68" s="941"/>
      <c r="R68" s="1879"/>
      <c r="S68" s="1879"/>
      <c r="T68" s="941"/>
      <c r="U68" s="3734"/>
      <c r="V68" s="3734"/>
      <c r="W68" s="941"/>
      <c r="X68" s="3640"/>
      <c r="Y68" s="3638"/>
      <c r="Z68" s="736"/>
      <c r="AA68" s="709"/>
      <c r="AB68" s="2614"/>
      <c r="AC68" s="1716"/>
      <c r="AD68" s="2340"/>
      <c r="AE68" s="1032"/>
      <c r="AF68" s="3441"/>
      <c r="AG68" s="3442"/>
      <c r="AH68" s="3443"/>
      <c r="AI68" s="2655"/>
    </row>
    <row r="69" spans="1:35" ht="14.1" customHeight="1">
      <c r="A69" s="703"/>
      <c r="B69" s="735"/>
      <c r="C69" s="3623"/>
      <c r="D69" s="1041"/>
      <c r="E69" s="3447" t="str">
        <f>IF(('الصفحة 1'!$Q$14&gt;0),(IF((('الصفحة 1'!$V$38)=1),(IF((('الصفحة 1'!$V$38)=1),"مجموع المستفيدين ؟ ","")),"")),"")</f>
        <v/>
      </c>
      <c r="F69" s="4112"/>
      <c r="G69" s="4113"/>
      <c r="I69" s="3641"/>
      <c r="J69" s="3447" t="str">
        <f>IF(('الصفحة 1'!$Q$14&gt;0),(IF((('الصفحة 1'!$V$38)=1),(IF((('الصفحة 1'!$V$38)=1),"منهم بنات ؟ ","")),"")),"")</f>
        <v/>
      </c>
      <c r="K69" s="3865"/>
      <c r="L69" s="3866"/>
      <c r="M69" s="3867"/>
      <c r="N69" s="3735" t="str">
        <f>IF(('الصفحة 1'!$Q$14&gt;0),(IF(($F$20=0),(IF((F69&gt;0),"F69 خطء","")),"")),"")</f>
        <v/>
      </c>
      <c r="O69" s="3736"/>
      <c r="P69" s="3737"/>
      <c r="Q69" s="3732" t="str">
        <f>IF(('الصفحة 1'!$Q$14&gt;0),(IF(($F$20=0),(IF((K69&gt;0),"K69 خطء","")),"")),"")</f>
        <v/>
      </c>
      <c r="R69" s="3737"/>
      <c r="T69" s="3732" t="str">
        <f>IF(('الصفحة 1'!$Q$14&gt;0),(IF(($U$28=1),(IF((F69&gt;0),"F69 خطء","")),"")),"")</f>
        <v/>
      </c>
      <c r="U69" s="3732" t="str">
        <f>IF(('الصفحة 1'!$Q$14&gt;0),(IF(($U$28=1),(IF((K69&gt;0),"K69 خطء","")),"")),"")</f>
        <v/>
      </c>
      <c r="V69" s="3732" t="str">
        <f>IF(('الصفحة 1'!$Q$14&gt;0),(IF((F69&gt;0),(IF((F69&gt;'الصفحة 10'!N46),"F69 خطء","")),"")),"")</f>
        <v/>
      </c>
      <c r="W69" s="941" t="str">
        <f>IF(('الصفحة 1'!$Q$14&gt;0),(IF((K69&gt;0),(IF((K69&gt;'الصفحة 10'!O46),"K69 خطء","")),"")),"")</f>
        <v/>
      </c>
      <c r="X69" s="3461"/>
      <c r="Y69" s="3638"/>
      <c r="Z69" s="736"/>
      <c r="AA69" s="709"/>
      <c r="AB69" s="2604" t="str">
        <f>IF(('الصفحة 1'!$Q$14&gt;0),IF(($F$20&gt;=1),((IF((K69=""),"نصف الداخليين المتوسطة نفسها",IF((K69=0)," ",IF((K69&gt;0),""))))),""),"")</f>
        <v/>
      </c>
      <c r="AC69" s="1716"/>
      <c r="AD69" s="2340"/>
      <c r="AE69" s="1032"/>
      <c r="AF69" s="4161" t="s">
        <v>683</v>
      </c>
      <c r="AG69" s="4162"/>
      <c r="AH69" s="4163"/>
      <c r="AI69" s="2655"/>
    </row>
    <row r="70" spans="1:35" ht="3.9" customHeight="1">
      <c r="A70" s="703"/>
      <c r="B70" s="735"/>
      <c r="C70" s="3623"/>
      <c r="D70" s="3642"/>
      <c r="E70" s="3477"/>
      <c r="F70" s="3477"/>
      <c r="G70" s="3477"/>
      <c r="H70" s="3477"/>
      <c r="I70" s="3477"/>
      <c r="J70" s="3477"/>
      <c r="K70" s="3643"/>
      <c r="L70" s="941"/>
      <c r="M70" s="941"/>
      <c r="N70" s="3644"/>
      <c r="O70" s="941"/>
      <c r="P70" s="941"/>
      <c r="Q70" s="941"/>
      <c r="R70" s="941"/>
      <c r="S70" s="941"/>
      <c r="T70" s="941"/>
      <c r="U70" s="941"/>
      <c r="V70" s="941"/>
      <c r="W70" s="941"/>
      <c r="X70" s="3461"/>
      <c r="Y70" s="3638"/>
      <c r="Z70" s="736"/>
      <c r="AA70" s="709"/>
      <c r="AB70" s="2601"/>
      <c r="AC70" s="1716"/>
      <c r="AD70" s="2340"/>
      <c r="AE70" s="1032"/>
      <c r="AF70" s="4161"/>
      <c r="AG70" s="4162"/>
      <c r="AH70" s="4163"/>
      <c r="AI70" s="2655"/>
    </row>
    <row r="71" spans="1:35" ht="15.9" customHeight="1">
      <c r="A71" s="703"/>
      <c r="B71" s="735"/>
      <c r="C71" s="3623"/>
      <c r="D71" s="1041"/>
      <c r="E71" s="4150" t="str">
        <f>IF(('الصفحة 1'!$Q$14&gt;0),(IF((('الصفحة 1'!$V$38)=1),(IF((('الصفحة 1'!$V$38)=1),"المستفيدين من متوسطات أخرى","")),"")),"")</f>
        <v/>
      </c>
      <c r="F71" s="4150"/>
      <c r="G71" s="4150"/>
      <c r="H71" s="4150"/>
      <c r="I71" s="4150"/>
      <c r="J71" s="4150"/>
      <c r="K71" s="4150"/>
      <c r="L71" s="4150"/>
      <c r="M71" s="4150"/>
      <c r="N71" s="3644"/>
      <c r="O71" s="941"/>
      <c r="P71" s="941"/>
      <c r="Q71" s="941"/>
      <c r="R71" s="941"/>
      <c r="S71" s="941"/>
      <c r="T71" s="941"/>
      <c r="U71" s="941"/>
      <c r="V71" s="941"/>
      <c r="W71" s="941"/>
      <c r="X71" s="3645"/>
      <c r="Y71" s="3638"/>
      <c r="Z71" s="736"/>
      <c r="AA71" s="2655"/>
      <c r="AB71" s="2604" t="str">
        <f>IF(('الصفحة 1'!$Q$14&gt;0),IF(($F$20&gt;=1),((IF((F73=""),"نصف الداخليين متوسطات أخرى",IF((F73=0)," ",IF((F73&gt;0),""))))),""),"")</f>
        <v/>
      </c>
      <c r="AC71" s="1716"/>
      <c r="AD71" s="2340"/>
      <c r="AE71" s="1032"/>
      <c r="AF71" s="4161"/>
      <c r="AG71" s="4162"/>
      <c r="AH71" s="4163"/>
      <c r="AI71" s="2655"/>
    </row>
    <row r="72" spans="1:35" ht="3.9" customHeight="1">
      <c r="A72" s="703"/>
      <c r="B72" s="735"/>
      <c r="C72" s="3623"/>
      <c r="D72" s="3478"/>
      <c r="E72" s="3477"/>
      <c r="F72" s="3477"/>
      <c r="G72" s="3477"/>
      <c r="H72" s="3477"/>
      <c r="I72" s="3477"/>
      <c r="J72" s="3477"/>
      <c r="K72" s="3643"/>
      <c r="L72" s="679"/>
      <c r="M72" s="679"/>
      <c r="N72" s="3354"/>
      <c r="O72" s="679"/>
      <c r="P72" s="3646"/>
      <c r="Q72" s="26"/>
      <c r="R72" s="3646"/>
      <c r="S72" s="3647"/>
      <c r="T72" s="3648"/>
      <c r="U72" s="3648"/>
      <c r="V72" s="3648"/>
      <c r="W72" s="3648"/>
      <c r="X72" s="3649"/>
      <c r="Y72" s="3638"/>
      <c r="Z72" s="736"/>
      <c r="AA72" s="2655"/>
      <c r="AB72" s="3245"/>
      <c r="AC72" s="1716"/>
      <c r="AD72" s="2340"/>
      <c r="AE72" s="1032"/>
      <c r="AF72" s="4161"/>
      <c r="AG72" s="4162"/>
      <c r="AH72" s="4163"/>
      <c r="AI72" s="2655"/>
    </row>
    <row r="73" spans="1:35" ht="14.1" customHeight="1">
      <c r="A73" s="703"/>
      <c r="B73" s="735"/>
      <c r="C73" s="3623"/>
      <c r="D73" s="1041"/>
      <c r="E73" s="3447" t="str">
        <f>IF(('الصفحة 1'!$Q$14&gt;0),(IF((('الصفحة 1'!$V$38)=1),(IF((('الصفحة 1'!$V$38)=1),"مجموع المستفيدين ؟ ","")),"")),"")</f>
        <v/>
      </c>
      <c r="F73" s="3905"/>
      <c r="G73" s="3907"/>
      <c r="I73" s="3601"/>
      <c r="J73" s="3447" t="str">
        <f>IF(('الصفحة 1'!$Q$14&gt;0),(IF((('الصفحة 1'!$V$38)=1),(IF((('الصفحة 1'!$V$38)=1),"منهم بنات ؟ ","")),"")),"")</f>
        <v/>
      </c>
      <c r="K73" s="3865"/>
      <c r="L73" s="3866"/>
      <c r="M73" s="3867"/>
      <c r="N73" s="3735" t="str">
        <f>IF(('الصفحة 1'!$Q$14&gt;0),(IF(($F$20=0),(IF((F73&gt;0),"F73 خطء","")),"")),"")</f>
        <v/>
      </c>
      <c r="O73" s="3736"/>
      <c r="P73" s="3737"/>
      <c r="Q73" s="3732" t="str">
        <f>IF(('الصفحة 1'!$Q$14&gt;0),(IF(($F$20=0),(IF((K73&gt;0),"K73 خطء","")),"")),"")</f>
        <v/>
      </c>
      <c r="R73" s="3737"/>
      <c r="T73" s="3732" t="str">
        <f>IF(('الصفحة 1'!$Q$14&gt;0),(IF(($U$28=1),(IF((F73&gt;0),"F73 خطء","")),"")),"")</f>
        <v/>
      </c>
      <c r="U73" s="3732" t="str">
        <f>IF(('الصفحة 1'!$Q$14&gt;0),(IF(($U$28=1),(IF((K73&gt;0),"K73 خطء","")),"")),"")</f>
        <v/>
      </c>
      <c r="V73" s="3734"/>
      <c r="W73" s="941"/>
      <c r="X73" s="3461"/>
      <c r="Y73" s="3638"/>
      <c r="Z73" s="736"/>
      <c r="AA73" s="2655"/>
      <c r="AB73" s="2604" t="str">
        <f>IF(('الصفحة 1'!$Q$14&gt;0),IF(($F$20&gt;=1),((IF((K73=""),"نصف الداخليين متوسطات أخرى",IF((K73=0)," ",IF((K73&gt;0),""))))),""),"")</f>
        <v/>
      </c>
      <c r="AC73" s="1716"/>
      <c r="AD73" s="2340"/>
      <c r="AE73" s="1032"/>
      <c r="AF73" s="4161" t="s">
        <v>680</v>
      </c>
      <c r="AG73" s="4162"/>
      <c r="AH73" s="4163"/>
      <c r="AI73" s="2655"/>
    </row>
    <row r="74" spans="1:35" ht="3.9" customHeight="1">
      <c r="A74" s="703"/>
      <c r="B74" s="735"/>
      <c r="C74" s="3623"/>
      <c r="D74" s="3642"/>
      <c r="E74" s="3478"/>
      <c r="F74" s="3478"/>
      <c r="G74" s="3478"/>
      <c r="H74" s="3477"/>
      <c r="I74" s="3478"/>
      <c r="J74" s="3478"/>
      <c r="K74" s="3650"/>
      <c r="L74" s="3639"/>
      <c r="M74" s="3649"/>
      <c r="N74" s="3651"/>
      <c r="O74" s="3649"/>
      <c r="P74" s="3649"/>
      <c r="Q74" s="3639"/>
      <c r="R74" s="3639"/>
      <c r="S74" s="3639"/>
      <c r="T74" s="3639"/>
      <c r="U74" s="3639"/>
      <c r="V74" s="3639"/>
      <c r="W74" s="3601"/>
      <c r="X74" s="3601"/>
      <c r="Y74" s="3638"/>
      <c r="Z74" s="736"/>
      <c r="AA74" s="2655"/>
      <c r="AB74" s="3245"/>
      <c r="AC74" s="1716"/>
      <c r="AD74" s="2340"/>
      <c r="AE74" s="1032"/>
      <c r="AF74" s="4161"/>
      <c r="AG74" s="4162"/>
      <c r="AH74" s="4163"/>
      <c r="AI74" s="2655"/>
    </row>
    <row r="75" spans="1:35" ht="15.9" customHeight="1">
      <c r="A75" s="703"/>
      <c r="B75" s="735"/>
      <c r="C75" s="3623"/>
      <c r="D75" s="1041"/>
      <c r="E75" s="4155" t="str">
        <f>IF(('الصفحة 1'!$Q$14&gt;0),(IF((('الصفحة 1'!$V$38)=1),(IF((('الصفحة 1'!$V$38)=1),"المستفيدين من التعليم الإبتدائي  ","")),"")),"")</f>
        <v/>
      </c>
      <c r="F75" s="4155"/>
      <c r="G75" s="4155"/>
      <c r="H75" s="4155"/>
      <c r="I75" s="4155"/>
      <c r="J75" s="4155"/>
      <c r="K75" s="4155"/>
      <c r="L75" s="4155"/>
      <c r="M75" s="4155"/>
      <c r="N75" s="3644"/>
      <c r="O75" s="941"/>
      <c r="P75" s="941"/>
      <c r="Q75" s="941"/>
      <c r="R75" s="941"/>
      <c r="S75" s="941"/>
      <c r="T75" s="941"/>
      <c r="U75" s="941"/>
      <c r="V75" s="941"/>
      <c r="W75" s="941"/>
      <c r="X75" s="3652"/>
      <c r="Y75" s="3653"/>
      <c r="Z75" s="736"/>
      <c r="AA75" s="2655"/>
      <c r="AB75" s="2604" t="str">
        <f>IF(('الصفحة 1'!$Q$14&gt;0),IF(($F$20&gt;=1),((IF((F77=""),"نصف الداخليين التعليـم الإبتدائي",IF((F77=0)," ",IF((F77&gt;0),""))))),""),"")</f>
        <v/>
      </c>
      <c r="AC75" s="1716"/>
      <c r="AD75" s="2340"/>
      <c r="AE75" s="1032"/>
      <c r="AF75" s="4161"/>
      <c r="AG75" s="4162"/>
      <c r="AH75" s="4163"/>
      <c r="AI75" s="2655"/>
    </row>
    <row r="76" spans="1:35" ht="3.9" customHeight="1">
      <c r="A76" s="703"/>
      <c r="B76" s="735"/>
      <c r="C76" s="3623"/>
      <c r="D76" s="3654"/>
      <c r="E76" s="3654"/>
      <c r="F76" s="3654"/>
      <c r="G76" s="3654"/>
      <c r="H76" s="3654"/>
      <c r="I76" s="3654"/>
      <c r="J76" s="3654"/>
      <c r="K76" s="3655"/>
      <c r="L76" s="3656"/>
      <c r="M76" s="3656"/>
      <c r="N76" s="3657"/>
      <c r="O76" s="3656"/>
      <c r="P76" s="3656"/>
      <c r="Q76" s="3656"/>
      <c r="R76" s="3656"/>
      <c r="S76" s="3658"/>
      <c r="T76" s="3658"/>
      <c r="U76" s="3659"/>
      <c r="V76" s="3659"/>
      <c r="W76" s="3659"/>
      <c r="X76" s="3659"/>
      <c r="Y76" s="3653"/>
      <c r="Z76" s="736"/>
      <c r="AA76" s="2655"/>
      <c r="AB76" s="3245"/>
      <c r="AC76" s="1716"/>
      <c r="AD76" s="2340"/>
      <c r="AE76" s="1032"/>
      <c r="AF76" s="4161"/>
      <c r="AG76" s="4162"/>
      <c r="AH76" s="4163"/>
      <c r="AI76" s="2655"/>
    </row>
    <row r="77" spans="1:35" ht="14.1" customHeight="1">
      <c r="A77" s="703"/>
      <c r="B77" s="735"/>
      <c r="C77" s="3623"/>
      <c r="D77" s="1041"/>
      <c r="E77" s="3447" t="str">
        <f>IF(('الصفحة 1'!$Q$14&gt;0),(IF((('الصفحة 1'!$V$38)=1),(IF((('الصفحة 1'!$V$38)=1),"مجموع المستفيدين ؟ ","")),"")),"")</f>
        <v/>
      </c>
      <c r="F77" s="3905"/>
      <c r="G77" s="3907"/>
      <c r="I77" s="3477"/>
      <c r="J77" s="3447" t="str">
        <f>IF(('الصفحة 1'!$Q$14&gt;0),(IF((('الصفحة 1'!$V$38)=1),(IF((('الصفحة 1'!$V$38)=1),"منهم بنات ؟ ","")),"")),"")</f>
        <v/>
      </c>
      <c r="K77" s="4156"/>
      <c r="L77" s="4157"/>
      <c r="M77" s="4158"/>
      <c r="N77" s="3735" t="str">
        <f>IF(('الصفحة 1'!$Q$14&gt;0),(IF(($F$20=0),(IF((F77&gt;0),"F77 خطء","")),"")),"")</f>
        <v/>
      </c>
      <c r="O77" s="3736"/>
      <c r="P77" s="3737"/>
      <c r="Q77" s="3732" t="str">
        <f>IF(('الصفحة 1'!$Q$14&gt;0),(IF(($F$20=0),(IF((K77&gt;0),"K77 خطء","")),"")),"")</f>
        <v/>
      </c>
      <c r="R77" s="3737"/>
      <c r="T77" s="3732" t="str">
        <f>IF(('الصفحة 1'!$Q$14&gt;0),(IF(($U$28=1),(IF((F77&gt;0),"F77 خطء","")),"")),"")</f>
        <v/>
      </c>
      <c r="U77" s="3732" t="str">
        <f>IF(('الصفحة 1'!$Q$14&gt;0),(IF(($U$28=1),(IF((K77&gt;0),"K77 خطء","")),"")),"")</f>
        <v/>
      </c>
      <c r="V77" s="3734"/>
      <c r="W77" s="941"/>
      <c r="X77" s="3461"/>
      <c r="Y77" s="3653"/>
      <c r="Z77" s="736"/>
      <c r="AA77" s="2655"/>
      <c r="AB77" s="2604" t="str">
        <f>IF(('الصفحة 1'!$Q$14&gt;0),IF(($F$20&gt;=1),((IF((K77=""),"نصف الداخليين التعليـم الإبتدائي",IF((K77=0)," ",IF((K77&gt;0),""))))),""),"")</f>
        <v/>
      </c>
      <c r="AC77" s="1716"/>
      <c r="AD77" s="2340"/>
      <c r="AE77" s="1032"/>
      <c r="AF77" s="4164" t="s">
        <v>682</v>
      </c>
      <c r="AG77" s="4165"/>
      <c r="AH77" s="4166"/>
      <c r="AI77" s="2655"/>
    </row>
    <row r="78" spans="1:35" ht="3.9" customHeight="1">
      <c r="A78" s="703"/>
      <c r="B78" s="735"/>
      <c r="C78" s="3623"/>
      <c r="D78" s="3654"/>
      <c r="E78" s="3654"/>
      <c r="F78" s="3654"/>
      <c r="G78" s="3654"/>
      <c r="H78" s="3654"/>
      <c r="I78" s="3654"/>
      <c r="J78" s="3654"/>
      <c r="K78" s="3661"/>
      <c r="L78" s="3486"/>
      <c r="M78" s="3486"/>
      <c r="N78" s="3657"/>
      <c r="O78" s="3656"/>
      <c r="P78" s="3656"/>
      <c r="Q78" s="3656"/>
      <c r="R78" s="3656"/>
      <c r="S78" s="3658"/>
      <c r="T78" s="3658"/>
      <c r="U78" s="3659"/>
      <c r="V78" s="3659"/>
      <c r="W78" s="3660"/>
      <c r="X78" s="3660"/>
      <c r="Y78" s="3653"/>
      <c r="Z78" s="736"/>
      <c r="AA78" s="2655"/>
      <c r="AB78" s="3422"/>
      <c r="AC78" s="3422"/>
      <c r="AD78" s="3422"/>
      <c r="AE78" s="3422"/>
      <c r="AF78" s="4164"/>
      <c r="AG78" s="4165"/>
      <c r="AH78" s="4166"/>
      <c r="AI78" s="2655"/>
    </row>
    <row r="79" spans="1:35" ht="14.1" customHeight="1">
      <c r="A79" s="703"/>
      <c r="B79" s="735"/>
      <c r="C79" s="3623"/>
      <c r="D79" s="1041"/>
      <c r="E79" s="4153" t="str">
        <f>IF(('الصفحة 1'!$Q$14&gt;0),(IF((('الصفحة 1'!$V$38)=1),(IF((('الصفحة 1'!$V$38)=1),"المستفيدين من التعليـم الثانـوي","")),"")),"")</f>
        <v/>
      </c>
      <c r="F79" s="4153"/>
      <c r="G79" s="4153"/>
      <c r="H79" s="4153"/>
      <c r="I79" s="4153"/>
      <c r="J79" s="4153"/>
      <c r="K79" s="4153"/>
      <c r="L79" s="4153"/>
      <c r="M79" s="4153"/>
      <c r="O79" s="3478"/>
      <c r="P79" s="3478"/>
      <c r="Q79" s="3642"/>
      <c r="R79" s="3662"/>
      <c r="S79" s="1041"/>
      <c r="T79" s="3478"/>
      <c r="U79" s="3663"/>
      <c r="V79" s="3662"/>
      <c r="W79" s="3662"/>
      <c r="X79" s="3647"/>
      <c r="Y79" s="3653"/>
      <c r="Z79" s="736"/>
      <c r="AA79" s="2655"/>
      <c r="AB79" s="2604" t="str">
        <f>IF(('الصفحة 1'!$Q$14&gt;0),IF(($F$20&gt;=1),((IF((F81=""),"نصف الداخليين التعليـم الثانـوي",IF((F81=0)," ",IF((F81&gt;0),""))))),""),"")</f>
        <v/>
      </c>
      <c r="AC79" s="3422"/>
      <c r="AD79" s="3422"/>
      <c r="AE79" s="3422"/>
      <c r="AF79" s="4164"/>
      <c r="AG79" s="4165"/>
      <c r="AH79" s="4166"/>
      <c r="AI79" s="2655"/>
    </row>
    <row r="80" spans="1:35" ht="3.9" customHeight="1">
      <c r="A80" s="703"/>
      <c r="B80" s="735"/>
      <c r="C80" s="3623"/>
      <c r="D80" s="3654"/>
      <c r="E80" s="3654"/>
      <c r="F80" s="3654"/>
      <c r="G80" s="3654"/>
      <c r="H80" s="3654"/>
      <c r="I80" s="3654"/>
      <c r="J80" s="3654"/>
      <c r="K80" s="3661"/>
      <c r="L80" s="3486"/>
      <c r="M80" s="3486"/>
      <c r="N80" s="3664"/>
      <c r="O80" s="3654"/>
      <c r="P80" s="3654"/>
      <c r="Q80" s="3654"/>
      <c r="R80" s="3654"/>
      <c r="S80" s="3665"/>
      <c r="T80" s="3665"/>
      <c r="U80" s="3666"/>
      <c r="V80" s="3666"/>
      <c r="W80" s="3667"/>
      <c r="X80" s="3667"/>
      <c r="Y80" s="3668"/>
      <c r="Z80" s="736"/>
      <c r="AA80" s="2655"/>
      <c r="AB80" s="3245"/>
      <c r="AC80" s="3422"/>
      <c r="AD80" s="3422"/>
      <c r="AE80" s="3422"/>
      <c r="AF80" s="4164" t="s">
        <v>681</v>
      </c>
      <c r="AG80" s="4165"/>
      <c r="AH80" s="4166"/>
      <c r="AI80" s="2655"/>
    </row>
    <row r="81" spans="1:35" ht="14.1" customHeight="1">
      <c r="A81" s="703"/>
      <c r="B81" s="735"/>
      <c r="C81" s="3623"/>
      <c r="D81" s="1041"/>
      <c r="E81" s="3447" t="str">
        <f>IF(('الصفحة 1'!$Q$14&gt;0),(IF((('الصفحة 1'!$V$38)=1),(IF((('الصفحة 1'!$V$38)=1),"مجموع المستفيدين ؟ ","")),"")),"")</f>
        <v/>
      </c>
      <c r="F81" s="3905"/>
      <c r="G81" s="3907"/>
      <c r="I81" s="3669"/>
      <c r="J81" s="3447" t="str">
        <f>IF(('الصفحة 1'!$Q$14&gt;0),(IF((('الصفحة 1'!$V$38)=1),(IF((('الصفحة 1'!$V$38)=1),"منهم بنات ؟ ","")),"")),"")</f>
        <v/>
      </c>
      <c r="K81" s="4156"/>
      <c r="L81" s="4157"/>
      <c r="M81" s="4158"/>
      <c r="N81" s="3735" t="str">
        <f>IF(('الصفحة 1'!$Q$14&gt;0),(IF(($F$20=0),(IF((F81&gt;0),"F81 خطء","")),"")),"")</f>
        <v/>
      </c>
      <c r="O81" s="3736"/>
      <c r="P81" s="3737"/>
      <c r="Q81" s="3732" t="str">
        <f>IF(('الصفحة 1'!$Q$14&gt;0),(IF(($F$20=0),(IF((K81&gt;0),"K81 خطء","")),"")),"")</f>
        <v/>
      </c>
      <c r="R81" s="3737"/>
      <c r="T81" s="3732" t="str">
        <f>IF(('الصفحة 1'!$Q$14&gt;0),(IF(($U$28=1),(IF((F81&gt;0),"F81 خطء","")),"")),"")</f>
        <v/>
      </c>
      <c r="U81" s="3732" t="str">
        <f>IF(('الصفحة 1'!$Q$14&gt;0),(IF(($U$28=1),(IF((K81&gt;0),"K81 خطء","")),"")),"")</f>
        <v/>
      </c>
      <c r="V81" s="3734"/>
      <c r="W81" s="941"/>
      <c r="X81" s="3461"/>
      <c r="Y81" s="3653"/>
      <c r="Z81" s="736"/>
      <c r="AA81" s="2655"/>
      <c r="AB81" s="2604" t="str">
        <f>IF(('الصفحة 1'!$Q$14&gt;0),IF(($F$20&gt;=1),((IF((K81=""),"نصف الداخليين التعليـم الثانـوي",IF((K81=0)," ",IF((K81&gt;0),""))))),""),"")</f>
        <v/>
      </c>
      <c r="AC81" s="3422"/>
      <c r="AD81" s="3422"/>
      <c r="AE81" s="3422"/>
      <c r="AF81" s="4164"/>
      <c r="AG81" s="4165"/>
      <c r="AH81" s="4166"/>
      <c r="AI81" s="2655"/>
    </row>
    <row r="82" spans="1:35" ht="3.9" customHeight="1">
      <c r="A82" s="703"/>
      <c r="B82" s="735"/>
      <c r="C82" s="3623"/>
      <c r="D82" s="3670"/>
      <c r="E82" s="3670"/>
      <c r="F82" s="3670"/>
      <c r="G82" s="3670"/>
      <c r="H82" s="3670"/>
      <c r="I82" s="3670"/>
      <c r="J82" s="3670"/>
      <c r="K82" s="1879"/>
      <c r="L82" s="941"/>
      <c r="M82" s="1879"/>
      <c r="N82" s="3491"/>
      <c r="O82" s="3491"/>
      <c r="P82" s="3622"/>
      <c r="Q82" s="941"/>
      <c r="R82" s="1879"/>
      <c r="S82" s="1879"/>
      <c r="T82" s="1879"/>
      <c r="U82" s="3491"/>
      <c r="V82" s="3626"/>
      <c r="W82" s="3619"/>
      <c r="X82" s="3620"/>
      <c r="Y82" s="3625"/>
      <c r="Z82" s="736"/>
      <c r="AA82" s="2655"/>
      <c r="AB82" s="3422"/>
      <c r="AC82" s="3422"/>
      <c r="AD82" s="3422"/>
      <c r="AE82" s="3422"/>
      <c r="AF82" s="4164"/>
      <c r="AG82" s="4165"/>
      <c r="AH82" s="4166"/>
      <c r="AI82" s="2655"/>
    </row>
    <row r="83" spans="1:35" ht="3.9" customHeight="1" thickBot="1">
      <c r="A83" s="703"/>
      <c r="B83" s="735"/>
      <c r="C83" s="3671"/>
      <c r="D83" s="3672"/>
      <c r="E83" s="3672"/>
      <c r="F83" s="3672"/>
      <c r="G83" s="3672"/>
      <c r="H83" s="3672"/>
      <c r="I83" s="3672"/>
      <c r="J83" s="3672"/>
      <c r="K83" s="3672"/>
      <c r="L83" s="3672"/>
      <c r="M83" s="3672"/>
      <c r="N83" s="3672"/>
      <c r="O83" s="3672"/>
      <c r="P83" s="3672"/>
      <c r="Q83" s="3672"/>
      <c r="R83" s="3672"/>
      <c r="S83" s="3672"/>
      <c r="T83" s="3672"/>
      <c r="U83" s="3672"/>
      <c r="V83" s="3672"/>
      <c r="W83" s="3672"/>
      <c r="X83" s="3672"/>
      <c r="Y83" s="3673"/>
      <c r="Z83" s="736"/>
      <c r="AA83" s="2655"/>
      <c r="AB83" s="3411"/>
      <c r="AC83" s="3411"/>
      <c r="AD83" s="3411"/>
      <c r="AE83" s="3411"/>
      <c r="AF83" s="4167"/>
      <c r="AG83" s="4168"/>
      <c r="AH83" s="4169"/>
      <c r="AI83" s="2655"/>
    </row>
    <row r="84" spans="1:35" ht="12" customHeight="1" thickBot="1">
      <c r="A84" s="703"/>
      <c r="B84" s="724"/>
      <c r="C84" s="4099" t="s">
        <v>1442</v>
      </c>
      <c r="D84" s="4100"/>
      <c r="E84" s="4100"/>
      <c r="F84" s="4100"/>
      <c r="G84" s="4100"/>
      <c r="H84" s="4100"/>
      <c r="I84" s="4100"/>
      <c r="J84" s="4100"/>
      <c r="K84" s="4100"/>
      <c r="L84" s="4100"/>
      <c r="M84" s="4100"/>
      <c r="N84" s="4100"/>
      <c r="O84" s="4100"/>
      <c r="P84" s="4100"/>
      <c r="Q84" s="4100"/>
      <c r="R84" s="4100"/>
      <c r="S84" s="4100"/>
      <c r="T84" s="4100"/>
      <c r="U84" s="4100"/>
      <c r="V84" s="4100"/>
      <c r="W84" s="4100"/>
      <c r="X84" s="4100"/>
      <c r="Y84" s="4100"/>
      <c r="Z84" s="726"/>
      <c r="AA84" s="2655"/>
      <c r="AB84" s="2655"/>
      <c r="AC84" s="2655"/>
      <c r="AD84" s="2655"/>
      <c r="AE84" s="2655"/>
      <c r="AF84" s="2655"/>
      <c r="AG84" s="2655"/>
      <c r="AH84" s="2655"/>
      <c r="AI84" s="2655"/>
    </row>
    <row r="85" spans="1:35" ht="15" customHeight="1">
      <c r="A85" s="704"/>
      <c r="B85" s="704"/>
      <c r="C85" s="1019"/>
      <c r="D85" s="704"/>
      <c r="E85" s="704"/>
      <c r="F85" s="704"/>
      <c r="G85" s="704"/>
      <c r="H85" s="704"/>
      <c r="I85" s="704"/>
      <c r="J85" s="704"/>
      <c r="K85" s="704"/>
      <c r="L85" s="704"/>
      <c r="M85" s="704"/>
      <c r="N85" s="704"/>
      <c r="O85" s="704"/>
      <c r="P85" s="704"/>
      <c r="Q85" s="704"/>
      <c r="R85" s="704"/>
      <c r="S85" s="704"/>
      <c r="T85" s="704"/>
      <c r="U85" s="704"/>
      <c r="V85" s="704"/>
      <c r="W85" s="704"/>
      <c r="X85" s="704"/>
      <c r="Y85" s="704"/>
      <c r="Z85" s="704"/>
      <c r="AA85" s="704"/>
      <c r="AB85" s="704"/>
      <c r="AC85" s="704"/>
      <c r="AD85" s="704"/>
      <c r="AE85" s="704"/>
      <c r="AF85" s="704"/>
      <c r="AG85" s="704"/>
      <c r="AH85" s="704"/>
      <c r="AI85" s="704"/>
    </row>
    <row r="86" spans="1:35" ht="15" customHeight="1"/>
    <row r="87" spans="1:35" ht="15" customHeight="1"/>
    <row r="88" spans="1:35" ht="15" customHeight="1"/>
    <row r="89" spans="1:35" ht="15" customHeight="1"/>
    <row r="90" spans="1:35" ht="15" customHeight="1"/>
    <row r="91" spans="1:35" ht="15" customHeight="1"/>
    <row r="92" spans="1:35" ht="15" customHeight="1"/>
    <row r="93" spans="1:35" ht="15" customHeight="1"/>
    <row r="94" spans="1:35" ht="15" customHeight="1"/>
    <row r="95" spans="1:35" ht="15" customHeight="1"/>
    <row r="96" spans="1:35"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sheetData>
  <sheetProtection algorithmName="SHA-512" hashValue="6MWT4ZDgsDd8HDZnK+x+zH3wZKOfAnLa3h5eDnfuZo1EyjsKnVhljMpbRM0rP6RrMZxfuDfrSadu0uj5EXbk0A==" saltValue="OU7F54Pgo0ohtNASExWlCQ==" spinCount="100000" sheet="1" objects="1" scenarios="1"/>
  <mergeCells count="53">
    <mergeCell ref="F61:G61"/>
    <mergeCell ref="AB9:AF18"/>
    <mergeCell ref="I9:O10"/>
    <mergeCell ref="U24:V24"/>
    <mergeCell ref="F81:G81"/>
    <mergeCell ref="F73:G73"/>
    <mergeCell ref="F77:G77"/>
    <mergeCell ref="E75:M75"/>
    <mergeCell ref="K77:M77"/>
    <mergeCell ref="K81:M81"/>
    <mergeCell ref="E79:M79"/>
    <mergeCell ref="AF67:AH67"/>
    <mergeCell ref="AF69:AH72"/>
    <mergeCell ref="AF73:AH76"/>
    <mergeCell ref="AF77:AH79"/>
    <mergeCell ref="AF80:AH83"/>
    <mergeCell ref="AB2:AH5"/>
    <mergeCell ref="C3:I4"/>
    <mergeCell ref="O3:Y7"/>
    <mergeCell ref="C5:I5"/>
    <mergeCell ref="C6:I7"/>
    <mergeCell ref="T11:X11"/>
    <mergeCell ref="E36:M36"/>
    <mergeCell ref="F38:G38"/>
    <mergeCell ref="E71:M71"/>
    <mergeCell ref="K73:M73"/>
    <mergeCell ref="D65:N65"/>
    <mergeCell ref="F69:G69"/>
    <mergeCell ref="E67:M67"/>
    <mergeCell ref="K69:M69"/>
    <mergeCell ref="D11:E11"/>
    <mergeCell ref="J11:M11"/>
    <mergeCell ref="F63:G63"/>
    <mergeCell ref="K14:T14"/>
    <mergeCell ref="U22:V22"/>
    <mergeCell ref="K38:M38"/>
    <mergeCell ref="E40:M40"/>
    <mergeCell ref="C84:Y84"/>
    <mergeCell ref="F22:G22"/>
    <mergeCell ref="F49:G49"/>
    <mergeCell ref="F51:G51"/>
    <mergeCell ref="F42:G42"/>
    <mergeCell ref="K42:M42"/>
    <mergeCell ref="F24:G24"/>
    <mergeCell ref="D30:N30"/>
    <mergeCell ref="C32:D32"/>
    <mergeCell ref="E32:M32"/>
    <mergeCell ref="F34:G34"/>
    <mergeCell ref="K34:M34"/>
    <mergeCell ref="F53:G53"/>
    <mergeCell ref="F55:G55"/>
    <mergeCell ref="F57:G57"/>
    <mergeCell ref="F59:G59"/>
  </mergeCells>
  <conditionalFormatting sqref="T11:X11">
    <cfRule type="cellIs" dxfId="21979" priority="145" stopIfTrue="1" operator="equal">
      <formula>0</formula>
    </cfRule>
  </conditionalFormatting>
  <conditionalFormatting sqref="K14">
    <cfRule type="cellIs" dxfId="21978" priority="119" operator="equal">
      <formula>0</formula>
    </cfRule>
  </conditionalFormatting>
  <conditionalFormatting sqref="H61 H59 H57 H53 H51 K20 V58:V64 H63 V66 V82">
    <cfRule type="cellIs" dxfId="21977" priority="111" stopIfTrue="1" operator="equal">
      <formula>"G82"</formula>
    </cfRule>
  </conditionalFormatting>
  <conditionalFormatting sqref="N34 Q34 C32">
    <cfRule type="cellIs" dxfId="21976" priority="110" stopIfTrue="1" operator="equal">
      <formula>"G88"</formula>
    </cfRule>
  </conditionalFormatting>
  <conditionalFormatting sqref="N38 N42 Q38 Q42">
    <cfRule type="cellIs" dxfId="21975" priority="109" stopIfTrue="1" operator="equal">
      <formula>"S88"</formula>
    </cfRule>
  </conditionalFormatting>
  <conditionalFormatting sqref="K42">
    <cfRule type="cellIs" dxfId="21974" priority="108" stopIfTrue="1" operator="greaterThan">
      <formula>F42</formula>
    </cfRule>
  </conditionalFormatting>
  <conditionalFormatting sqref="K34">
    <cfRule type="cellIs" dxfId="21973" priority="107" stopIfTrue="1" operator="greaterThan">
      <formula>F34</formula>
    </cfRule>
  </conditionalFormatting>
  <conditionalFormatting sqref="K38">
    <cfRule type="cellIs" dxfId="21972" priority="106" stopIfTrue="1" operator="greaterThan">
      <formula>F38</formula>
    </cfRule>
  </conditionalFormatting>
  <conditionalFormatting sqref="F48 F50 F52 F54 F56 F58 F60 F62 F64">
    <cfRule type="cellIs" dxfId="21971" priority="102" stopIfTrue="1" operator="equal">
      <formula>1</formula>
    </cfRule>
  </conditionalFormatting>
  <conditionalFormatting sqref="F46">
    <cfRule type="cellIs" dxfId="21970" priority="100" operator="equal">
      <formula>$F$20</formula>
    </cfRule>
    <cfRule type="cellIs" dxfId="21969" priority="101" operator="equal">
      <formula>1</formula>
    </cfRule>
  </conditionalFormatting>
  <conditionalFormatting sqref="W28">
    <cfRule type="cellIs" dxfId="21968" priority="99" stopIfTrue="1" operator="notEqual">
      <formula>#REF!+#REF!</formula>
    </cfRule>
  </conditionalFormatting>
  <conditionalFormatting sqref="F20">
    <cfRule type="cellIs" dxfId="21967" priority="104" stopIfTrue="1" operator="greaterThanOrEqual">
      <formula>0</formula>
    </cfRule>
  </conditionalFormatting>
  <conditionalFormatting sqref="F53:G53">
    <cfRule type="cellIs" dxfId="21966" priority="171" operator="greaterThan">
      <formula>$F$51</formula>
    </cfRule>
  </conditionalFormatting>
  <conditionalFormatting sqref="N49:O58 F55:G55 N66:O66 N82:O82 N60:O64 O59">
    <cfRule type="cellIs" dxfId="21965" priority="198" operator="greaterThan">
      <formula>$F$53</formula>
    </cfRule>
  </conditionalFormatting>
  <conditionalFormatting sqref="F59">
    <cfRule type="cellIs" dxfId="21964" priority="228" operator="greaterThan">
      <formula>$F$57</formula>
    </cfRule>
  </conditionalFormatting>
  <conditionalFormatting sqref="U49:U64 U66 U82">
    <cfRule type="cellIs" dxfId="21963" priority="230" operator="greaterThan">
      <formula>$F$57</formula>
    </cfRule>
  </conditionalFormatting>
  <conditionalFormatting sqref="F61">
    <cfRule type="cellIs" dxfId="21962" priority="261" operator="greaterThan">
      <formula>$F$59</formula>
    </cfRule>
  </conditionalFormatting>
  <conditionalFormatting sqref="F22:G22">
    <cfRule type="cellIs" dxfId="21961" priority="91" operator="lessThan">
      <formula>$F$20</formula>
    </cfRule>
  </conditionalFormatting>
  <conditionalFormatting sqref="F24:G24">
    <cfRule type="cellIs" dxfId="21960" priority="90" operator="lessThan">
      <formula>$F$20</formula>
    </cfRule>
  </conditionalFormatting>
  <conditionalFormatting sqref="P30 I69">
    <cfRule type="cellIs" dxfId="21959" priority="85" stopIfTrue="1" operator="equal">
      <formula>"G80"</formula>
    </cfRule>
  </conditionalFormatting>
  <conditionalFormatting sqref="N32">
    <cfRule type="cellIs" dxfId="21958" priority="84" stopIfTrue="1" operator="equal">
      <formula>"G80"</formula>
    </cfRule>
  </conditionalFormatting>
  <conditionalFormatting sqref="U20">
    <cfRule type="cellIs" dxfId="21957" priority="83" stopIfTrue="1" operator="greaterThanOrEqual">
      <formula>0</formula>
    </cfRule>
  </conditionalFormatting>
  <conditionalFormatting sqref="U22:V22">
    <cfRule type="cellIs" dxfId="21956" priority="82" operator="lessThan">
      <formula>$F$18</formula>
    </cfRule>
  </conditionalFormatting>
  <conditionalFormatting sqref="U24:V24">
    <cfRule type="cellIs" dxfId="21955" priority="81" operator="lessThan">
      <formula>$F$20</formula>
    </cfRule>
  </conditionalFormatting>
  <conditionalFormatting sqref="K69">
    <cfRule type="cellIs" dxfId="21954" priority="60" stopIfTrue="1" operator="greaterThan">
      <formula>F69</formula>
    </cfRule>
  </conditionalFormatting>
  <conditionalFormatting sqref="X67">
    <cfRule type="cellIs" dxfId="21953" priority="65" stopIfTrue="1" operator="greaterThan">
      <formula>0</formula>
    </cfRule>
    <cfRule type="cellIs" dxfId="21952" priority="66" stopIfTrue="1" operator="equal">
      <formula>0</formula>
    </cfRule>
  </conditionalFormatting>
  <conditionalFormatting sqref="W51">
    <cfRule type="cellIs" dxfId="21951" priority="53" operator="greaterThan">
      <formula>$W$49</formula>
    </cfRule>
    <cfRule type="cellIs" dxfId="21950" priority="57" operator="greaterThan">
      <formula>$F$20</formula>
    </cfRule>
  </conditionalFormatting>
  <conditionalFormatting sqref="W49">
    <cfRule type="cellIs" dxfId="21949" priority="56" operator="greaterThan">
      <formula>$F$20</formula>
    </cfRule>
  </conditionalFormatting>
  <conditionalFormatting sqref="W53 W55 W57">
    <cfRule type="cellIs" dxfId="21948" priority="54" operator="greaterThan">
      <formula>$F$20</formula>
    </cfRule>
  </conditionalFormatting>
  <conditionalFormatting sqref="Q59">
    <cfRule type="cellIs" dxfId="21947" priority="52" stopIfTrue="1" operator="equal">
      <formula>"G80"</formula>
    </cfRule>
  </conditionalFormatting>
  <conditionalFormatting sqref="Q61">
    <cfRule type="cellIs" dxfId="21946" priority="51" stopIfTrue="1" operator="equal">
      <formula>"G82"</formula>
    </cfRule>
  </conditionalFormatting>
  <conditionalFormatting sqref="Q63">
    <cfRule type="cellIs" dxfId="21945" priority="50" stopIfTrue="1" operator="equal">
      <formula>"G82"</formula>
    </cfRule>
  </conditionalFormatting>
  <conditionalFormatting sqref="D11:E11">
    <cfRule type="cellIs" dxfId="21944" priority="49" operator="equal">
      <formula>0</formula>
    </cfRule>
  </conditionalFormatting>
  <conditionalFormatting sqref="X28">
    <cfRule type="cellIs" dxfId="21943" priority="48" stopIfTrue="1" operator="notEqual">
      <formula>#REF!+#REF!</formula>
    </cfRule>
  </conditionalFormatting>
  <conditionalFormatting sqref="U26">
    <cfRule type="cellIs" dxfId="21942" priority="44" operator="equal">
      <formula>$X$28</formula>
    </cfRule>
    <cfRule type="cellIs" dxfId="21941" priority="47" stopIfTrue="1" operator="greaterThan">
      <formula>0</formula>
    </cfRule>
  </conditionalFormatting>
  <conditionalFormatting sqref="U26">
    <cfRule type="cellIs" dxfId="21940" priority="46" operator="equal">
      <formula>$X$26</formula>
    </cfRule>
  </conditionalFormatting>
  <conditionalFormatting sqref="U28">
    <cfRule type="cellIs" dxfId="21939" priority="43" operator="equal">
      <formula>$X$28</formula>
    </cfRule>
    <cfRule type="cellIs" dxfId="21938" priority="45" operator="equal">
      <formula>$X$26</formula>
    </cfRule>
  </conditionalFormatting>
  <conditionalFormatting sqref="F26">
    <cfRule type="cellIs" dxfId="21937" priority="39" operator="equal">
      <formula>$Y$28</formula>
    </cfRule>
    <cfRule type="cellIs" dxfId="21936" priority="42" stopIfTrue="1" operator="greaterThan">
      <formula>0</formula>
    </cfRule>
  </conditionalFormatting>
  <conditionalFormatting sqref="F26">
    <cfRule type="cellIs" dxfId="21935" priority="41" operator="equal">
      <formula>$Y$26</formula>
    </cfRule>
  </conditionalFormatting>
  <conditionalFormatting sqref="F28">
    <cfRule type="cellIs" dxfId="21934" priority="38" operator="equal">
      <formula>$Y$28</formula>
    </cfRule>
    <cfRule type="cellIs" dxfId="21933" priority="40" operator="equal">
      <formula>$Y$26</formula>
    </cfRule>
  </conditionalFormatting>
  <conditionalFormatting sqref="T34 W34">
    <cfRule type="cellIs" dxfId="21932" priority="36" stopIfTrue="1" operator="equal">
      <formula>"G88"</formula>
    </cfRule>
  </conditionalFormatting>
  <conditionalFormatting sqref="V34">
    <cfRule type="cellIs" dxfId="21931" priority="35" stopIfTrue="1" operator="equal">
      <formula>"G88"</formula>
    </cfRule>
  </conditionalFormatting>
  <conditionalFormatting sqref="T38">
    <cfRule type="cellIs" dxfId="21930" priority="34" stopIfTrue="1" operator="equal">
      <formula>"G88"</formula>
    </cfRule>
  </conditionalFormatting>
  <conditionalFormatting sqref="V38">
    <cfRule type="cellIs" dxfId="21929" priority="33" stopIfTrue="1" operator="equal">
      <formula>"G88"</formula>
    </cfRule>
  </conditionalFormatting>
  <conditionalFormatting sqref="T42">
    <cfRule type="cellIs" dxfId="21928" priority="32" stopIfTrue="1" operator="equal">
      <formula>"G88"</formula>
    </cfRule>
  </conditionalFormatting>
  <conditionalFormatting sqref="V42">
    <cfRule type="cellIs" dxfId="21927" priority="31" stopIfTrue="1" operator="equal">
      <formula>"G88"</formula>
    </cfRule>
  </conditionalFormatting>
  <conditionalFormatting sqref="T32">
    <cfRule type="cellIs" dxfId="21926" priority="30" stopIfTrue="1" operator="equal">
      <formula>"G80"</formula>
    </cfRule>
  </conditionalFormatting>
  <conditionalFormatting sqref="N69">
    <cfRule type="cellIs" dxfId="21925" priority="25" stopIfTrue="1" operator="equal">
      <formula>"G80"</formula>
    </cfRule>
  </conditionalFormatting>
  <conditionalFormatting sqref="N68">
    <cfRule type="cellIs" dxfId="21924" priority="26" operator="greaterThan">
      <formula>$F$50</formula>
    </cfRule>
    <cfRule type="cellIs" dxfId="21923" priority="27" operator="greaterThan">
      <formula>$F$48</formula>
    </cfRule>
  </conditionalFormatting>
  <conditionalFormatting sqref="Q69">
    <cfRule type="cellIs" dxfId="21922" priority="24" stopIfTrue="1" operator="equal">
      <formula>"G80"</formula>
    </cfRule>
  </conditionalFormatting>
  <conditionalFormatting sqref="N67">
    <cfRule type="cellIs" dxfId="21921" priority="23" stopIfTrue="1" operator="equal">
      <formula>"G80"</formula>
    </cfRule>
  </conditionalFormatting>
  <conditionalFormatting sqref="T69">
    <cfRule type="cellIs" dxfId="21920" priority="22" stopIfTrue="1" operator="equal">
      <formula>"G80"</formula>
    </cfRule>
  </conditionalFormatting>
  <conditionalFormatting sqref="T67">
    <cfRule type="cellIs" dxfId="21919" priority="20" stopIfTrue="1" operator="equal">
      <formula>"G80"</formula>
    </cfRule>
  </conditionalFormatting>
  <conditionalFormatting sqref="N73">
    <cfRule type="cellIs" dxfId="21918" priority="19" stopIfTrue="1" operator="equal">
      <formula>"G80"</formula>
    </cfRule>
  </conditionalFormatting>
  <conditionalFormatting sqref="Q73">
    <cfRule type="cellIs" dxfId="21917" priority="18" stopIfTrue="1" operator="equal">
      <formula>"G80"</formula>
    </cfRule>
  </conditionalFormatting>
  <conditionalFormatting sqref="T73">
    <cfRule type="cellIs" dxfId="21916" priority="17" stopIfTrue="1" operator="equal">
      <formula>"G80"</formula>
    </cfRule>
  </conditionalFormatting>
  <conditionalFormatting sqref="U73">
    <cfRule type="cellIs" dxfId="21915" priority="16" stopIfTrue="1" operator="equal">
      <formula>"G80"</formula>
    </cfRule>
  </conditionalFormatting>
  <conditionalFormatting sqref="N77">
    <cfRule type="cellIs" dxfId="21914" priority="15" stopIfTrue="1" operator="equal">
      <formula>"G80"</formula>
    </cfRule>
  </conditionalFormatting>
  <conditionalFormatting sqref="Q77">
    <cfRule type="cellIs" dxfId="21913" priority="14" stopIfTrue="1" operator="equal">
      <formula>"G80"</formula>
    </cfRule>
  </conditionalFormatting>
  <conditionalFormatting sqref="T77">
    <cfRule type="cellIs" dxfId="21912" priority="13" stopIfTrue="1" operator="equal">
      <formula>"G80"</formula>
    </cfRule>
  </conditionalFormatting>
  <conditionalFormatting sqref="U77">
    <cfRule type="cellIs" dxfId="21911" priority="12" stopIfTrue="1" operator="equal">
      <formula>"G80"</formula>
    </cfRule>
  </conditionalFormatting>
  <conditionalFormatting sqref="N81">
    <cfRule type="cellIs" dxfId="21910" priority="11" stopIfTrue="1" operator="equal">
      <formula>"G80"</formula>
    </cfRule>
  </conditionalFormatting>
  <conditionalFormatting sqref="Q81">
    <cfRule type="cellIs" dxfId="21909" priority="10" stopIfTrue="1" operator="equal">
      <formula>"G80"</formula>
    </cfRule>
  </conditionalFormatting>
  <conditionalFormatting sqref="T81">
    <cfRule type="cellIs" dxfId="21908" priority="9" stopIfTrue="1" operator="equal">
      <formula>"G80"</formula>
    </cfRule>
  </conditionalFormatting>
  <conditionalFormatting sqref="U81">
    <cfRule type="cellIs" dxfId="21907" priority="8" stopIfTrue="1" operator="equal">
      <formula>"G80"</formula>
    </cfRule>
  </conditionalFormatting>
  <conditionalFormatting sqref="K73:M73">
    <cfRule type="cellIs" dxfId="21906" priority="7" operator="greaterThan">
      <formula>F73</formula>
    </cfRule>
  </conditionalFormatting>
  <conditionalFormatting sqref="K77:M77">
    <cfRule type="cellIs" dxfId="21905" priority="6" operator="greaterThan">
      <formula>F77</formula>
    </cfRule>
  </conditionalFormatting>
  <conditionalFormatting sqref="K81:M81">
    <cfRule type="cellIs" dxfId="21904" priority="5" operator="greaterThan">
      <formula>F81</formula>
    </cfRule>
  </conditionalFormatting>
  <conditionalFormatting sqref="F63:G63">
    <cfRule type="cellIs" dxfId="21903" priority="4" operator="greaterThan">
      <formula>$F$57</formula>
    </cfRule>
  </conditionalFormatting>
  <conditionalFormatting sqref="V69">
    <cfRule type="cellIs" dxfId="21902" priority="3" stopIfTrue="1" operator="equal">
      <formula>"G80"</formula>
    </cfRule>
  </conditionalFormatting>
  <conditionalFormatting sqref="U69">
    <cfRule type="cellIs" dxfId="21901" priority="2" stopIfTrue="1" operator="equal">
      <formula>"G80"</formula>
    </cfRule>
  </conditionalFormatting>
  <conditionalFormatting sqref="U32">
    <cfRule type="cellIs" dxfId="21900" priority="1" stopIfTrue="1" operator="equal">
      <formula>"G80"</formula>
    </cfRule>
  </conditionalFormatting>
  <dataValidations count="41">
    <dataValidation type="whole" operator="greaterThanOrEqual" allowBlank="1" showInputMessage="1" showErrorMessage="1" sqref="F59:G59 F57:G57 F53:G53 F51:G51 F49:G49 N82:O82 F55:G55 F61:G61 U82 U49:U64 N68 N66:O66 U66 F63:G63 O49:O64 N49:N58 N60:N64">
      <formula1>0</formula1>
    </dataValidation>
    <dataValidation type="whole" allowBlank="1" showInputMessage="1" showErrorMessage="1" errorTitle="خانة مخصصة  لداخلية" error="ضع إما العدد 1 لتأكيد الإجابة أو 0 لنفيها" sqref="F46">
      <formula1>0</formula1>
      <formula2>1</formula2>
    </dataValidation>
    <dataValidation type="whole" allowBlank="1" showInputMessage="1" showErrorMessage="1" errorTitle="خانة مخصصة للداخلية المتوسطة" error="ضع إما العدد 1 لتأكيد الإجابة أن الذاخلية مغلقة هذه السنة أو 0 لنفيها" sqref="F28">
      <formula1>0</formula1>
      <formula2>1</formula2>
    </dataValidation>
    <dataValidation type="whole" allowBlank="1" showInputMessage="1" showErrorMessage="1" errorTitle="الخانة مخصصة لمخبر الإعلام الآلي" error="ضع إما العدد 1 لتأكيد الإجابة أنه متصل بشبكة الأنترنت أو 0 لنفيها" sqref="L28:M28">
      <formula1>0</formula1>
      <formula2>3</formula2>
    </dataValidation>
    <dataValidation type="whole" allowBlank="1" showInputMessage="1" showErrorMessage="1" errorTitle="قاعة متعـددة الإختصاصات" error="إذا كانت مستعملة كمكتبة، ضع إما العدد 1 لتأكيد الإجابة أو 0 لنفيها" sqref="W26:X26">
      <formula1>0</formula1>
      <formula2>2</formula2>
    </dataValidation>
    <dataValidation type="whole" allowBlank="1" showInputMessage="1" showErrorMessage="1" errorTitle="قاعة متعـددة الإختصاصات" error="إذا كانت مستعملة للنشاطات الرياضية، ضع إما العدد 1 لتأكيد الإجابة أو 0 لنفيها" sqref="S26">
      <formula1>0</formula1>
      <formula2>2</formula2>
    </dataValidation>
    <dataValidation type="whole" allowBlank="1" showInputMessage="1" showErrorMessage="1" errorTitle="قاعة متعـددة الإختصاصات" error="ذا كانت مستعملة للنشاطات الفنية، ضع إما العدد 1 لتأكيد الإجابة أو 0 لنفيها" sqref="L26:M26">
      <formula1>0</formula1>
      <formula2>2</formula2>
    </dataValidation>
    <dataValidation type="whole" allowBlank="1" showInputMessage="1" showErrorMessage="1" errorTitle="خانة مخصصة للمدرج" error="ضع العدد فقط" sqref="W20:X20">
      <formula1>0</formula1>
      <formula2>50</formula2>
    </dataValidation>
    <dataValidation type="whole" allowBlank="1" showInputMessage="1" showErrorMessage="1" errorTitle="خانة مخصصة للوراشات" error="ضع عدد هذه الوراشات" sqref="S20">
      <formula1>0</formula1>
      <formula2>50</formula2>
    </dataValidation>
    <dataValidation type="whole" allowBlank="1" showInputMessage="1" showErrorMessage="1" errorTitle=" خانة مخصصة للمخابر" error="ضع عدد هذه المخابر" sqref="L20:M20">
      <formula1>0</formula1>
      <formula2>50</formula2>
    </dataValidation>
    <dataValidation type="whole" allowBlank="1" showInputMessage="1" showErrorMessage="1" errorTitle="خانة مخصصة للداخلية المتوسطة" error="ضع إما العدد 1 لتأكيد الإجابة أو 0 لنفيها" sqref="F20">
      <formula1>0</formula1>
      <formula2>1</formula2>
    </dataValidation>
    <dataValidation type="whole" allowBlank="1" showInputMessage="1" showErrorMessage="1" errorTitle="خانة مخصصة للداخلية المتوسطة" error="ضع سنة الإنشـاء الرسمية، أربعة أرقام  " sqref="F22:G22">
      <formula1>1400</formula1>
      <formula2>2020</formula2>
    </dataValidation>
    <dataValidation type="whole" allowBlank="1" showInputMessage="1" showErrorMessage="1" errorTitle="خانة مخصصة للداخلية المـتوسطة" error="ضع العدد فقط أي الطاقة وفق قرار الإنشاء" sqref="F24:G24">
      <formula1>0</formula1>
      <formula2>1000</formula2>
    </dataValidation>
    <dataValidation type="decimal" allowBlank="1" showInputMessage="1" showErrorMessage="1" errorTitle="خانة مخصصة للداخلية المـتوسطة" error="ضع عدد المستفيدات من الداخلية فقط" sqref="K34:M34">
      <formula1>0</formula1>
      <formula2>1500</formula2>
    </dataValidation>
    <dataValidation type="whole" allowBlank="1" showInputMessage="1" showErrorMessage="1" errorTitle="خانة مخصصة للداخلية المتوسطة" error="ضع عدد الداخليين فقط" sqref="F34:G34">
      <formula1>0</formula1>
      <formula2>1500</formula2>
    </dataValidation>
    <dataValidation type="whole" allowBlank="1" showInputMessage="1" showErrorMessage="1" errorTitle="الخانة مخصصة للنمط " error="ضع إما العدد 1 لتأكيد الإجابة أو 0 لنفيها" sqref="H34 R65 V65 H66">
      <formula1>0</formula1>
      <formula2>1</formula2>
    </dataValidation>
    <dataValidation type="whole" allowBlank="1" showInputMessage="1" showErrorMessage="1" errorTitle="خانة مخصصة لمعرفة بعد المتوسطة" error="ضع العدد المناسب لتحديد المسافة" sqref="W82 W66 W48 W58:W64">
      <formula1>0</formula1>
      <formula2>50000</formula2>
    </dataValidation>
    <dataValidation type="whole" allowBlank="1" showInputMessage="1" showErrorMessage="1" errorTitle="خانة مخصصة  لتدفئة المدرسة" error="ضع العدد الإجمالي للقاعات العادية و المتخصصة" sqref="S32 W32:X32">
      <formula1>0</formula1>
      <formula2>300</formula2>
    </dataValidation>
    <dataValidation type="whole" allowBlank="1" showInputMessage="1" showErrorMessage="1" errorTitle="خانة مخصصة لخزان المياه" error="ضع إما العدد 1 لتأكيد الإجابة أو 0 لنفيها" sqref="V30">
      <formula1>0</formula1>
      <formula2>1</formula2>
    </dataValidation>
    <dataValidation type="whole" allowBlank="1" showInputMessage="1" showErrorMessage="1" errorTitle="مخصصة  للمروحيات السقفية" error="ضع العدد فقط" sqref="W22:X22">
      <formula1>0</formula1>
      <formula2>400</formula2>
    </dataValidation>
    <dataValidation type="decimal" allowBlank="1" showInputMessage="1" showErrorMessage="1" errorTitle="مخصصة  للمكيفــات هوائيــة" error="ضع العدد فقط" sqref="S22">
      <formula1>0</formula1>
      <formula2>400</formula2>
    </dataValidation>
    <dataValidation type="whole" operator="lessThanOrEqual" allowBlank="1" showInputMessage="1" showErrorMessage="1" errorTitle="خانة مخصصة  لتدفئة التوسطة" error="ضع إما العدد 1 لتأكيد الإجابة أو 0 لنفيها" sqref="R30">
      <formula1>1</formula1>
    </dataValidation>
    <dataValidation type="whole" allowBlank="1" showInputMessage="1" showErrorMessage="1" errorTitle="خانة مخصصة لربط بشبكة الماء" error="ضع إما العدد 1 لتأكيد الإجابة أو 0 لنفيها" sqref="AG6">
      <formula1>0</formula1>
      <formula2>1</formula2>
    </dataValidation>
    <dataValidation type="whole" allowBlank="1" showInputMessage="1" showErrorMessage="1" errorTitle="النصف الداخلية للمتوسطة" error="ضع عدد المستفيدين من النصف الداخلية المتمدرسين في التعليم الإبتدائي" sqref="F42:G42">
      <formula1>0</formula1>
      <formula2>1500</formula2>
    </dataValidation>
    <dataValidation type="whole" allowBlank="1" showInputMessage="1" showErrorMessage="1" errorTitle="النصف الداخلية للمتوسطة" error="ضع عدد المستفيدين من النصف الداخلية المتمدرسين في التعليم الثانوي" sqref="F38:G38 F81:G81">
      <formula1>0</formula1>
      <formula2>1200</formula2>
    </dataValidation>
    <dataValidation type="whole" allowBlank="1" showInputMessage="1" showErrorMessage="1" errorTitle="النصف الداخلية للمتوسطة" error="ضع عدد المستفيدات من النصف الداخلية المتمدرسة في التعليم الإبتدائي" sqref="K42:M42 K77:M77">
      <formula1>0</formula1>
      <formula2>1500</formula2>
    </dataValidation>
    <dataValidation type="whole" allowBlank="1" showInputMessage="1" showErrorMessage="1" errorTitle="النصف الداخلية للمتوسطة" error="ضع عدد المستفيدات من النصف الداخلية المتمدرسة في التعليم الثانوي" sqref="K38:M38 K81:M81">
      <formula1>0</formula1>
      <formula2>1200</formula2>
    </dataValidation>
    <dataValidation type="whole" allowBlank="1" showInputMessage="1" showErrorMessage="1" errorTitle="خانة مخصصة  لمكتبة" error="ضع إما العدد 1 لتأكيد الإجابة أو 0 لنفيها" sqref="F26 F48 F62 F58 F50 F52 F54 F56 F60 F64">
      <formula1>0</formula1>
      <formula2>1</formula2>
    </dataValidation>
    <dataValidation allowBlank="1" showInputMessage="1" showErrorMessage="1" errorTitle="خانة مخصصة لنصف الداخلية" error="ضع إما العدد 1 لتأكيد الإجابة أو 0 لنفيها" sqref="U20"/>
    <dataValidation type="whole" allowBlank="1" showInputMessage="1" showErrorMessage="1" errorTitle="خانة مخصصة لنصف الداخلية" error="ضع سنة الإنشـاء الرسمية، أربعة أرقام  " sqref="U22:V22">
      <formula1>1400</formula1>
      <formula2>2020</formula2>
    </dataValidation>
    <dataValidation type="whole" allowBlank="1" showInputMessage="1" showErrorMessage="1" errorTitle="الطاقة النظرية لنصف الداخلية" error="ضع العدد فقط أي الطاقة وفق قرار الإنشاء" sqref="U24:V24">
      <formula1>0</formula1>
      <formula2>1000</formula2>
    </dataValidation>
    <dataValidation type="whole" allowBlank="1" showInputMessage="1" showErrorMessage="1" errorTitle="الخانة مخصصة للوسط الحضري" error="ضع إما العدد 1 لتأكيد الإجابة أو 0 لنفيها" sqref="U26">
      <formula1>0</formula1>
      <formula2>1</formula2>
    </dataValidation>
    <dataValidation type="whole" allowBlank="1" showInputMessage="1" showErrorMessage="1" errorTitle="خانة مخصصة لنصف الداخلية" error="ضع إما العدد 1 لتأكيد الإجابة أن النصف الداخلية مغلقة هذه السنة أو 0 لنفيها" sqref="U28">
      <formula1>0</formula1>
      <formula2>1</formula2>
    </dataValidation>
    <dataValidation type="whole" allowBlank="1" showInputMessage="1" showErrorMessage="1" errorTitle="النصف الداخلية للمتوسطة" error="ضع عدد المستفيدين من النصف الداخلية" sqref="F69:G69">
      <formula1>0</formula1>
      <formula2>1500</formula2>
    </dataValidation>
    <dataValidation type="whole" allowBlank="1" showInputMessage="1" showErrorMessage="1" errorTitle="النصف الداخلية للمتوسطة" error="ضع عدد المستفيدات من النصف الداخلية" sqref="K69:M69">
      <formula1>0</formula1>
      <formula2>1500</formula2>
    </dataValidation>
    <dataValidation type="whole" operator="greaterThan" allowBlank="1" showInputMessage="1" showErrorMessage="1" errorTitle="الخانة مخصصة لنوع البناء " error="ضع إما العدد 1 لتأكيد الإجابة أو 0 لنفيها" sqref="V79:W79 R79">
      <formula1>0</formula1>
    </dataValidation>
    <dataValidation type="whole" allowBlank="1" showInputMessage="1" showErrorMessage="1" errorTitle="النصف الداخلية للمتوسطة" error="ضع عدد المستفيدين من النصف الداخلية المتمدرسين في متوسطات أخرى" sqref="F73:G73">
      <formula1>0</formula1>
      <formula2>1500</formula2>
    </dataValidation>
    <dataValidation type="whole" allowBlank="1" showInputMessage="1" showErrorMessage="1" errorTitle="النصف الداخلية للمتوسطة" error="ضع عدد المستفيدات من النصف الداخلية المتمدرسة في متوسطات أخرى" sqref="K73:M73">
      <formula1>0</formula1>
      <formula2>1500</formula2>
    </dataValidation>
    <dataValidation operator="greaterThanOrEqual" allowBlank="1" showInputMessage="1" showErrorMessage="1" errorTitle="رقم حساب الخزينة" error="ضع العدد المناسب" sqref="T72:V72"/>
    <dataValidation type="whole" allowBlank="1" showInputMessage="1" showErrorMessage="1" errorTitle="خانة مخصصة للمطعـم المـدرسي" error="ضع إما العدد 1 لتأكيد الإجابة أن المطعم جديد فتح  هذه السنة إعتمادا على قرار الإنشاء أو 0 لنفيها" sqref="W51 W53 W55 W57">
      <formula1>0</formula1>
      <formula2>1</formula2>
    </dataValidation>
    <dataValidation type="whole" allowBlank="1" showInputMessage="1" showErrorMessage="1" errorTitle="خانة مخصصة للمطعـم المـدرسي" error="ضع إما العدد 1 لتأكيد الإجابة أن تجهيز المطعم موجود  أو 0 لنفيه" sqref="W49">
      <formula1>0</formula1>
      <formula2>1</formula2>
    </dataValidation>
  </dataValidations>
  <printOptions horizontalCentered="1" verticalCentered="1"/>
  <pageMargins left="0.19685039370078741" right="0.19685039370078741" top="0.19685039370078741" bottom="0.19685039370078741" header="0.19685039370078741" footer="0.23622047244094491"/>
  <pageSetup paperSize="9" orientation="portrait" r:id="rId1"/>
  <headerFooter>
    <oddFooter xml:space="preserve">&amp;R&amp;"-,Gras"&amp;8&amp;K00-034Echamil V.08      &amp;F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tabColor theme="1" tint="4.9989318521683403E-2"/>
  </sheetPr>
  <dimension ref="A1:Q65"/>
  <sheetViews>
    <sheetView showGridLines="0" rightToLeft="1" topLeftCell="A40" workbookViewId="0">
      <selection activeCell="D14" sqref="D14:N14"/>
    </sheetView>
  </sheetViews>
  <sheetFormatPr baseColWidth="10" defaultColWidth="0" defaultRowHeight="14.4" zeroHeight="1"/>
  <cols>
    <col min="1" max="1" width="2.6640625" customWidth="1"/>
    <col min="2" max="2" width="1.6640625" customWidth="1"/>
    <col min="3" max="3" width="0.88671875" customWidth="1"/>
    <col min="4" max="4" width="14.33203125" customWidth="1"/>
    <col min="5" max="14" width="8.33203125" customWidth="1"/>
    <col min="15" max="15" width="0.88671875" customWidth="1"/>
    <col min="16" max="16" width="1.6640625" customWidth="1"/>
    <col min="17" max="17" width="2.6640625" customWidth="1"/>
  </cols>
  <sheetData>
    <row r="1" spans="1:17" ht="12.9" customHeight="1" thickBot="1">
      <c r="A1" s="750"/>
      <c r="B1" s="751"/>
      <c r="C1" s="751"/>
      <c r="D1" s="751"/>
      <c r="E1" s="751"/>
      <c r="F1" s="751"/>
      <c r="G1" s="751"/>
      <c r="H1" s="751"/>
      <c r="I1" s="751"/>
      <c r="J1" s="751"/>
      <c r="K1" s="751"/>
      <c r="L1" s="751"/>
      <c r="M1" s="751"/>
      <c r="N1" s="751"/>
      <c r="O1" s="751"/>
      <c r="P1" s="751"/>
      <c r="Q1" s="750"/>
    </row>
    <row r="2" spans="1:17" ht="8.1" customHeight="1" thickBot="1">
      <c r="A2" s="750"/>
      <c r="B2" s="904"/>
      <c r="C2" s="905"/>
      <c r="D2" s="905"/>
      <c r="E2" s="905"/>
      <c r="F2" s="905"/>
      <c r="G2" s="905"/>
      <c r="H2" s="905"/>
      <c r="I2" s="905"/>
      <c r="J2" s="905"/>
      <c r="K2" s="905"/>
      <c r="L2" s="905"/>
      <c r="M2" s="905"/>
      <c r="N2" s="905"/>
      <c r="O2" s="905"/>
      <c r="P2" s="906"/>
      <c r="Q2" s="752"/>
    </row>
    <row r="3" spans="1:17" ht="6.75" customHeight="1">
      <c r="A3" s="750"/>
      <c r="B3" s="907"/>
      <c r="C3" s="862"/>
      <c r="D3" s="859"/>
      <c r="E3" s="863"/>
      <c r="F3" s="859"/>
      <c r="G3" s="859"/>
      <c r="H3" s="859"/>
      <c r="I3" s="859"/>
      <c r="J3" s="859"/>
      <c r="K3" s="859"/>
      <c r="L3" s="859"/>
      <c r="M3" s="859"/>
      <c r="N3" s="859"/>
      <c r="O3" s="913"/>
      <c r="P3" s="925"/>
      <c r="Q3" s="752"/>
    </row>
    <row r="4" spans="1:17" ht="21" customHeight="1">
      <c r="A4" s="750"/>
      <c r="B4" s="926"/>
      <c r="C4" s="918"/>
      <c r="D4" s="681" t="s">
        <v>777</v>
      </c>
      <c r="E4" s="678"/>
      <c r="F4" s="4182" t="str">
        <f>'الصفحة 1'!$E$16</f>
        <v>بلحاتم رابح</v>
      </c>
      <c r="G4" s="4183"/>
      <c r="H4" s="4183"/>
      <c r="I4" s="4183"/>
      <c r="J4" s="4184"/>
      <c r="K4" s="679"/>
      <c r="L4" s="679"/>
      <c r="M4" s="680"/>
      <c r="N4" s="680"/>
      <c r="O4" s="944"/>
      <c r="P4" s="925"/>
      <c r="Q4" s="753"/>
    </row>
    <row r="5" spans="1:17" ht="8.1" customHeight="1">
      <c r="A5" s="750"/>
      <c r="B5" s="926"/>
      <c r="C5" s="918"/>
      <c r="D5" s="680"/>
      <c r="E5" s="680"/>
      <c r="F5" s="680"/>
      <c r="G5" s="680"/>
      <c r="H5" s="680"/>
      <c r="I5" s="680"/>
      <c r="J5" s="680"/>
      <c r="K5" s="680"/>
      <c r="L5" s="680"/>
      <c r="M5" s="680"/>
      <c r="N5" s="680"/>
      <c r="O5" s="944"/>
      <c r="P5" s="925"/>
      <c r="Q5" s="753"/>
    </row>
    <row r="6" spans="1:17" ht="23.25" customHeight="1">
      <c r="A6" s="750"/>
      <c r="B6" s="926"/>
      <c r="C6" s="918"/>
      <c r="D6" s="680"/>
      <c r="E6" s="680"/>
      <c r="F6" s="4185"/>
      <c r="G6" s="4186"/>
      <c r="H6" s="4186"/>
      <c r="I6" s="4186"/>
      <c r="J6" s="4187"/>
      <c r="K6" s="680"/>
      <c r="L6" s="680"/>
      <c r="M6" s="680"/>
      <c r="N6" s="680" t="s">
        <v>624</v>
      </c>
      <c r="O6" s="944"/>
      <c r="P6" s="925"/>
      <c r="Q6" s="753"/>
    </row>
    <row r="7" spans="1:17" ht="4.5" customHeight="1">
      <c r="A7" s="750"/>
      <c r="B7" s="926"/>
      <c r="C7" s="918"/>
      <c r="D7" s="680"/>
      <c r="E7" s="680"/>
      <c r="F7" s="941"/>
      <c r="G7" s="941"/>
      <c r="H7" s="941"/>
      <c r="I7" s="941"/>
      <c r="J7" s="941"/>
      <c r="K7" s="680"/>
      <c r="L7" s="680"/>
      <c r="M7" s="680"/>
      <c r="N7" s="680"/>
      <c r="O7" s="944"/>
      <c r="P7" s="925"/>
      <c r="Q7" s="753"/>
    </row>
    <row r="8" spans="1:17" ht="8.1" customHeight="1">
      <c r="A8" s="750"/>
      <c r="B8" s="926"/>
      <c r="C8" s="918"/>
      <c r="D8" s="680"/>
      <c r="E8" s="680"/>
      <c r="F8" s="680"/>
      <c r="G8" s="680"/>
      <c r="H8" s="680"/>
      <c r="I8" s="680"/>
      <c r="J8" s="680"/>
      <c r="K8" s="680"/>
      <c r="L8" s="680"/>
      <c r="M8" s="680"/>
      <c r="N8" s="680"/>
      <c r="O8" s="944"/>
      <c r="P8" s="925"/>
      <c r="Q8" s="753"/>
    </row>
    <row r="9" spans="1:17" ht="15" customHeight="1">
      <c r="A9" s="750"/>
      <c r="B9" s="926"/>
      <c r="C9" s="918"/>
      <c r="D9" s="681" t="s">
        <v>1361</v>
      </c>
      <c r="E9" s="680"/>
      <c r="F9" s="680"/>
      <c r="G9" s="680"/>
      <c r="H9" s="680"/>
      <c r="I9" s="680"/>
      <c r="J9" s="680"/>
      <c r="K9" s="680"/>
      <c r="L9" s="680"/>
      <c r="M9" s="680"/>
      <c r="N9" s="680"/>
      <c r="O9" s="944"/>
      <c r="P9" s="925"/>
      <c r="Q9" s="753"/>
    </row>
    <row r="10" spans="1:17" ht="12.9" customHeight="1">
      <c r="A10" s="750"/>
      <c r="B10" s="926"/>
      <c r="C10" s="918"/>
      <c r="D10" s="680"/>
      <c r="E10" s="680"/>
      <c r="F10" s="680"/>
      <c r="G10" s="680"/>
      <c r="H10" s="680"/>
      <c r="I10" s="680"/>
      <c r="J10" s="680"/>
      <c r="K10" s="680"/>
      <c r="L10" s="680"/>
      <c r="M10" s="680"/>
      <c r="N10" s="680"/>
      <c r="O10" s="944"/>
      <c r="P10" s="925"/>
      <c r="Q10" s="753"/>
    </row>
    <row r="11" spans="1:17" ht="15" customHeight="1">
      <c r="A11" s="750"/>
      <c r="B11" s="926"/>
      <c r="C11" s="918"/>
      <c r="D11" s="4188"/>
      <c r="E11" s="4189"/>
      <c r="F11" s="4189"/>
      <c r="G11" s="4189"/>
      <c r="H11" s="4189"/>
      <c r="I11" s="4189"/>
      <c r="J11" s="4189"/>
      <c r="K11" s="4189"/>
      <c r="L11" s="4189"/>
      <c r="M11" s="4189"/>
      <c r="N11" s="4190"/>
      <c r="O11" s="944"/>
      <c r="P11" s="925"/>
      <c r="Q11" s="753"/>
    </row>
    <row r="12" spans="1:17" ht="15" customHeight="1">
      <c r="A12" s="750"/>
      <c r="B12" s="926"/>
      <c r="C12" s="918"/>
      <c r="D12" s="4170"/>
      <c r="E12" s="4191"/>
      <c r="F12" s="4191"/>
      <c r="G12" s="4191"/>
      <c r="H12" s="4191"/>
      <c r="I12" s="4191"/>
      <c r="J12" s="4191"/>
      <c r="K12" s="4191"/>
      <c r="L12" s="4191"/>
      <c r="M12" s="4191"/>
      <c r="N12" s="4192"/>
      <c r="O12" s="944"/>
      <c r="P12" s="925"/>
      <c r="Q12" s="753"/>
    </row>
    <row r="13" spans="1:17" ht="15" customHeight="1">
      <c r="A13" s="750"/>
      <c r="B13" s="926"/>
      <c r="C13" s="918"/>
      <c r="D13" s="4170"/>
      <c r="E13" s="4171"/>
      <c r="F13" s="4171"/>
      <c r="G13" s="4171"/>
      <c r="H13" s="4171"/>
      <c r="I13" s="4171"/>
      <c r="J13" s="4171"/>
      <c r="K13" s="4171"/>
      <c r="L13" s="4171"/>
      <c r="M13" s="4171"/>
      <c r="N13" s="4172"/>
      <c r="O13" s="944"/>
      <c r="P13" s="925"/>
      <c r="Q13" s="753"/>
    </row>
    <row r="14" spans="1:17" ht="15" customHeight="1">
      <c r="A14" s="750"/>
      <c r="B14" s="926"/>
      <c r="C14" s="918"/>
      <c r="D14" s="4170"/>
      <c r="E14" s="4171"/>
      <c r="F14" s="4171"/>
      <c r="G14" s="4171"/>
      <c r="H14" s="4171"/>
      <c r="I14" s="4171"/>
      <c r="J14" s="4171"/>
      <c r="K14" s="4171"/>
      <c r="L14" s="4171"/>
      <c r="M14" s="4171"/>
      <c r="N14" s="4172"/>
      <c r="O14" s="944"/>
      <c r="P14" s="925"/>
      <c r="Q14" s="753"/>
    </row>
    <row r="15" spans="1:17" ht="15" customHeight="1">
      <c r="A15" s="750"/>
      <c r="B15" s="926"/>
      <c r="C15" s="918"/>
      <c r="D15" s="4170"/>
      <c r="E15" s="4171"/>
      <c r="F15" s="4171"/>
      <c r="G15" s="4171"/>
      <c r="H15" s="4171"/>
      <c r="I15" s="4171"/>
      <c r="J15" s="4171"/>
      <c r="K15" s="4171"/>
      <c r="L15" s="4171"/>
      <c r="M15" s="4171"/>
      <c r="N15" s="4172"/>
      <c r="O15" s="944"/>
      <c r="P15" s="925"/>
      <c r="Q15" s="753"/>
    </row>
    <row r="16" spans="1:17" ht="15" customHeight="1">
      <c r="A16" s="750"/>
      <c r="B16" s="926"/>
      <c r="C16" s="918"/>
      <c r="D16" s="4170"/>
      <c r="E16" s="4171"/>
      <c r="F16" s="4171"/>
      <c r="G16" s="4171"/>
      <c r="H16" s="4171"/>
      <c r="I16" s="4171"/>
      <c r="J16" s="4171"/>
      <c r="K16" s="4171"/>
      <c r="L16" s="4171"/>
      <c r="M16" s="4171"/>
      <c r="N16" s="4172"/>
      <c r="O16" s="944"/>
      <c r="P16" s="925"/>
      <c r="Q16" s="753"/>
    </row>
    <row r="17" spans="1:17" ht="15" customHeight="1">
      <c r="A17" s="750"/>
      <c r="B17" s="926"/>
      <c r="C17" s="918"/>
      <c r="D17" s="4170"/>
      <c r="E17" s="4171"/>
      <c r="F17" s="4171"/>
      <c r="G17" s="4171"/>
      <c r="H17" s="4171"/>
      <c r="I17" s="4171"/>
      <c r="J17" s="4171"/>
      <c r="K17" s="4171"/>
      <c r="L17" s="4171"/>
      <c r="M17" s="4171"/>
      <c r="N17" s="4172"/>
      <c r="O17" s="944"/>
      <c r="P17" s="925"/>
      <c r="Q17" s="753"/>
    </row>
    <row r="18" spans="1:17" ht="15" customHeight="1">
      <c r="A18" s="750"/>
      <c r="B18" s="926"/>
      <c r="C18" s="918"/>
      <c r="D18" s="4170"/>
      <c r="E18" s="4171"/>
      <c r="F18" s="4171"/>
      <c r="G18" s="4171"/>
      <c r="H18" s="4171"/>
      <c r="I18" s="4171"/>
      <c r="J18" s="4171"/>
      <c r="K18" s="4171"/>
      <c r="L18" s="4171"/>
      <c r="M18" s="4171"/>
      <c r="N18" s="4172"/>
      <c r="O18" s="944"/>
      <c r="P18" s="925"/>
      <c r="Q18" s="753"/>
    </row>
    <row r="19" spans="1:17" ht="15" customHeight="1">
      <c r="A19" s="750"/>
      <c r="B19" s="926"/>
      <c r="C19" s="918"/>
      <c r="D19" s="4170"/>
      <c r="E19" s="4171"/>
      <c r="F19" s="4171"/>
      <c r="G19" s="4171"/>
      <c r="H19" s="4171"/>
      <c r="I19" s="4171"/>
      <c r="J19" s="4171"/>
      <c r="K19" s="4171"/>
      <c r="L19" s="4171"/>
      <c r="M19" s="4171"/>
      <c r="N19" s="4172"/>
      <c r="O19" s="944"/>
      <c r="P19" s="925"/>
      <c r="Q19" s="753"/>
    </row>
    <row r="20" spans="1:17" ht="15" customHeight="1">
      <c r="A20" s="750"/>
      <c r="B20" s="926"/>
      <c r="C20" s="918"/>
      <c r="D20" s="4170"/>
      <c r="E20" s="4171"/>
      <c r="F20" s="4171"/>
      <c r="G20" s="4171"/>
      <c r="H20" s="4171"/>
      <c r="I20" s="4171"/>
      <c r="J20" s="4171"/>
      <c r="K20" s="4171"/>
      <c r="L20" s="4171"/>
      <c r="M20" s="4171"/>
      <c r="N20" s="4172"/>
      <c r="O20" s="944"/>
      <c r="P20" s="925"/>
      <c r="Q20" s="753"/>
    </row>
    <row r="21" spans="1:17" ht="15" customHeight="1">
      <c r="A21" s="750"/>
      <c r="B21" s="926"/>
      <c r="C21" s="918"/>
      <c r="D21" s="4170"/>
      <c r="E21" s="4171"/>
      <c r="F21" s="4171"/>
      <c r="G21" s="4171"/>
      <c r="H21" s="4171"/>
      <c r="I21" s="4171"/>
      <c r="J21" s="4171"/>
      <c r="K21" s="4171"/>
      <c r="L21" s="4171"/>
      <c r="M21" s="4171"/>
      <c r="N21" s="4172"/>
      <c r="O21" s="944"/>
      <c r="P21" s="925"/>
      <c r="Q21" s="753"/>
    </row>
    <row r="22" spans="1:17" ht="15" customHeight="1">
      <c r="A22" s="750"/>
      <c r="B22" s="926"/>
      <c r="C22" s="918"/>
      <c r="D22" s="4170"/>
      <c r="E22" s="4171"/>
      <c r="F22" s="4171"/>
      <c r="G22" s="4171"/>
      <c r="H22" s="4171"/>
      <c r="I22" s="4171"/>
      <c r="J22" s="4171"/>
      <c r="K22" s="4171"/>
      <c r="L22" s="4171"/>
      <c r="M22" s="4171"/>
      <c r="N22" s="4172"/>
      <c r="O22" s="944"/>
      <c r="P22" s="925"/>
      <c r="Q22" s="753"/>
    </row>
    <row r="23" spans="1:17" ht="15" customHeight="1">
      <c r="A23" s="750"/>
      <c r="B23" s="926"/>
      <c r="C23" s="918"/>
      <c r="D23" s="4170"/>
      <c r="E23" s="4171"/>
      <c r="F23" s="4171"/>
      <c r="G23" s="4171"/>
      <c r="H23" s="4171"/>
      <c r="I23" s="4171"/>
      <c r="J23" s="4171"/>
      <c r="K23" s="4171"/>
      <c r="L23" s="4171"/>
      <c r="M23" s="4171"/>
      <c r="N23" s="4172"/>
      <c r="O23" s="944"/>
      <c r="P23" s="925"/>
      <c r="Q23" s="753"/>
    </row>
    <row r="24" spans="1:17" ht="15" customHeight="1">
      <c r="A24" s="750"/>
      <c r="B24" s="926"/>
      <c r="C24" s="918"/>
      <c r="D24" s="4170"/>
      <c r="E24" s="4171"/>
      <c r="F24" s="4171"/>
      <c r="G24" s="4171"/>
      <c r="H24" s="4171"/>
      <c r="I24" s="4171"/>
      <c r="J24" s="4171"/>
      <c r="K24" s="4171"/>
      <c r="L24" s="4171"/>
      <c r="M24" s="4171"/>
      <c r="N24" s="4172"/>
      <c r="O24" s="944"/>
      <c r="P24" s="925"/>
      <c r="Q24" s="753"/>
    </row>
    <row r="25" spans="1:17" ht="15" customHeight="1">
      <c r="A25" s="750"/>
      <c r="B25" s="926"/>
      <c r="C25" s="918"/>
      <c r="D25" s="4170"/>
      <c r="E25" s="4171"/>
      <c r="F25" s="4171"/>
      <c r="G25" s="4171"/>
      <c r="H25" s="4171"/>
      <c r="I25" s="4171"/>
      <c r="J25" s="4171"/>
      <c r="K25" s="4171"/>
      <c r="L25" s="4171"/>
      <c r="M25" s="4171"/>
      <c r="N25" s="4172"/>
      <c r="O25" s="944"/>
      <c r="P25" s="925"/>
      <c r="Q25" s="753"/>
    </row>
    <row r="26" spans="1:17" ht="15" customHeight="1">
      <c r="A26" s="750"/>
      <c r="B26" s="926"/>
      <c r="C26" s="918"/>
      <c r="D26" s="4170"/>
      <c r="E26" s="4171"/>
      <c r="F26" s="4171"/>
      <c r="G26" s="4171"/>
      <c r="H26" s="4171"/>
      <c r="I26" s="4171"/>
      <c r="J26" s="4171"/>
      <c r="K26" s="4171"/>
      <c r="L26" s="4171"/>
      <c r="M26" s="4171"/>
      <c r="N26" s="4172"/>
      <c r="O26" s="944"/>
      <c r="P26" s="925"/>
      <c r="Q26" s="753"/>
    </row>
    <row r="27" spans="1:17" ht="15" customHeight="1">
      <c r="A27" s="750"/>
      <c r="B27" s="926"/>
      <c r="C27" s="918"/>
      <c r="D27" s="4170"/>
      <c r="E27" s="4171"/>
      <c r="F27" s="4171"/>
      <c r="G27" s="4171"/>
      <c r="H27" s="4171"/>
      <c r="I27" s="4171"/>
      <c r="J27" s="4171"/>
      <c r="K27" s="4171"/>
      <c r="L27" s="4171"/>
      <c r="M27" s="4171"/>
      <c r="N27" s="4172"/>
      <c r="O27" s="944"/>
      <c r="P27" s="925"/>
      <c r="Q27" s="753"/>
    </row>
    <row r="28" spans="1:17" ht="15" customHeight="1">
      <c r="A28" s="750"/>
      <c r="B28" s="926"/>
      <c r="C28" s="918"/>
      <c r="D28" s="4170"/>
      <c r="E28" s="4171"/>
      <c r="F28" s="4171"/>
      <c r="G28" s="4171"/>
      <c r="H28" s="4171"/>
      <c r="I28" s="4171"/>
      <c r="J28" s="4171"/>
      <c r="K28" s="4171"/>
      <c r="L28" s="4171"/>
      <c r="M28" s="4171"/>
      <c r="N28" s="4172"/>
      <c r="O28" s="944"/>
      <c r="P28" s="925"/>
      <c r="Q28" s="753"/>
    </row>
    <row r="29" spans="1:17" ht="15" customHeight="1">
      <c r="A29" s="750"/>
      <c r="B29" s="926"/>
      <c r="C29" s="918"/>
      <c r="D29" s="4170"/>
      <c r="E29" s="4171"/>
      <c r="F29" s="4171"/>
      <c r="G29" s="4171"/>
      <c r="H29" s="4171"/>
      <c r="I29" s="4171"/>
      <c r="J29" s="4171"/>
      <c r="K29" s="4171"/>
      <c r="L29" s="4171"/>
      <c r="M29" s="4171"/>
      <c r="N29" s="4172"/>
      <c r="O29" s="944"/>
      <c r="P29" s="925"/>
      <c r="Q29" s="753"/>
    </row>
    <row r="30" spans="1:17" ht="15" customHeight="1">
      <c r="A30" s="750"/>
      <c r="B30" s="926"/>
      <c r="C30" s="918"/>
      <c r="D30" s="4170"/>
      <c r="E30" s="4171"/>
      <c r="F30" s="4171"/>
      <c r="G30" s="4171"/>
      <c r="H30" s="4171"/>
      <c r="I30" s="4171"/>
      <c r="J30" s="4171"/>
      <c r="K30" s="4171"/>
      <c r="L30" s="4171"/>
      <c r="M30" s="4171"/>
      <c r="N30" s="4172"/>
      <c r="O30" s="944"/>
      <c r="P30" s="925"/>
      <c r="Q30" s="753"/>
    </row>
    <row r="31" spans="1:17" ht="15" customHeight="1">
      <c r="A31" s="750"/>
      <c r="B31" s="926"/>
      <c r="C31" s="918"/>
      <c r="D31" s="4170"/>
      <c r="E31" s="4171"/>
      <c r="F31" s="4171"/>
      <c r="G31" s="4171"/>
      <c r="H31" s="4171"/>
      <c r="I31" s="4171"/>
      <c r="J31" s="4171"/>
      <c r="K31" s="4171"/>
      <c r="L31" s="4171"/>
      <c r="M31" s="4171"/>
      <c r="N31" s="4172"/>
      <c r="O31" s="944"/>
      <c r="P31" s="925"/>
      <c r="Q31" s="753"/>
    </row>
    <row r="32" spans="1:17" ht="15" customHeight="1">
      <c r="A32" s="750"/>
      <c r="B32" s="926"/>
      <c r="C32" s="918"/>
      <c r="D32" s="4170"/>
      <c r="E32" s="4171"/>
      <c r="F32" s="4171"/>
      <c r="G32" s="4171"/>
      <c r="H32" s="4171"/>
      <c r="I32" s="4171"/>
      <c r="J32" s="4171"/>
      <c r="K32" s="4171"/>
      <c r="L32" s="4171"/>
      <c r="M32" s="4171"/>
      <c r="N32" s="4172"/>
      <c r="O32" s="944"/>
      <c r="P32" s="925"/>
      <c r="Q32" s="753"/>
    </row>
    <row r="33" spans="1:17" ht="15" customHeight="1">
      <c r="A33" s="750"/>
      <c r="B33" s="926"/>
      <c r="C33" s="918"/>
      <c r="D33" s="4170"/>
      <c r="E33" s="4171"/>
      <c r="F33" s="4171"/>
      <c r="G33" s="4171"/>
      <c r="H33" s="4171"/>
      <c r="I33" s="4171"/>
      <c r="J33" s="4171"/>
      <c r="K33" s="4171"/>
      <c r="L33" s="4171"/>
      <c r="M33" s="4171"/>
      <c r="N33" s="4172"/>
      <c r="O33" s="944"/>
      <c r="P33" s="925"/>
      <c r="Q33" s="753"/>
    </row>
    <row r="34" spans="1:17" ht="15" customHeight="1">
      <c r="A34" s="750"/>
      <c r="B34" s="926"/>
      <c r="C34" s="918"/>
      <c r="D34" s="4170"/>
      <c r="E34" s="4171"/>
      <c r="F34" s="4171"/>
      <c r="G34" s="4171"/>
      <c r="H34" s="4171"/>
      <c r="I34" s="4171"/>
      <c r="J34" s="4171"/>
      <c r="K34" s="4171"/>
      <c r="L34" s="4171"/>
      <c r="M34" s="4171"/>
      <c r="N34" s="4172"/>
      <c r="O34" s="944"/>
      <c r="P34" s="925"/>
      <c r="Q34" s="753"/>
    </row>
    <row r="35" spans="1:17" ht="15" customHeight="1">
      <c r="A35" s="750"/>
      <c r="B35" s="926"/>
      <c r="C35" s="918"/>
      <c r="D35" s="4170"/>
      <c r="E35" s="4171"/>
      <c r="F35" s="4171"/>
      <c r="G35" s="4171"/>
      <c r="H35" s="4171"/>
      <c r="I35" s="4171"/>
      <c r="J35" s="4171"/>
      <c r="K35" s="4171"/>
      <c r="L35" s="4171"/>
      <c r="M35" s="4171"/>
      <c r="N35" s="4172"/>
      <c r="O35" s="944"/>
      <c r="P35" s="925"/>
      <c r="Q35" s="753"/>
    </row>
    <row r="36" spans="1:17" ht="15" customHeight="1">
      <c r="A36" s="750"/>
      <c r="B36" s="926"/>
      <c r="C36" s="918"/>
      <c r="D36" s="4170"/>
      <c r="E36" s="4171"/>
      <c r="F36" s="4171"/>
      <c r="G36" s="4171"/>
      <c r="H36" s="4171"/>
      <c r="I36" s="4171"/>
      <c r="J36" s="4171"/>
      <c r="K36" s="4171"/>
      <c r="L36" s="4171"/>
      <c r="M36" s="4171"/>
      <c r="N36" s="4172"/>
      <c r="O36" s="944"/>
      <c r="P36" s="925"/>
      <c r="Q36" s="753"/>
    </row>
    <row r="37" spans="1:17" ht="15" customHeight="1">
      <c r="A37" s="750"/>
      <c r="B37" s="926"/>
      <c r="C37" s="918"/>
      <c r="D37" s="4170"/>
      <c r="E37" s="4171"/>
      <c r="F37" s="4171"/>
      <c r="G37" s="4171"/>
      <c r="H37" s="4171"/>
      <c r="I37" s="4171"/>
      <c r="J37" s="4171"/>
      <c r="K37" s="4171"/>
      <c r="L37" s="4171"/>
      <c r="M37" s="4171"/>
      <c r="N37" s="4172"/>
      <c r="O37" s="944"/>
      <c r="P37" s="925"/>
      <c r="Q37" s="753"/>
    </row>
    <row r="38" spans="1:17" ht="15" customHeight="1">
      <c r="A38" s="750"/>
      <c r="B38" s="926"/>
      <c r="C38" s="918"/>
      <c r="D38" s="4170"/>
      <c r="E38" s="4171"/>
      <c r="F38" s="4171"/>
      <c r="G38" s="4171"/>
      <c r="H38" s="4171"/>
      <c r="I38" s="4171"/>
      <c r="J38" s="4171"/>
      <c r="K38" s="4171"/>
      <c r="L38" s="4171"/>
      <c r="M38" s="4171"/>
      <c r="N38" s="4172"/>
      <c r="O38" s="944"/>
      <c r="P38" s="925"/>
      <c r="Q38" s="753"/>
    </row>
    <row r="39" spans="1:17" ht="15" customHeight="1">
      <c r="A39" s="750"/>
      <c r="B39" s="926"/>
      <c r="C39" s="918"/>
      <c r="D39" s="4173"/>
      <c r="E39" s="4174"/>
      <c r="F39" s="4174"/>
      <c r="G39" s="4174"/>
      <c r="H39" s="4174"/>
      <c r="I39" s="4174"/>
      <c r="J39" s="4174"/>
      <c r="K39" s="4174"/>
      <c r="L39" s="4174"/>
      <c r="M39" s="4174"/>
      <c r="N39" s="4175"/>
      <c r="O39" s="944"/>
      <c r="P39" s="925"/>
      <c r="Q39" s="753"/>
    </row>
    <row r="40" spans="1:17" ht="8.1" customHeight="1">
      <c r="A40" s="750"/>
      <c r="B40" s="926"/>
      <c r="C40" s="918"/>
      <c r="D40" s="680"/>
      <c r="E40" s="680"/>
      <c r="F40" s="680"/>
      <c r="G40" s="680"/>
      <c r="H40" s="680"/>
      <c r="I40" s="680"/>
      <c r="J40" s="680"/>
      <c r="K40" s="680"/>
      <c r="L40" s="680"/>
      <c r="M40" s="680"/>
      <c r="N40" s="680"/>
      <c r="O40" s="944"/>
      <c r="P40" s="925"/>
      <c r="Q40" s="753"/>
    </row>
    <row r="41" spans="1:17" ht="6.75" customHeight="1">
      <c r="A41" s="750"/>
      <c r="B41" s="926"/>
      <c r="C41" s="918"/>
      <c r="D41" s="680"/>
      <c r="E41" s="680"/>
      <c r="F41" s="680"/>
      <c r="G41" s="680"/>
      <c r="H41" s="680"/>
      <c r="I41" s="680"/>
      <c r="J41" s="680"/>
      <c r="K41" s="680"/>
      <c r="L41" s="680"/>
      <c r="M41" s="680"/>
      <c r="N41" s="680"/>
      <c r="O41" s="944"/>
      <c r="P41" s="925"/>
      <c r="Q41" s="753"/>
    </row>
    <row r="42" spans="1:17" ht="6.75" customHeight="1">
      <c r="A42" s="750"/>
      <c r="B42" s="926"/>
      <c r="C42" s="918"/>
      <c r="D42" s="680"/>
      <c r="E42" s="680"/>
      <c r="F42" s="680"/>
      <c r="G42" s="680"/>
      <c r="H42" s="680"/>
      <c r="I42" s="680"/>
      <c r="J42" s="680"/>
      <c r="K42" s="680"/>
      <c r="L42" s="680"/>
      <c r="M42" s="680"/>
      <c r="N42" s="680"/>
      <c r="O42" s="944"/>
      <c r="P42" s="925"/>
      <c r="Q42" s="753"/>
    </row>
    <row r="43" spans="1:17" ht="6.75" customHeight="1">
      <c r="A43" s="750"/>
      <c r="B43" s="926"/>
      <c r="C43" s="918"/>
      <c r="D43" s="680"/>
      <c r="E43" s="680"/>
      <c r="F43" s="680"/>
      <c r="G43" s="680"/>
      <c r="H43" s="680"/>
      <c r="I43" s="680"/>
      <c r="J43" s="680"/>
      <c r="K43" s="680"/>
      <c r="L43" s="680"/>
      <c r="M43" s="680"/>
      <c r="N43" s="680"/>
      <c r="O43" s="944"/>
      <c r="P43" s="925"/>
      <c r="Q43" s="753"/>
    </row>
    <row r="44" spans="1:17" ht="6.75" customHeight="1">
      <c r="A44" s="750"/>
      <c r="B44" s="926"/>
      <c r="C44" s="918"/>
      <c r="D44" s="680"/>
      <c r="E44" s="680"/>
      <c r="F44" s="680"/>
      <c r="G44" s="680"/>
      <c r="H44" s="680"/>
      <c r="I44" s="680"/>
      <c r="J44" s="680"/>
      <c r="K44" s="680"/>
      <c r="L44" s="680"/>
      <c r="M44" s="680"/>
      <c r="N44" s="680"/>
      <c r="O44" s="944"/>
      <c r="P44" s="925"/>
      <c r="Q44" s="753"/>
    </row>
    <row r="45" spans="1:17" ht="6.75" customHeight="1" thickBot="1">
      <c r="A45" s="750"/>
      <c r="B45" s="926"/>
      <c r="C45" s="918"/>
      <c r="D45" s="680"/>
      <c r="E45" s="680"/>
      <c r="F45" s="680"/>
      <c r="G45" s="680"/>
      <c r="H45" s="680"/>
      <c r="I45" s="680"/>
      <c r="J45" s="680"/>
      <c r="K45" s="680"/>
      <c r="L45" s="680"/>
      <c r="M45" s="680"/>
      <c r="N45" s="680"/>
      <c r="O45" s="944"/>
      <c r="P45" s="925"/>
      <c r="Q45" s="754"/>
    </row>
    <row r="46" spans="1:17" ht="4.5" customHeight="1">
      <c r="A46" s="750"/>
      <c r="B46" s="926"/>
      <c r="C46" s="918"/>
      <c r="D46" s="952"/>
      <c r="E46" s="952"/>
      <c r="F46" s="952"/>
      <c r="G46" s="952"/>
      <c r="H46" s="952"/>
      <c r="I46" s="952"/>
      <c r="J46" s="952"/>
      <c r="K46" s="952"/>
      <c r="L46" s="952"/>
      <c r="M46" s="952"/>
      <c r="N46" s="952"/>
      <c r="O46" s="944"/>
      <c r="P46" s="925"/>
      <c r="Q46" s="754"/>
    </row>
    <row r="47" spans="1:17" ht="21.9" customHeight="1">
      <c r="A47" s="750"/>
      <c r="B47" s="926"/>
      <c r="C47" s="918"/>
      <c r="D47" s="1403" t="s">
        <v>969</v>
      </c>
      <c r="E47" s="1399"/>
      <c r="F47" s="1400"/>
      <c r="G47" s="1399"/>
      <c r="H47" s="1399"/>
      <c r="I47" s="1399"/>
      <c r="J47" s="2016" t="s">
        <v>590</v>
      </c>
      <c r="K47" s="4193"/>
      <c r="L47" s="4194"/>
      <c r="M47" s="4194"/>
      <c r="N47" s="4195"/>
      <c r="O47" s="944"/>
      <c r="P47" s="925"/>
      <c r="Q47" s="754"/>
    </row>
    <row r="48" spans="1:17" ht="15.9" customHeight="1">
      <c r="A48" s="750"/>
      <c r="B48" s="926"/>
      <c r="C48" s="918"/>
      <c r="D48" s="4196" t="s">
        <v>779</v>
      </c>
      <c r="E48" s="4196"/>
      <c r="F48" s="4196"/>
      <c r="G48" s="4196"/>
      <c r="H48" s="4196"/>
      <c r="I48" s="4197"/>
      <c r="J48" s="948"/>
      <c r="K48" s="634"/>
      <c r="L48" s="634"/>
      <c r="M48" s="634"/>
      <c r="N48" s="634"/>
      <c r="O48" s="944"/>
      <c r="P48" s="925"/>
      <c r="Q48" s="754"/>
    </row>
    <row r="49" spans="1:17" ht="18" customHeight="1">
      <c r="A49" s="750"/>
      <c r="B49" s="926"/>
      <c r="C49" s="918"/>
      <c r="D49" s="682">
        <v>1</v>
      </c>
      <c r="E49" s="4177"/>
      <c r="F49" s="4177"/>
      <c r="G49" s="4177"/>
      <c r="H49" s="4177"/>
      <c r="I49" s="4177"/>
      <c r="J49" s="1030" t="s">
        <v>1390</v>
      </c>
      <c r="K49" s="634"/>
      <c r="L49" s="634"/>
      <c r="M49" s="634"/>
      <c r="N49" s="634"/>
      <c r="O49" s="944"/>
      <c r="P49" s="925"/>
      <c r="Q49" s="754"/>
    </row>
    <row r="50" spans="1:17" ht="18" customHeight="1">
      <c r="A50" s="750"/>
      <c r="B50" s="926"/>
      <c r="C50" s="918"/>
      <c r="D50" s="682">
        <v>2</v>
      </c>
      <c r="E50" s="4177"/>
      <c r="F50" s="4177"/>
      <c r="G50" s="4177"/>
      <c r="H50" s="4177"/>
      <c r="I50" s="4177"/>
      <c r="J50" s="947"/>
      <c r="K50" s="4179"/>
      <c r="L50" s="4180"/>
      <c r="M50" s="4180"/>
      <c r="N50" s="4181"/>
      <c r="O50" s="945"/>
      <c r="P50" s="925"/>
      <c r="Q50" s="754"/>
    </row>
    <row r="51" spans="1:17" ht="18" customHeight="1">
      <c r="A51" s="750"/>
      <c r="B51" s="926"/>
      <c r="C51" s="918"/>
      <c r="D51" s="682">
        <v>3</v>
      </c>
      <c r="E51" s="4177"/>
      <c r="F51" s="4177"/>
      <c r="G51" s="4177"/>
      <c r="H51" s="4177"/>
      <c r="I51" s="4177"/>
      <c r="J51" s="949"/>
      <c r="K51" s="465"/>
      <c r="L51" s="465"/>
      <c r="M51" s="465"/>
      <c r="N51" s="465"/>
      <c r="O51" s="945"/>
      <c r="P51" s="925"/>
      <c r="Q51" s="754"/>
    </row>
    <row r="52" spans="1:17" ht="18" customHeight="1">
      <c r="A52" s="750"/>
      <c r="B52" s="926"/>
      <c r="C52" s="918"/>
      <c r="D52" s="682">
        <v>4</v>
      </c>
      <c r="E52" s="4177"/>
      <c r="F52" s="4177"/>
      <c r="G52" s="4177"/>
      <c r="H52" s="4177"/>
      <c r="I52" s="4177"/>
      <c r="J52" s="2590" t="s">
        <v>589</v>
      </c>
      <c r="K52" s="465"/>
      <c r="L52" s="465"/>
      <c r="M52" s="465"/>
      <c r="N52" s="465"/>
      <c r="O52" s="945"/>
      <c r="P52" s="925"/>
      <c r="Q52" s="754"/>
    </row>
    <row r="53" spans="1:17" ht="18" customHeight="1">
      <c r="A53" s="750"/>
      <c r="B53" s="926"/>
      <c r="C53" s="918"/>
      <c r="D53" s="682">
        <v>5</v>
      </c>
      <c r="E53" s="4177"/>
      <c r="F53" s="4177"/>
      <c r="G53" s="4177"/>
      <c r="H53" s="4177"/>
      <c r="I53" s="4177"/>
      <c r="J53" s="949"/>
      <c r="K53" s="467"/>
      <c r="L53" s="465"/>
      <c r="M53" s="465"/>
      <c r="N53" s="465"/>
      <c r="O53" s="945"/>
      <c r="P53" s="925"/>
      <c r="Q53" s="754"/>
    </row>
    <row r="54" spans="1:17" ht="18" customHeight="1">
      <c r="A54" s="750"/>
      <c r="B54" s="926"/>
      <c r="C54" s="918"/>
      <c r="D54" s="682">
        <v>6</v>
      </c>
      <c r="E54" s="4177"/>
      <c r="F54" s="4177"/>
      <c r="G54" s="4177"/>
      <c r="H54" s="4177"/>
      <c r="I54" s="4177"/>
      <c r="J54" s="949"/>
      <c r="K54" s="465"/>
      <c r="L54" s="465"/>
      <c r="M54" s="465"/>
      <c r="N54" s="465"/>
      <c r="O54" s="945"/>
      <c r="P54" s="925"/>
      <c r="Q54" s="754"/>
    </row>
    <row r="55" spans="1:17" ht="18" customHeight="1">
      <c r="A55" s="750"/>
      <c r="B55" s="926"/>
      <c r="C55" s="918"/>
      <c r="D55" s="682">
        <v>7</v>
      </c>
      <c r="E55" s="4177"/>
      <c r="F55" s="4177"/>
      <c r="G55" s="4177"/>
      <c r="H55" s="4177"/>
      <c r="I55" s="4177"/>
      <c r="J55" s="949"/>
      <c r="K55" s="465"/>
      <c r="L55" s="465"/>
      <c r="M55" s="465"/>
      <c r="N55" s="465"/>
      <c r="O55" s="945"/>
      <c r="P55" s="925"/>
      <c r="Q55" s="754"/>
    </row>
    <row r="56" spans="1:17" ht="18" customHeight="1">
      <c r="A56" s="750"/>
      <c r="B56" s="926"/>
      <c r="C56" s="918"/>
      <c r="D56" s="682">
        <v>8</v>
      </c>
      <c r="E56" s="4177"/>
      <c r="F56" s="4177"/>
      <c r="G56" s="4177"/>
      <c r="H56" s="4177"/>
      <c r="I56" s="4177"/>
      <c r="J56" s="949"/>
      <c r="K56" s="466"/>
      <c r="L56" s="466"/>
      <c r="M56" s="465"/>
      <c r="N56" s="465"/>
      <c r="O56" s="945"/>
      <c r="P56" s="925"/>
      <c r="Q56" s="754"/>
    </row>
    <row r="57" spans="1:17" ht="15" customHeight="1">
      <c r="A57" s="750"/>
      <c r="B57" s="926"/>
      <c r="C57" s="918"/>
      <c r="D57" s="1401" t="s">
        <v>778</v>
      </c>
      <c r="E57" s="1401"/>
      <c r="F57" s="1401"/>
      <c r="G57" s="1401"/>
      <c r="H57" s="1401"/>
      <c r="I57" s="1402"/>
      <c r="J57" s="950"/>
      <c r="K57" s="465"/>
      <c r="L57" s="466"/>
      <c r="M57" s="465"/>
      <c r="N57" s="465"/>
      <c r="O57" s="945"/>
      <c r="P57" s="925"/>
      <c r="Q57" s="754"/>
    </row>
    <row r="58" spans="1:17" ht="15.9" customHeight="1">
      <c r="A58" s="750"/>
      <c r="B58" s="926"/>
      <c r="C58" s="918"/>
      <c r="D58" s="682">
        <v>1</v>
      </c>
      <c r="E58" s="4177"/>
      <c r="F58" s="4177"/>
      <c r="G58" s="4177"/>
      <c r="H58" s="4177"/>
      <c r="I58" s="4177"/>
      <c r="J58" s="951"/>
      <c r="K58" s="466"/>
      <c r="L58" s="465"/>
      <c r="M58" s="465"/>
      <c r="N58" s="465"/>
      <c r="O58" s="945"/>
      <c r="P58" s="925"/>
      <c r="Q58" s="754"/>
    </row>
    <row r="59" spans="1:17" ht="15.9" customHeight="1">
      <c r="A59" s="750"/>
      <c r="B59" s="926"/>
      <c r="C59" s="918"/>
      <c r="D59" s="682">
        <v>2</v>
      </c>
      <c r="E59" s="4177"/>
      <c r="F59" s="4177"/>
      <c r="G59" s="4177"/>
      <c r="H59" s="4177"/>
      <c r="I59" s="4177"/>
      <c r="J59" s="951"/>
      <c r="K59" s="465"/>
      <c r="L59" s="465"/>
      <c r="M59" s="465"/>
      <c r="N59" s="465"/>
      <c r="O59" s="945"/>
      <c r="P59" s="925"/>
      <c r="Q59" s="754"/>
    </row>
    <row r="60" spans="1:17" ht="15.9" customHeight="1">
      <c r="A60" s="750"/>
      <c r="B60" s="926"/>
      <c r="C60" s="918"/>
      <c r="D60" s="682">
        <v>3</v>
      </c>
      <c r="E60" s="4177"/>
      <c r="F60" s="4177"/>
      <c r="G60" s="4177"/>
      <c r="H60" s="4177"/>
      <c r="I60" s="4177"/>
      <c r="J60" s="949"/>
      <c r="K60" s="465"/>
      <c r="L60" s="465"/>
      <c r="M60" s="465"/>
      <c r="N60" s="465"/>
      <c r="O60" s="945"/>
      <c r="P60" s="925"/>
      <c r="Q60" s="754"/>
    </row>
    <row r="61" spans="1:17" ht="6" customHeight="1">
      <c r="A61" s="750"/>
      <c r="B61" s="926"/>
      <c r="C61" s="918"/>
      <c r="D61" s="683"/>
      <c r="E61" s="942"/>
      <c r="F61" s="465"/>
      <c r="G61" s="465"/>
      <c r="H61" s="465"/>
      <c r="I61" s="465"/>
      <c r="J61" s="949"/>
      <c r="K61" s="465"/>
      <c r="L61" s="465"/>
      <c r="M61" s="465"/>
      <c r="N61" s="465"/>
      <c r="O61" s="945"/>
      <c r="P61" s="925"/>
      <c r="Q61" s="754"/>
    </row>
    <row r="62" spans="1:17" ht="5.25" customHeight="1" thickBot="1">
      <c r="A62" s="750"/>
      <c r="B62" s="926"/>
      <c r="C62" s="918"/>
      <c r="D62" s="871"/>
      <c r="E62" s="871"/>
      <c r="F62" s="953"/>
      <c r="G62" s="871"/>
      <c r="H62" s="871"/>
      <c r="I62" s="871"/>
      <c r="J62" s="871"/>
      <c r="K62" s="871"/>
      <c r="L62" s="871"/>
      <c r="M62" s="871"/>
      <c r="N62" s="871"/>
      <c r="O62" s="944"/>
      <c r="P62" s="925"/>
      <c r="Q62" s="754"/>
    </row>
    <row r="63" spans="1:17" ht="12.9" customHeight="1" thickBot="1">
      <c r="A63" s="750"/>
      <c r="B63" s="926"/>
      <c r="C63" s="870"/>
      <c r="D63" s="4178" t="s">
        <v>804</v>
      </c>
      <c r="E63" s="4178"/>
      <c r="F63" s="4178"/>
      <c r="G63" s="4178"/>
      <c r="H63" s="4178"/>
      <c r="I63" s="4178"/>
      <c r="J63" s="4178"/>
      <c r="K63" s="4178"/>
      <c r="L63" s="4178"/>
      <c r="M63" s="4178"/>
      <c r="N63" s="4178"/>
      <c r="O63" s="946"/>
      <c r="P63" s="943"/>
      <c r="Q63" s="751"/>
    </row>
    <row r="64" spans="1:17" ht="12.9" customHeight="1" thickBot="1">
      <c r="A64" s="750"/>
      <c r="B64" s="911"/>
      <c r="C64" s="4176">
        <v>4</v>
      </c>
      <c r="D64" s="4176"/>
      <c r="E64" s="4176"/>
      <c r="F64" s="4176"/>
      <c r="G64" s="4176"/>
      <c r="H64" s="4176"/>
      <c r="I64" s="4176"/>
      <c r="J64" s="4176"/>
      <c r="K64" s="4176"/>
      <c r="L64" s="4176"/>
      <c r="M64" s="4176"/>
      <c r="N64" s="4176"/>
      <c r="O64" s="4176"/>
      <c r="P64" s="927"/>
      <c r="Q64" s="751"/>
    </row>
    <row r="65" spans="1:17" ht="12.9" customHeight="1">
      <c r="A65" s="750"/>
      <c r="B65" s="1027" t="str">
        <f>'صفحة الدفتـر'!$B$68</f>
        <v>السنة الدراسية  2022 - 2023</v>
      </c>
      <c r="C65" s="751"/>
      <c r="D65" s="751"/>
      <c r="E65" s="751"/>
      <c r="F65" s="751"/>
      <c r="G65" s="751"/>
      <c r="H65" s="751"/>
      <c r="I65" s="751"/>
      <c r="J65" s="751"/>
      <c r="K65" s="751"/>
      <c r="L65" s="751"/>
      <c r="M65" s="751"/>
      <c r="N65" s="751"/>
      <c r="O65" s="751"/>
      <c r="P65" s="751"/>
      <c r="Q65" s="751"/>
    </row>
  </sheetData>
  <sheetProtection password="D8D3" sheet="1" objects="1" scenarios="1"/>
  <mergeCells count="47">
    <mergeCell ref="K50:N50"/>
    <mergeCell ref="F4:J4"/>
    <mergeCell ref="F6:J6"/>
    <mergeCell ref="D11:N11"/>
    <mergeCell ref="D12:N12"/>
    <mergeCell ref="K47:N47"/>
    <mergeCell ref="D48:I48"/>
    <mergeCell ref="E49:I49"/>
    <mergeCell ref="E50:I50"/>
    <mergeCell ref="D13:N13"/>
    <mergeCell ref="D14:N14"/>
    <mergeCell ref="D15:N15"/>
    <mergeCell ref="D16:N16"/>
    <mergeCell ref="D17:N17"/>
    <mergeCell ref="D18:N18"/>
    <mergeCell ref="D19:N19"/>
    <mergeCell ref="C64:O64"/>
    <mergeCell ref="E60:I60"/>
    <mergeCell ref="E59:I59"/>
    <mergeCell ref="E53:I53"/>
    <mergeCell ref="E51:I51"/>
    <mergeCell ref="E54:I54"/>
    <mergeCell ref="D63:N63"/>
    <mergeCell ref="E55:I55"/>
    <mergeCell ref="E58:I58"/>
    <mergeCell ref="E56:I56"/>
    <mergeCell ref="E52:I52"/>
    <mergeCell ref="D20:N20"/>
    <mergeCell ref="D21:N21"/>
    <mergeCell ref="D22:N22"/>
    <mergeCell ref="D23:N23"/>
    <mergeCell ref="D24:N24"/>
    <mergeCell ref="D25:N25"/>
    <mergeCell ref="D26:N26"/>
    <mergeCell ref="D27:N27"/>
    <mergeCell ref="D28:N28"/>
    <mergeCell ref="D29:N29"/>
    <mergeCell ref="D30:N30"/>
    <mergeCell ref="D31:N31"/>
    <mergeCell ref="D32:N32"/>
    <mergeCell ref="D33:N33"/>
    <mergeCell ref="D39:N39"/>
    <mergeCell ref="D34:N34"/>
    <mergeCell ref="D35:N35"/>
    <mergeCell ref="D36:N36"/>
    <mergeCell ref="D37:N37"/>
    <mergeCell ref="D38:N38"/>
  </mergeCells>
  <conditionalFormatting sqref="E9 G9 I9 K9 K4">
    <cfRule type="cellIs" dxfId="21899" priority="34" stopIfTrue="1" operator="equal">
      <formula>0</formula>
    </cfRule>
  </conditionalFormatting>
  <conditionalFormatting sqref="F4">
    <cfRule type="cellIs" dxfId="21898" priority="4" stopIfTrue="1" operator="equal">
      <formula>0</formula>
    </cfRule>
  </conditionalFormatting>
  <conditionalFormatting sqref="F6">
    <cfRule type="cellIs" dxfId="21897" priority="3" stopIfTrue="1" operator="equal">
      <formula>0</formula>
    </cfRule>
  </conditionalFormatting>
  <conditionalFormatting sqref="D11:D39">
    <cfRule type="cellIs" dxfId="21896" priority="2" stopIfTrue="1" operator="equal">
      <formula>0</formula>
    </cfRule>
  </conditionalFormatting>
  <conditionalFormatting sqref="K50:N50">
    <cfRule type="cellIs" dxfId="21895" priority="1" stopIfTrue="1" operator="equal">
      <formula>0</formula>
    </cfRule>
  </conditionalFormatting>
  <printOptions horizontalCentered="1" verticalCentered="1"/>
  <pageMargins left="0.19685039370078741" right="0.19685039370078741" top="0.19685039370078741" bottom="0.19685039370078741" header="0.19685039370078741" footer="0.27559055118110237"/>
  <pageSetup paperSize="9" scale="95" orientation="portrait" r:id="rId1"/>
  <headerFooter>
    <oddFooter xml:space="preserve">&amp;R&amp;"-,Gras"&amp;8&amp;K00-034Echamil V.08    &amp;F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tabColor rgb="FFFFC000"/>
  </sheetPr>
  <dimension ref="A1:AL85"/>
  <sheetViews>
    <sheetView showGridLines="0" rightToLeft="1" workbookViewId="0">
      <selection activeCell="F73" sqref="F73"/>
    </sheetView>
  </sheetViews>
  <sheetFormatPr baseColWidth="10" defaultColWidth="0" defaultRowHeight="14.4" zeroHeight="1"/>
  <cols>
    <col min="1" max="2" width="1.6640625" customWidth="1"/>
    <col min="3" max="3" width="8.33203125" customWidth="1"/>
    <col min="4" max="4" width="12.6640625" customWidth="1"/>
    <col min="5" max="5" width="6.6640625" customWidth="1"/>
    <col min="6" max="6" width="2.109375" customWidth="1"/>
    <col min="7" max="7" width="5.109375" customWidth="1"/>
    <col min="8" max="8" width="2.109375" customWidth="1"/>
    <col min="9" max="9" width="6.109375" customWidth="1"/>
    <col min="10" max="10" width="5.6640625" customWidth="1"/>
    <col min="11" max="14" width="2.109375" customWidth="1"/>
    <col min="15" max="15" width="5.109375" customWidth="1"/>
    <col min="16" max="16" width="2.109375" customWidth="1"/>
    <col min="17" max="17" width="3.6640625" customWidth="1"/>
    <col min="18" max="18" width="2.109375" customWidth="1"/>
    <col min="19" max="19" width="2.6640625" customWidth="1"/>
    <col min="20" max="20" width="2.109375" customWidth="1"/>
    <col min="21" max="21" width="2.6640625" customWidth="1"/>
    <col min="22" max="22" width="2.88671875" customWidth="1"/>
    <col min="23" max="23" width="2.6640625" customWidth="1"/>
    <col min="24" max="24" width="2.109375" customWidth="1"/>
    <col min="25" max="25" width="4.88671875" customWidth="1"/>
    <col min="26" max="26" width="2.109375" customWidth="1"/>
    <col min="27" max="27" width="0.88671875" customWidth="1"/>
    <col min="28" max="28" width="1.6640625" customWidth="1"/>
    <col min="29" max="29" width="1.109375" customWidth="1"/>
    <col min="30" max="30" width="0.109375" style="1041" customWidth="1"/>
    <col min="31" max="31" width="0.88671875" style="1041" customWidth="1"/>
    <col min="32" max="32" width="17.44140625" style="1041" customWidth="1"/>
    <col min="33" max="33" width="1.33203125" style="1041" customWidth="1"/>
    <col min="34" max="34" width="13.88671875" style="1041" customWidth="1"/>
    <col min="35" max="35" width="6.44140625" style="1041" customWidth="1"/>
    <col min="36" max="36" width="2.109375" style="1041" customWidth="1"/>
    <col min="37" max="37" width="15.33203125" style="1041" customWidth="1"/>
    <col min="38" max="38" width="2.6640625" customWidth="1"/>
    <col min="39" max="16384" width="11.44140625" hidden="1"/>
  </cols>
  <sheetData>
    <row r="1" spans="1:38" ht="18.75" customHeight="1" thickBot="1">
      <c r="A1" s="1420"/>
      <c r="B1" s="1420"/>
      <c r="C1" s="1420"/>
      <c r="D1" s="1420"/>
      <c r="E1" s="1420"/>
      <c r="F1" s="1420"/>
      <c r="G1" s="1420"/>
      <c r="H1" s="1420"/>
      <c r="I1" s="1420"/>
      <c r="J1" s="1420"/>
      <c r="K1" s="1420"/>
      <c r="L1" s="1420"/>
      <c r="M1" s="1420"/>
      <c r="N1" s="1420"/>
      <c r="O1" s="1420"/>
      <c r="P1" s="1420"/>
      <c r="Q1" s="1420"/>
      <c r="R1" s="1420"/>
      <c r="S1" s="1420"/>
      <c r="T1" s="1420"/>
      <c r="U1" s="1420"/>
      <c r="V1" s="1420"/>
      <c r="W1" s="1420"/>
      <c r="X1" s="1420"/>
      <c r="Y1" s="1420"/>
      <c r="Z1" s="1420"/>
      <c r="AA1" s="1420"/>
      <c r="AB1" s="1420"/>
      <c r="AC1" s="3310" t="str">
        <f>+'الصفحة 1'!B101</f>
        <v>السنة الدراسية  2022 - 2023</v>
      </c>
      <c r="AD1" s="2657"/>
      <c r="AE1" s="2658"/>
      <c r="AF1" s="2658"/>
      <c r="AG1" s="2659"/>
      <c r="AH1" s="3311" t="str">
        <f>'الصفحة 1'!AB1</f>
        <v xml:space="preserve"> تم مراجعة نسخة هذا الدفتر في30 ماي 2022 </v>
      </c>
      <c r="AI1" s="2660"/>
      <c r="AJ1" s="2658"/>
      <c r="AK1" s="2658"/>
      <c r="AL1" s="1420"/>
    </row>
    <row r="2" spans="1:38" ht="8.1" customHeight="1" thickBot="1">
      <c r="A2" s="1420"/>
      <c r="B2" s="1519"/>
      <c r="C2" s="1520"/>
      <c r="D2" s="1520"/>
      <c r="E2" s="1520"/>
      <c r="F2" s="1520"/>
      <c r="G2" s="1520"/>
      <c r="H2" s="1520"/>
      <c r="I2" s="1520"/>
      <c r="J2" s="1520"/>
      <c r="K2" s="1520"/>
      <c r="L2" s="1520"/>
      <c r="M2" s="1520"/>
      <c r="N2" s="1520"/>
      <c r="O2" s="1520"/>
      <c r="P2" s="1520"/>
      <c r="Q2" s="1520"/>
      <c r="R2" s="1520"/>
      <c r="S2" s="1520"/>
      <c r="T2" s="1520"/>
      <c r="U2" s="1520"/>
      <c r="V2" s="1520"/>
      <c r="W2" s="1520"/>
      <c r="X2" s="1520"/>
      <c r="Y2" s="1520"/>
      <c r="Z2" s="1520"/>
      <c r="AA2" s="1520"/>
      <c r="AB2" s="1521"/>
      <c r="AC2" s="1420"/>
      <c r="AD2" s="2625"/>
      <c r="AE2" s="2625"/>
      <c r="AF2" s="2625"/>
      <c r="AG2" s="2625"/>
      <c r="AH2" s="2625"/>
      <c r="AI2" s="2625"/>
      <c r="AJ2" s="2625"/>
      <c r="AK2" s="2625"/>
      <c r="AL2" s="1420"/>
    </row>
    <row r="3" spans="1:38" ht="12.9" customHeight="1">
      <c r="A3" s="1420"/>
      <c r="B3" s="1522"/>
      <c r="C3" s="4075" t="s">
        <v>7</v>
      </c>
      <c r="D3" s="4076"/>
      <c r="E3" s="4076"/>
      <c r="F3" s="4076"/>
      <c r="G3" s="4076"/>
      <c r="H3" s="4076"/>
      <c r="I3" s="4077"/>
      <c r="J3" s="761"/>
      <c r="K3" s="761"/>
      <c r="L3" s="761"/>
      <c r="M3" s="761"/>
      <c r="N3" s="761"/>
      <c r="O3" s="4081" t="s">
        <v>6</v>
      </c>
      <c r="P3" s="4082"/>
      <c r="Q3" s="4082"/>
      <c r="R3" s="4082"/>
      <c r="S3" s="4082"/>
      <c r="T3" s="4082"/>
      <c r="U3" s="4082"/>
      <c r="V3" s="4082"/>
      <c r="W3" s="4082"/>
      <c r="X3" s="4082"/>
      <c r="Y3" s="4082"/>
      <c r="Z3" s="4082"/>
      <c r="AA3" s="4083"/>
      <c r="AB3" s="1523"/>
      <c r="AC3" s="1420"/>
      <c r="AD3" s="4053" t="s">
        <v>603</v>
      </c>
      <c r="AE3" s="4053"/>
      <c r="AF3" s="4053"/>
      <c r="AG3" s="4053"/>
      <c r="AH3" s="4053"/>
      <c r="AI3" s="4053"/>
      <c r="AJ3" s="4053"/>
      <c r="AK3" s="4053"/>
      <c r="AL3" s="1420"/>
    </row>
    <row r="4" spans="1:38" ht="12.9" customHeight="1">
      <c r="A4" s="1420"/>
      <c r="B4" s="1522"/>
      <c r="C4" s="4078"/>
      <c r="D4" s="4079"/>
      <c r="E4" s="4079"/>
      <c r="F4" s="4079"/>
      <c r="G4" s="4079"/>
      <c r="H4" s="4079"/>
      <c r="I4" s="4080"/>
      <c r="J4" s="761"/>
      <c r="K4" s="761"/>
      <c r="L4" s="761"/>
      <c r="M4" s="761"/>
      <c r="N4" s="761"/>
      <c r="O4" s="4084"/>
      <c r="P4" s="4085"/>
      <c r="Q4" s="4085"/>
      <c r="R4" s="4085"/>
      <c r="S4" s="4085"/>
      <c r="T4" s="4085"/>
      <c r="U4" s="4085"/>
      <c r="V4" s="4085"/>
      <c r="W4" s="4085"/>
      <c r="X4" s="4085"/>
      <c r="Y4" s="4085"/>
      <c r="Z4" s="4085"/>
      <c r="AA4" s="4086"/>
      <c r="AB4" s="1523"/>
      <c r="AC4" s="1420"/>
      <c r="AD4" s="4053"/>
      <c r="AE4" s="4053"/>
      <c r="AF4" s="4053"/>
      <c r="AG4" s="4053"/>
      <c r="AH4" s="4053"/>
      <c r="AI4" s="4053"/>
      <c r="AJ4" s="4053"/>
      <c r="AK4" s="4053"/>
      <c r="AL4" s="1420"/>
    </row>
    <row r="5" spans="1:38" ht="12.9" customHeight="1">
      <c r="A5" s="1420"/>
      <c r="B5" s="1522"/>
      <c r="C5" s="4054" t="s">
        <v>5</v>
      </c>
      <c r="D5" s="4055"/>
      <c r="E5" s="4055"/>
      <c r="F5" s="4055"/>
      <c r="G5" s="4055"/>
      <c r="H5" s="4055"/>
      <c r="I5" s="4056"/>
      <c r="J5" s="761"/>
      <c r="K5" s="761"/>
      <c r="L5" s="761"/>
      <c r="M5" s="761"/>
      <c r="N5" s="761"/>
      <c r="O5" s="4084"/>
      <c r="P5" s="4085"/>
      <c r="Q5" s="4085"/>
      <c r="R5" s="4085"/>
      <c r="S5" s="4085"/>
      <c r="T5" s="4085"/>
      <c r="U5" s="4085"/>
      <c r="V5" s="4085"/>
      <c r="W5" s="4085"/>
      <c r="X5" s="4085"/>
      <c r="Y5" s="4085"/>
      <c r="Z5" s="4085"/>
      <c r="AA5" s="4086"/>
      <c r="AB5" s="1523"/>
      <c r="AC5" s="1420"/>
      <c r="AD5" s="4053"/>
      <c r="AE5" s="4053"/>
      <c r="AF5" s="4053"/>
      <c r="AG5" s="4053"/>
      <c r="AH5" s="4053"/>
      <c r="AI5" s="4053"/>
      <c r="AJ5" s="4053"/>
      <c r="AK5" s="4053"/>
      <c r="AL5" s="1420"/>
    </row>
    <row r="6" spans="1:38" ht="9.9" customHeight="1">
      <c r="A6" s="1420"/>
      <c r="B6" s="1522"/>
      <c r="C6" s="3958" t="s">
        <v>1468</v>
      </c>
      <c r="D6" s="3959"/>
      <c r="E6" s="3959"/>
      <c r="F6" s="3959"/>
      <c r="G6" s="3959"/>
      <c r="H6" s="3959"/>
      <c r="I6" s="3960"/>
      <c r="J6" s="761"/>
      <c r="K6" s="761"/>
      <c r="L6" s="761"/>
      <c r="M6" s="761"/>
      <c r="N6" s="761"/>
      <c r="O6" s="4084"/>
      <c r="P6" s="4085"/>
      <c r="Q6" s="4085"/>
      <c r="R6" s="4085"/>
      <c r="S6" s="4085"/>
      <c r="T6" s="4085"/>
      <c r="U6" s="4085"/>
      <c r="V6" s="4085"/>
      <c r="W6" s="4085"/>
      <c r="X6" s="4085"/>
      <c r="Y6" s="4085"/>
      <c r="Z6" s="4085"/>
      <c r="AA6" s="4086"/>
      <c r="AB6" s="1523"/>
      <c r="AC6" s="1420"/>
      <c r="AD6" s="3161"/>
      <c r="AE6" s="3161"/>
      <c r="AF6" s="3161"/>
      <c r="AG6" s="3161"/>
      <c r="AH6" s="3161"/>
      <c r="AI6" s="3161"/>
      <c r="AJ6" s="3161"/>
      <c r="AK6" s="3161"/>
      <c r="AL6" s="1420"/>
    </row>
    <row r="7" spans="1:38" ht="9.9" customHeight="1" thickBot="1">
      <c r="A7" s="1420"/>
      <c r="B7" s="1522"/>
      <c r="C7" s="3961"/>
      <c r="D7" s="3962"/>
      <c r="E7" s="3962"/>
      <c r="F7" s="3962"/>
      <c r="G7" s="3962"/>
      <c r="H7" s="3962"/>
      <c r="I7" s="3963"/>
      <c r="J7" s="761"/>
      <c r="K7" s="761"/>
      <c r="L7" s="761"/>
      <c r="M7" s="761"/>
      <c r="N7" s="761"/>
      <c r="O7" s="4087"/>
      <c r="P7" s="4088"/>
      <c r="Q7" s="4088"/>
      <c r="R7" s="4088"/>
      <c r="S7" s="4088"/>
      <c r="T7" s="4088"/>
      <c r="U7" s="4088"/>
      <c r="V7" s="4088"/>
      <c r="W7" s="4088"/>
      <c r="X7" s="4088"/>
      <c r="Y7" s="4088"/>
      <c r="Z7" s="4088"/>
      <c r="AA7" s="4089"/>
      <c r="AB7" s="1523"/>
      <c r="AC7" s="1420"/>
      <c r="AD7" s="3161"/>
      <c r="AE7" s="3161"/>
      <c r="AF7" s="3161"/>
      <c r="AG7" s="3161"/>
      <c r="AH7" s="3161"/>
      <c r="AI7" s="3161"/>
      <c r="AJ7" s="3161"/>
      <c r="AK7" s="3161"/>
      <c r="AL7" s="1420"/>
    </row>
    <row r="8" spans="1:38" ht="12" customHeight="1" thickBot="1">
      <c r="A8" s="1420"/>
      <c r="B8" s="1522"/>
      <c r="C8" s="9"/>
      <c r="D8" s="9"/>
      <c r="E8" s="9"/>
      <c r="F8" s="9"/>
      <c r="G8" s="9"/>
      <c r="H8" s="9"/>
      <c r="I8" s="9"/>
      <c r="J8" s="9"/>
      <c r="K8" s="9"/>
      <c r="L8" s="9"/>
      <c r="M8" s="9"/>
      <c r="N8" s="9"/>
      <c r="O8" s="9"/>
      <c r="P8" s="9"/>
      <c r="Q8" s="8"/>
      <c r="R8" s="8"/>
      <c r="S8" s="8"/>
      <c r="T8" s="8"/>
      <c r="U8" s="8"/>
      <c r="V8" s="8"/>
      <c r="W8" s="8"/>
      <c r="X8" s="8"/>
      <c r="Y8" s="8"/>
      <c r="Z8" s="8"/>
      <c r="AA8" s="8"/>
      <c r="AB8" s="1523"/>
      <c r="AC8" s="1420"/>
      <c r="AD8" s="1032"/>
      <c r="AE8" s="1032"/>
      <c r="AF8" s="4066" t="s">
        <v>893</v>
      </c>
      <c r="AG8" s="4066"/>
      <c r="AH8" s="4066"/>
      <c r="AI8" s="4066"/>
      <c r="AJ8" s="4066"/>
      <c r="AK8" s="4066"/>
      <c r="AL8" s="1420"/>
    </row>
    <row r="9" spans="1:38" ht="12" customHeight="1">
      <c r="A9" s="1420"/>
      <c r="B9" s="1522"/>
      <c r="C9" s="8"/>
      <c r="D9" s="8"/>
      <c r="E9" s="8"/>
      <c r="F9" s="8"/>
      <c r="G9" s="7"/>
      <c r="H9" s="8"/>
      <c r="I9" s="4060" t="s">
        <v>806</v>
      </c>
      <c r="J9" s="4061"/>
      <c r="K9" s="4061"/>
      <c r="L9" s="4061"/>
      <c r="M9" s="4061"/>
      <c r="N9" s="4061"/>
      <c r="O9" s="4061"/>
      <c r="P9" s="4061"/>
      <c r="Q9" s="4062"/>
      <c r="R9" s="8"/>
      <c r="S9" s="8"/>
      <c r="T9" s="8"/>
      <c r="U9" s="8"/>
      <c r="V9" s="8"/>
      <c r="W9" s="8"/>
      <c r="X9" s="8"/>
      <c r="Y9" s="8"/>
      <c r="Z9" s="8"/>
      <c r="AA9" s="8"/>
      <c r="AB9" s="1523"/>
      <c r="AC9" s="1420"/>
      <c r="AD9" s="1032"/>
      <c r="AE9" s="1032"/>
      <c r="AF9" s="4066"/>
      <c r="AG9" s="4066"/>
      <c r="AH9" s="4066"/>
      <c r="AI9" s="4066"/>
      <c r="AJ9" s="4066"/>
      <c r="AK9" s="4066"/>
      <c r="AL9" s="1420"/>
    </row>
    <row r="10" spans="1:38" ht="12" customHeight="1" thickBot="1">
      <c r="A10" s="1420"/>
      <c r="B10" s="1522"/>
      <c r="C10" s="8"/>
      <c r="D10" s="8"/>
      <c r="E10" s="8"/>
      <c r="F10" s="8"/>
      <c r="G10" s="7"/>
      <c r="H10" s="8"/>
      <c r="I10" s="4063"/>
      <c r="J10" s="4064"/>
      <c r="K10" s="4064"/>
      <c r="L10" s="4064"/>
      <c r="M10" s="4064"/>
      <c r="N10" s="4064"/>
      <c r="O10" s="4064"/>
      <c r="P10" s="4064"/>
      <c r="Q10" s="4065"/>
      <c r="R10" s="8"/>
      <c r="S10" s="8"/>
      <c r="T10" s="8"/>
      <c r="U10" s="8"/>
      <c r="V10" s="8"/>
      <c r="W10" s="8"/>
      <c r="X10" s="8"/>
      <c r="Y10" s="10"/>
      <c r="Z10" s="8"/>
      <c r="AA10" s="8"/>
      <c r="AB10" s="1523"/>
      <c r="AC10" s="1420"/>
      <c r="AD10" s="1032"/>
      <c r="AE10" s="1032"/>
      <c r="AF10" s="4066"/>
      <c r="AG10" s="4066"/>
      <c r="AH10" s="4066"/>
      <c r="AI10" s="4066"/>
      <c r="AJ10" s="4066"/>
      <c r="AK10" s="4066"/>
      <c r="AL10" s="1420"/>
    </row>
    <row r="11" spans="1:38" ht="12" customHeight="1">
      <c r="A11" s="1420"/>
      <c r="B11" s="1522"/>
      <c r="C11" s="1853"/>
      <c r="D11" s="8"/>
      <c r="E11" s="8"/>
      <c r="F11" s="8"/>
      <c r="G11" s="7"/>
      <c r="H11" s="8"/>
      <c r="I11" s="7"/>
      <c r="J11" s="4070" t="s">
        <v>807</v>
      </c>
      <c r="K11" s="4071"/>
      <c r="L11" s="4071"/>
      <c r="M11" s="4071"/>
      <c r="N11" s="4071"/>
      <c r="O11" s="4072"/>
      <c r="P11" s="8"/>
      <c r="Q11" s="8"/>
      <c r="R11" s="8"/>
      <c r="S11" s="8"/>
      <c r="T11" s="8"/>
      <c r="U11" s="8"/>
      <c r="V11" s="8"/>
      <c r="W11" s="8"/>
      <c r="X11" s="8"/>
      <c r="Y11" s="8"/>
      <c r="Z11" s="8"/>
      <c r="AA11" s="8"/>
      <c r="AB11" s="1523"/>
      <c r="AC11" s="1420"/>
      <c r="AD11" s="1032"/>
      <c r="AE11" s="1032"/>
      <c r="AF11" s="1032"/>
      <c r="AG11" s="1032"/>
      <c r="AH11" s="1032"/>
      <c r="AI11" s="1032"/>
      <c r="AJ11" s="1032"/>
      <c r="AK11" s="1032"/>
      <c r="AL11" s="1420"/>
    </row>
    <row r="12" spans="1:38" ht="9.9" customHeight="1" thickBot="1">
      <c r="A12" s="1420"/>
      <c r="B12" s="1524"/>
      <c r="C12" s="8"/>
      <c r="D12" s="8"/>
      <c r="E12" s="8"/>
      <c r="F12" s="8"/>
      <c r="G12" s="8"/>
      <c r="H12" s="8"/>
      <c r="I12" s="8"/>
      <c r="J12" s="8"/>
      <c r="K12" s="8"/>
      <c r="L12" s="8"/>
      <c r="M12" s="8"/>
      <c r="N12" s="8"/>
      <c r="O12" s="8"/>
      <c r="P12" s="8"/>
      <c r="Q12" s="8"/>
      <c r="R12" s="8"/>
      <c r="S12" s="8"/>
      <c r="T12" s="8"/>
      <c r="U12" s="8"/>
      <c r="V12" s="8"/>
      <c r="W12" s="8"/>
      <c r="X12" s="8"/>
      <c r="Y12" s="8"/>
      <c r="Z12" s="8"/>
      <c r="AA12" s="8"/>
      <c r="AB12" s="1525"/>
      <c r="AC12" s="1420"/>
      <c r="AD12" s="1032"/>
      <c r="AE12" s="1032"/>
      <c r="AF12" s="4199"/>
      <c r="AG12" s="4199"/>
      <c r="AH12" s="4199"/>
      <c r="AI12" s="4199"/>
      <c r="AJ12" s="4199"/>
      <c r="AK12" s="4199"/>
      <c r="AL12" s="1420"/>
    </row>
    <row r="13" spans="1:38" ht="5.0999999999999996" customHeight="1">
      <c r="A13" s="1420"/>
      <c r="B13" s="1524"/>
      <c r="C13" s="1526"/>
      <c r="D13" s="1527"/>
      <c r="E13" s="1527"/>
      <c r="F13" s="1527"/>
      <c r="G13" s="1527"/>
      <c r="H13" s="1527"/>
      <c r="I13" s="1527"/>
      <c r="J13" s="1527"/>
      <c r="K13" s="1527"/>
      <c r="L13" s="1527"/>
      <c r="M13" s="1527"/>
      <c r="N13" s="1527"/>
      <c r="O13" s="1527"/>
      <c r="P13" s="1527"/>
      <c r="Q13" s="1527"/>
      <c r="R13" s="1527"/>
      <c r="S13" s="1527"/>
      <c r="T13" s="1527"/>
      <c r="U13" s="1527"/>
      <c r="V13" s="1527"/>
      <c r="W13" s="1527"/>
      <c r="X13" s="1527"/>
      <c r="Y13" s="1527"/>
      <c r="Z13" s="1527"/>
      <c r="AA13" s="1528"/>
      <c r="AB13" s="1525"/>
      <c r="AC13" s="1420"/>
      <c r="AD13" s="1032"/>
      <c r="AE13" s="1032"/>
      <c r="AF13" s="4199"/>
      <c r="AG13" s="4199"/>
      <c r="AH13" s="4199"/>
      <c r="AI13" s="4199"/>
      <c r="AJ13" s="4199"/>
      <c r="AK13" s="4199"/>
      <c r="AL13" s="1420"/>
    </row>
    <row r="14" spans="1:38" ht="20.100000000000001" customHeight="1">
      <c r="A14" s="1420"/>
      <c r="B14" s="1524"/>
      <c r="C14" s="1854" t="s">
        <v>970</v>
      </c>
      <c r="D14" s="519"/>
      <c r="E14" s="4067" t="s">
        <v>1472</v>
      </c>
      <c r="F14" s="4068"/>
      <c r="G14" s="4068"/>
      <c r="H14" s="4068"/>
      <c r="I14" s="4068"/>
      <c r="J14" s="4068"/>
      <c r="K14" s="4068"/>
      <c r="L14" s="4068"/>
      <c r="M14" s="4069"/>
      <c r="N14" s="761"/>
      <c r="O14" s="761"/>
      <c r="P14" s="761"/>
      <c r="Q14" s="761"/>
      <c r="R14" s="761"/>
      <c r="S14" s="761"/>
      <c r="T14" s="761"/>
      <c r="U14" s="761"/>
      <c r="V14" s="761"/>
      <c r="W14" s="761"/>
      <c r="X14" s="761"/>
      <c r="Y14" s="761"/>
      <c r="Z14" s="761"/>
      <c r="AA14" s="1530"/>
      <c r="AB14" s="1523"/>
      <c r="AC14" s="1420"/>
      <c r="AD14" s="1032"/>
      <c r="AE14" s="1032"/>
      <c r="AF14" s="4199"/>
      <c r="AG14" s="4199"/>
      <c r="AH14" s="4199"/>
      <c r="AI14" s="4199"/>
      <c r="AJ14" s="4199"/>
      <c r="AK14" s="4199"/>
      <c r="AL14" s="1420"/>
    </row>
    <row r="15" spans="1:38" ht="8.1" customHeight="1" thickBot="1">
      <c r="A15" s="1420"/>
      <c r="B15" s="1522"/>
      <c r="C15" s="1531"/>
      <c r="D15" s="761"/>
      <c r="E15" s="761"/>
      <c r="F15" s="761"/>
      <c r="G15" s="761"/>
      <c r="H15" s="761"/>
      <c r="I15" s="761"/>
      <c r="J15" s="761"/>
      <c r="K15" s="761"/>
      <c r="L15" s="761"/>
      <c r="M15" s="761"/>
      <c r="N15" s="761"/>
      <c r="O15" s="761"/>
      <c r="P15" s="761"/>
      <c r="Q15" s="761"/>
      <c r="R15" s="761"/>
      <c r="S15" s="761"/>
      <c r="T15" s="761"/>
      <c r="U15" s="761"/>
      <c r="V15" s="761"/>
      <c r="W15" s="761"/>
      <c r="X15" s="761"/>
      <c r="Y15" s="761"/>
      <c r="Z15" s="761"/>
      <c r="AA15" s="1530"/>
      <c r="AB15" s="1523"/>
      <c r="AC15" s="1420"/>
      <c r="AD15" s="1032"/>
      <c r="AE15" s="1032"/>
      <c r="AF15" s="1032"/>
      <c r="AG15" s="1032"/>
      <c r="AH15" s="1032"/>
      <c r="AI15" s="1032"/>
      <c r="AJ15" s="1032"/>
      <c r="AK15" s="1032"/>
      <c r="AL15" s="1420"/>
    </row>
    <row r="16" spans="1:38" ht="15" customHeight="1" thickBot="1">
      <c r="A16" s="1420"/>
      <c r="B16" s="1522"/>
      <c r="C16" s="1532" t="s">
        <v>971</v>
      </c>
      <c r="D16" s="1533"/>
      <c r="E16" s="1579"/>
      <c r="F16" s="1579"/>
      <c r="G16" s="1580"/>
      <c r="H16" s="1579"/>
      <c r="I16" s="1581"/>
      <c r="J16" s="1582"/>
      <c r="K16" s="1582"/>
      <c r="L16" s="1582"/>
      <c r="M16" s="1582"/>
      <c r="N16" s="1582"/>
      <c r="O16" s="1582"/>
      <c r="P16" s="1582"/>
      <c r="Q16" s="1582"/>
      <c r="R16" s="1582"/>
      <c r="S16" s="1582"/>
      <c r="T16" s="1582"/>
      <c r="U16" s="1582"/>
      <c r="V16" s="1582"/>
      <c r="W16" s="1582"/>
      <c r="X16" s="1582"/>
      <c r="Y16" s="1582"/>
      <c r="Z16" s="1855" t="s">
        <v>928</v>
      </c>
      <c r="AA16" s="1587"/>
      <c r="AB16" s="1856"/>
      <c r="AC16" s="1420"/>
      <c r="AD16" s="2661"/>
      <c r="AE16" s="2661"/>
      <c r="AF16" s="2661"/>
      <c r="AG16" s="2661"/>
      <c r="AH16" s="2661"/>
      <c r="AI16" s="2647" t="s">
        <v>894</v>
      </c>
      <c r="AJ16" s="2662"/>
      <c r="AK16" s="2661"/>
      <c r="AL16" s="1420"/>
    </row>
    <row r="17" spans="1:38" ht="8.1" customHeight="1">
      <c r="A17" s="1420"/>
      <c r="B17" s="1522"/>
      <c r="C17" s="1531"/>
      <c r="D17" s="761"/>
      <c r="E17" s="761"/>
      <c r="F17" s="761"/>
      <c r="G17" s="761"/>
      <c r="H17" s="761"/>
      <c r="I17" s="761"/>
      <c r="J17" s="761"/>
      <c r="K17" s="761"/>
      <c r="L17" s="761"/>
      <c r="M17" s="761"/>
      <c r="N17" s="761"/>
      <c r="O17" s="761"/>
      <c r="P17" s="761"/>
      <c r="Q17" s="761"/>
      <c r="R17" s="761"/>
      <c r="S17" s="761"/>
      <c r="T17" s="761"/>
      <c r="U17" s="761"/>
      <c r="V17" s="761"/>
      <c r="W17" s="761"/>
      <c r="X17" s="761"/>
      <c r="Y17" s="761"/>
      <c r="Z17" s="761"/>
      <c r="AA17" s="1530"/>
      <c r="AB17" s="1523"/>
      <c r="AC17" s="1420"/>
      <c r="AD17" s="1032"/>
      <c r="AE17" s="1032"/>
      <c r="AF17" s="1032"/>
      <c r="AG17" s="1032"/>
      <c r="AH17" s="1032"/>
      <c r="AI17" s="1032"/>
      <c r="AJ17" s="1032"/>
      <c r="AK17" s="1032"/>
      <c r="AL17" s="1420"/>
    </row>
    <row r="18" spans="1:38" ht="15" customHeight="1">
      <c r="A18" s="1420"/>
      <c r="B18" s="1522"/>
      <c r="C18" s="1611" t="s">
        <v>923</v>
      </c>
      <c r="D18" s="1533"/>
      <c r="E18" s="1698"/>
      <c r="F18" s="1698"/>
      <c r="G18" s="1698"/>
      <c r="H18" s="1533"/>
      <c r="I18" s="1580"/>
      <c r="J18" s="1580"/>
      <c r="K18" s="1580"/>
      <c r="L18" s="1580"/>
      <c r="M18" s="1580"/>
      <c r="N18" s="1580"/>
      <c r="O18" s="1580"/>
      <c r="P18" s="1580"/>
      <c r="Q18" s="1580"/>
      <c r="R18" s="1580"/>
      <c r="S18" s="1580"/>
      <c r="T18" s="1533"/>
      <c r="U18" s="1533"/>
      <c r="V18" s="1533"/>
      <c r="W18" s="1533"/>
      <c r="X18" s="1533"/>
      <c r="Y18" s="1533"/>
      <c r="Z18" s="1843" t="s">
        <v>929</v>
      </c>
      <c r="AA18" s="1619"/>
      <c r="AB18" s="1539"/>
      <c r="AC18" s="1420"/>
      <c r="AD18" s="1032"/>
      <c r="AE18" s="1032"/>
      <c r="AF18" s="2663" t="s">
        <v>923</v>
      </c>
      <c r="AG18" s="2609"/>
      <c r="AH18" s="2609"/>
      <c r="AI18" s="2609"/>
      <c r="AJ18" s="2609"/>
      <c r="AK18" s="2609"/>
      <c r="AL18" s="1420"/>
    </row>
    <row r="19" spans="1:38" ht="8.1" customHeight="1" thickBot="1">
      <c r="A19" s="1420"/>
      <c r="B19" s="1522"/>
      <c r="C19" s="1857"/>
      <c r="D19" s="1529"/>
      <c r="E19" s="1529"/>
      <c r="F19" s="1529"/>
      <c r="G19" s="1529"/>
      <c r="H19" s="1529"/>
      <c r="I19" s="1529"/>
      <c r="J19" s="1529"/>
      <c r="K19" s="1529"/>
      <c r="L19" s="1529"/>
      <c r="M19" s="1529"/>
      <c r="N19" s="1529"/>
      <c r="O19" s="1529"/>
      <c r="P19" s="1529"/>
      <c r="Q19" s="1529"/>
      <c r="R19" s="1529"/>
      <c r="S19" s="1529"/>
      <c r="T19" s="1529"/>
      <c r="U19" s="1529"/>
      <c r="V19" s="1529"/>
      <c r="W19" s="1529"/>
      <c r="X19" s="1529"/>
      <c r="Y19" s="1529"/>
      <c r="Z19" s="1529"/>
      <c r="AA19" s="1858"/>
      <c r="AB19" s="1539"/>
      <c r="AC19" s="1420"/>
      <c r="AD19" s="2614"/>
      <c r="AE19" s="2614"/>
      <c r="AF19" s="2634"/>
      <c r="AG19" s="2614"/>
      <c r="AH19" s="2614"/>
      <c r="AI19" s="2614"/>
      <c r="AJ19" s="2614"/>
      <c r="AK19" s="2634"/>
      <c r="AL19" s="1420"/>
    </row>
    <row r="20" spans="1:38" ht="15" customHeight="1" thickBot="1">
      <c r="A20" s="1420"/>
      <c r="B20" s="1522"/>
      <c r="C20" s="1707"/>
      <c r="D20" s="1610"/>
      <c r="E20" s="1621" t="s">
        <v>972</v>
      </c>
      <c r="F20" s="1592">
        <v>1</v>
      </c>
      <c r="K20" s="1621"/>
      <c r="O20" s="1621" t="s">
        <v>895</v>
      </c>
      <c r="P20" s="1592">
        <v>0</v>
      </c>
      <c r="Q20" s="2993" t="str">
        <f>IF(('الصفحة 1'!$Q$14&gt;0),(IF(($F$20=1),(IF((P20&gt;0),"تأكيد هيكل إدارة أم جناح إداري","")),"")),"")</f>
        <v/>
      </c>
      <c r="AA20" s="1765"/>
      <c r="AB20" s="1539"/>
      <c r="AC20" s="1420"/>
      <c r="AD20" s="1032"/>
      <c r="AE20" s="1032"/>
      <c r="AF20" s="2664" t="s">
        <v>896</v>
      </c>
      <c r="AG20" s="2627"/>
      <c r="AH20" s="2628" t="str">
        <f>IF(('الصفحة 1'!$Q$14&gt;0),((IF((F20=""),"ضع العدد المناسب",IF((F20&gt;=0)," ",IF((F20&gt;=1),""))))),"")</f>
        <v xml:space="preserve"> </v>
      </c>
      <c r="AI20" s="2628" t="str">
        <f>IF(('الصفحة 1'!$Q$14&gt;0),((IF((L22=""),"الهاتف",IF((L22&gt;=0)," ",IF((L22&gt;=1),""))))),"")</f>
        <v xml:space="preserve"> </v>
      </c>
      <c r="AJ20" s="1032"/>
      <c r="AK20" s="2628" t="str">
        <f>IF(('الصفحة 1'!$Q$14&gt;0),IF(($L$22=1),((IF((Z22="")," الهاتف شغال",IF((Z22&gt;=0)," ",IF((Z22&gt;=1),""))))),""),"")</f>
        <v xml:space="preserve"> </v>
      </c>
      <c r="AL20" s="1420"/>
    </row>
    <row r="21" spans="1:38" ht="5.0999999999999996" customHeight="1" thickBot="1">
      <c r="A21" s="1420"/>
      <c r="B21" s="1522"/>
      <c r="C21" s="1590"/>
      <c r="D21" s="473"/>
      <c r="E21" s="1987"/>
      <c r="F21" s="488"/>
      <c r="G21" s="1032"/>
      <c r="AA21" s="1538"/>
      <c r="AB21" s="1539"/>
      <c r="AC21" s="1420"/>
      <c r="AD21" s="2614"/>
      <c r="AE21" s="2614"/>
      <c r="AF21" s="2665"/>
      <c r="AG21" s="2614"/>
      <c r="AH21" s="2614"/>
      <c r="AI21" s="2614"/>
      <c r="AJ21" s="2614"/>
      <c r="AK21" s="2634"/>
      <c r="AL21" s="1420"/>
    </row>
    <row r="22" spans="1:38" ht="15" customHeight="1" thickBot="1">
      <c r="A22" s="1420"/>
      <c r="B22" s="1522"/>
      <c r="C22" s="1707"/>
      <c r="D22" s="1671"/>
      <c r="E22" s="1621" t="s">
        <v>973</v>
      </c>
      <c r="F22" s="1592">
        <v>1</v>
      </c>
      <c r="G22" s="1032"/>
      <c r="K22" s="1621" t="s">
        <v>974</v>
      </c>
      <c r="L22" s="1592">
        <v>1</v>
      </c>
      <c r="Q22" s="1550"/>
      <c r="S22" s="1550" t="s">
        <v>897</v>
      </c>
      <c r="T22" s="1592">
        <v>1</v>
      </c>
      <c r="Y22" s="1550" t="s">
        <v>898</v>
      </c>
      <c r="Z22" s="1592">
        <v>1</v>
      </c>
      <c r="AA22" s="1538"/>
      <c r="AB22" s="1539"/>
      <c r="AC22" s="1420"/>
      <c r="AD22" s="1032"/>
      <c r="AE22" s="1032"/>
      <c r="AF22" s="2664" t="s">
        <v>899</v>
      </c>
      <c r="AG22" s="2627"/>
      <c r="AH22" s="2628" t="str">
        <f>IF(('الصفحة 1'!$Q$14&gt;0),IF(($F$20=1),((IF((F22=""),"الربط بشبكة الكهـرباء",IF((F22&gt;=0)," ",IF((F22&gt;=1),""))))),""),"")</f>
        <v xml:space="preserve"> </v>
      </c>
      <c r="AI22" s="1383"/>
      <c r="AJ22" s="1032"/>
      <c r="AK22" s="1032"/>
      <c r="AL22" s="1420"/>
    </row>
    <row r="23" spans="1:38" ht="5.0999999999999996" customHeight="1" thickBot="1">
      <c r="A23" s="1420"/>
      <c r="B23" s="1522"/>
      <c r="C23" s="1531"/>
      <c r="E23" s="1859"/>
      <c r="G23" s="1032"/>
      <c r="AA23" s="1538"/>
      <c r="AB23" s="1539"/>
      <c r="AC23" s="1420"/>
      <c r="AD23" s="2614"/>
      <c r="AE23" s="2614"/>
      <c r="AF23" s="2665"/>
      <c r="AG23" s="2614"/>
      <c r="AH23" s="2614"/>
      <c r="AI23" s="2614"/>
      <c r="AJ23" s="2614"/>
      <c r="AK23" s="2634"/>
      <c r="AL23" s="1420"/>
    </row>
    <row r="24" spans="1:38" ht="15" customHeight="1" thickBot="1">
      <c r="A24" s="1420"/>
      <c r="B24" s="1522"/>
      <c r="C24" s="1590"/>
      <c r="D24" s="473"/>
      <c r="E24" s="1571" t="s">
        <v>975</v>
      </c>
      <c r="F24" s="1592">
        <v>1</v>
      </c>
      <c r="O24" s="1601" t="s">
        <v>976</v>
      </c>
      <c r="P24" s="1592">
        <v>0</v>
      </c>
      <c r="Q24" s="1578" t="str">
        <f>IF(('الصفحة 1'!$Q$14&gt;0),IF(($F$20=0),((IF((F24&gt;0),"خطء جناح إداري غير موجود ",IF((F24=0)," ",IF((F24=0),""))))),""),"")</f>
        <v/>
      </c>
      <c r="AA24" s="1538"/>
      <c r="AB24" s="1539"/>
      <c r="AC24" s="1420"/>
      <c r="AD24" s="2614"/>
      <c r="AE24" s="2614"/>
      <c r="AF24" s="2664" t="s">
        <v>900</v>
      </c>
      <c r="AG24" s="2627"/>
      <c r="AH24" s="2628" t="str">
        <f>IF(('الصفحة 1'!$Q$14&gt;0),IF(($F$20=1),((IF((F24=""),"الربـط بشبكـة المـــاء",IF((F24&gt;=0)," ",IF((F24&gt;=1),""))))),""),"")</f>
        <v xml:space="preserve"> </v>
      </c>
      <c r="AI24" s="3247" t="s">
        <v>934</v>
      </c>
      <c r="AJ24" s="2614"/>
      <c r="AK24" s="2628" t="str">
        <f>IF(('الصفحة 1'!$Q$14&gt;0),IF(($F$20=1),((IF((F26="")," الربـط بشبكـة الغـــاز",IF((F26&gt;=0)," ",IF((F26&gt;=1),""))))),""),"")</f>
        <v xml:space="preserve"> </v>
      </c>
      <c r="AL24" s="1420"/>
    </row>
    <row r="25" spans="1:38" ht="5.0999999999999996" customHeight="1" thickBot="1">
      <c r="A25" s="1420"/>
      <c r="B25" s="1522"/>
      <c r="C25" s="1590"/>
      <c r="D25" s="473"/>
      <c r="E25" s="1571"/>
      <c r="F25" s="1860"/>
      <c r="G25" s="1032"/>
      <c r="AA25" s="1538"/>
      <c r="AB25" s="1539"/>
      <c r="AC25" s="1420"/>
      <c r="AD25" s="2614"/>
      <c r="AE25" s="2614"/>
      <c r="AF25" s="2665"/>
      <c r="AG25" s="2614"/>
      <c r="AH25" s="2614"/>
      <c r="AI25" s="2614"/>
      <c r="AJ25" s="2614"/>
      <c r="AK25" s="2634"/>
      <c r="AL25" s="1420"/>
    </row>
    <row r="26" spans="1:38" ht="15" customHeight="1" thickBot="1">
      <c r="A26" s="1420"/>
      <c r="B26" s="1522"/>
      <c r="C26" s="1597"/>
      <c r="D26" s="14"/>
      <c r="E26" s="1571" t="s">
        <v>977</v>
      </c>
      <c r="F26" s="1592">
        <v>1</v>
      </c>
      <c r="G26" s="1578" t="str">
        <f>IF(('الصفحة 1'!$Q$14&gt;0),IF(($F$20=0),((IF((F26&gt;0),"خطء جناح إداري غير موجود ",IF((F26=0)," ",IF((F26=0),""))))),""),"")</f>
        <v/>
      </c>
      <c r="Q26" s="1578" t="str">
        <f>IF(('الصفحة 1'!$Q$14&gt;0),IF(($F$20=0),((IF((P24&gt;0),"خطء جناح إداري غير موجود ",IF((P24=0)," ",IF((P24=0),""))))),""),"")</f>
        <v/>
      </c>
      <c r="AA26" s="1538"/>
      <c r="AB26" s="1539"/>
      <c r="AC26" s="1420"/>
      <c r="AD26" s="1032"/>
      <c r="AE26" s="1032"/>
      <c r="AF26" s="2664" t="s">
        <v>901</v>
      </c>
      <c r="AG26" s="2627"/>
      <c r="AH26" s="2628" t="str">
        <f>IF(('الصفحة 1'!$Q$14&gt;0),IF(($F$20=1),((IF((P24=""),"أجهــزة تبريـد الميـاه ",IF((P24&gt;=0)," ",IF((P24&gt;=1),""))))),""),"")</f>
        <v xml:space="preserve"> </v>
      </c>
      <c r="AI26" s="1032"/>
      <c r="AJ26" s="1032"/>
      <c r="AK26" s="1032"/>
      <c r="AL26" s="1420"/>
    </row>
    <row r="27" spans="1:38" ht="5.0999999999999996" customHeight="1">
      <c r="A27" s="1420"/>
      <c r="B27" s="1522"/>
      <c r="C27" s="1531"/>
      <c r="AA27" s="1538"/>
      <c r="AB27" s="1539"/>
      <c r="AC27" s="1420"/>
      <c r="AD27" s="2614"/>
      <c r="AE27" s="2614"/>
      <c r="AF27" s="2634"/>
      <c r="AG27" s="2614"/>
      <c r="AH27" s="2614"/>
      <c r="AI27" s="2614"/>
      <c r="AJ27" s="2614"/>
      <c r="AK27" s="2634"/>
      <c r="AL27" s="1420"/>
    </row>
    <row r="28" spans="1:38" ht="8.1" customHeight="1">
      <c r="A28" s="1420"/>
      <c r="B28" s="1522"/>
      <c r="C28" s="1531"/>
      <c r="AA28" s="1538"/>
      <c r="AB28" s="1539"/>
      <c r="AC28" s="1420"/>
      <c r="AD28" s="2614"/>
      <c r="AE28" s="2614"/>
      <c r="AF28" s="2634"/>
      <c r="AG28" s="2614"/>
      <c r="AH28" s="2614"/>
      <c r="AI28" s="2614"/>
      <c r="AJ28" s="2614"/>
      <c r="AK28" s="2634"/>
      <c r="AL28" s="1420"/>
    </row>
    <row r="29" spans="1:38" ht="15" customHeight="1">
      <c r="A29" s="1420"/>
      <c r="B29" s="1522"/>
      <c r="C29" s="1611" t="s">
        <v>924</v>
      </c>
      <c r="D29" s="1533"/>
      <c r="E29" s="1698"/>
      <c r="F29" s="1698"/>
      <c r="G29" s="1698"/>
      <c r="H29" s="1533"/>
      <c r="I29" s="1580"/>
      <c r="J29" s="1580"/>
      <c r="K29" s="1580"/>
      <c r="L29" s="1580"/>
      <c r="M29" s="1580"/>
      <c r="N29" s="1580"/>
      <c r="O29" s="1580"/>
      <c r="P29" s="1580"/>
      <c r="Q29" s="1580"/>
      <c r="R29" s="1580"/>
      <c r="S29" s="1580"/>
      <c r="T29" s="1580"/>
      <c r="U29" s="1580"/>
      <c r="V29" s="1580"/>
      <c r="W29" s="1580"/>
      <c r="X29" s="1580"/>
      <c r="Y29" s="1580"/>
      <c r="Z29" s="1855" t="s">
        <v>930</v>
      </c>
      <c r="AA29" s="1861"/>
      <c r="AB29" s="1539"/>
      <c r="AC29" s="1420"/>
      <c r="AD29" s="2661"/>
      <c r="AE29" s="2661"/>
      <c r="AF29" s="2661"/>
      <c r="AG29" s="2666"/>
      <c r="AH29" s="2667" t="s">
        <v>902</v>
      </c>
      <c r="AI29" s="2668"/>
      <c r="AJ29" s="2661"/>
      <c r="AK29" s="2661"/>
      <c r="AL29" s="1420"/>
    </row>
    <row r="30" spans="1:38" ht="8.1" customHeight="1">
      <c r="A30" s="1420"/>
      <c r="B30" s="1522"/>
      <c r="C30" s="1531"/>
      <c r="AA30" s="1538"/>
      <c r="AB30" s="1539"/>
      <c r="AC30" s="1420"/>
      <c r="AD30" s="2614"/>
      <c r="AE30" s="2614"/>
      <c r="AF30" s="2634"/>
      <c r="AG30" s="2614"/>
      <c r="AH30" s="2614"/>
      <c r="AI30" s="2614"/>
      <c r="AJ30" s="2614"/>
      <c r="AK30" s="2634"/>
      <c r="AL30" s="1420"/>
    </row>
    <row r="31" spans="1:38">
      <c r="A31" s="1420"/>
      <c r="B31" s="1522"/>
      <c r="C31" s="1531"/>
      <c r="D31" s="1672"/>
      <c r="E31" s="1672"/>
      <c r="F31" s="1672"/>
      <c r="G31" s="1571" t="s">
        <v>979</v>
      </c>
      <c r="H31" s="4044">
        <v>8</v>
      </c>
      <c r="I31" s="4045"/>
      <c r="J31" s="761"/>
      <c r="K31" s="761"/>
      <c r="L31" s="761"/>
      <c r="M31" s="761"/>
      <c r="N31" s="761"/>
      <c r="O31" s="761"/>
      <c r="P31" s="761"/>
      <c r="Q31" s="761"/>
      <c r="R31" s="761"/>
      <c r="S31" s="761"/>
      <c r="T31" s="761"/>
      <c r="U31" s="761"/>
      <c r="V31" s="761"/>
      <c r="W31" s="761"/>
      <c r="X31" s="761"/>
      <c r="Y31" s="761"/>
      <c r="Z31" s="761"/>
      <c r="AA31" s="1538"/>
      <c r="AB31" s="1539"/>
      <c r="AC31" s="1420"/>
      <c r="AD31" s="2614"/>
      <c r="AE31" s="2614"/>
      <c r="AF31" s="2664" t="s">
        <v>903</v>
      </c>
      <c r="AG31" s="2627"/>
      <c r="AH31" s="2628" t="str">
        <f>IF(('الصفحة 1'!$Q$14&gt;0),((IF((H31=""),"ضع العدد المناسب",IF((H31=0)," ",IF((H31&gt;0),""))))),"")</f>
        <v/>
      </c>
      <c r="AI31" s="2614"/>
      <c r="AJ31" s="2614"/>
      <c r="AK31" s="2634"/>
      <c r="AL31" s="1420"/>
    </row>
    <row r="32" spans="1:38" ht="5.0999999999999996" customHeight="1">
      <c r="A32" s="1420"/>
      <c r="B32" s="1522"/>
      <c r="C32" s="1531"/>
      <c r="D32" s="761"/>
      <c r="E32" s="761"/>
      <c r="F32" s="761"/>
      <c r="G32" s="1752"/>
      <c r="H32" s="1826"/>
      <c r="I32" s="1826"/>
      <c r="J32" s="761"/>
      <c r="K32" s="761"/>
      <c r="L32" s="761"/>
      <c r="M32" s="761"/>
      <c r="N32" s="761"/>
      <c r="O32" s="761"/>
      <c r="P32" s="761"/>
      <c r="Q32" s="761"/>
      <c r="R32" s="761"/>
      <c r="S32" s="761"/>
      <c r="T32" s="761"/>
      <c r="U32" s="761"/>
      <c r="V32" s="761"/>
      <c r="W32" s="761"/>
      <c r="X32" s="761"/>
      <c r="Y32" s="761"/>
      <c r="Z32" s="761"/>
      <c r="AA32" s="1538"/>
      <c r="AB32" s="1539"/>
      <c r="AC32" s="1420"/>
      <c r="AD32" s="2614"/>
      <c r="AE32" s="2614"/>
      <c r="AF32" s="2665"/>
      <c r="AG32" s="2614"/>
      <c r="AH32" s="2614"/>
      <c r="AI32" s="2614"/>
      <c r="AJ32" s="2614"/>
      <c r="AK32" s="2634"/>
      <c r="AL32" s="1420"/>
    </row>
    <row r="33" spans="1:38">
      <c r="A33" s="1420"/>
      <c r="B33" s="1522"/>
      <c r="C33" s="1531"/>
      <c r="D33" s="1672"/>
      <c r="E33" s="1672"/>
      <c r="F33" s="1672"/>
      <c r="G33" s="2029" t="s">
        <v>980</v>
      </c>
      <c r="H33" s="4044">
        <v>8</v>
      </c>
      <c r="I33" s="4045"/>
      <c r="J33" s="761"/>
      <c r="K33" s="761"/>
      <c r="L33" s="761"/>
      <c r="M33" s="761"/>
      <c r="N33" s="761"/>
      <c r="O33" s="761"/>
      <c r="P33" s="761"/>
      <c r="Q33" s="761"/>
      <c r="R33" s="761"/>
      <c r="S33" s="761"/>
      <c r="T33" s="761"/>
      <c r="U33" s="761"/>
      <c r="V33" s="761"/>
      <c r="W33" s="761"/>
      <c r="X33" s="761"/>
      <c r="Y33" s="761"/>
      <c r="Z33" s="761"/>
      <c r="AA33" s="1765"/>
      <c r="AB33" s="1539"/>
      <c r="AC33" s="1420"/>
      <c r="AD33" s="2614"/>
      <c r="AE33" s="2614"/>
      <c r="AF33" s="2664" t="s">
        <v>904</v>
      </c>
      <c r="AG33" s="2627"/>
      <c r="AH33" s="2628" t="str">
        <f>IF(('الصفحة 1'!$Q$14&gt;0),((IF((H33=""),"ضع العدد المناسب",IF((H33=0)," ",IF((H33&gt;0),""))))),"")</f>
        <v/>
      </c>
      <c r="AI33" s="2614"/>
      <c r="AJ33" s="2614"/>
      <c r="AK33" s="2634"/>
      <c r="AL33" s="1420"/>
    </row>
    <row r="34" spans="1:38" ht="5.0999999999999996" customHeight="1">
      <c r="A34" s="1420"/>
      <c r="B34" s="1522"/>
      <c r="C34" s="1531"/>
      <c r="D34" s="761"/>
      <c r="E34" s="761"/>
      <c r="F34" s="761"/>
      <c r="G34" s="2030"/>
      <c r="H34" s="1826"/>
      <c r="I34" s="1826"/>
      <c r="J34" s="761"/>
      <c r="K34" s="761"/>
      <c r="L34" s="761"/>
      <c r="M34" s="761"/>
      <c r="N34" s="761"/>
      <c r="O34" s="761"/>
      <c r="P34" s="761"/>
      <c r="Q34" s="761"/>
      <c r="R34" s="761"/>
      <c r="S34" s="761"/>
      <c r="T34" s="761"/>
      <c r="U34" s="761"/>
      <c r="V34" s="761"/>
      <c r="W34" s="761"/>
      <c r="X34" s="761"/>
      <c r="Y34" s="761"/>
      <c r="Z34" s="761"/>
      <c r="AA34" s="1538"/>
      <c r="AB34" s="1539"/>
      <c r="AC34" s="1420"/>
      <c r="AD34" s="2614"/>
      <c r="AE34" s="2614"/>
      <c r="AF34" s="2665"/>
      <c r="AG34" s="2614"/>
      <c r="AH34" s="2614"/>
      <c r="AI34" s="2614"/>
      <c r="AJ34" s="2614"/>
      <c r="AK34" s="2634"/>
      <c r="AL34" s="1420"/>
    </row>
    <row r="35" spans="1:38">
      <c r="A35" s="1420"/>
      <c r="B35" s="1522"/>
      <c r="C35" s="1531"/>
      <c r="D35" s="761"/>
      <c r="E35" s="1672"/>
      <c r="F35" s="761"/>
      <c r="G35" s="2029" t="s">
        <v>978</v>
      </c>
      <c r="H35" s="4044">
        <v>2</v>
      </c>
      <c r="I35" s="4045"/>
      <c r="J35" s="3292" t="str">
        <f>IF(('الصفحة 1'!$Q$14&gt;0),IF(H31=0,"",IF(H35&gt;H31,"العدد غيرمطابق","")),"")</f>
        <v/>
      </c>
      <c r="K35" s="761"/>
      <c r="L35" s="761"/>
      <c r="M35" s="761"/>
      <c r="N35" s="761"/>
      <c r="O35" s="761"/>
      <c r="P35" s="761"/>
      <c r="Q35" s="1578" t="str">
        <f>IF(('الصفحة 1'!$Q$14&gt;0),IF(($H$35=0),((IF((('الصفحة 1'!K54)&gt;0),"خطء المشتغلة في حجرات الدرس  ",IF((('الصفحة 1'!K54)=0)," ",IF((('الصفحة 1'!K54)=0),""))))),""),"")</f>
        <v/>
      </c>
      <c r="R35" s="761"/>
      <c r="S35" s="761"/>
      <c r="T35" s="761"/>
      <c r="U35" s="761"/>
      <c r="V35" s="761"/>
      <c r="W35" s="761"/>
      <c r="X35" s="761"/>
      <c r="Y35" s="761"/>
      <c r="Z35" s="761"/>
      <c r="AA35" s="1576">
        <f>'الصفحة 1'!$K$54</f>
        <v>0</v>
      </c>
      <c r="AB35" s="1539"/>
      <c r="AC35" s="1420"/>
      <c r="AD35" s="2614"/>
      <c r="AE35" s="2614"/>
      <c r="AF35" s="2664" t="s">
        <v>905</v>
      </c>
      <c r="AG35" s="2627"/>
      <c r="AH35" s="2628" t="str">
        <f>IF(('الصفحة 1'!$Q$14&gt;0),((IF((H35=""),"ضع العدد المناسب",IF((H35=0)," ",IF((H35&gt;0),""))))),"")</f>
        <v/>
      </c>
      <c r="AI35" s="2614"/>
      <c r="AJ35" s="2614"/>
      <c r="AK35" s="2634"/>
      <c r="AL35" s="1420"/>
    </row>
    <row r="36" spans="1:38" ht="5.0999999999999996" customHeight="1">
      <c r="A36" s="1420"/>
      <c r="B36" s="1522"/>
      <c r="C36" s="1531"/>
      <c r="D36" s="761"/>
      <c r="E36" s="761"/>
      <c r="F36" s="761"/>
      <c r="G36" s="2030"/>
      <c r="H36" s="1826"/>
      <c r="I36" s="1826"/>
      <c r="J36" s="761"/>
      <c r="K36" s="761"/>
      <c r="L36" s="761"/>
      <c r="M36" s="761"/>
      <c r="N36" s="761"/>
      <c r="O36" s="761"/>
      <c r="P36" s="761"/>
      <c r="Q36" s="761"/>
      <c r="R36" s="761"/>
      <c r="S36" s="761"/>
      <c r="T36" s="761"/>
      <c r="U36" s="761"/>
      <c r="V36" s="761"/>
      <c r="W36" s="761"/>
      <c r="X36" s="761"/>
      <c r="Y36" s="761"/>
      <c r="Z36" s="761"/>
      <c r="AA36" s="1538"/>
      <c r="AB36" s="1539"/>
      <c r="AC36" s="1420"/>
      <c r="AD36" s="2614"/>
      <c r="AE36" s="2614"/>
      <c r="AF36" s="2665"/>
      <c r="AG36" s="2614"/>
      <c r="AH36" s="2614"/>
      <c r="AI36" s="2614"/>
      <c r="AJ36" s="2614"/>
      <c r="AK36" s="2634"/>
      <c r="AL36" s="1420"/>
    </row>
    <row r="37" spans="1:38">
      <c r="A37" s="1420"/>
      <c r="B37" s="1522"/>
      <c r="C37" s="1531"/>
      <c r="D37" s="1672"/>
      <c r="E37" s="1672"/>
      <c r="F37" s="1672"/>
      <c r="G37" s="2029" t="s">
        <v>981</v>
      </c>
      <c r="H37" s="4044">
        <v>8</v>
      </c>
      <c r="I37" s="4045"/>
      <c r="J37" s="761"/>
      <c r="K37" s="761"/>
      <c r="L37" s="761"/>
      <c r="M37" s="761"/>
      <c r="N37" s="761"/>
      <c r="O37" s="761"/>
      <c r="P37" s="761"/>
      <c r="Q37" s="761"/>
      <c r="R37" s="761"/>
      <c r="S37" s="761"/>
      <c r="T37" s="761"/>
      <c r="U37" s="761"/>
      <c r="V37" s="761"/>
      <c r="W37" s="761"/>
      <c r="X37" s="761"/>
      <c r="Y37" s="761"/>
      <c r="Z37" s="761"/>
      <c r="AA37" s="1538"/>
      <c r="AB37" s="1539"/>
      <c r="AC37" s="1420"/>
      <c r="AD37" s="2614"/>
      <c r="AE37" s="2614"/>
      <c r="AF37" s="2664" t="s">
        <v>906</v>
      </c>
      <c r="AG37" s="2627"/>
      <c r="AH37" s="2628" t="str">
        <f>IF(('الصفحة 1'!$Q$14&gt;0),((IF((H37=""),"ضع العدد المناسب",IF((H37=0)," ",IF((H37&gt;0),""))))),"")</f>
        <v/>
      </c>
      <c r="AI37" s="2614"/>
      <c r="AJ37" s="2614"/>
      <c r="AK37" s="2634"/>
      <c r="AL37" s="1420"/>
    </row>
    <row r="38" spans="1:38" ht="5.0999999999999996" customHeight="1">
      <c r="A38" s="1420"/>
      <c r="B38" s="1522"/>
      <c r="C38" s="1531"/>
      <c r="D38" s="761"/>
      <c r="E38" s="761"/>
      <c r="F38" s="761"/>
      <c r="G38" s="2032"/>
      <c r="H38" s="1826"/>
      <c r="I38" s="1826"/>
      <c r="J38" s="761"/>
      <c r="K38" s="761"/>
      <c r="L38" s="761"/>
      <c r="M38" s="761"/>
      <c r="N38" s="761"/>
      <c r="O38" s="761"/>
      <c r="P38" s="761"/>
      <c r="Q38" s="761"/>
      <c r="R38" s="761"/>
      <c r="S38" s="761"/>
      <c r="T38" s="761"/>
      <c r="U38" s="761"/>
      <c r="V38" s="761"/>
      <c r="W38" s="761"/>
      <c r="X38" s="761"/>
      <c r="Y38" s="761"/>
      <c r="Z38" s="761"/>
      <c r="AA38" s="1530"/>
      <c r="AB38" s="1539"/>
      <c r="AC38" s="1420"/>
      <c r="AD38" s="2614"/>
      <c r="AE38" s="2614"/>
      <c r="AF38" s="2665"/>
      <c r="AG38" s="2614"/>
      <c r="AH38" s="2614"/>
      <c r="AI38" s="2614"/>
      <c r="AJ38" s="2614"/>
      <c r="AK38" s="2634"/>
      <c r="AL38" s="1420"/>
    </row>
    <row r="39" spans="1:38">
      <c r="A39" s="1420"/>
      <c r="B39" s="1522"/>
      <c r="C39" s="1531"/>
      <c r="D39" s="1672"/>
      <c r="E39" s="1672"/>
      <c r="F39" s="1672"/>
      <c r="G39" s="2029" t="s">
        <v>982</v>
      </c>
      <c r="H39" s="4044">
        <v>0</v>
      </c>
      <c r="I39" s="4045"/>
      <c r="J39" s="3292" t="str">
        <f>IF(('الصفحة 1'!$Q$14&gt;0),IF(H31=0,"",IF((H37+H39)&lt;&gt;H31,"العدد غيرمطابق","")),"")</f>
        <v/>
      </c>
      <c r="K39" s="761"/>
      <c r="L39" s="761"/>
      <c r="M39" s="761"/>
      <c r="N39" s="761"/>
      <c r="O39" s="761"/>
      <c r="P39" s="761"/>
      <c r="Q39" s="761"/>
      <c r="R39" s="761"/>
      <c r="S39" s="761"/>
      <c r="T39" s="761"/>
      <c r="U39" s="761"/>
      <c r="V39" s="761"/>
      <c r="W39" s="761"/>
      <c r="X39" s="761"/>
      <c r="Y39" s="761"/>
      <c r="Z39" s="761"/>
      <c r="AA39" s="1530"/>
      <c r="AB39" s="1539"/>
      <c r="AC39" s="1420"/>
      <c r="AD39" s="2614"/>
      <c r="AE39" s="2614"/>
      <c r="AF39" s="2664" t="s">
        <v>907</v>
      </c>
      <c r="AG39" s="2627"/>
      <c r="AH39" s="2628" t="str">
        <f>IF(('الصفحة 1'!$Q$14&gt;0),((IF((H39=""),"ضع العدد المناسب",IF((H39=0)," ",IF((H39&gt;0),""))))),"")</f>
        <v xml:space="preserve"> </v>
      </c>
      <c r="AI39" s="2614"/>
      <c r="AJ39" s="2614"/>
      <c r="AK39" s="2634"/>
      <c r="AL39" s="1420"/>
    </row>
    <row r="40" spans="1:38" ht="5.0999999999999996" customHeight="1">
      <c r="A40" s="1420"/>
      <c r="B40" s="1522"/>
      <c r="C40" s="1531"/>
      <c r="G40" s="2033"/>
      <c r="H40" s="1862"/>
      <c r="I40" s="1862"/>
      <c r="AA40" s="1530"/>
      <c r="AB40" s="1539"/>
      <c r="AC40" s="1420"/>
      <c r="AD40" s="2614"/>
      <c r="AE40" s="2614"/>
      <c r="AF40" s="2665"/>
      <c r="AG40" s="2614"/>
      <c r="AH40" s="2614"/>
      <c r="AI40" s="2614"/>
      <c r="AJ40" s="2614"/>
      <c r="AK40" s="2634"/>
      <c r="AL40" s="1420"/>
    </row>
    <row r="41" spans="1:38">
      <c r="A41" s="1420"/>
      <c r="B41" s="1522"/>
      <c r="C41" s="1851"/>
      <c r="D41" s="1863"/>
      <c r="E41" s="1986"/>
      <c r="F41" s="1672"/>
      <c r="G41" s="2029" t="s">
        <v>983</v>
      </c>
      <c r="H41" s="4044">
        <v>0</v>
      </c>
      <c r="I41" s="4045"/>
      <c r="J41" s="3292" t="str">
        <f>IF(('الصفحة 1'!$Q$14&gt;0),IF(H31=0,"",IF((H41)&gt;H31,"العدد غيرمطابق","")),"")</f>
        <v/>
      </c>
      <c r="W41" s="1529"/>
      <c r="X41" s="1529"/>
      <c r="Y41" s="1529"/>
      <c r="Z41" s="1529"/>
      <c r="AA41" s="1858"/>
      <c r="AB41" s="1539"/>
      <c r="AC41" s="1420"/>
      <c r="AD41" s="2614"/>
      <c r="AE41" s="2614"/>
      <c r="AF41" s="2664" t="s">
        <v>908</v>
      </c>
      <c r="AG41" s="2627"/>
      <c r="AH41" s="2628" t="str">
        <f>IF(('الصفحة 1'!$Q$14&gt;0),((IF((H41=""),"ضع العدد المناسب",IF((H41=0)," ",IF((H41&gt;0),""))))),"")</f>
        <v xml:space="preserve"> </v>
      </c>
      <c r="AI41" s="2614"/>
      <c r="AJ41" s="2614"/>
      <c r="AK41" s="2634"/>
      <c r="AL41" s="1420"/>
    </row>
    <row r="42" spans="1:38" ht="5.0999999999999996" customHeight="1">
      <c r="A42" s="1420"/>
      <c r="B42" s="1522"/>
      <c r="C42" s="1531"/>
      <c r="G42" s="2033"/>
      <c r="H42" s="1862"/>
      <c r="I42" s="1862"/>
      <c r="AA42" s="1530"/>
      <c r="AB42" s="1539"/>
      <c r="AC42" s="1420"/>
      <c r="AD42" s="2614"/>
      <c r="AE42" s="2614"/>
      <c r="AF42" s="2665"/>
      <c r="AG42" s="2614"/>
      <c r="AH42" s="2614"/>
      <c r="AI42" s="2614"/>
      <c r="AJ42" s="2614"/>
      <c r="AK42" s="2634"/>
      <c r="AL42" s="1420"/>
    </row>
    <row r="43" spans="1:38">
      <c r="A43" s="1420"/>
      <c r="B43" s="1522"/>
      <c r="C43" s="1531"/>
      <c r="G43" s="1621" t="s">
        <v>984</v>
      </c>
      <c r="H43" s="4044">
        <v>0</v>
      </c>
      <c r="I43" s="4045"/>
      <c r="AA43" s="1530"/>
      <c r="AB43" s="1539"/>
      <c r="AC43" s="1420"/>
      <c r="AD43" s="2614"/>
      <c r="AE43" s="2614"/>
      <c r="AF43" s="2664" t="s">
        <v>909</v>
      </c>
      <c r="AG43" s="2627"/>
      <c r="AH43" s="2628" t="str">
        <f>IF(('الصفحة 1'!$Q$14&gt;0),((IF((H43=""),"ضع العدد المناسب",IF((H43=0)," ",IF((H43&gt;0),""))))),"")</f>
        <v xml:space="preserve"> </v>
      </c>
      <c r="AI43" s="2614"/>
      <c r="AJ43" s="2614"/>
      <c r="AK43" s="2634"/>
      <c r="AL43" s="1420"/>
    </row>
    <row r="44" spans="1:38" ht="5.0999999999999996" customHeight="1">
      <c r="A44" s="1420"/>
      <c r="B44" s="1522"/>
      <c r="C44" s="1531"/>
      <c r="G44" s="1665"/>
      <c r="H44" s="1988"/>
      <c r="I44" s="1988"/>
      <c r="AA44" s="1530"/>
      <c r="AB44" s="1539"/>
      <c r="AC44" s="1420"/>
      <c r="AD44" s="2614"/>
      <c r="AE44" s="2614"/>
      <c r="AF44" s="2634"/>
      <c r="AG44" s="2614"/>
      <c r="AH44" s="2614"/>
      <c r="AI44" s="2614"/>
      <c r="AJ44" s="2614"/>
      <c r="AK44" s="2634"/>
      <c r="AL44" s="1420"/>
    </row>
    <row r="45" spans="1:38" ht="8.1" customHeight="1">
      <c r="A45" s="1420"/>
      <c r="B45" s="1522"/>
      <c r="C45" s="1531"/>
      <c r="AA45" s="1530"/>
      <c r="AB45" s="1539"/>
      <c r="AC45" s="1420"/>
      <c r="AD45" s="2614"/>
      <c r="AE45" s="2614"/>
      <c r="AF45" s="2634"/>
      <c r="AG45" s="2614"/>
      <c r="AH45" s="2614"/>
      <c r="AI45" s="2614"/>
      <c r="AJ45" s="2614"/>
      <c r="AK45" s="2634"/>
      <c r="AL45" s="1420"/>
    </row>
    <row r="46" spans="1:38">
      <c r="A46" s="1420"/>
      <c r="B46" s="1522"/>
      <c r="C46" s="1844" t="s">
        <v>925</v>
      </c>
      <c r="D46" s="1533"/>
      <c r="E46" s="1837"/>
      <c r="F46" s="1761"/>
      <c r="G46" s="1761"/>
      <c r="H46" s="1761"/>
      <c r="I46" s="1761"/>
      <c r="J46" s="1761"/>
      <c r="K46" s="1761"/>
      <c r="L46" s="1580"/>
      <c r="M46" s="1580"/>
      <c r="N46" s="1580"/>
      <c r="O46" s="1580"/>
      <c r="P46" s="1580"/>
      <c r="Q46" s="1580"/>
      <c r="R46" s="1580"/>
      <c r="S46" s="1580"/>
      <c r="T46" s="1533"/>
      <c r="U46" s="1533"/>
      <c r="V46" s="1533"/>
      <c r="W46" s="1533"/>
      <c r="X46" s="1533"/>
      <c r="Y46" s="1533"/>
      <c r="Z46" s="1864" t="s">
        <v>931</v>
      </c>
      <c r="AA46" s="1629"/>
      <c r="AB46" s="1539"/>
      <c r="AC46" s="1420"/>
      <c r="AD46" s="2614"/>
      <c r="AE46" s="2614"/>
      <c r="AF46" s="2626" t="s">
        <v>910</v>
      </c>
      <c r="AG46" s="2627"/>
      <c r="AH46" s="2628" t="str">
        <f>IF(('الصفحة 1'!$Q$14&gt;0),((IF((F48=""),"ضع العدد المناسب",IF((F48&gt;=0)," ",IF((F48&gt;=1),""))))),"")</f>
        <v xml:space="preserve"> </v>
      </c>
      <c r="AI46" s="2664" t="s">
        <v>911</v>
      </c>
      <c r="AJ46" s="2614"/>
      <c r="AK46" s="2628" t="str">
        <f>IF(('الصفحة 1'!$Q$14&gt;0),IF(($F$48=1),((IF((K48=""),"التدفئـة شغالــة",IF((K48&gt;=0)," ",IF((K48&gt;=1),""))))),""),"")</f>
        <v xml:space="preserve"> </v>
      </c>
      <c r="AL46" s="1420"/>
    </row>
    <row r="47" spans="1:38" ht="8.1" customHeight="1" thickBot="1">
      <c r="A47" s="1420"/>
      <c r="B47" s="1522"/>
      <c r="C47" s="1531"/>
      <c r="D47" s="761"/>
      <c r="E47" s="761"/>
      <c r="F47" s="761"/>
      <c r="G47" s="761"/>
      <c r="H47" s="761"/>
      <c r="I47" s="761"/>
      <c r="J47" s="761"/>
      <c r="K47" s="761"/>
      <c r="L47" s="761"/>
      <c r="M47" s="761"/>
      <c r="N47" s="761"/>
      <c r="O47" s="761"/>
      <c r="P47" s="761"/>
      <c r="Q47" s="761"/>
      <c r="R47" s="761"/>
      <c r="S47" s="761"/>
      <c r="T47" s="761"/>
      <c r="U47" s="761"/>
      <c r="V47" s="761"/>
      <c r="W47" s="761"/>
      <c r="X47" s="761"/>
      <c r="Y47" s="761"/>
      <c r="Z47" s="761"/>
      <c r="AA47" s="1589"/>
      <c r="AB47" s="1539"/>
      <c r="AC47" s="1420"/>
      <c r="AD47" s="2614"/>
      <c r="AE47" s="2614"/>
      <c r="AF47" s="2634"/>
      <c r="AG47" s="2614"/>
      <c r="AH47" s="2614"/>
      <c r="AI47" s="2614"/>
      <c r="AJ47" s="2614"/>
      <c r="AK47" s="2634"/>
      <c r="AL47" s="1420"/>
    </row>
    <row r="48" spans="1:38" ht="15" customHeight="1" thickBot="1">
      <c r="A48" s="1420"/>
      <c r="B48" s="1522"/>
      <c r="C48" s="1857"/>
      <c r="D48" s="1385"/>
      <c r="E48" s="1845" t="s">
        <v>1455</v>
      </c>
      <c r="F48" s="1642">
        <v>1</v>
      </c>
      <c r="G48" s="1986"/>
      <c r="H48" s="1610"/>
      <c r="I48" s="1610"/>
      <c r="J48" s="1621" t="s">
        <v>985</v>
      </c>
      <c r="K48" s="1642">
        <v>1</v>
      </c>
      <c r="S48" s="1578"/>
      <c r="T48" s="1578" t="str">
        <f>IF(('الصفحة 1'!$Q$14&gt;0),IF(($F$48=0),((IF(((F50+K50)&gt;0),"خطء التدفئـة غير موجودة  ",IF(((F48)=0)," ",IF(((F50+K50)=0),""))))),""),"")</f>
        <v/>
      </c>
      <c r="AA48" s="1589"/>
      <c r="AB48" s="1539"/>
      <c r="AC48" s="1420"/>
      <c r="AD48" s="2614"/>
      <c r="AE48" s="2614"/>
      <c r="AF48" s="2626" t="s">
        <v>933</v>
      </c>
      <c r="AG48" s="2627"/>
      <c r="AH48" s="2628" t="str">
        <f>IF(('الصفحة 1'!$Q$14&gt;0),IF(($F$48=1),((IF((F50=""),"التدفئـة مركـزيـة",IF((F50&gt;=0)," ",IF((F50&gt;=1),""))))),""),"")</f>
        <v xml:space="preserve"> </v>
      </c>
      <c r="AI48" s="2664" t="s">
        <v>912</v>
      </c>
      <c r="AJ48" s="2614"/>
      <c r="AK48" s="2628" t="str">
        <f>IF(('الصفحة 1'!$Q$14&gt;0),IF(($F$48=1),((IF((K50=""),"التدفئـة عاديـة",IF((K50&gt;=0)," ",IF((K50&gt;=1),""))))),""),"")</f>
        <v xml:space="preserve"> </v>
      </c>
      <c r="AL48" s="1420"/>
    </row>
    <row r="49" spans="1:38" ht="5.0999999999999996" customHeight="1" thickBot="1">
      <c r="A49" s="1420"/>
      <c r="B49" s="1522"/>
      <c r="C49" s="1531"/>
      <c r="D49" s="761"/>
      <c r="E49" s="1752"/>
      <c r="F49" s="761"/>
      <c r="G49" s="761"/>
      <c r="H49" s="761"/>
      <c r="I49" s="761"/>
      <c r="J49" s="761"/>
      <c r="K49" s="761"/>
      <c r="L49" s="761"/>
      <c r="M49" s="761"/>
      <c r="N49" s="761"/>
      <c r="O49" s="761"/>
      <c r="P49" s="761"/>
      <c r="Q49" s="761"/>
      <c r="R49" s="761"/>
      <c r="S49" s="761"/>
      <c r="T49" s="761"/>
      <c r="U49" s="761"/>
      <c r="V49" s="761"/>
      <c r="W49" s="761"/>
      <c r="X49" s="761"/>
      <c r="Y49" s="761"/>
      <c r="Z49" s="761"/>
      <c r="AA49" s="1589"/>
      <c r="AB49" s="1539"/>
      <c r="AC49" s="1420"/>
      <c r="AD49" s="2614"/>
      <c r="AE49" s="2614"/>
      <c r="AF49" s="2634"/>
      <c r="AG49" s="2614"/>
      <c r="AH49" s="2614"/>
      <c r="AI49" s="2614"/>
      <c r="AJ49" s="2614"/>
      <c r="AK49" s="2634"/>
      <c r="AL49" s="1420"/>
    </row>
    <row r="50" spans="1:38" ht="15" customHeight="1" thickBot="1">
      <c r="A50" s="1420"/>
      <c r="B50" s="1522"/>
      <c r="C50" s="1531"/>
      <c r="D50" s="1665"/>
      <c r="E50" s="1621" t="s">
        <v>986</v>
      </c>
      <c r="F50" s="1642">
        <v>1</v>
      </c>
      <c r="G50" s="1529"/>
      <c r="H50" s="1610"/>
      <c r="I50" s="1610"/>
      <c r="J50" s="1621" t="s">
        <v>987</v>
      </c>
      <c r="K50" s="2624">
        <v>1</v>
      </c>
      <c r="L50" s="3683" t="str">
        <f>IF(('الصفحة 1'!Q14&gt;0),IF((K48=1),((IF((K48&gt;(F50+K50))," نوع التدفئة",IF((K48&lt;=(F50+K50)),"",IF((K48&lt;=(F50+K50)),""))))),""),"")</f>
        <v/>
      </c>
      <c r="M50" s="3684"/>
      <c r="N50" s="3684"/>
      <c r="O50" s="3684"/>
      <c r="P50" s="3684"/>
      <c r="Q50" s="3684"/>
      <c r="S50" s="761"/>
      <c r="T50" s="1578" t="str">
        <f>IF(('الصفحة 1'!$Q$14&gt;0),IF(($H$31=0),((IF(((F52)&gt;0),"خطء المكاتب الموجودة  ",IF(((F52)=0)," ",IF(((F52)=0),""))))),""),"")</f>
        <v/>
      </c>
      <c r="U50" s="761"/>
      <c r="V50" s="761"/>
      <c r="W50" s="761"/>
      <c r="X50" s="761"/>
      <c r="Y50" s="761"/>
      <c r="Z50" s="761"/>
      <c r="AA50" s="1589"/>
      <c r="AB50" s="1539"/>
      <c r="AC50" s="1420"/>
      <c r="AD50" s="2614"/>
      <c r="AE50" s="2614"/>
      <c r="AF50" s="2626" t="s">
        <v>913</v>
      </c>
      <c r="AG50" s="2627"/>
      <c r="AH50" s="2628" t="str">
        <f>IF(('الصفحة 1'!$Q$14&gt;0),IF(($F$48=1),((IF((F52=""),"المكاتب المجهزة",IF((F52&gt;=0)," ",IF((F52&gt;=0),""))))),""),"")</f>
        <v xml:space="preserve"> </v>
      </c>
      <c r="AI50" s="2614"/>
      <c r="AJ50" s="2614"/>
      <c r="AK50" s="2634"/>
      <c r="AL50" s="1420"/>
    </row>
    <row r="51" spans="1:38" ht="5.0999999999999996" customHeight="1">
      <c r="A51" s="1420"/>
      <c r="B51" s="1522"/>
      <c r="C51" s="1531"/>
      <c r="D51" s="761"/>
      <c r="E51" s="1752"/>
      <c r="F51" s="1826"/>
      <c r="G51" s="1826"/>
      <c r="H51" s="761"/>
      <c r="I51" s="761"/>
      <c r="J51" s="1865"/>
      <c r="N51" s="761"/>
      <c r="O51" s="761"/>
      <c r="P51" s="761"/>
      <c r="Q51" s="761"/>
      <c r="R51" s="761"/>
      <c r="S51" s="761"/>
      <c r="T51" s="761"/>
      <c r="U51" s="761"/>
      <c r="V51" s="761"/>
      <c r="W51" s="761"/>
      <c r="X51" s="761"/>
      <c r="Y51" s="761"/>
      <c r="Z51" s="761"/>
      <c r="AA51" s="1589"/>
      <c r="AB51" s="1539"/>
      <c r="AC51" s="1420"/>
      <c r="AD51" s="2614"/>
      <c r="AE51" s="2614"/>
      <c r="AF51" s="2634"/>
      <c r="AG51" s="2614"/>
      <c r="AH51" s="2614"/>
      <c r="AI51" s="2614"/>
      <c r="AJ51" s="2614"/>
      <c r="AK51" s="2634"/>
      <c r="AL51" s="1420"/>
    </row>
    <row r="52" spans="1:38" ht="15" customHeight="1">
      <c r="A52" s="1420"/>
      <c r="B52" s="1522"/>
      <c r="C52" s="1531"/>
      <c r="D52" s="1672"/>
      <c r="E52" s="2029" t="s">
        <v>988</v>
      </c>
      <c r="F52" s="4044">
        <v>8</v>
      </c>
      <c r="G52" s="4045"/>
      <c r="I52" s="1672"/>
      <c r="R52" s="761"/>
      <c r="S52" s="761"/>
      <c r="T52" s="1578" t="str">
        <f>IF(('الصفحة 1'!$Q$14&gt;0),IF(($F$48=0),((IF(((F52)&gt;0),"خطء التدفئـة غير موجودة  ",IF(((F52)=0)," ",IF(((F52)=0),""))))),""),"")</f>
        <v/>
      </c>
      <c r="U52" s="761"/>
      <c r="V52" s="761"/>
      <c r="W52" s="761"/>
      <c r="X52" s="761"/>
      <c r="Y52" s="761"/>
      <c r="Z52" s="761"/>
      <c r="AA52" s="1589"/>
      <c r="AB52" s="1539"/>
      <c r="AC52" s="1420"/>
      <c r="AD52" s="2614"/>
      <c r="AE52" s="2614"/>
      <c r="AF52" s="2626" t="s">
        <v>914</v>
      </c>
      <c r="AG52" s="2627"/>
      <c r="AH52" s="2628" t="str">
        <f>IF(('الصفحة 1'!$Q$14&gt;0),IF(($F$48=1),((IF((F56=""),"الأجهزة الصالحة",IF((F56&gt;=0)," ",IF((F56&gt;=0),""))))),""),"")</f>
        <v xml:space="preserve"> </v>
      </c>
      <c r="AI52" s="2614"/>
      <c r="AJ52" s="2614"/>
      <c r="AK52" s="2634"/>
      <c r="AL52" s="1420"/>
    </row>
    <row r="53" spans="1:38" ht="5.0999999999999996" customHeight="1">
      <c r="A53" s="1420"/>
      <c r="B53" s="1522"/>
      <c r="C53" s="1531"/>
      <c r="D53" s="761"/>
      <c r="E53" s="2032"/>
      <c r="F53" s="1826"/>
      <c r="G53" s="1826"/>
      <c r="H53" s="761"/>
      <c r="I53" s="761"/>
      <c r="J53" s="761"/>
      <c r="K53" s="761"/>
      <c r="L53" s="761"/>
      <c r="M53" s="761"/>
      <c r="N53" s="761"/>
      <c r="O53" s="761"/>
      <c r="P53" s="761"/>
      <c r="Q53" s="761"/>
      <c r="R53" s="761"/>
      <c r="S53" s="761"/>
      <c r="T53" s="761"/>
      <c r="U53" s="761"/>
      <c r="V53" s="761"/>
      <c r="W53" s="761"/>
      <c r="X53" s="761"/>
      <c r="Y53" s="761"/>
      <c r="Z53" s="761"/>
      <c r="AA53" s="1538"/>
      <c r="AB53" s="1539"/>
      <c r="AC53" s="1420"/>
      <c r="AD53" s="2614"/>
      <c r="AE53" s="2614"/>
      <c r="AF53" s="2634"/>
      <c r="AG53" s="2614"/>
      <c r="AH53" s="2614"/>
      <c r="AI53" s="2614"/>
      <c r="AJ53" s="2614"/>
      <c r="AK53" s="2634"/>
      <c r="AL53" s="1420"/>
    </row>
    <row r="54" spans="1:38" ht="15" customHeight="1">
      <c r="A54" s="1420"/>
      <c r="B54" s="1522"/>
      <c r="C54" s="1590"/>
      <c r="D54" s="1866"/>
      <c r="E54" s="2034" t="s">
        <v>989</v>
      </c>
      <c r="F54" s="4044">
        <v>6</v>
      </c>
      <c r="G54" s="4045"/>
      <c r="H54" s="3741"/>
      <c r="I54" s="3745"/>
      <c r="J54" s="3745"/>
      <c r="K54" s="3745"/>
      <c r="L54" s="3745"/>
      <c r="M54" s="3743"/>
      <c r="N54" s="3742"/>
      <c r="O54" s="3742"/>
      <c r="R54" s="468"/>
      <c r="S54" s="468"/>
      <c r="T54" s="1578" t="str">
        <f>IF(('الصفحة 1'!$Q$14&gt;0),IF(($F$52=0),((IF(((F54)&gt;0),"خطء الأجهزة الموجودة  ",IF(((F54)=0)," ",IF(((F54)=0),""))))),""),"")</f>
        <v/>
      </c>
      <c r="U54" s="468"/>
      <c r="V54" s="468"/>
      <c r="W54" s="468"/>
      <c r="X54" s="468"/>
      <c r="Y54" s="468"/>
      <c r="Z54" s="1610"/>
      <c r="AA54" s="1589"/>
      <c r="AB54" s="1539"/>
      <c r="AC54" s="1420"/>
      <c r="AD54" s="2614"/>
      <c r="AE54" s="2614"/>
      <c r="AF54" s="2626" t="s">
        <v>915</v>
      </c>
      <c r="AG54" s="2627"/>
      <c r="AH54" s="2628" t="str">
        <f>IF(('الصفحة 1'!$Q$14&gt;0),IF(($F$48=1),((IF((F54=""),"الأجهزة الموجودة",IF((F54&gt;=0)," ",IF((F54&gt;=0),""))))),""),"")</f>
        <v xml:space="preserve"> </v>
      </c>
      <c r="AI54" s="2614"/>
      <c r="AJ54" s="2614"/>
      <c r="AK54" s="2634"/>
      <c r="AL54" s="1420"/>
    </row>
    <row r="55" spans="1:38" ht="5.0999999999999996" customHeight="1">
      <c r="A55" s="1420"/>
      <c r="B55" s="1522"/>
      <c r="C55" s="1851"/>
      <c r="D55" s="1610"/>
      <c r="E55" s="2032"/>
      <c r="F55" s="1826"/>
      <c r="G55" s="1826"/>
      <c r="H55" s="761"/>
      <c r="I55" s="1865"/>
      <c r="J55" s="1865"/>
      <c r="K55" s="1988"/>
      <c r="L55" s="1988"/>
      <c r="M55" s="1988"/>
      <c r="N55" s="1610"/>
      <c r="O55" s="1610"/>
      <c r="P55" s="1610"/>
      <c r="Q55" s="1610"/>
      <c r="R55" s="1610"/>
      <c r="S55" s="1988"/>
      <c r="T55" s="1680"/>
      <c r="U55" s="1699"/>
      <c r="V55" s="1699"/>
      <c r="W55" s="1699"/>
      <c r="X55" s="1686"/>
      <c r="Y55" s="1988"/>
      <c r="Z55" s="1988"/>
      <c r="AA55" s="1589"/>
      <c r="AB55" s="1539"/>
      <c r="AC55" s="1420"/>
      <c r="AD55" s="2614"/>
      <c r="AE55" s="2614"/>
      <c r="AF55" s="2634"/>
      <c r="AG55" s="2614"/>
      <c r="AH55" s="2614"/>
      <c r="AI55" s="2614"/>
      <c r="AJ55" s="2614"/>
      <c r="AK55" s="2634"/>
      <c r="AL55" s="1420"/>
    </row>
    <row r="56" spans="1:38" ht="15" customHeight="1">
      <c r="A56" s="1420"/>
      <c r="B56" s="1522"/>
      <c r="C56" s="1531"/>
      <c r="E56" s="2035" t="s">
        <v>990</v>
      </c>
      <c r="F56" s="4044">
        <v>6</v>
      </c>
      <c r="G56" s="4045"/>
      <c r="H56" s="761"/>
      <c r="N56" s="2035" t="s">
        <v>991</v>
      </c>
      <c r="O56" s="4044">
        <v>0</v>
      </c>
      <c r="P56" s="4045"/>
      <c r="Q56" s="1578" t="str">
        <f>IF(('الصفحة 1'!$Q$14&gt;0),IF((F54&gt;0),((IF(((F54)&lt;&gt;(F56+O56)),"خطء عدد الأجهزة الصالحة وللتعويض ",IF(((F54)=(F56+O56))," ",IF(((F54)&lt;(F56+O56)),""))))),""),"")</f>
        <v xml:space="preserve"> </v>
      </c>
      <c r="S56" s="1988"/>
      <c r="W56" s="1699"/>
      <c r="X56" s="1686"/>
      <c r="Y56" s="1988"/>
      <c r="Z56" s="1988"/>
      <c r="AA56" s="1589"/>
      <c r="AB56" s="1539"/>
      <c r="AC56" s="1420"/>
      <c r="AD56" s="2614"/>
      <c r="AE56" s="2614"/>
      <c r="AF56" s="2626" t="s">
        <v>916</v>
      </c>
      <c r="AG56" s="2627"/>
      <c r="AH56" s="2628" t="str">
        <f>IF(('الصفحة 1'!$Q$14&gt;0),IF(($F$48=1),((IF((O56=""),"الأجهزة للتعويض",IF((O56&gt;=0)," ",IF((O56&gt;=0),""))))),""),"")</f>
        <v xml:space="preserve"> </v>
      </c>
      <c r="AI56" s="2614"/>
      <c r="AJ56" s="2614"/>
      <c r="AK56" s="2634"/>
      <c r="AL56" s="1420"/>
    </row>
    <row r="57" spans="1:38" ht="8.1" customHeight="1">
      <c r="A57" s="1420"/>
      <c r="B57" s="1522"/>
      <c r="C57" s="1531"/>
      <c r="N57" s="468"/>
      <c r="O57" s="468"/>
      <c r="P57" s="468"/>
      <c r="Q57" s="468"/>
      <c r="R57" s="1065"/>
      <c r="S57" s="468"/>
      <c r="T57" s="468"/>
      <c r="U57" s="469"/>
      <c r="V57" s="469"/>
      <c r="W57" s="469"/>
      <c r="X57" s="469"/>
      <c r="Y57" s="468"/>
      <c r="Z57" s="1610"/>
      <c r="AA57" s="1589"/>
      <c r="AB57" s="1539"/>
      <c r="AC57" s="1420"/>
      <c r="AD57" s="2614"/>
      <c r="AE57" s="2614"/>
      <c r="AF57" s="2634"/>
      <c r="AG57" s="2614"/>
      <c r="AH57" s="2614"/>
      <c r="AI57" s="2614"/>
      <c r="AJ57" s="2614"/>
      <c r="AK57" s="2634"/>
      <c r="AL57" s="1420"/>
    </row>
    <row r="58" spans="1:38" ht="15.6">
      <c r="A58" s="1420"/>
      <c r="B58" s="1522"/>
      <c r="C58" s="1867" t="s">
        <v>926</v>
      </c>
      <c r="D58" s="1533"/>
      <c r="E58" s="1698"/>
      <c r="F58" s="1533"/>
      <c r="G58" s="1580"/>
      <c r="H58" s="1533"/>
      <c r="I58" s="1868"/>
      <c r="J58" s="1580"/>
      <c r="K58" s="1580"/>
      <c r="L58" s="1580"/>
      <c r="M58" s="1580"/>
      <c r="N58" s="1533"/>
      <c r="O58" s="1869"/>
      <c r="P58" s="1580"/>
      <c r="Q58" s="1870"/>
      <c r="R58" s="1870"/>
      <c r="S58" s="1580"/>
      <c r="T58" s="1580"/>
      <c r="U58" s="1580"/>
      <c r="V58" s="1580"/>
      <c r="W58" s="1533"/>
      <c r="X58" s="1871"/>
      <c r="Y58" s="1580"/>
      <c r="Z58" s="1837" t="s">
        <v>932</v>
      </c>
      <c r="AA58" s="1619"/>
      <c r="AB58" s="1539"/>
      <c r="AC58" s="1420"/>
      <c r="AD58" s="2614"/>
      <c r="AE58" s="2614"/>
      <c r="AF58" s="2669" t="s">
        <v>927</v>
      </c>
      <c r="AG58" s="2670"/>
      <c r="AH58" s="2670"/>
      <c r="AI58" s="2670"/>
      <c r="AJ58" s="2670"/>
      <c r="AK58" s="2671"/>
      <c r="AL58" s="1420"/>
    </row>
    <row r="59" spans="1:38" ht="8.1" customHeight="1" thickBot="1">
      <c r="A59" s="1420"/>
      <c r="B59" s="1522"/>
      <c r="C59" s="1872"/>
      <c r="D59" s="1610"/>
      <c r="E59" s="1986"/>
      <c r="F59" s="1529"/>
      <c r="G59" s="1985"/>
      <c r="H59" s="1610"/>
      <c r="I59" s="1873"/>
      <c r="J59" s="1874"/>
      <c r="K59" s="1874"/>
      <c r="L59" s="1693"/>
      <c r="M59" s="1529"/>
      <c r="N59" s="1610"/>
      <c r="O59" s="1875"/>
      <c r="P59" s="1529"/>
      <c r="Q59" s="1667"/>
      <c r="R59" s="1667"/>
      <c r="S59" s="1988"/>
      <c r="T59" s="1529"/>
      <c r="U59" s="1529"/>
      <c r="V59" s="1529"/>
      <c r="W59" s="1610"/>
      <c r="X59" s="1874"/>
      <c r="Y59" s="1985"/>
      <c r="Z59" s="468"/>
      <c r="AA59" s="1765"/>
      <c r="AB59" s="1539"/>
      <c r="AC59" s="1420"/>
      <c r="AD59" s="2614"/>
      <c r="AE59" s="2614"/>
      <c r="AF59" s="2634"/>
      <c r="AG59" s="2614"/>
      <c r="AH59" s="2614"/>
      <c r="AI59" s="2614"/>
      <c r="AJ59" s="2614"/>
      <c r="AK59" s="2634"/>
      <c r="AL59" s="1420"/>
    </row>
    <row r="60" spans="1:38" ht="15" customHeight="1" thickBot="1">
      <c r="A60" s="1420"/>
      <c r="B60" s="1522"/>
      <c r="C60" s="1531"/>
      <c r="E60" s="1571" t="s">
        <v>1354</v>
      </c>
      <c r="F60" s="1642">
        <v>1</v>
      </c>
      <c r="Z60" s="2896" t="s">
        <v>1360</v>
      </c>
      <c r="AA60" s="1530"/>
      <c r="AB60" s="1539"/>
      <c r="AC60" s="1420"/>
      <c r="AD60" s="2614"/>
      <c r="AE60" s="2614"/>
      <c r="AF60" s="2626" t="s">
        <v>917</v>
      </c>
      <c r="AG60" s="2627"/>
      <c r="AH60" s="2628" t="str">
        <f>IF(('الصفحة 1'!$Q$14&gt;0),((IF((F60=""),"ضع العدد المناسب",IF((F60&gt;=0)," ",IF((F60&gt;=1),""))))),"")</f>
        <v xml:space="preserve"> </v>
      </c>
      <c r="AI60" s="2614"/>
      <c r="AJ60" s="2614"/>
      <c r="AK60" s="2634"/>
      <c r="AL60" s="1420"/>
    </row>
    <row r="61" spans="1:38" ht="5.0999999999999996" customHeight="1" thickBot="1">
      <c r="A61" s="1420"/>
      <c r="B61" s="1522"/>
      <c r="C61" s="1531"/>
      <c r="E61" s="2031"/>
      <c r="Z61" s="2896"/>
      <c r="AA61" s="1530"/>
      <c r="AB61" s="1539"/>
      <c r="AC61" s="1420"/>
      <c r="AD61" s="2614"/>
      <c r="AE61" s="2614"/>
      <c r="AF61" s="2634"/>
      <c r="AG61" s="2614"/>
      <c r="AH61" s="2614"/>
      <c r="AI61" s="2614"/>
      <c r="AJ61" s="2614"/>
      <c r="AK61" s="2634"/>
      <c r="AL61" s="1420"/>
    </row>
    <row r="62" spans="1:38" ht="15" customHeight="1" thickBot="1">
      <c r="A62" s="1420"/>
      <c r="B62" s="1522"/>
      <c r="C62" s="1531"/>
      <c r="E62" s="1571" t="s">
        <v>1355</v>
      </c>
      <c r="F62" s="1572">
        <v>1</v>
      </c>
      <c r="G62" s="1578" t="str">
        <f>IF(('الصفحة 1'!$Q$14&gt;0),IF(($F$60=0),((IF((F62&gt;0),"خطء الجناح الإداري غير مجهــــز ",IF((F62=0)," ",IF((F62=0),""))))),""),"")</f>
        <v/>
      </c>
      <c r="Z62" s="2896" t="s">
        <v>1358</v>
      </c>
      <c r="AA62" s="1530"/>
      <c r="AB62" s="1539"/>
      <c r="AC62" s="1420"/>
      <c r="AD62" s="2614"/>
      <c r="AE62" s="2614"/>
      <c r="AF62" s="2626" t="s">
        <v>918</v>
      </c>
      <c r="AG62" s="2627"/>
      <c r="AH62" s="2628" t="str">
        <f>IF(('الصفحة 1'!$Q$14&gt;0),((IF((F62=""),"ضع العدد المناسب",IF((F62=0)," ",IF((F62=1),""))))),"")</f>
        <v/>
      </c>
      <c r="AI62" s="2614"/>
      <c r="AJ62" s="2614"/>
      <c r="AK62" s="2634"/>
      <c r="AL62" s="1420"/>
    </row>
    <row r="63" spans="1:38" ht="5.0999999999999996" customHeight="1">
      <c r="A63" s="1420"/>
      <c r="B63" s="1522"/>
      <c r="C63" s="1531"/>
      <c r="E63" s="2031"/>
      <c r="Z63" s="2896"/>
      <c r="AA63" s="1530"/>
      <c r="AB63" s="1539"/>
      <c r="AC63" s="1420"/>
      <c r="AD63" s="2614"/>
      <c r="AE63" s="2614"/>
      <c r="AF63" s="2634"/>
      <c r="AG63" s="2614"/>
      <c r="AH63" s="2614"/>
      <c r="AI63" s="2614"/>
      <c r="AJ63" s="2614"/>
      <c r="AK63" s="2634"/>
      <c r="AL63" s="1420"/>
    </row>
    <row r="64" spans="1:38" ht="15" customHeight="1">
      <c r="A64" s="1420"/>
      <c r="B64" s="1522"/>
      <c r="C64" s="1531"/>
      <c r="E64" s="1577" t="s">
        <v>992</v>
      </c>
      <c r="F64" s="4044">
        <v>0</v>
      </c>
      <c r="G64" s="4045"/>
      <c r="H64" s="1578" t="str">
        <f>IF(('الصفحة 1'!$Q$14&gt;0),IF(($F$64&gt;0),((IF((F64&lt;&gt;(F66+F68)),"خطء عدد الأجهزة الموجودة ",IF((F64=(F66+F68))," ",IF((F64&lt;(F66+F68)),""))))),""),"")</f>
        <v/>
      </c>
      <c r="Z64" s="2896" t="s">
        <v>1359</v>
      </c>
      <c r="AA64" s="1530"/>
      <c r="AB64" s="1539"/>
      <c r="AC64" s="1420"/>
      <c r="AD64" s="2614"/>
      <c r="AE64" s="2614"/>
      <c r="AF64" s="2626" t="s">
        <v>915</v>
      </c>
      <c r="AG64" s="2627"/>
      <c r="AH64" s="2628" t="str">
        <f>IF(('الصفحة 1'!$Q$14&gt;0),IF(($F$62=1),((IF((F64=""),"الأجهزة الموجودة",IF((F64&gt;=0)," ",IF((F64&gt;=0),""))))),""),"")</f>
        <v xml:space="preserve"> </v>
      </c>
      <c r="AI64" s="2614"/>
      <c r="AJ64" s="2614"/>
      <c r="AK64" s="2634"/>
      <c r="AL64" s="1420"/>
    </row>
    <row r="65" spans="1:38" ht="5.0999999999999996" customHeight="1">
      <c r="A65" s="1420"/>
      <c r="B65" s="1522"/>
      <c r="C65" s="1531"/>
      <c r="E65" s="2031"/>
      <c r="F65" s="1876"/>
      <c r="G65" s="1876"/>
      <c r="H65" s="1506"/>
      <c r="Z65" s="2896"/>
      <c r="AA65" s="1530"/>
      <c r="AB65" s="1539"/>
      <c r="AC65" s="1420"/>
      <c r="AD65" s="2614"/>
      <c r="AE65" s="2614"/>
      <c r="AF65" s="2634"/>
      <c r="AG65" s="2614"/>
      <c r="AH65" s="2614"/>
      <c r="AI65" s="2614"/>
      <c r="AJ65" s="2614"/>
      <c r="AK65" s="2634"/>
      <c r="AL65" s="1420"/>
    </row>
    <row r="66" spans="1:38" ht="15" customHeight="1">
      <c r="A66" s="1420"/>
      <c r="B66" s="1524"/>
      <c r="C66" s="1531"/>
      <c r="E66" s="2029" t="s">
        <v>993</v>
      </c>
      <c r="F66" s="4044">
        <v>0</v>
      </c>
      <c r="G66" s="4045"/>
      <c r="H66" s="1578" t="str">
        <f>IF(('الصفحة 1'!$Q$14&gt;0),IF(($F$64&gt;0),((IF(((F66+F68)&lt;&gt;F64),"خطء الأجهزة الإعلام الآلي الموجودة ",IF(((F66+F68)=F64)," ",IF(((F66+F68)=F64),""))))),""),"")</f>
        <v/>
      </c>
      <c r="Z66" s="2896" t="s">
        <v>1356</v>
      </c>
      <c r="AA66" s="1530"/>
      <c r="AB66" s="1539"/>
      <c r="AC66" s="1420"/>
      <c r="AD66" s="2614"/>
      <c r="AE66" s="2614"/>
      <c r="AF66" s="2626" t="s">
        <v>919</v>
      </c>
      <c r="AG66" s="2627"/>
      <c r="AH66" s="2628" t="str">
        <f>IF(('الصفحة 1'!$Q$14&gt;0),IF(($F$62=1),((IF((F66=""),"الأجهـزة المركزية",IF((F66&gt;=0)," ",IF((F66&gt;=0),""))))),""),"")</f>
        <v xml:space="preserve"> </v>
      </c>
      <c r="AI66" s="2614"/>
      <c r="AJ66" s="2614"/>
      <c r="AK66" s="2634"/>
      <c r="AL66" s="1420"/>
    </row>
    <row r="67" spans="1:38" ht="5.0999999999999996" customHeight="1">
      <c r="A67" s="1420"/>
      <c r="B67" s="1524"/>
      <c r="C67" s="1531"/>
      <c r="E67" s="2033"/>
      <c r="F67" s="1876"/>
      <c r="G67" s="1876"/>
      <c r="H67" s="1506"/>
      <c r="Z67" s="2896"/>
      <c r="AA67" s="1530"/>
      <c r="AB67" s="1539"/>
      <c r="AC67" s="1420"/>
      <c r="AD67" s="2614"/>
      <c r="AE67" s="2614"/>
      <c r="AF67" s="2634"/>
      <c r="AG67" s="2614"/>
      <c r="AH67" s="2614"/>
      <c r="AI67" s="2614"/>
      <c r="AJ67" s="2614"/>
      <c r="AK67" s="2634"/>
      <c r="AL67" s="1420"/>
    </row>
    <row r="68" spans="1:38" ht="15" customHeight="1">
      <c r="A68" s="1420"/>
      <c r="B68" s="1524"/>
      <c r="C68" s="1531"/>
      <c r="E68" s="2029" t="s">
        <v>994</v>
      </c>
      <c r="F68" s="4044">
        <v>0</v>
      </c>
      <c r="G68" s="4045"/>
      <c r="H68" s="1506"/>
      <c r="Z68" s="2896" t="s">
        <v>1357</v>
      </c>
      <c r="AA68" s="1530"/>
      <c r="AB68" s="1539"/>
      <c r="AC68" s="1420"/>
      <c r="AD68" s="2614"/>
      <c r="AE68" s="2614"/>
      <c r="AF68" s="2626" t="s">
        <v>920</v>
      </c>
      <c r="AG68" s="2627"/>
      <c r="AH68" s="2628" t="str">
        <f>IF(('الصفحة 1'!$Q$14&gt;0),IF(($F$62=1),((IF((F68=""),"الأجهـزة العادية",IF((F68&gt;=0)," ",IF((F68&gt;=0),""))))),""),"")</f>
        <v xml:space="preserve"> </v>
      </c>
      <c r="AI68" s="2614"/>
      <c r="AJ68" s="2614"/>
      <c r="AK68" s="2634"/>
      <c r="AL68" s="1420"/>
    </row>
    <row r="69" spans="1:38" ht="5.0999999999999996" customHeight="1">
      <c r="A69" s="1420"/>
      <c r="B69" s="1524"/>
      <c r="C69" s="1531"/>
      <c r="E69" s="2033"/>
      <c r="F69" s="1876"/>
      <c r="G69" s="1876"/>
      <c r="H69" s="1506"/>
      <c r="AA69" s="1530"/>
      <c r="AB69" s="1539"/>
      <c r="AC69" s="1420"/>
      <c r="AD69" s="2614"/>
      <c r="AE69" s="2614"/>
      <c r="AF69" s="2634"/>
      <c r="AG69" s="2614"/>
      <c r="AH69" s="2614"/>
      <c r="AI69" s="2614"/>
      <c r="AJ69" s="2614"/>
      <c r="AK69" s="2634"/>
      <c r="AL69" s="1420"/>
    </row>
    <row r="70" spans="1:38" ht="15" customHeight="1">
      <c r="A70" s="1420"/>
      <c r="B70" s="1524"/>
      <c r="C70" s="1531"/>
      <c r="E70" s="2029" t="s">
        <v>995</v>
      </c>
      <c r="F70" s="4044">
        <v>0</v>
      </c>
      <c r="G70" s="4045"/>
      <c r="H70" s="1578" t="str">
        <f>IF(('الصفحة 1'!$Q$14&gt;0),IF(($F$64&gt;0),((IF(((F66+F68)&lt;&gt;(F70+F72)),"خطء عدد الأجهزة الصالحة و للتعويض ",IF(((F66+F68)=(F70+F72))," ",IF(((F66+F68)&lt;(F70+F72)),""))))),""),"")</f>
        <v/>
      </c>
      <c r="AA70" s="1530"/>
      <c r="AB70" s="1539"/>
      <c r="AC70" s="1420"/>
      <c r="AD70" s="2614"/>
      <c r="AE70" s="2614"/>
      <c r="AF70" s="2626" t="s">
        <v>914</v>
      </c>
      <c r="AG70" s="2627"/>
      <c r="AH70" s="2628" t="str">
        <f>IF(('الصفحة 1'!$Q$14&gt;0),IF(($F$62=1),((IF((F70=""),"الأجهزة الصالحة",IF((F70&gt;=0)," ",IF((F70&gt;=0),""))))),""),"")</f>
        <v xml:space="preserve"> </v>
      </c>
      <c r="AI70" s="2614"/>
      <c r="AJ70" s="2614"/>
      <c r="AK70" s="2634"/>
      <c r="AL70" s="1420"/>
    </row>
    <row r="71" spans="1:38" ht="5.0999999999999996" customHeight="1">
      <c r="A71" s="1420"/>
      <c r="B71" s="1524"/>
      <c r="C71" s="1531"/>
      <c r="E71" s="2033"/>
      <c r="F71" s="1876"/>
      <c r="G71" s="1876"/>
      <c r="H71" s="1506"/>
      <c r="AA71" s="1530"/>
      <c r="AB71" s="1539"/>
      <c r="AC71" s="1420"/>
      <c r="AD71" s="2614"/>
      <c r="AE71" s="2614"/>
      <c r="AF71" s="2634"/>
      <c r="AG71" s="2614"/>
      <c r="AH71" s="2614"/>
      <c r="AI71" s="2614"/>
      <c r="AJ71" s="2614"/>
      <c r="AK71" s="2634"/>
      <c r="AL71" s="1420"/>
    </row>
    <row r="72" spans="1:38" ht="15" customHeight="1">
      <c r="A72" s="1420"/>
      <c r="B72" s="1522"/>
      <c r="C72" s="1531"/>
      <c r="E72" s="2029" t="s">
        <v>996</v>
      </c>
      <c r="F72" s="4044">
        <v>0</v>
      </c>
      <c r="G72" s="4045"/>
      <c r="H72" s="1578" t="str">
        <f>IF(('الصفحة 1'!$Q$14&gt;0),IF(($F$64=0),((IF(((F70+F72)&gt;0)," خطء الأجهزة الصالحة و للتعويض ",IF(((F70+F72)=0)," ",IF(((F70+F72)=0),""))))),""),"")</f>
        <v xml:space="preserve"> </v>
      </c>
      <c r="AA72" s="1530"/>
      <c r="AB72" s="1523"/>
      <c r="AC72" s="1420"/>
      <c r="AD72" s="2614"/>
      <c r="AE72" s="2614"/>
      <c r="AF72" s="2626" t="s">
        <v>916</v>
      </c>
      <c r="AG72" s="2627"/>
      <c r="AH72" s="2628" t="str">
        <f>IF(('الصفحة 1'!$Q$14&gt;0),IF(($F$62=1),((IF((F72=""),"الأجهزة للتعويض",IF((F72&gt;=0)," ",IF((F72&gt;=0),""))))),""),"")</f>
        <v xml:space="preserve"> </v>
      </c>
      <c r="AI72" s="2614"/>
      <c r="AJ72" s="2614"/>
      <c r="AK72" s="2634"/>
      <c r="AL72" s="1420"/>
    </row>
    <row r="73" spans="1:38" ht="5.0999999999999996" customHeight="1">
      <c r="A73" s="1420"/>
      <c r="B73" s="1522"/>
      <c r="C73" s="1531"/>
      <c r="AA73" s="1530"/>
      <c r="AB73" s="1523"/>
      <c r="AC73" s="1420"/>
      <c r="AD73" s="2614"/>
      <c r="AE73" s="2614"/>
      <c r="AF73" s="2634"/>
      <c r="AG73" s="2614"/>
      <c r="AH73" s="2614"/>
      <c r="AI73" s="2614"/>
      <c r="AJ73" s="2614"/>
      <c r="AK73" s="2634"/>
      <c r="AL73" s="1420"/>
    </row>
    <row r="74" spans="1:38" ht="5.0999999999999996" customHeight="1">
      <c r="A74" s="1420"/>
      <c r="B74" s="1522"/>
      <c r="C74" s="1531"/>
      <c r="AA74" s="1530"/>
      <c r="AB74" s="1523"/>
      <c r="AC74" s="1420"/>
      <c r="AD74" s="2614"/>
      <c r="AE74" s="2614"/>
      <c r="AF74" s="2634"/>
      <c r="AG74" s="2614"/>
      <c r="AH74" s="2614"/>
      <c r="AI74" s="2614"/>
      <c r="AJ74" s="2614"/>
      <c r="AK74" s="2634"/>
      <c r="AL74" s="1420"/>
    </row>
    <row r="75" spans="1:38" ht="15" customHeight="1">
      <c r="A75" s="1420"/>
      <c r="B75" s="1522"/>
      <c r="C75" s="1909"/>
      <c r="D75" s="1666"/>
      <c r="E75" s="1688"/>
      <c r="F75" s="1666"/>
      <c r="G75" s="1718"/>
      <c r="H75" s="1666"/>
      <c r="I75" s="1910"/>
      <c r="J75" s="1718"/>
      <c r="K75" s="1718"/>
      <c r="L75" s="1718"/>
      <c r="M75" s="1718"/>
      <c r="N75" s="1666"/>
      <c r="O75" s="1717"/>
      <c r="P75" s="1718"/>
      <c r="Q75" s="1667"/>
      <c r="R75" s="1667"/>
      <c r="S75" s="1718"/>
      <c r="T75" s="1718"/>
      <c r="U75" s="1718"/>
      <c r="V75" s="1718"/>
      <c r="W75" s="1666"/>
      <c r="X75" s="1911"/>
      <c r="Y75" s="1718"/>
      <c r="Z75" s="1828"/>
      <c r="AA75" s="1858"/>
      <c r="AB75" s="1523"/>
      <c r="AC75" s="1420"/>
      <c r="AD75" s="2614"/>
      <c r="AE75" s="2669"/>
      <c r="AF75" s="2669"/>
      <c r="AG75" s="2670"/>
      <c r="AH75" s="2670"/>
      <c r="AI75" s="2670"/>
      <c r="AJ75" s="2670"/>
      <c r="AK75" s="2671"/>
      <c r="AL75" s="1420"/>
    </row>
    <row r="76" spans="1:38" ht="5.0999999999999996" customHeight="1">
      <c r="A76" s="1420"/>
      <c r="B76" s="1522"/>
      <c r="C76" s="1852"/>
      <c r="D76" s="1887"/>
      <c r="E76" s="1718"/>
      <c r="F76" s="1718"/>
      <c r="G76" s="1718"/>
      <c r="H76" s="1718"/>
      <c r="I76" s="1718"/>
      <c r="J76" s="1718"/>
      <c r="K76" s="1718"/>
      <c r="L76" s="1718"/>
      <c r="M76" s="1718"/>
      <c r="N76" s="1718"/>
      <c r="O76" s="1718"/>
      <c r="P76" s="1718"/>
      <c r="Q76" s="1718"/>
      <c r="R76" s="1718"/>
      <c r="S76" s="1718"/>
      <c r="T76" s="1718"/>
      <c r="U76" s="1718"/>
      <c r="V76" s="1718"/>
      <c r="W76" s="1718"/>
      <c r="X76" s="1718"/>
      <c r="Y76" s="1718"/>
      <c r="Z76" s="1718"/>
      <c r="AA76" s="1530"/>
      <c r="AB76" s="1523"/>
      <c r="AC76" s="1420"/>
      <c r="AD76" s="2614"/>
      <c r="AE76" s="2614"/>
      <c r="AF76" s="2634"/>
      <c r="AG76" s="2614"/>
      <c r="AH76" s="2614"/>
      <c r="AI76" s="2614"/>
      <c r="AJ76" s="2614"/>
      <c r="AK76" s="2634"/>
      <c r="AL76" s="1420"/>
    </row>
    <row r="77" spans="1:38" ht="15" customHeight="1">
      <c r="A77" s="1420"/>
      <c r="B77" s="1522"/>
      <c r="C77" s="1852"/>
      <c r="D77" s="1887"/>
      <c r="E77" s="1912"/>
      <c r="F77" s="4198"/>
      <c r="G77" s="4198"/>
      <c r="H77" s="1718"/>
      <c r="I77" s="1912"/>
      <c r="J77" s="4198"/>
      <c r="K77" s="4198"/>
      <c r="L77" s="1718"/>
      <c r="M77" s="1718"/>
      <c r="N77" s="1718"/>
      <c r="O77" s="1718"/>
      <c r="P77" s="1718"/>
      <c r="Q77" s="1718"/>
      <c r="R77" s="1718"/>
      <c r="S77" s="1718"/>
      <c r="T77" s="1718"/>
      <c r="U77" s="1718"/>
      <c r="V77" s="1718"/>
      <c r="W77" s="1718"/>
      <c r="X77" s="1718"/>
      <c r="Y77" s="1718"/>
      <c r="Z77" s="1718"/>
      <c r="AA77" s="1530"/>
      <c r="AB77" s="1523"/>
      <c r="AC77" s="1420"/>
      <c r="AD77" s="2614"/>
      <c r="AE77" s="2614"/>
      <c r="AF77" s="2672"/>
      <c r="AG77" s="2627"/>
      <c r="AH77" s="2673"/>
      <c r="AI77" s="2672"/>
      <c r="AJ77" s="2614"/>
      <c r="AK77" s="2673"/>
      <c r="AL77" s="1420"/>
    </row>
    <row r="78" spans="1:38" ht="5.0999999999999996" customHeight="1">
      <c r="A78" s="1420"/>
      <c r="B78" s="1522"/>
      <c r="C78" s="1852"/>
      <c r="D78" s="1718"/>
      <c r="E78" s="1913"/>
      <c r="F78" s="1914"/>
      <c r="G78" s="1914"/>
      <c r="H78" s="1718"/>
      <c r="I78" s="1718"/>
      <c r="J78" s="1718"/>
      <c r="K78" s="1718"/>
      <c r="L78" s="1718"/>
      <c r="M78" s="1718"/>
      <c r="N78" s="1718"/>
      <c r="O78" s="1718"/>
      <c r="P78" s="1718"/>
      <c r="Q78" s="1718"/>
      <c r="R78" s="1718"/>
      <c r="S78" s="1718"/>
      <c r="T78" s="1718"/>
      <c r="U78" s="1718"/>
      <c r="V78" s="1718"/>
      <c r="W78" s="1718"/>
      <c r="X78" s="1718"/>
      <c r="Y78" s="1718"/>
      <c r="Z78" s="1718"/>
      <c r="AA78" s="1530"/>
      <c r="AB78" s="1523"/>
      <c r="AC78" s="1420"/>
      <c r="AD78" s="2614"/>
      <c r="AE78" s="2614"/>
      <c r="AF78" s="2634"/>
      <c r="AG78" s="2614"/>
      <c r="AH78" s="2614"/>
      <c r="AI78" s="2614"/>
      <c r="AJ78" s="2614"/>
      <c r="AK78" s="2634"/>
      <c r="AL78" s="1420"/>
    </row>
    <row r="79" spans="1:38" ht="3.9" customHeight="1">
      <c r="A79" s="1420"/>
      <c r="B79" s="1522"/>
      <c r="C79" s="1852"/>
      <c r="D79" s="1718"/>
      <c r="E79" s="1915"/>
      <c r="F79" s="4198"/>
      <c r="G79" s="4198"/>
      <c r="H79" s="1718"/>
      <c r="I79" s="1718"/>
      <c r="J79" s="1718"/>
      <c r="K79" s="1718"/>
      <c r="L79" s="1718"/>
      <c r="M79" s="1718"/>
      <c r="N79" s="1718"/>
      <c r="O79" s="1718"/>
      <c r="P79" s="1718"/>
      <c r="Q79" s="1718"/>
      <c r="R79" s="1718"/>
      <c r="S79" s="1718"/>
      <c r="T79" s="1718"/>
      <c r="U79" s="1718"/>
      <c r="V79" s="1718"/>
      <c r="W79" s="1718"/>
      <c r="X79" s="1718"/>
      <c r="Y79" s="1718"/>
      <c r="Z79" s="1718"/>
      <c r="AA79" s="1530"/>
      <c r="AB79" s="1523"/>
      <c r="AC79" s="1420"/>
      <c r="AD79" s="2614"/>
      <c r="AE79" s="2614"/>
      <c r="AF79" s="2672"/>
      <c r="AG79" s="2627"/>
      <c r="AH79" s="2673"/>
      <c r="AI79" s="2614"/>
      <c r="AJ79" s="2614"/>
      <c r="AK79" s="2634"/>
      <c r="AL79" s="1420"/>
    </row>
    <row r="80" spans="1:38" ht="5.0999999999999996" customHeight="1">
      <c r="A80" s="1420"/>
      <c r="B80" s="1522"/>
      <c r="C80" s="1743"/>
      <c r="D80" s="1989"/>
      <c r="E80" s="1916"/>
      <c r="F80" s="1886"/>
      <c r="G80" s="1666"/>
      <c r="H80" s="1684"/>
      <c r="I80" s="1666"/>
      <c r="J80" s="1666"/>
      <c r="K80" s="1666"/>
      <c r="L80" s="1666"/>
      <c r="M80" s="1666"/>
      <c r="N80" s="1666"/>
      <c r="O80" s="1666"/>
      <c r="P80" s="1666"/>
      <c r="Q80" s="1666"/>
      <c r="R80" s="1666"/>
      <c r="S80" s="1666"/>
      <c r="T80" s="1666"/>
      <c r="U80" s="1666"/>
      <c r="V80" s="1666"/>
      <c r="W80" s="1666"/>
      <c r="X80" s="1666"/>
      <c r="Y80" s="1666"/>
      <c r="Z80" s="1666"/>
      <c r="AA80" s="1538"/>
      <c r="AB80" s="1523"/>
      <c r="AC80" s="1420"/>
      <c r="AD80" s="2614"/>
      <c r="AE80" s="2614"/>
      <c r="AF80" s="2634"/>
      <c r="AG80" s="2614"/>
      <c r="AH80" s="2614"/>
      <c r="AI80" s="2614"/>
      <c r="AJ80" s="2614"/>
      <c r="AK80" s="2634"/>
      <c r="AL80" s="1420"/>
    </row>
    <row r="81" spans="1:38" ht="3.9" customHeight="1">
      <c r="A81" s="1420"/>
      <c r="B81" s="1522"/>
      <c r="C81" s="1917"/>
      <c r="D81" s="1674"/>
      <c r="E81" s="1915"/>
      <c r="F81" s="4198"/>
      <c r="G81" s="4198"/>
      <c r="H81" s="1674"/>
      <c r="I81" s="1674"/>
      <c r="J81" s="1674"/>
      <c r="K81" s="1674"/>
      <c r="L81" s="1674"/>
      <c r="M81" s="1674"/>
      <c r="N81" s="1674"/>
      <c r="O81" s="1674"/>
      <c r="P81" s="1674"/>
      <c r="Q81" s="1674"/>
      <c r="R81" s="1674"/>
      <c r="S81" s="1674"/>
      <c r="T81" s="1674"/>
      <c r="U81" s="1674"/>
      <c r="V81" s="1674"/>
      <c r="W81" s="1674"/>
      <c r="X81" s="1674"/>
      <c r="Y81" s="1718"/>
      <c r="Z81" s="1718"/>
      <c r="AA81" s="1765"/>
      <c r="AB81" s="1523"/>
      <c r="AC81" s="1420"/>
      <c r="AD81" s="2614"/>
      <c r="AE81" s="2614"/>
      <c r="AF81" s="2672"/>
      <c r="AG81" s="2627"/>
      <c r="AH81" s="2673"/>
      <c r="AI81" s="2614"/>
      <c r="AJ81" s="2614"/>
      <c r="AK81" s="2634"/>
      <c r="AL81" s="1420"/>
    </row>
    <row r="82" spans="1:38" ht="5.0999999999999996" customHeight="1">
      <c r="A82" s="1420"/>
      <c r="B82" s="1522"/>
      <c r="C82" s="1604"/>
      <c r="D82" s="477"/>
      <c r="E82" s="1877"/>
      <c r="F82" s="1988"/>
      <c r="G82" s="1988"/>
      <c r="H82" s="477"/>
      <c r="I82" s="477"/>
      <c r="J82" s="477"/>
      <c r="K82" s="477"/>
      <c r="L82" s="477"/>
      <c r="M82" s="477"/>
      <c r="N82" s="477"/>
      <c r="O82" s="477"/>
      <c r="P82" s="477"/>
      <c r="Q82" s="477"/>
      <c r="R82" s="477"/>
      <c r="S82" s="477"/>
      <c r="T82" s="477"/>
      <c r="U82" s="477"/>
      <c r="V82" s="477"/>
      <c r="W82" s="477"/>
      <c r="X82" s="477"/>
      <c r="Y82" s="761"/>
      <c r="Z82" s="761"/>
      <c r="AA82" s="1765"/>
      <c r="AB82" s="1523"/>
      <c r="AC82" s="1420"/>
      <c r="AD82" s="2614"/>
      <c r="AE82" s="2614"/>
      <c r="AF82" s="2634"/>
      <c r="AG82" s="2614"/>
      <c r="AH82" s="2614"/>
      <c r="AI82" s="2614"/>
      <c r="AJ82" s="2614"/>
      <c r="AK82" s="2634"/>
      <c r="AL82" s="1420"/>
    </row>
    <row r="83" spans="1:38" ht="5.0999999999999996" customHeight="1" thickBot="1">
      <c r="A83" s="1420"/>
      <c r="B83" s="1646"/>
      <c r="C83" s="1647"/>
      <c r="D83" s="1648"/>
      <c r="E83" s="1648"/>
      <c r="F83" s="1648"/>
      <c r="G83" s="1648"/>
      <c r="H83" s="1648"/>
      <c r="I83" s="1648"/>
      <c r="J83" s="1648"/>
      <c r="K83" s="1648"/>
      <c r="L83" s="1648"/>
      <c r="M83" s="1648"/>
      <c r="N83" s="1648"/>
      <c r="O83" s="1648"/>
      <c r="P83" s="1648"/>
      <c r="Q83" s="1648"/>
      <c r="R83" s="1648"/>
      <c r="S83" s="1648"/>
      <c r="T83" s="1648"/>
      <c r="U83" s="1648"/>
      <c r="V83" s="1648"/>
      <c r="W83" s="1648"/>
      <c r="X83" s="1648"/>
      <c r="Y83" s="1648"/>
      <c r="Z83" s="1648"/>
      <c r="AA83" s="1649"/>
      <c r="AB83" s="1539"/>
      <c r="AC83" s="1420"/>
      <c r="AD83" s="2614"/>
      <c r="AE83" s="2614"/>
      <c r="AF83" s="2614"/>
      <c r="AG83" s="2614"/>
      <c r="AH83" s="2614"/>
      <c r="AI83" s="2614"/>
      <c r="AJ83" s="2614"/>
      <c r="AK83" s="2614"/>
      <c r="AL83" s="1420"/>
    </row>
    <row r="84" spans="1:38" ht="12.9" customHeight="1" thickBot="1">
      <c r="A84" s="1420"/>
      <c r="B84" s="1650"/>
      <c r="C84" s="4034">
        <v>5</v>
      </c>
      <c r="D84" s="4034"/>
      <c r="E84" s="4034"/>
      <c r="F84" s="4034"/>
      <c r="G84" s="4034"/>
      <c r="H84" s="4034"/>
      <c r="I84" s="4034"/>
      <c r="J84" s="4034"/>
      <c r="K84" s="4034"/>
      <c r="L84" s="4034"/>
      <c r="M84" s="4034"/>
      <c r="N84" s="4034"/>
      <c r="O84" s="4034"/>
      <c r="P84" s="4034"/>
      <c r="Q84" s="4034"/>
      <c r="R84" s="4034"/>
      <c r="S84" s="4034"/>
      <c r="T84" s="4034"/>
      <c r="U84" s="4034"/>
      <c r="V84" s="4034"/>
      <c r="W84" s="4034"/>
      <c r="X84" s="4034"/>
      <c r="Y84" s="4034"/>
      <c r="Z84" s="4034"/>
      <c r="AA84" s="4034"/>
      <c r="AB84" s="1651"/>
      <c r="AC84" s="1420"/>
      <c r="AD84" s="1032"/>
      <c r="AE84" s="1032"/>
      <c r="AF84" s="1032"/>
      <c r="AG84" s="1032"/>
      <c r="AH84" s="1032"/>
      <c r="AI84" s="1032"/>
      <c r="AJ84" s="1032"/>
      <c r="AK84" s="1032"/>
      <c r="AL84" s="1420"/>
    </row>
    <row r="85" spans="1:38">
      <c r="A85" s="1420"/>
      <c r="B85" s="1652"/>
      <c r="C85" s="1653"/>
      <c r="D85" s="1420"/>
      <c r="E85" s="1420"/>
      <c r="F85" s="1420"/>
      <c r="G85" s="1420"/>
      <c r="H85" s="1420"/>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19"/>
      <c r="AE85" s="1419"/>
      <c r="AF85" s="1419"/>
      <c r="AG85" s="1419"/>
      <c r="AH85" s="1419"/>
      <c r="AI85" s="1419"/>
      <c r="AJ85" s="1419"/>
      <c r="AK85" s="1419"/>
      <c r="AL85" s="1420"/>
    </row>
  </sheetData>
  <mergeCells count="31">
    <mergeCell ref="J11:O11"/>
    <mergeCell ref="AD3:AK5"/>
    <mergeCell ref="C5:I5"/>
    <mergeCell ref="C6:I7"/>
    <mergeCell ref="AF8:AK10"/>
    <mergeCell ref="I9:Q10"/>
    <mergeCell ref="C3:I4"/>
    <mergeCell ref="O3:AA7"/>
    <mergeCell ref="AF12:AK14"/>
    <mergeCell ref="H31:I31"/>
    <mergeCell ref="H33:I33"/>
    <mergeCell ref="E14:M14"/>
    <mergeCell ref="H41:I41"/>
    <mergeCell ref="H37:I37"/>
    <mergeCell ref="H39:I39"/>
    <mergeCell ref="H35:I35"/>
    <mergeCell ref="H43:I43"/>
    <mergeCell ref="F52:G52"/>
    <mergeCell ref="F54:G54"/>
    <mergeCell ref="F72:G72"/>
    <mergeCell ref="F77:G77"/>
    <mergeCell ref="J77:K77"/>
    <mergeCell ref="F79:G79"/>
    <mergeCell ref="C84:AA84"/>
    <mergeCell ref="F56:G56"/>
    <mergeCell ref="O56:P56"/>
    <mergeCell ref="F64:G64"/>
    <mergeCell ref="F66:G66"/>
    <mergeCell ref="F68:G68"/>
    <mergeCell ref="F70:G70"/>
    <mergeCell ref="F81:G81"/>
  </mergeCells>
  <conditionalFormatting sqref="L22 T22 Z22 P24 F48 P20 K50 F50 AI29 F64:F72 F60 E76 K62 L61:L63 L65:L67 K68 G59 K66 Z16 T62 Q58:R68 K18 Y59:Y68 T66 L59 J60 K37 F20 H37 AD50 AD52 AD54 F37 K29 F22 K31 H31 AJ16 J77 Q75:R75 F77 F79 F81:F82 Z29 Z46 F62 F24:F26">
    <cfRule type="cellIs" dxfId="21894" priority="11" stopIfTrue="1" operator="greaterThan">
      <formula>0</formula>
    </cfRule>
    <cfRule type="cellIs" dxfId="21893" priority="12" stopIfTrue="1" operator="lessThan">
      <formula>1</formula>
    </cfRule>
  </conditionalFormatting>
  <conditionalFormatting sqref="E14">
    <cfRule type="cellIs" dxfId="21892" priority="10" operator="equal">
      <formula>0</formula>
    </cfRule>
  </conditionalFormatting>
  <conditionalFormatting sqref="F62">
    <cfRule type="cellIs" dxfId="21891" priority="9" stopIfTrue="1" operator="greaterThan">
      <formula>$F$24</formula>
    </cfRule>
  </conditionalFormatting>
  <conditionalFormatting sqref="Q20">
    <cfRule type="cellIs" dxfId="21890" priority="6" stopIfTrue="1" operator="equal">
      <formula>"G80"</formula>
    </cfRule>
  </conditionalFormatting>
  <conditionalFormatting sqref="F52:G52">
    <cfRule type="cellIs" dxfId="21889" priority="5" operator="greaterThan">
      <formula>$H$31</formula>
    </cfRule>
  </conditionalFormatting>
  <conditionalFormatting sqref="F50 K50">
    <cfRule type="cellIs" dxfId="21888" priority="4" operator="greaterThan">
      <formula>$F$48</formula>
    </cfRule>
  </conditionalFormatting>
  <conditionalFormatting sqref="H35:I35">
    <cfRule type="cellIs" dxfId="21887" priority="2" operator="greaterThan">
      <formula>$AA$35</formula>
    </cfRule>
  </conditionalFormatting>
  <conditionalFormatting sqref="K48">
    <cfRule type="cellIs" dxfId="21886" priority="1" operator="greaterThan">
      <formula>$F$48</formula>
    </cfRule>
  </conditionalFormatting>
  <dataValidations count="19">
    <dataValidation type="whole" allowBlank="1" showInputMessage="1" showErrorMessage="1" errorTitle="خانة مخصصة  لتدفئة المدرسة" error="ضع العدد الإجمالي للقاعات العادية و المتخصصة" sqref="F56:G56 O56:P56 F68:G68 F66 J77 F64 F54:G54 F72:G72 F77 F81:F82 F70">
      <formula1>0</formula1>
      <formula2>300</formula2>
    </dataValidation>
    <dataValidation type="whole" allowBlank="1" showInputMessage="1" showErrorMessage="1" errorTitle="خانة مخصصة  لتدفئة المدرسة" error="ضع إما العدد 1 لتأكيد الإجابة أو 0 لنفيها" sqref="P20 F48 K48 F20 F50 Z22 T22 L22">
      <formula1>0</formula1>
      <formula2>1</formula2>
    </dataValidation>
    <dataValidation type="whole" allowBlank="1" showInputMessage="1" showErrorMessage="1" errorTitle="مخصصة لأجهــزة تبريـد الميـاه" error="ضع إما العدد 1 لتأكيد الإجابة أو 0 لنفيها" sqref="P24">
      <formula1>0</formula1>
      <formula2>1</formula2>
    </dataValidation>
    <dataValidation type="whole" operator="lessThanOrEqual" allowBlank="1" showInputMessage="1" showErrorMessage="1" errorTitle="خانة مخصصة  لتدفئة المدرسة" error="ضع إما العدد 1 لتأكيد الإجابة أو 0 لنفيها" sqref="K50">
      <formula1>1</formula1>
    </dataValidation>
    <dataValidation type="whole" allowBlank="1" showInputMessage="1" showErrorMessage="1" errorTitle="خانة مخصصة  لتدفئة المدرسة" error="ضع العدد الإجمالي للقاعات العادية و المتخصصة" sqref="F52:G52 H31:I31 H33:I33 H35:I35 H37:I37 H39:I39">
      <formula1>0</formula1>
      <formula2>20</formula2>
    </dataValidation>
    <dataValidation type="whole" allowBlank="1" showInputMessage="1" showErrorMessage="1" errorTitle="خانة مخصصة لربط بشبكة الماء" error="ضع إما العدد 1 لتأكيد الإجابة أو 0 لنفيها" sqref="AI29 F24:F26 AJ16">
      <formula1>0</formula1>
      <formula2>1</formula2>
    </dataValidation>
    <dataValidation type="decimal" allowBlank="1" showInputMessage="1" showErrorMessage="1" errorTitle="مخصصة  للمكيفــات هوائيــة" error="ضع العدد فقط" sqref="H43:I44 S55:S56">
      <formula1>0</formula1>
      <formula2>400</formula2>
    </dataValidation>
    <dataValidation type="whole" allowBlank="1" showInputMessage="1" showErrorMessage="1" errorTitle="الخانة مخصصة لمخبر الإعلام الآلي" error="ضع إما العدد 1 لتأكيد الإجابة أنه متصل بشبكة الأنترنت أو 0 لنفيها" sqref="F60">
      <formula1>0</formula1>
      <formula2>1</formula2>
    </dataValidation>
    <dataValidation operator="lessThanOrEqual" allowBlank="1" showInputMessage="1" showErrorMessage="1" errorTitle="خانة مخصصة للمطعـم المـدرسي" error="ضع إما العدد 1 لتأكيد الإجابة أنه توجد ساحة أو 0 لنفيها" sqref="Q58:R59 Q75:R75"/>
    <dataValidation type="whole" allowBlank="1" showInputMessage="1" showErrorMessage="1" errorTitle="خانة مخصصة للمطعـم المـدرسي" error="ضع إما العدد 1 لتأكيد الإجابة أن المطعم مغلق هذه السنة أو 0 لنفيها" sqref="L59">
      <formula1>0</formula1>
      <formula2>1</formula2>
    </dataValidation>
    <dataValidation type="whole" allowBlank="1" showInputMessage="1" showErrorMessage="1" errorTitle="خانة مخصصة للمطعـم المـدرسي" error="ضع سنة الإنشـاء الرسمية، أربعة أرقام  " sqref="S59">
      <formula1>1400</formula1>
      <formula2>2020</formula2>
    </dataValidation>
    <dataValidation type="whole" allowBlank="1" showInputMessage="1" showErrorMessage="1" errorTitle="خانة مخصصة للمطعـم المـدرسي" error="ضع إما العدد 1 لتأكيد الإجابة أو 0 لنفيها" sqref="Y59 G59">
      <formula1>0</formula1>
      <formula2>1</formula2>
    </dataValidation>
    <dataValidation type="whole" allowBlank="1" showInputMessage="1" showErrorMessage="1" errorTitle="مخصصة  للمكيفــات هوائيــة" error="ضع العدد فقط" sqref="K55:M55">
      <formula1>0</formula1>
      <formula2>200</formula2>
    </dataValidation>
    <dataValidation type="whole" allowBlank="1" showInputMessage="1" showErrorMessage="1" errorTitle="مخصصة  للمروحيات السقفية" error="ضع العدد فقط" sqref="Y55:Z56">
      <formula1>0</formula1>
      <formula2>400</formula2>
    </dataValidation>
    <dataValidation type="whole" allowBlank="1" showInputMessage="1" showErrorMessage="1" errorTitle="مخصصة  لشبكـة الكهرباء" error="ضع إما العدد 1 لتأكيد الإجابة أو 0 لنفيها" sqref="F22">
      <formula1>0</formula1>
      <formula2>1</formula2>
    </dataValidation>
    <dataValidation type="whole" allowBlank="1" showInputMessage="1" showErrorMessage="1" errorTitle="الخانة مخصصة لمخبر الإعلام الآلي" error="ضع إما العدد 1 لتأكيد الإجابة أنه متصل بشبكة الأنترنت أو 0 لنفيها" sqref="F62">
      <formula1>0</formula1>
      <formula2>3</formula2>
    </dataValidation>
    <dataValidation operator="greaterThanOrEqual" showInputMessage="1" showErrorMessage="1" errorTitle="توزيع المدير و مساعد المدير" error="ضع العدد المناسب في الخانة المناسب حسب الوضعية الإدارية، السن و الجنس مع مرعاة تطابق المعطيات" sqref="J35 J39 J41"/>
    <dataValidation type="whole" allowBlank="1" showInputMessage="1" showErrorMessage="1" errorTitle="خانة مخصصة  لتدفئة المدرسة" error="ضع العدد الإجمالي للقاعات العادية و المتخصصة" sqref="F79:G79">
      <formula1>0</formula1>
      <formula2>4</formula2>
    </dataValidation>
    <dataValidation type="whole" allowBlank="1" showInputMessage="1" showErrorMessage="1" errorTitle="مخصصة  للمكيفــات هوائيــة" error="ضع العدد فقط" sqref="H41:I41">
      <formula1>0</formula1>
      <formula2>20</formula2>
    </dataValidation>
  </dataValidations>
  <printOptions horizontalCentered="1" verticalCentered="1"/>
  <pageMargins left="0.19685039370078741" right="0.19685039370078741" top="0.19685039370078741" bottom="0.19685039370078741" header="0" footer="0.27559055118110237"/>
  <pageSetup paperSize="9" orientation="portrait" r:id="rId1"/>
  <headerFooter>
    <oddFooter xml:space="preserve">&amp;R&amp;"-,Gras"&amp;8&amp;K00-034Echamil V.08      &amp;F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42</vt:i4>
      </vt:variant>
      <vt:variant>
        <vt:lpstr>Plages nommées</vt:lpstr>
      </vt:variant>
      <vt:variant>
        <vt:i4>77</vt:i4>
      </vt:variant>
    </vt:vector>
  </HeadingPairs>
  <TitlesOfParts>
    <vt:vector size="119" baseType="lpstr">
      <vt:lpstr>الفهرس</vt:lpstr>
      <vt:lpstr>صفحة الدفتـر</vt:lpstr>
      <vt:lpstr>دليل</vt:lpstr>
      <vt:lpstr>الصفحة 1</vt:lpstr>
      <vt:lpstr>الصفحة 2</vt:lpstr>
      <vt:lpstr>الصفحة 3</vt:lpstr>
      <vt:lpstr>الصفحة 3-1</vt:lpstr>
      <vt:lpstr>الصفحة 4</vt:lpstr>
      <vt:lpstr>الصفحة 5</vt:lpstr>
      <vt:lpstr>الصفحة 6</vt:lpstr>
      <vt:lpstr>الصفحة 7</vt:lpstr>
      <vt:lpstr>الصفحة 8</vt:lpstr>
      <vt:lpstr>الصفحة 9</vt:lpstr>
      <vt:lpstr>الصفحة 10</vt:lpstr>
      <vt:lpstr>الصفحة 11</vt:lpstr>
      <vt:lpstr>الصفحة 12</vt:lpstr>
      <vt:lpstr>الصفحة 13</vt:lpstr>
      <vt:lpstr>الصفحة 14</vt:lpstr>
      <vt:lpstr>الصفحة 15</vt:lpstr>
      <vt:lpstr>الصفحة 16</vt:lpstr>
      <vt:lpstr>الصفحة 17</vt:lpstr>
      <vt:lpstr>الصفحة 18</vt:lpstr>
      <vt:lpstr>الصفحة 19</vt:lpstr>
      <vt:lpstr>الصفحة 20</vt:lpstr>
      <vt:lpstr>الصفحة 21</vt:lpstr>
      <vt:lpstr>الصفحة 22</vt:lpstr>
      <vt:lpstr>الصفحة 23</vt:lpstr>
      <vt:lpstr>الصفحة 24</vt:lpstr>
      <vt:lpstr>الصفحة 25</vt:lpstr>
      <vt:lpstr>الصفحة 26</vt:lpstr>
      <vt:lpstr>الصفحة 27</vt:lpstr>
      <vt:lpstr>الصفحة 28</vt:lpstr>
      <vt:lpstr>الصفحة 29</vt:lpstr>
      <vt:lpstr>الصفحة 30</vt:lpstr>
      <vt:lpstr>الصفحة 31</vt:lpstr>
      <vt:lpstr>الصفحة 32</vt:lpstr>
      <vt:lpstr>الصفحة 33</vt:lpstr>
      <vt:lpstr>الصفحة 34</vt:lpstr>
      <vt:lpstr>الصفحة 35</vt:lpstr>
      <vt:lpstr>الصفحة 36</vt:lpstr>
      <vt:lpstr>حوصلة الانتقال والتسرب</vt:lpstr>
      <vt:lpstr>الحوصلة</vt:lpstr>
      <vt:lpstr>'الصفحة 14'!_ZI10</vt:lpstr>
      <vt:lpstr>'الصفحة 15'!_ZI10</vt:lpstr>
      <vt:lpstr>'الصفحة 16'!_ZI10</vt:lpstr>
      <vt:lpstr>'الصفحة 17'!_ZI10</vt:lpstr>
      <vt:lpstr>'الصفحة 18'!_ZI10</vt:lpstr>
      <vt:lpstr>'الصفحة 19'!_ZI10</vt:lpstr>
      <vt:lpstr>'الصفحة 2'!_ZI10</vt:lpstr>
      <vt:lpstr>'الصفحة 20'!_ZI10</vt:lpstr>
      <vt:lpstr>'الصفحة 21'!_ZI10</vt:lpstr>
      <vt:lpstr>'الصفحة 22'!_ZI10</vt:lpstr>
      <vt:lpstr>'الصفحة 23'!_ZI10</vt:lpstr>
      <vt:lpstr>'الصفحة 24'!_ZI10</vt:lpstr>
      <vt:lpstr>'الصفحة 25'!_ZI10</vt:lpstr>
      <vt:lpstr>'الصفحة 26'!_ZI10</vt:lpstr>
      <vt:lpstr>'الصفحة 3'!_ZI10</vt:lpstr>
      <vt:lpstr>'الصفحة 3-1'!_ZI10</vt:lpstr>
      <vt:lpstr>'الصفحة 5'!_ZI10</vt:lpstr>
      <vt:lpstr>'الصفحة 14'!_ZI7</vt:lpstr>
      <vt:lpstr>'الصفحة 15'!_ZI7</vt:lpstr>
      <vt:lpstr>'الصفحة 16'!_ZI7</vt:lpstr>
      <vt:lpstr>'الصفحة 17'!_ZI7</vt:lpstr>
      <vt:lpstr>'الصفحة 18'!_ZI7</vt:lpstr>
      <vt:lpstr>'الصفحة 19'!_ZI7</vt:lpstr>
      <vt:lpstr>'الصفحة 2'!_ZI7</vt:lpstr>
      <vt:lpstr>'الصفحة 20'!_ZI7</vt:lpstr>
      <vt:lpstr>'الصفحة 21'!_ZI7</vt:lpstr>
      <vt:lpstr>'الصفحة 22'!_ZI7</vt:lpstr>
      <vt:lpstr>'الصفحة 23'!_ZI7</vt:lpstr>
      <vt:lpstr>'الصفحة 24'!_ZI7</vt:lpstr>
      <vt:lpstr>'الصفحة 25'!_ZI7</vt:lpstr>
      <vt:lpstr>'الصفحة 26'!_ZI7</vt:lpstr>
      <vt:lpstr>'الصفحة 3'!_ZI7</vt:lpstr>
      <vt:lpstr>'الصفحة 3-1'!_ZI7</vt:lpstr>
      <vt:lpstr>'الصفحة 5'!_ZI7</vt:lpstr>
      <vt:lpstr>'الصفحة 14'!_ZI8</vt:lpstr>
      <vt:lpstr>'الصفحة 15'!_ZI8</vt:lpstr>
      <vt:lpstr>'الصفحة 16'!_ZI8</vt:lpstr>
      <vt:lpstr>'الصفحة 17'!_ZI8</vt:lpstr>
      <vt:lpstr>'الصفحة 18'!_ZI8</vt:lpstr>
      <vt:lpstr>'الصفحة 19'!_ZI8</vt:lpstr>
      <vt:lpstr>'الصفحة 2'!_ZI8</vt:lpstr>
      <vt:lpstr>'الصفحة 20'!_ZI8</vt:lpstr>
      <vt:lpstr>'الصفحة 21'!_ZI8</vt:lpstr>
      <vt:lpstr>'الصفحة 22'!_ZI8</vt:lpstr>
      <vt:lpstr>'الصفحة 23'!_ZI8</vt:lpstr>
      <vt:lpstr>'الصفحة 24'!_ZI8</vt:lpstr>
      <vt:lpstr>'الصفحة 25'!_ZI8</vt:lpstr>
      <vt:lpstr>'الصفحة 26'!_ZI8</vt:lpstr>
      <vt:lpstr>'الصفحة 3'!_ZI8</vt:lpstr>
      <vt:lpstr>'الصفحة 3-1'!_ZI8</vt:lpstr>
      <vt:lpstr>'الصفحة 5'!_ZI8</vt:lpstr>
      <vt:lpstr>'الصفحة 14'!_ZI9</vt:lpstr>
      <vt:lpstr>'الصفحة 15'!_ZI9</vt:lpstr>
      <vt:lpstr>'الصفحة 16'!_ZI9</vt:lpstr>
      <vt:lpstr>'الصفحة 17'!_ZI9</vt:lpstr>
      <vt:lpstr>'الصفحة 18'!_ZI9</vt:lpstr>
      <vt:lpstr>'الصفحة 19'!_ZI9</vt:lpstr>
      <vt:lpstr>'الصفحة 2'!_ZI9</vt:lpstr>
      <vt:lpstr>'الصفحة 20'!_ZI9</vt:lpstr>
      <vt:lpstr>'الصفحة 21'!_ZI9</vt:lpstr>
      <vt:lpstr>'الصفحة 22'!_ZI9</vt:lpstr>
      <vt:lpstr>'الصفحة 23'!_ZI9</vt:lpstr>
      <vt:lpstr>'الصفحة 24'!_ZI9</vt:lpstr>
      <vt:lpstr>'الصفحة 25'!_ZI9</vt:lpstr>
      <vt:lpstr>'الصفحة 26'!_ZI9</vt:lpstr>
      <vt:lpstr>'الصفحة 3'!_ZI9</vt:lpstr>
      <vt:lpstr>'الصفحة 3-1'!_ZI9</vt:lpstr>
      <vt:lpstr>'الصفحة 5'!_ZI9</vt:lpstr>
      <vt:lpstr>'الصفحة 16'!Zone_d_impression</vt:lpstr>
      <vt:lpstr>'الصفحة 17'!Zone_d_impression</vt:lpstr>
      <vt:lpstr>'الصفحة 18'!Zone_d_impression</vt:lpstr>
      <vt:lpstr>'الصفحة 19'!Zone_d_impression</vt:lpstr>
      <vt:lpstr>'الصفحة 2'!Zone_d_impression</vt:lpstr>
      <vt:lpstr>'الصفحة 3'!Zone_d_impression</vt:lpstr>
      <vt:lpstr>'الصفحة 3-1'!Zone_d_impression</vt:lpstr>
      <vt:lpstr>'الصفحة 5'!Zone_d_impression</vt:lpstr>
      <vt:lpstr>'حوصلة الانتقال والتسرب'!Zone_d_impression</vt:lpstr>
    </vt:vector>
  </TitlesOfParts>
  <Company>M E 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CEM</dc:title>
  <dc:subject>Echamil V.10</dc:subject>
  <dc:creator>M.E.N - D.I.E - S.D.B.D - ALG 22 08 2019</dc:creator>
  <cp:keywords>sds.mendz@gmail.com</cp:keywords>
  <dc:description>pour toute information  sdbd@education.gov.dz  </dc:description>
  <cp:lastModifiedBy>ecole primaire</cp:lastModifiedBy>
  <cp:lastPrinted>2022-11-30T12:44:34Z</cp:lastPrinted>
  <dcterms:created xsi:type="dcterms:W3CDTF">2013-07-19T15:59:29Z</dcterms:created>
  <dcterms:modified xsi:type="dcterms:W3CDTF">2022-11-30T12:52:14Z</dcterms:modified>
  <cp:category>Livret Statistique Annuel 22 08 2019</cp:category>
</cp:coreProperties>
</file>